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009415495\OneDrive - csulb\Desktop\"/>
    </mc:Choice>
  </mc:AlternateContent>
  <bookViews>
    <workbookView xWindow="0" yWindow="0" windowWidth="20490" windowHeight="6120" tabRatio="821" firstSheet="2" activeTab="2"/>
  </bookViews>
  <sheets>
    <sheet name="Interface" sheetId="1" state="hidden" r:id="rId1"/>
    <sheet name="DataSetting" sheetId="2" state="hidden" r:id="rId2"/>
    <sheet name="Summary" sheetId="3" r:id="rId3"/>
    <sheet name="OSR_Summary_18VAVWG" sheetId="4" state="hidden" r:id="rId4"/>
    <sheet name="OSR_Current ...69b7dd8c_1IEQKFK" sheetId="5" state="hidden" r:id="rId5"/>
    <sheet name="Div 1" sheetId="6" r:id="rId6"/>
    <sheet name="OSR_Div 1_7H47HR" sheetId="7" state="hidden" r:id="rId7"/>
    <sheet name="OSR_Div 3 (2)...4cb81c06_PBSMLS" sheetId="8" state="hidden" r:id="rId8"/>
    <sheet name="OSR_Div 2_1PQ800A" sheetId="10" state="hidden" r:id="rId9"/>
    <sheet name="OSR_Div 1 (2)...789fe994_2NV3KA" sheetId="11" state="hidden" r:id="rId10"/>
    <sheet name="OSR_Div 3_18723PH" sheetId="13" state="hidden" r:id="rId11"/>
    <sheet name="OSR_300 (2)_7...54cb56fc_UFX0O2" sheetId="14" state="hidden" r:id="rId12"/>
    <sheet name="OSR_300_IYZXI6" sheetId="16" state="hidden" r:id="rId13"/>
    <sheet name="OSR_Div 3 (2)...b7db256a_40ITCB" sheetId="17" state="hidden" r:id="rId14"/>
    <sheet name="OSR_300 &amp; 317_1C00ID4" sheetId="19" state="hidden" r:id="rId15"/>
    <sheet name="OSR_300 (2)_c...79cd3046_1TJM0H" sheetId="20" state="hidden" r:id="rId16"/>
    <sheet name="OSR_310_1CMTOSB" sheetId="22" state="hidden" r:id="rId17"/>
    <sheet name="OSR_300 (2)_e...5d0da5bf_6BPGAO" sheetId="23" state="hidden" r:id="rId18"/>
    <sheet name="OSR_330_10VFP5Y" sheetId="25" state="hidden" r:id="rId19"/>
    <sheet name="OSR_310 (2)_...6e684f08_1FLCNJG" sheetId="26" state="hidden" r:id="rId20"/>
    <sheet name="OSR_308_UAWDAG" sheetId="28" state="hidden" r:id="rId21"/>
    <sheet name="OSR_330 (2)_...8a14c83e_1NSH7XI" sheetId="29" state="hidden" r:id="rId22"/>
    <sheet name="OSR_331_10VKQAJ" sheetId="31" state="hidden" r:id="rId23"/>
    <sheet name="OSR_308 (2)_...47685838_1YQW4QY" sheetId="32" state="hidden" r:id="rId24"/>
    <sheet name="OSR_332_6NDVBW" sheetId="34" state="hidden" r:id="rId25"/>
    <sheet name="OSR_331 (2)_...7280af70_1P5SPLT" sheetId="35" state="hidden" r:id="rId26"/>
    <sheet name="OSR_Div 4_1740TMT" sheetId="37" state="hidden" r:id="rId27"/>
    <sheet name="OSR_310 (2)_...8cac1423_1JTU33X" sheetId="38" state="hidden" r:id="rId28"/>
    <sheet name="OSR_310 &amp; 491_1NGRCS9" sheetId="40" state="hidden" r:id="rId29"/>
    <sheet name="OSR_491 (2)_0...c51cc666_QIOT67" sheetId="41" state="hidden" r:id="rId30"/>
    <sheet name="OSR_491_9Z9JH5" sheetId="43" state="hidden" r:id="rId31"/>
    <sheet name="OSR_Div 4 (2...2533da42_174R6QX" sheetId="44" state="hidden" r:id="rId32"/>
    <sheet name="OSR_492_943FP1" sheetId="46" state="hidden" r:id="rId33"/>
    <sheet name="OSR_Div 4 (2)...1a9a4454_CQFRNE" sheetId="47" state="hidden" r:id="rId34"/>
    <sheet name="OSR_Div 5_16NAZO2" sheetId="49" state="hidden" r:id="rId35"/>
    <sheet name="OSR_492 (2)_...cd97c6a6_13HYXEV" sheetId="50" state="hidden" r:id="rId36"/>
    <sheet name="OSR_Div 6_P37YY7" sheetId="52" state="hidden" r:id="rId37"/>
    <sheet name="OSR_Div 5 (2...09141158_1BG9FGV" sheetId="53" state="hidden" r:id="rId38"/>
    <sheet name="100" sheetId="54" r:id="rId39"/>
    <sheet name="Div 2" sheetId="9" r:id="rId40"/>
    <sheet name="200" sheetId="55" r:id="rId41"/>
    <sheet name="201" sheetId="56" r:id="rId42"/>
    <sheet name="202" sheetId="57" r:id="rId43"/>
    <sheet name="203" sheetId="58" r:id="rId44"/>
    <sheet name="204" sheetId="59" r:id="rId45"/>
    <sheet name="205" sheetId="60" r:id="rId46"/>
    <sheet name="206" sheetId="61" r:id="rId47"/>
    <sheet name="Div 3" sheetId="12" r:id="rId48"/>
    <sheet name="300" sheetId="15" r:id="rId49"/>
    <sheet name="300 &amp; 317" sheetId="18" r:id="rId50"/>
    <sheet name="301" sheetId="63" r:id="rId51"/>
    <sheet name="306" sheetId="67" r:id="rId52"/>
    <sheet name="330" sheetId="24" r:id="rId53"/>
    <sheet name="307" sheetId="68" r:id="rId54"/>
    <sheet name="314" sheetId="73" r:id="rId55"/>
    <sheet name="308" sheetId="27" r:id="rId56"/>
    <sheet name="311" sheetId="70" r:id="rId57"/>
    <sheet name="324" sheetId="82" r:id="rId58"/>
    <sheet name="331" sheetId="30" r:id="rId59"/>
    <sheet name="315" sheetId="74" r:id="rId60"/>
    <sheet name="326" sheetId="84" r:id="rId61"/>
    <sheet name="332" sheetId="33" r:id="rId62"/>
    <sheet name="316" sheetId="75" r:id="rId63"/>
    <sheet name="320" sheetId="78" r:id="rId64"/>
    <sheet name="Div 6" sheetId="51" r:id="rId65"/>
    <sheet name="317" sheetId="76" r:id="rId66"/>
    <sheet name="310" sheetId="21" r:id="rId67"/>
    <sheet name="309" sheetId="69" r:id="rId68"/>
    <sheet name="313" sheetId="72" r:id="rId69"/>
    <sheet name="321" sheetId="79" r:id="rId70"/>
    <sheet name="322" sheetId="80" r:id="rId71"/>
    <sheet name="325" sheetId="83" r:id="rId72"/>
    <sheet name="327" sheetId="85" r:id="rId73"/>
    <sheet name="Div 4" sheetId="36" r:id="rId74"/>
    <sheet name="310 &amp; 491" sheetId="39" r:id="rId75"/>
    <sheet name="491" sheetId="42" r:id="rId76"/>
    <sheet name="405" sheetId="87" r:id="rId77"/>
    <sheet name="406" sheetId="88" r:id="rId78"/>
    <sheet name="411" sheetId="91" r:id="rId79"/>
    <sheet name="412" sheetId="92" r:id="rId80"/>
    <sheet name="413" sheetId="93" r:id="rId81"/>
    <sheet name="414" sheetId="94" r:id="rId82"/>
    <sheet name="415" sheetId="95" r:id="rId83"/>
    <sheet name="418" sheetId="97" r:id="rId84"/>
    <sheet name="420" sheetId="98" r:id="rId85"/>
    <sheet name="423" sheetId="99" r:id="rId86"/>
    <sheet name="424" sheetId="100" r:id="rId87"/>
    <sheet name="425" sheetId="101" r:id="rId88"/>
    <sheet name="455" sheetId="108" r:id="rId89"/>
    <sheet name="492" sheetId="45" r:id="rId90"/>
    <sheet name="430" sheetId="102" r:id="rId91"/>
    <sheet name="433" sheetId="103" r:id="rId92"/>
    <sheet name="435" sheetId="104" r:id="rId93"/>
    <sheet name="444" sheetId="105" r:id="rId94"/>
    <sheet name="450" sheetId="107" r:id="rId95"/>
    <sheet name="Div 5" sheetId="48" r:id="rId96"/>
    <sheet name="501" sheetId="109" r:id="rId97"/>
    <sheet name="Dept" sheetId="110" state="hidden" r:id="rId98"/>
    <sheet name="OSR_Dept_Y0WUKY" sheetId="111" state="hidden" r:id="rId99"/>
    <sheet name="OSR_Summary (...56e5d78f_5JEYZH" sheetId="112" state="hidden" r:id="rId100"/>
  </sheets>
  <definedNames>
    <definedName name="OSRRefD13x_0" localSheetId="48">'300'!$D$13:$D$103</definedName>
    <definedName name="OSRRefD13x_0" localSheetId="49">'300 &amp; 317'!$D$13:$D$121</definedName>
    <definedName name="OSRRefD13x_0" localSheetId="53">'307'!$D$13:$D$41</definedName>
    <definedName name="OSRRefD13x_0" localSheetId="55">'308'!$D$13:$D$40</definedName>
    <definedName name="OSRRefD13x_0" localSheetId="67">'309'!$D$13:$D$14</definedName>
    <definedName name="OSRRefD13x_0" localSheetId="66">'310'!$D$13:$D$20</definedName>
    <definedName name="OSRRefD13x_0" localSheetId="74">'310 &amp; 491'!$D$13:$D$27</definedName>
    <definedName name="OSRRefD13x_0" localSheetId="56">'311'!$D$13:$D$39</definedName>
    <definedName name="OSRRefD13x_0" localSheetId="68">'313'!$D$13:$D$17</definedName>
    <definedName name="OSRRefD13x_0" localSheetId="54">'314'!$D$13:$D$32</definedName>
    <definedName name="OSRRefD13x_0" localSheetId="59">'315'!$D$13:$D$48</definedName>
    <definedName name="OSRRefD13x_0" localSheetId="62">'316'!$D$13:$D$24</definedName>
    <definedName name="OSRRefD13x_0" localSheetId="65">'317'!$D$13:$D$37</definedName>
    <definedName name="OSRRefD13x_0" localSheetId="63">'320'!$D$13:$D$15</definedName>
    <definedName name="OSRRefD13x_0" localSheetId="69">'321'!$D$13:$D$14</definedName>
    <definedName name="OSRRefD13x_0" localSheetId="70">'322'!$D$13:$D$14</definedName>
    <definedName name="OSRRefD13x_0" localSheetId="57">'324'!$D$13:$D$15</definedName>
    <definedName name="OSRRefD13x_0" localSheetId="71">'325'!$D$13:$D$14</definedName>
    <definedName name="OSRRefD13x_0" localSheetId="60">'326'!$D$13:$D$36</definedName>
    <definedName name="OSRRefD13x_0" localSheetId="72">'327'!$D$13</definedName>
    <definedName name="OSRRefD13x_0" localSheetId="52">'330'!$D$13:$D$46</definedName>
    <definedName name="OSRRefD13x_0" localSheetId="58">'331'!$D$13:$D$51</definedName>
    <definedName name="OSRRefD13x_0" localSheetId="61">'332'!$D$13:$D$27</definedName>
    <definedName name="OSRRefD13x_0" localSheetId="76">'405'!$D$13:$D$14</definedName>
    <definedName name="OSRRefD13x_0" localSheetId="77">'406'!$D$13:$D$14</definedName>
    <definedName name="OSRRefD13x_0" localSheetId="79">'412'!$D$13:$D$14</definedName>
    <definedName name="OSRRefD13x_0" localSheetId="80">'413'!$D$13:$D$14</definedName>
    <definedName name="OSRRefD13x_0" localSheetId="81">'414'!$D$13:$D$14</definedName>
    <definedName name="OSRRefD13x_0" localSheetId="82">'415'!$D$13:$D$14</definedName>
    <definedName name="OSRRefD13x_0" localSheetId="83">'418'!$D$13:$D$14</definedName>
    <definedName name="OSRRefD13x_0" localSheetId="84">'420'!$D$13:$D$14</definedName>
    <definedName name="OSRRefD13x_0" localSheetId="86">'424'!$D$13</definedName>
    <definedName name="OSRRefD13x_0" localSheetId="87">'425'!$D$13:$D$14</definedName>
    <definedName name="OSRRefD13x_0" localSheetId="91">'433'!$D$13:$D$15</definedName>
    <definedName name="OSRRefD13x_0" localSheetId="92">'435'!$D$13:$D$15</definedName>
    <definedName name="OSRRefD13x_0" localSheetId="93">'444'!$D$13:$D$15</definedName>
    <definedName name="OSRRefD13x_0" localSheetId="94">'450'!$D$13:$D$15</definedName>
    <definedName name="OSRRefD13x_0" localSheetId="75">'491'!$D$13:$D$21</definedName>
    <definedName name="OSRRefD13x_0" localSheetId="89">'492'!$D$13:$D$17</definedName>
    <definedName name="OSRRefD13x_0" localSheetId="96">'501'!$D$13</definedName>
    <definedName name="OSRRefD13x_0" localSheetId="47">'Div 3'!$D$13:$D$106</definedName>
    <definedName name="OSRRefD13x_0" localSheetId="73">'Div 4'!$D$13:$D$22</definedName>
    <definedName name="OSRRefD13x_0" localSheetId="95">'Div 5'!$D$13</definedName>
    <definedName name="OSRRefD13x_0" localSheetId="64">'Div 6'!$D$13:$D$37</definedName>
    <definedName name="OSRRefD13x_0" localSheetId="2">Summary!$D$13:$D$131</definedName>
    <definedName name="OSRRefD16x_0" localSheetId="48">'300'!$D$106:$D$153</definedName>
    <definedName name="OSRRefD16x_0" localSheetId="49">'300 &amp; 317'!$D$124:$D$178</definedName>
    <definedName name="OSRRefD16x_0" localSheetId="53">'307'!$D$44:$D$62</definedName>
    <definedName name="OSRRefD16x_0" localSheetId="55">'308'!$D$43:$D$55</definedName>
    <definedName name="OSRRefD16x_0" localSheetId="67">'309'!$D$17:$D$18</definedName>
    <definedName name="OSRRefD16x_0" localSheetId="66">'310'!$D$23:$D$24</definedName>
    <definedName name="OSRRefD16x_0" localSheetId="74">'310 &amp; 491'!$D$30:$D$31</definedName>
    <definedName name="OSRRefD16x_0" localSheetId="56">'311'!$D$42:$D$54</definedName>
    <definedName name="OSRRefD16x_0" localSheetId="68">'313'!$D$20:$D$21</definedName>
    <definedName name="OSRRefD16x_0" localSheetId="54">'314'!$D$35:$D$49</definedName>
    <definedName name="OSRRefD16x_0" localSheetId="59">'315'!$D$51:$D$73</definedName>
    <definedName name="OSRRefD16x_0" localSheetId="65">'317'!$D$40:$D$52</definedName>
    <definedName name="OSRRefD16x_0" localSheetId="63">'320'!$D$18:$D$22</definedName>
    <definedName name="OSRRefD16x_0" localSheetId="69">'321'!$D$17:$D$18</definedName>
    <definedName name="OSRRefD16x_0" localSheetId="70">'322'!$D$17:$D$18</definedName>
    <definedName name="OSRRefD16x_0" localSheetId="57">'324'!$D$18:$D$19</definedName>
    <definedName name="OSRRefD16x_0" localSheetId="71">'325'!$D$17:$D$18</definedName>
    <definedName name="OSRRefD16x_0" localSheetId="60">'326'!$D$39:$D$51</definedName>
    <definedName name="OSRRefD16x_0" localSheetId="72">'327'!$D$16</definedName>
    <definedName name="OSRRefD16x_0" localSheetId="52">'330'!$D$49:$D$71</definedName>
    <definedName name="OSRRefD16x_0" localSheetId="58">'331'!$D$54:$D$80</definedName>
    <definedName name="OSRRefD16x_0" localSheetId="61">'332'!$D$30:$D$34</definedName>
    <definedName name="OSRRefD16x_0" localSheetId="76">'405'!$D$17:$D$18</definedName>
    <definedName name="OSRRefD16x_0" localSheetId="77">'406'!$D$17:$D$18</definedName>
    <definedName name="OSRRefD16x_0" localSheetId="79">'412'!$D$17</definedName>
    <definedName name="OSRRefD16x_0" localSheetId="80">'413'!$D$17:$D$18</definedName>
    <definedName name="OSRRefD16x_0" localSheetId="81">'414'!$D$17:$D$18</definedName>
    <definedName name="OSRRefD16x_0" localSheetId="82">'415'!$D$17:$D$18</definedName>
    <definedName name="OSRRefD16x_0" localSheetId="83">'418'!$D$17:$D$18</definedName>
    <definedName name="OSRRefD16x_0" localSheetId="85">'423'!$D$15</definedName>
    <definedName name="OSRRefD16x_0" localSheetId="86">'424'!$D$16:$D$17</definedName>
    <definedName name="OSRRefD16x_0" localSheetId="87">'425'!$D$17:$D$18</definedName>
    <definedName name="OSRRefD16x_0" localSheetId="91">'433'!$D$18:$D$19</definedName>
    <definedName name="OSRRefD16x_0" localSheetId="92">'435'!$D$18:$D$19</definedName>
    <definedName name="OSRRefD16x_0" localSheetId="93">'444'!$D$18:$D$19</definedName>
    <definedName name="OSRRefD16x_0" localSheetId="94">'450'!$D$18:$D$19</definedName>
    <definedName name="OSRRefD16x_0" localSheetId="75">'491'!$D$24:$D$25</definedName>
    <definedName name="OSRRefD16x_0" localSheetId="89">'492'!$D$20:$D$21</definedName>
    <definedName name="OSRRefD16x_0" localSheetId="47">'Div 3'!$D$109:$D$158</definedName>
    <definedName name="OSRRefD16x_0" localSheetId="73">'Div 4'!$D$25:$D$26</definedName>
    <definedName name="OSRRefD16x_0" localSheetId="64">'Div 6'!$D$40:$D$52</definedName>
    <definedName name="OSRRefD16x_0" localSheetId="2">Summary!$D$134:$D$190</definedName>
    <definedName name="OSRRefD22_0x_0" localSheetId="40">'200'!$D$20</definedName>
    <definedName name="OSRRefD22_0x_0" localSheetId="41">'201'!$D$20:$D$27</definedName>
    <definedName name="OSRRefD22_0x_0" localSheetId="42">'202'!$D$20:$D$27</definedName>
    <definedName name="OSRRefD22_0x_0" localSheetId="43">'203'!$D$20:$D$29</definedName>
    <definedName name="OSRRefD22_0x_0" localSheetId="44">'204'!$D$20:$D$28</definedName>
    <definedName name="OSRRefD22_0x_0" localSheetId="45">'205'!$D$20:$D$27</definedName>
    <definedName name="OSRRefD22_0x_0" localSheetId="46">'206'!$D$20:$D$26</definedName>
    <definedName name="OSRRefD22_0x_0" localSheetId="48">'300'!$D$159:$D$168</definedName>
    <definedName name="OSRRefD22_0x_0" localSheetId="49">'300 &amp; 317'!$D$184:$D$193</definedName>
    <definedName name="OSRRefD22_0x_0" localSheetId="50">'301'!$D$20:$D$28</definedName>
    <definedName name="OSRRefD22_0x_0" localSheetId="51">'306'!$D$20:$D$28</definedName>
    <definedName name="OSRRefD22_0x_0" localSheetId="53">'307'!$D$68:$D$75</definedName>
    <definedName name="OSRRefD22_0x_0" localSheetId="55">'308'!$D$61:$D$69</definedName>
    <definedName name="OSRRefD22_0x_0" localSheetId="67">'309'!$D$24:$D$31</definedName>
    <definedName name="OSRRefD22_0x_0" localSheetId="66">'310'!$D$30:$D$37</definedName>
    <definedName name="OSRRefD22_0x_0" localSheetId="74">'310 &amp; 491'!$D$37:$D$45</definedName>
    <definedName name="OSRRefD22_0x_0" localSheetId="56">'311'!$D$60:$D$68</definedName>
    <definedName name="OSRRefD22_0x_0" localSheetId="68">'313'!$D$27:$D$34</definedName>
    <definedName name="OSRRefD22_0x_0" localSheetId="54">'314'!$D$55:$D$61</definedName>
    <definedName name="OSRRefD22_0x_0" localSheetId="59">'315'!$D$79:$D$86</definedName>
    <definedName name="OSRRefD22_0x_0" localSheetId="62">'316'!$D$32:$D$39</definedName>
    <definedName name="OSRRefD22_0x_0" localSheetId="65">'317'!$D$58:$D$66</definedName>
    <definedName name="OSRRefD22_0x_0" localSheetId="63">'320'!$D$28:$D$34</definedName>
    <definedName name="OSRRefD22_0x_0" localSheetId="69">'321'!$D$24:$D$31</definedName>
    <definedName name="OSRRefD22_0x_0" localSheetId="70">'322'!$D$24:$D$31</definedName>
    <definedName name="OSRRefD22_0x_0" localSheetId="71">'325'!$D$24:$D$31</definedName>
    <definedName name="OSRRefD22_0x_0" localSheetId="60">'326'!$D$57:$D$64</definedName>
    <definedName name="OSRRefD22_0x_0" localSheetId="72">'327'!$D$22</definedName>
    <definedName name="OSRRefD22_0x_0" localSheetId="52">'330'!$D$77:$D$84</definedName>
    <definedName name="OSRRefD22_0x_0" localSheetId="58">'331'!$D$86:$D$93</definedName>
    <definedName name="OSRRefD22_0x_0" localSheetId="61">'332'!$D$40:$D$47</definedName>
    <definedName name="OSRRefD22_0x_0" localSheetId="76">'405'!$D$24:$D$31</definedName>
    <definedName name="OSRRefD22_0x_0" localSheetId="77">'406'!$D$24:$D$31</definedName>
    <definedName name="OSRRefD22_0x_0" localSheetId="78">'411'!$D$20:$D$28</definedName>
    <definedName name="OSRRefD22_0x_0" localSheetId="79">'412'!$D$23:$D$30</definedName>
    <definedName name="OSRRefD22_0x_0" localSheetId="80">'413'!$D$24:$D$31</definedName>
    <definedName name="OSRRefD22_0x_0" localSheetId="81">'414'!$D$24:$D$30</definedName>
    <definedName name="OSRRefD22_0x_0" localSheetId="82">'415'!$D$24:$D$31</definedName>
    <definedName name="OSRRefD22_0x_0" localSheetId="83">'418'!$D$24:$D$31</definedName>
    <definedName name="OSRRefD22_0x_0" localSheetId="84">'420'!$D$22:$D$28</definedName>
    <definedName name="OSRRefD22_0x_0" localSheetId="85">'423'!$D$21:$D$28</definedName>
    <definedName name="OSRRefD22_0x_0" localSheetId="86">'424'!$D$23:$D$24</definedName>
    <definedName name="OSRRefD22_0x_0" localSheetId="87">'425'!$D$24:$D$31</definedName>
    <definedName name="OSRRefD22_0x_0" localSheetId="90">'430'!$D$20:$D$27</definedName>
    <definedName name="OSRRefD22_0x_0" localSheetId="91">'433'!$D$25:$D$33</definedName>
    <definedName name="OSRRefD22_0x_0" localSheetId="92">'435'!$D$25:$D$27</definedName>
    <definedName name="OSRRefD22_0x_0" localSheetId="93">'444'!$D$25:$D$33</definedName>
    <definedName name="OSRRefD22_0x_0" localSheetId="94">'450'!$D$25:$D$33</definedName>
    <definedName name="OSRRefD22_0x_0" localSheetId="88">'455'!$D$20:$D$26</definedName>
    <definedName name="OSRRefD22_0x_0" localSheetId="75">'491'!$D$31:$D$39</definedName>
    <definedName name="OSRRefD22_0x_0" localSheetId="89">'492'!$D$27:$D$35</definedName>
    <definedName name="OSRRefD22_0x_0" localSheetId="96">'501'!$D$21:$D$29</definedName>
    <definedName name="OSRRefD22_0x_0" localSheetId="39">'Div 2'!$D$20:$D$30</definedName>
    <definedName name="OSRRefD22_0x_0" localSheetId="47">'Div 3'!$D$164:$D$173</definedName>
    <definedName name="OSRRefD22_0x_0" localSheetId="73">'Div 4'!$D$32:$D$40</definedName>
    <definedName name="OSRRefD22_0x_0" localSheetId="95">'Div 5'!$D$21:$D$29</definedName>
    <definedName name="OSRRefD22_0x_0" localSheetId="64">'Div 6'!$D$58:$D$66</definedName>
    <definedName name="OSRRefD22_0x_0" localSheetId="2">Summary!$D$196:$D$205</definedName>
    <definedName name="OSRRefD22_10x_0" localSheetId="41">'201'!$D$51:$D$53</definedName>
    <definedName name="OSRRefD22_10x_0" localSheetId="42">'202'!$D$53:$D$55</definedName>
    <definedName name="OSRRefD22_10x_0" localSheetId="43">'203'!$D$53:$D$54</definedName>
    <definedName name="OSRRefD22_10x_0" localSheetId="48">'300'!$D$197:$D$198</definedName>
    <definedName name="OSRRefD22_10x_0" localSheetId="49">'300 &amp; 317'!$D$222:$D$223</definedName>
    <definedName name="OSRRefD22_10x_0" localSheetId="50">'301'!$D$57</definedName>
    <definedName name="OSRRefD22_10x_0" localSheetId="53">'307'!$D$103</definedName>
    <definedName name="OSRRefD22_10x_0" localSheetId="55">'308'!$D$97</definedName>
    <definedName name="OSRRefD22_10x_0" localSheetId="67">'309'!$D$59</definedName>
    <definedName name="OSRRefD22_10x_0" localSheetId="66">'310'!$D$63</definedName>
    <definedName name="OSRRefD22_10x_0" localSheetId="74">'310 &amp; 491'!$D$73:$D$74</definedName>
    <definedName name="OSRRefD22_10x_0" localSheetId="56">'311'!$D$96</definedName>
    <definedName name="OSRRefD22_10x_0" localSheetId="68">'313'!$D$60:$D$64</definedName>
    <definedName name="OSRRefD22_10x_0" localSheetId="59">'315'!$D$117</definedName>
    <definedName name="OSRRefD22_10x_0" localSheetId="62">'316'!$D$68</definedName>
    <definedName name="OSRRefD22_10x_0" localSheetId="65">'317'!$D$93</definedName>
    <definedName name="OSRRefD22_10x_0" localSheetId="69">'321'!$D$62</definedName>
    <definedName name="OSRRefD22_10x_0" localSheetId="70">'322'!$D$57:$D$61</definedName>
    <definedName name="OSRRefD22_10x_0" localSheetId="71">'325'!$D$56</definedName>
    <definedName name="OSRRefD22_10x_0" localSheetId="60">'326'!$D$88</definedName>
    <definedName name="OSRRefD22_10x_0" localSheetId="52">'330'!$D$110:$D$112</definedName>
    <definedName name="OSRRefD22_10x_0" localSheetId="58">'331'!$D$120</definedName>
    <definedName name="OSRRefD22_10x_0" localSheetId="61">'332'!$D$72</definedName>
    <definedName name="OSRRefD22_10x_0" localSheetId="76">'405'!$D$56</definedName>
    <definedName name="OSRRefD22_10x_0" localSheetId="77">'406'!$D$57:$D$61</definedName>
    <definedName name="OSRRefD22_10x_0" localSheetId="78">'411'!$D$55</definedName>
    <definedName name="OSRRefD22_10x_0" localSheetId="79">'412'!$D$57:$D$62</definedName>
    <definedName name="OSRRefD22_10x_0" localSheetId="80">'413'!$D$61</definedName>
    <definedName name="OSRRefD22_10x_0" localSheetId="81">'414'!$D$54</definedName>
    <definedName name="OSRRefD22_10x_0" localSheetId="82">'415'!$D$56</definedName>
    <definedName name="OSRRefD22_10x_0" localSheetId="83">'418'!$D$60:$D$62</definedName>
    <definedName name="OSRRefD22_10x_0" localSheetId="86">'424'!$D$48</definedName>
    <definedName name="OSRRefD22_10x_0" localSheetId="87">'425'!$D$57</definedName>
    <definedName name="OSRRefD22_10x_0" localSheetId="91">'433'!$D$58</definedName>
    <definedName name="OSRRefD22_10x_0" localSheetId="93">'444'!$D$58</definedName>
    <definedName name="OSRRefD22_10x_0" localSheetId="94">'450'!$D$58</definedName>
    <definedName name="OSRRefD22_10x_0" localSheetId="75">'491'!$D$67:$D$68</definedName>
    <definedName name="OSRRefD22_10x_0" localSheetId="89">'492'!$D$61</definedName>
    <definedName name="OSRRefD22_10x_0" localSheetId="96">'501'!$D$58</definedName>
    <definedName name="OSRRefD22_10x_0" localSheetId="39">'Div 2'!$D$57</definedName>
    <definedName name="OSRRefD22_10x_0" localSheetId="47">'Div 3'!$D$202:$D$203</definedName>
    <definedName name="OSRRefD22_10x_0" localSheetId="73">'Div 4'!$D$68:$D$69</definedName>
    <definedName name="OSRRefD22_10x_0" localSheetId="95">'Div 5'!$D$58</definedName>
    <definedName name="OSRRefD22_10x_0" localSheetId="64">'Div 6'!$D$93</definedName>
    <definedName name="OSRRefD22_10x_0" localSheetId="2">Summary!$D$235:$D$236</definedName>
    <definedName name="OSRRefD22_11x_0" localSheetId="41">'201'!$D$55</definedName>
    <definedName name="OSRRefD22_11x_0" localSheetId="42">'202'!$D$57</definedName>
    <definedName name="OSRRefD22_11x_0" localSheetId="43">'203'!$D$56</definedName>
    <definedName name="OSRRefD22_11x_0" localSheetId="48">'300'!$D$200</definedName>
    <definedName name="OSRRefD22_11x_0" localSheetId="49">'300 &amp; 317'!$D$225</definedName>
    <definedName name="OSRRefD22_11x_0" localSheetId="50">'301'!$D$59</definedName>
    <definedName name="OSRRefD22_11x_0" localSheetId="53">'307'!$D$105</definedName>
    <definedName name="OSRRefD22_11x_0" localSheetId="55">'308'!$D$99:$D$101</definedName>
    <definedName name="OSRRefD22_11x_0" localSheetId="66">'310'!$D$65</definedName>
    <definedName name="OSRRefD22_11x_0" localSheetId="74">'310 &amp; 491'!$D$76:$D$77</definedName>
    <definedName name="OSRRefD22_11x_0" localSheetId="56">'311'!$D$98:$D$100</definedName>
    <definedName name="OSRRefD22_11x_0" localSheetId="68">'313'!$D$66</definedName>
    <definedName name="OSRRefD22_11x_0" localSheetId="59">'315'!$D$119</definedName>
    <definedName name="OSRRefD22_11x_0" localSheetId="62">'316'!$D$70</definedName>
    <definedName name="OSRRefD22_11x_0" localSheetId="65">'317'!$D$95</definedName>
    <definedName name="OSRRefD22_11x_0" localSheetId="69">'321'!$D$64</definedName>
    <definedName name="OSRRefD22_11x_0" localSheetId="70">'322'!$D$63</definedName>
    <definedName name="OSRRefD22_11x_0" localSheetId="71">'325'!$D$58:$D$60</definedName>
    <definedName name="OSRRefD22_11x_0" localSheetId="60">'326'!$D$90:$D$91</definedName>
    <definedName name="OSRRefD22_11x_0" localSheetId="52">'330'!$D$114</definedName>
    <definedName name="OSRRefD22_11x_0" localSheetId="58">'331'!$D$122</definedName>
    <definedName name="OSRRefD22_11x_0" localSheetId="61">'332'!$D$74:$D$79</definedName>
    <definedName name="OSRRefD22_11x_0" localSheetId="76">'405'!$D$58:$D$60</definedName>
    <definedName name="OSRRefD22_11x_0" localSheetId="77">'406'!$D$63</definedName>
    <definedName name="OSRRefD22_11x_0" localSheetId="78">'411'!$D$57</definedName>
    <definedName name="OSRRefD22_11x_0" localSheetId="79">'412'!$D$64</definedName>
    <definedName name="OSRRefD22_11x_0" localSheetId="81">'414'!$D$56</definedName>
    <definedName name="OSRRefD22_11x_0" localSheetId="82">'415'!$D$58:$D$60</definedName>
    <definedName name="OSRRefD22_11x_0" localSheetId="83">'418'!$D$64</definedName>
    <definedName name="OSRRefD22_11x_0" localSheetId="86">'424'!$D$50:$D$52</definedName>
    <definedName name="OSRRefD22_11x_0" localSheetId="87">'425'!$D$59:$D$60</definedName>
    <definedName name="OSRRefD22_11x_0" localSheetId="91">'433'!$D$60:$D$61</definedName>
    <definedName name="OSRRefD22_11x_0" localSheetId="93">'444'!$D$60:$D$61</definedName>
    <definedName name="OSRRefD22_11x_0" localSheetId="94">'450'!$D$60</definedName>
    <definedName name="OSRRefD22_11x_0" localSheetId="75">'491'!$D$70</definedName>
    <definedName name="OSRRefD22_11x_0" localSheetId="89">'492'!$D$63</definedName>
    <definedName name="OSRRefD22_11x_0" localSheetId="39">'Div 2'!$D$59</definedName>
    <definedName name="OSRRefD22_11x_0" localSheetId="47">'Div 3'!$D$205</definedName>
    <definedName name="OSRRefD22_11x_0" localSheetId="73">'Div 4'!$D$71</definedName>
    <definedName name="OSRRefD22_11x_0" localSheetId="64">'Div 6'!$D$95</definedName>
    <definedName name="OSRRefD22_11x_0" localSheetId="2">Summary!$D$238:$D$239</definedName>
    <definedName name="OSRRefD22_12x_0" localSheetId="41">'201'!$D$57:$D$60</definedName>
    <definedName name="OSRRefD22_12x_0" localSheetId="42">'202'!$D$59</definedName>
    <definedName name="OSRRefD22_12x_0" localSheetId="43">'203'!$D$58:$D$61</definedName>
    <definedName name="OSRRefD22_12x_0" localSheetId="48">'300'!$D$202</definedName>
    <definedName name="OSRRefD22_12x_0" localSheetId="49">'300 &amp; 317'!$D$227</definedName>
    <definedName name="OSRRefD22_12x_0" localSheetId="50">'301'!$D$61</definedName>
    <definedName name="OSRRefD22_12x_0" localSheetId="55">'308'!$D$103:$D$104</definedName>
    <definedName name="OSRRefD22_12x_0" localSheetId="66">'310'!$D$67</definedName>
    <definedName name="OSRRefD22_12x_0" localSheetId="74">'310 &amp; 491'!$D$79</definedName>
    <definedName name="OSRRefD22_12x_0" localSheetId="56">'311'!$D$102:$D$103</definedName>
    <definedName name="OSRRefD22_12x_0" localSheetId="68">'313'!$D$68</definedName>
    <definedName name="OSRRefD22_12x_0" localSheetId="59">'315'!$D$121</definedName>
    <definedName name="OSRRefD22_12x_0" localSheetId="70">'322'!$D$65</definedName>
    <definedName name="OSRRefD22_12x_0" localSheetId="71">'325'!$D$62:$D$64</definedName>
    <definedName name="OSRRefD22_12x_0" localSheetId="60">'326'!$D$93:$D$95</definedName>
    <definedName name="OSRRefD22_12x_0" localSheetId="52">'330'!$D$116</definedName>
    <definedName name="OSRRefD22_12x_0" localSheetId="58">'331'!$D$124:$D$125</definedName>
    <definedName name="OSRRefD22_12x_0" localSheetId="61">'332'!$D$81</definedName>
    <definedName name="OSRRefD22_12x_0" localSheetId="76">'405'!$D$62</definedName>
    <definedName name="OSRRefD22_12x_0" localSheetId="77">'406'!$D$65</definedName>
    <definedName name="OSRRefD22_12x_0" localSheetId="78">'411'!$D$59:$D$60</definedName>
    <definedName name="OSRRefD22_12x_0" localSheetId="79">'412'!$D$66</definedName>
    <definedName name="OSRRefD22_12x_0" localSheetId="81">'414'!$D$58:$D$64</definedName>
    <definedName name="OSRRefD22_12x_0" localSheetId="82">'415'!$D$62:$D$66</definedName>
    <definedName name="OSRRefD22_12x_0" localSheetId="83">'418'!$D$66:$D$71</definedName>
    <definedName name="OSRRefD22_12x_0" localSheetId="86">'424'!$D$54</definedName>
    <definedName name="OSRRefD22_12x_0" localSheetId="87">'425'!$D$62:$D$67</definedName>
    <definedName name="OSRRefD22_12x_0" localSheetId="91">'433'!$D$63:$D$65</definedName>
    <definedName name="OSRRefD22_12x_0" localSheetId="93">'444'!$D$63:$D$65</definedName>
    <definedName name="OSRRefD22_12x_0" localSheetId="94">'450'!$D$62</definedName>
    <definedName name="OSRRefD22_12x_0" localSheetId="75">'491'!$D$72</definedName>
    <definedName name="OSRRefD22_12x_0" localSheetId="89">'492'!$D$65:$D$67</definedName>
    <definedName name="OSRRefD22_12x_0" localSheetId="39">'Div 2'!$D$61:$D$64</definedName>
    <definedName name="OSRRefD22_12x_0" localSheetId="47">'Div 3'!$D$207</definedName>
    <definedName name="OSRRefD22_12x_0" localSheetId="73">'Div 4'!$D$73</definedName>
    <definedName name="OSRRefD22_12x_0" localSheetId="2">Summary!$D$241</definedName>
    <definedName name="OSRRefD22_13x_0" localSheetId="41">'201'!$D$62</definedName>
    <definedName name="OSRRefD22_13x_0" localSheetId="42">'202'!$D$61</definedName>
    <definedName name="OSRRefD22_13x_0" localSheetId="43">'203'!$D$63</definedName>
    <definedName name="OSRRefD22_13x_0" localSheetId="48">'300'!$D$204</definedName>
    <definedName name="OSRRefD22_13x_0" localSheetId="49">'300 &amp; 317'!$D$229</definedName>
    <definedName name="OSRRefD22_13x_0" localSheetId="50">'301'!$D$63</definedName>
    <definedName name="OSRRefD22_13x_0" localSheetId="55">'308'!$D$106</definedName>
    <definedName name="OSRRefD22_13x_0" localSheetId="66">'310'!$D$69</definedName>
    <definedName name="OSRRefD22_13x_0" localSheetId="74">'310 &amp; 491'!$D$81</definedName>
    <definedName name="OSRRefD22_13x_0" localSheetId="56">'311'!$D$105</definedName>
    <definedName name="OSRRefD22_13x_0" localSheetId="71">'325'!$D$66</definedName>
    <definedName name="OSRRefD22_13x_0" localSheetId="60">'326'!$D$97</definedName>
    <definedName name="OSRRefD22_13x_0" localSheetId="58">'331'!$D$127:$D$128</definedName>
    <definedName name="OSRRefD22_13x_0" localSheetId="61">'332'!$D$83</definedName>
    <definedName name="OSRRefD22_13x_0" localSheetId="76">'405'!$D$64:$D$70</definedName>
    <definedName name="OSRRefD22_13x_0" localSheetId="78">'411'!$D$62:$D$66</definedName>
    <definedName name="OSRRefD22_13x_0" localSheetId="81">'414'!$D$66</definedName>
    <definedName name="OSRRefD22_13x_0" localSheetId="82">'415'!$D$68</definedName>
    <definedName name="OSRRefD22_13x_0" localSheetId="83">'418'!$D$73</definedName>
    <definedName name="OSRRefD22_13x_0" localSheetId="87">'425'!$D$69</definedName>
    <definedName name="OSRRefD22_13x_0" localSheetId="91">'433'!$D$67:$D$73</definedName>
    <definedName name="OSRRefD22_13x_0" localSheetId="93">'444'!$D$67:$D$75</definedName>
    <definedName name="OSRRefD22_13x_0" localSheetId="94">'450'!$D$64:$D$66</definedName>
    <definedName name="OSRRefD22_13x_0" localSheetId="75">'491'!$D$74</definedName>
    <definedName name="OSRRefD22_13x_0" localSheetId="89">'492'!$D$69:$D$71</definedName>
    <definedName name="OSRRefD22_13x_0" localSheetId="39">'Div 2'!$D$66:$D$68</definedName>
    <definedName name="OSRRefD22_13x_0" localSheetId="47">'Div 3'!$D$209</definedName>
    <definedName name="OSRRefD22_13x_0" localSheetId="73">'Div 4'!$D$75</definedName>
    <definedName name="OSRRefD22_13x_0" localSheetId="2">Summary!$D$243</definedName>
    <definedName name="OSRRefD22_14x_0" localSheetId="41">'201'!$D$64</definedName>
    <definedName name="OSRRefD22_14x_0" localSheetId="43">'203'!$D$65</definedName>
    <definedName name="OSRRefD22_14x_0" localSheetId="48">'300'!$D$206</definedName>
    <definedName name="OSRRefD22_14x_0" localSheetId="49">'300 &amp; 317'!$D$231</definedName>
    <definedName name="OSRRefD22_14x_0" localSheetId="50">'301'!$D$65</definedName>
    <definedName name="OSRRefD22_14x_0" localSheetId="55">'308'!$D$108</definedName>
    <definedName name="OSRRefD22_14x_0" localSheetId="66">'310'!$D$71:$D$73</definedName>
    <definedName name="OSRRefD22_14x_0" localSheetId="74">'310 &amp; 491'!$D$83</definedName>
    <definedName name="OSRRefD22_14x_0" localSheetId="56">'311'!$D$107</definedName>
    <definedName name="OSRRefD22_14x_0" localSheetId="71">'325'!$D$68:$D$72</definedName>
    <definedName name="OSRRefD22_14x_0" localSheetId="60">'326'!$D$99:$D$101</definedName>
    <definedName name="OSRRefD22_14x_0" localSheetId="58">'331'!$D$130:$D$132</definedName>
    <definedName name="OSRRefD22_14x_0" localSheetId="61">'332'!$D$85</definedName>
    <definedName name="OSRRefD22_14x_0" localSheetId="76">'405'!$D$72</definedName>
    <definedName name="OSRRefD22_14x_0" localSheetId="78">'411'!$D$68:$D$73</definedName>
    <definedName name="OSRRefD22_14x_0" localSheetId="81">'414'!$D$68</definedName>
    <definedName name="OSRRefD22_14x_0" localSheetId="82">'415'!$D$70:$D$76</definedName>
    <definedName name="OSRRefD22_14x_0" localSheetId="83">'418'!$D$75</definedName>
    <definedName name="OSRRefD22_14x_0" localSheetId="87">'425'!$D$71</definedName>
    <definedName name="OSRRefD22_14x_0" localSheetId="91">'433'!$D$75</definedName>
    <definedName name="OSRRefD22_14x_0" localSheetId="93">'444'!$D$77</definedName>
    <definedName name="OSRRefD22_14x_0" localSheetId="94">'450'!$D$68:$D$73</definedName>
    <definedName name="OSRRefD22_14x_0" localSheetId="75">'491'!$D$76</definedName>
    <definedName name="OSRRefD22_14x_0" localSheetId="89">'492'!$D$73:$D$81</definedName>
    <definedName name="OSRRefD22_14x_0" localSheetId="39">'Div 2'!$D$70:$D$71</definedName>
    <definedName name="OSRRefD22_14x_0" localSheetId="47">'Div 3'!$D$211</definedName>
    <definedName name="OSRRefD22_14x_0" localSheetId="73">'Div 4'!$D$77</definedName>
    <definedName name="OSRRefD22_14x_0" localSheetId="2">Summary!$D$245</definedName>
    <definedName name="OSRRefD22_15x_0" localSheetId="41">'201'!$D$66</definedName>
    <definedName name="OSRRefD22_15x_0" localSheetId="43">'203'!$D$67</definedName>
    <definedName name="OSRRefD22_15x_0" localSheetId="48">'300'!$D$208</definedName>
    <definedName name="OSRRefD22_15x_0" localSheetId="49">'300 &amp; 317'!$D$233</definedName>
    <definedName name="OSRRefD22_15x_0" localSheetId="50">'301'!$D$67:$D$70</definedName>
    <definedName name="OSRRefD22_15x_0" localSheetId="66">'310'!$D$75</definedName>
    <definedName name="OSRRefD22_15x_0" localSheetId="74">'310 &amp; 491'!$D$85</definedName>
    <definedName name="OSRRefD22_15x_0" localSheetId="71">'325'!$D$74</definedName>
    <definedName name="OSRRefD22_15x_0" localSheetId="60">'326'!$D$103</definedName>
    <definedName name="OSRRefD22_15x_0" localSheetId="58">'331'!$D$134</definedName>
    <definedName name="OSRRefD22_15x_0" localSheetId="76">'405'!$D$74</definedName>
    <definedName name="OSRRefD22_15x_0" localSheetId="78">'411'!$D$75</definedName>
    <definedName name="OSRRefD22_15x_0" localSheetId="82">'415'!$D$78</definedName>
    <definedName name="OSRRefD22_15x_0" localSheetId="91">'433'!$D$77</definedName>
    <definedName name="OSRRefD22_15x_0" localSheetId="93">'444'!$D$79</definedName>
    <definedName name="OSRRefD22_15x_0" localSheetId="94">'450'!$D$75</definedName>
    <definedName name="OSRRefD22_15x_0" localSheetId="75">'491'!$D$78:$D$80</definedName>
    <definedName name="OSRRefD22_15x_0" localSheetId="89">'492'!$D$83</definedName>
    <definedName name="OSRRefD22_15x_0" localSheetId="39">'Div 2'!$D$73</definedName>
    <definedName name="OSRRefD22_15x_0" localSheetId="47">'Div 3'!$D$213</definedName>
    <definedName name="OSRRefD22_15x_0" localSheetId="73">'Div 4'!$D$79</definedName>
    <definedName name="OSRRefD22_15x_0" localSheetId="2">Summary!$D$247</definedName>
    <definedName name="OSRRefD22_16x_0" localSheetId="48">'300'!$D$210:$D$213</definedName>
    <definedName name="OSRRefD22_16x_0" localSheetId="49">'300 &amp; 317'!$D$235:$D$238</definedName>
    <definedName name="OSRRefD22_16x_0" localSheetId="50">'301'!$D$72:$D$74</definedName>
    <definedName name="OSRRefD22_16x_0" localSheetId="66">'310'!$D$77:$D$80</definedName>
    <definedName name="OSRRefD22_16x_0" localSheetId="74">'310 &amp; 491'!$D$87:$D$89</definedName>
    <definedName name="OSRRefD22_16x_0" localSheetId="71">'325'!$D$76</definedName>
    <definedName name="OSRRefD22_16x_0" localSheetId="60">'326'!$D$105</definedName>
    <definedName name="OSRRefD22_16x_0" localSheetId="58">'331'!$D$136:$D$140</definedName>
    <definedName name="OSRRefD22_16x_0" localSheetId="76">'405'!$D$76</definedName>
    <definedName name="OSRRefD22_16x_0" localSheetId="78">'411'!$D$77</definedName>
    <definedName name="OSRRefD22_16x_0" localSheetId="82">'415'!$D$80</definedName>
    <definedName name="OSRRefD22_16x_0" localSheetId="91">'433'!$D$79</definedName>
    <definedName name="OSRRefD22_16x_0" localSheetId="93">'444'!$D$81</definedName>
    <definedName name="OSRRefD22_16x_0" localSheetId="94">'450'!$D$77</definedName>
    <definedName name="OSRRefD22_16x_0" localSheetId="75">'491'!$D$82:$D$83</definedName>
    <definedName name="OSRRefD22_16x_0" localSheetId="89">'492'!$D$85</definedName>
    <definedName name="OSRRefD22_16x_0" localSheetId="39">'Div 2'!$D$75:$D$79</definedName>
    <definedName name="OSRRefD22_16x_0" localSheetId="47">'Div 3'!$D$215</definedName>
    <definedName name="OSRRefD22_16x_0" localSheetId="73">'Div 4'!$D$81:$D$83</definedName>
    <definedName name="OSRRefD22_16x_0" localSheetId="2">Summary!$D$249</definedName>
    <definedName name="OSRRefD22_17x_0" localSheetId="48">'300'!$D$215:$D$217</definedName>
    <definedName name="OSRRefD22_17x_0" localSheetId="49">'300 &amp; 317'!$D$240:$D$242</definedName>
    <definedName name="OSRRefD22_17x_0" localSheetId="50">'301'!$D$76</definedName>
    <definedName name="OSRRefD22_17x_0" localSheetId="66">'310'!$D$82</definedName>
    <definedName name="OSRRefD22_17x_0" localSheetId="74">'310 &amp; 491'!$D$91:$D$92</definedName>
    <definedName name="OSRRefD22_17x_0" localSheetId="60">'326'!$D$107</definedName>
    <definedName name="OSRRefD22_17x_0" localSheetId="58">'331'!$D$142</definedName>
    <definedName name="OSRRefD22_17x_0" localSheetId="78">'411'!$D$79:$D$81</definedName>
    <definedName name="OSRRefD22_17x_0" localSheetId="82">'415'!$D$82</definedName>
    <definedName name="OSRRefD22_17x_0" localSheetId="94">'450'!$D$79</definedName>
    <definedName name="OSRRefD22_17x_0" localSheetId="75">'491'!$D$85:$D$89</definedName>
    <definedName name="OSRRefD22_17x_0" localSheetId="89">'492'!$D$87</definedName>
    <definedName name="OSRRefD22_17x_0" localSheetId="39">'Div 2'!$D$81:$D$82</definedName>
    <definedName name="OSRRefD22_17x_0" localSheetId="47">'Div 3'!$D$217:$D$220</definedName>
    <definedName name="OSRRefD22_17x_0" localSheetId="73">'Div 4'!$D$85:$D$86</definedName>
    <definedName name="OSRRefD22_17x_0" localSheetId="2">Summary!$D$251</definedName>
    <definedName name="OSRRefD22_18x_0" localSheetId="48">'300'!$D$219:$D$222</definedName>
    <definedName name="OSRRefD22_18x_0" localSheetId="49">'300 &amp; 317'!$D$244:$D$247</definedName>
    <definedName name="OSRRefD22_18x_0" localSheetId="50">'301'!$D$78:$D$83</definedName>
    <definedName name="OSRRefD22_18x_0" localSheetId="66">'310'!$D$84:$D$90</definedName>
    <definedName name="OSRRefD22_18x_0" localSheetId="74">'310 &amp; 491'!$D$94:$D$98</definedName>
    <definedName name="OSRRefD22_18x_0" localSheetId="58">'331'!$D$144</definedName>
    <definedName name="OSRRefD22_18x_0" localSheetId="78">'411'!$D$83</definedName>
    <definedName name="OSRRefD22_18x_0" localSheetId="75">'491'!$D$91</definedName>
    <definedName name="OSRRefD22_18x_0" localSheetId="39">'Div 2'!$D$84</definedName>
    <definedName name="OSRRefD22_18x_0" localSheetId="47">'Div 3'!$D$222:$D$224</definedName>
    <definedName name="OSRRefD22_18x_0" localSheetId="73">'Div 4'!$D$88:$D$92</definedName>
    <definedName name="OSRRefD22_18x_0" localSheetId="2">Summary!$D$253:$D$256</definedName>
    <definedName name="OSRRefD22_19x_0" localSheetId="48">'300'!$D$224:$D$225</definedName>
    <definedName name="OSRRefD22_19x_0" localSheetId="49">'300 &amp; 317'!$D$249:$D$250</definedName>
    <definedName name="OSRRefD22_19x_0" localSheetId="50">'301'!$D$85</definedName>
    <definedName name="OSRRefD22_19x_0" localSheetId="66">'310'!$D$92</definedName>
    <definedName name="OSRRefD22_19x_0" localSheetId="74">'310 &amp; 491'!$D$100</definedName>
    <definedName name="OSRRefD22_19x_0" localSheetId="58">'331'!$D$146:$D$147</definedName>
    <definedName name="OSRRefD22_19x_0" localSheetId="75">'491'!$D$93:$D$101</definedName>
    <definedName name="OSRRefD22_19x_0" localSheetId="39">'Div 2'!$D$86:$D$87</definedName>
    <definedName name="OSRRefD22_19x_0" localSheetId="47">'Div 3'!$D$226:$D$230</definedName>
    <definedName name="OSRRefD22_19x_0" localSheetId="73">'Div 4'!$D$94</definedName>
    <definedName name="OSRRefD22_19x_0" localSheetId="2">Summary!$D$258:$D$260</definedName>
    <definedName name="OSRRefD22_1x_0" localSheetId="40">'200'!$D$22</definedName>
    <definedName name="OSRRefD22_1x_0" localSheetId="41">'201'!$D$29:$D$31</definedName>
    <definedName name="OSRRefD22_1x_0" localSheetId="42">'202'!$D$29:$D$32</definedName>
    <definedName name="OSRRefD22_1x_0" localSheetId="43">'203'!$D$31:$D$34</definedName>
    <definedName name="OSRRefD22_1x_0" localSheetId="44">'204'!$D$30:$D$34</definedName>
    <definedName name="OSRRefD22_1x_0" localSheetId="45">'205'!$D$29</definedName>
    <definedName name="OSRRefD22_1x_0" localSheetId="46">'206'!$D$28:$D$31</definedName>
    <definedName name="OSRRefD22_1x_0" localSheetId="48">'300'!$D$170:$D$176</definedName>
    <definedName name="OSRRefD22_1x_0" localSheetId="49">'300 &amp; 317'!$D$195:$D$201</definedName>
    <definedName name="OSRRefD22_1x_0" localSheetId="50">'301'!$D$30:$D$36</definedName>
    <definedName name="OSRRefD22_1x_0" localSheetId="51">'306'!$D$30:$D$35</definedName>
    <definedName name="OSRRefD22_1x_0" localSheetId="53">'307'!$D$77:$D$80</definedName>
    <definedName name="OSRRefD22_1x_0" localSheetId="55">'308'!$D$71:$D$76</definedName>
    <definedName name="OSRRefD22_1x_0" localSheetId="67">'309'!$D$33:$D$37</definedName>
    <definedName name="OSRRefD22_1x_0" localSheetId="66">'310'!$D$39:$D$44</definedName>
    <definedName name="OSRRefD22_1x_0" localSheetId="74">'310 &amp; 491'!$D$47:$D$53</definedName>
    <definedName name="OSRRefD22_1x_0" localSheetId="56">'311'!$D$70:$D$75</definedName>
    <definedName name="OSRRefD22_1x_0" localSheetId="68">'313'!$D$36:$D$40</definedName>
    <definedName name="OSRRefD22_1x_0" localSheetId="54">'314'!$D$63:$D$64</definedName>
    <definedName name="OSRRefD22_1x_0" localSheetId="59">'315'!$D$88:$D$93</definedName>
    <definedName name="OSRRefD22_1x_0" localSheetId="62">'316'!$D$41:$D$43</definedName>
    <definedName name="OSRRefD22_1x_0" localSheetId="65">'317'!$D$68:$D$72</definedName>
    <definedName name="OSRRefD22_1x_0" localSheetId="63">'320'!$D$36:$D$38</definedName>
    <definedName name="OSRRefD22_1x_0" localSheetId="69">'321'!$D$33:$D$37</definedName>
    <definedName name="OSRRefD22_1x_0" localSheetId="70">'322'!$D$33:$D$36</definedName>
    <definedName name="OSRRefD22_1x_0" localSheetId="71">'325'!$D$33:$D$37</definedName>
    <definedName name="OSRRefD22_1x_0" localSheetId="60">'326'!$D$66:$D$70</definedName>
    <definedName name="OSRRefD22_1x_0" localSheetId="72">'327'!$D$24</definedName>
    <definedName name="OSRRefD22_1x_0" localSheetId="52">'330'!$D$86:$D$89</definedName>
    <definedName name="OSRRefD22_1x_0" localSheetId="58">'331'!$D$95:$D$100</definedName>
    <definedName name="OSRRefD22_1x_0" localSheetId="61">'332'!$D$49:$D$52</definedName>
    <definedName name="OSRRefD22_1x_0" localSheetId="76">'405'!$D$33:$D$36</definedName>
    <definedName name="OSRRefD22_1x_0" localSheetId="77">'406'!$D$33:$D$37</definedName>
    <definedName name="OSRRefD22_1x_0" localSheetId="78">'411'!$D$30:$D$35</definedName>
    <definedName name="OSRRefD22_1x_0" localSheetId="79">'412'!$D$32:$D$37</definedName>
    <definedName name="OSRRefD22_1x_0" localSheetId="80">'413'!$D$33:$D$36</definedName>
    <definedName name="OSRRefD22_1x_0" localSheetId="81">'414'!$D$32:$D$35</definedName>
    <definedName name="OSRRefD22_1x_0" localSheetId="82">'415'!$D$33:$D$37</definedName>
    <definedName name="OSRRefD22_1x_0" localSheetId="83">'418'!$D$33:$D$38</definedName>
    <definedName name="OSRRefD22_1x_0" localSheetId="84">'420'!$D$30:$D$33</definedName>
    <definedName name="OSRRefD22_1x_0" localSheetId="85">'423'!$D$30</definedName>
    <definedName name="OSRRefD22_1x_0" localSheetId="86">'424'!$D$26:$D$29</definedName>
    <definedName name="OSRRefD22_1x_0" localSheetId="87">'425'!$D$33:$D$37</definedName>
    <definedName name="OSRRefD22_1x_0" localSheetId="90">'430'!$D$29</definedName>
    <definedName name="OSRRefD22_1x_0" localSheetId="91">'433'!$D$35:$D$40</definedName>
    <definedName name="OSRRefD22_1x_0" localSheetId="92">'435'!$D$29:$D$30</definedName>
    <definedName name="OSRRefD22_1x_0" localSheetId="93">'444'!$D$35:$D$40</definedName>
    <definedName name="OSRRefD22_1x_0" localSheetId="94">'450'!$D$35:$D$40</definedName>
    <definedName name="OSRRefD22_1x_0" localSheetId="88">'455'!$D$28:$D$29</definedName>
    <definedName name="OSRRefD22_1x_0" localSheetId="75">'491'!$D$41:$D$47</definedName>
    <definedName name="OSRRefD22_1x_0" localSheetId="89">'492'!$D$37:$D$43</definedName>
    <definedName name="OSRRefD22_1x_0" localSheetId="96">'501'!$D$31:$D$35</definedName>
    <definedName name="OSRRefD22_1x_0" localSheetId="39">'Div 2'!$D$32:$D$38</definedName>
    <definedName name="OSRRefD22_1x_0" localSheetId="47">'Div 3'!$D$175:$D$181</definedName>
    <definedName name="OSRRefD22_1x_0" localSheetId="73">'Div 4'!$D$42:$D$48</definedName>
    <definedName name="OSRRefD22_1x_0" localSheetId="95">'Div 5'!$D$31:$D$35</definedName>
    <definedName name="OSRRefD22_1x_0" localSheetId="64">'Div 6'!$D$68:$D$72</definedName>
    <definedName name="OSRRefD22_1x_0" localSheetId="2">Summary!$D$207:$D$213</definedName>
    <definedName name="OSRRefD22_20x_0" localSheetId="48">'300'!$D$227:$D$233</definedName>
    <definedName name="OSRRefD22_20x_0" localSheetId="49">'300 &amp; 317'!$D$252:$D$258</definedName>
    <definedName name="OSRRefD22_20x_0" localSheetId="50">'301'!$D$87</definedName>
    <definedName name="OSRRefD22_20x_0" localSheetId="66">'310'!$D$94</definedName>
    <definedName name="OSRRefD22_20x_0" localSheetId="74">'310 &amp; 491'!$D$102:$D$110</definedName>
    <definedName name="OSRRefD22_20x_0" localSheetId="58">'331'!$D$149</definedName>
    <definedName name="OSRRefD22_20x_0" localSheetId="75">'491'!$D$103</definedName>
    <definedName name="OSRRefD22_20x_0" localSheetId="47">'Div 3'!$D$232:$D$233</definedName>
    <definedName name="OSRRefD22_20x_0" localSheetId="73">'Div 4'!$D$96:$D$104</definedName>
    <definedName name="OSRRefD22_20x_0" localSheetId="2">Summary!$D$262:$D$266</definedName>
    <definedName name="OSRRefD22_21x_0" localSheetId="48">'300'!$D$235:$D$236</definedName>
    <definedName name="OSRRefD22_21x_0" localSheetId="49">'300 &amp; 317'!$D$260:$D$261</definedName>
    <definedName name="OSRRefD22_21x_0" localSheetId="50">'301'!$D$89:$D$90</definedName>
    <definedName name="OSRRefD22_21x_0" localSheetId="66">'310'!$D$96</definedName>
    <definedName name="OSRRefD22_21x_0" localSheetId="74">'310 &amp; 491'!$D$112</definedName>
    <definedName name="OSRRefD22_21x_0" localSheetId="75">'491'!$D$105</definedName>
    <definedName name="OSRRefD22_21x_0" localSheetId="47">'Div 3'!$D$235:$D$241</definedName>
    <definedName name="OSRRefD22_21x_0" localSheetId="73">'Div 4'!$D$106</definedName>
    <definedName name="OSRRefD22_21x_0" localSheetId="2">Summary!$D$268:$D$269</definedName>
    <definedName name="OSRRefD22_22x_0" localSheetId="48">'300'!$D$238</definedName>
    <definedName name="OSRRefD22_22x_0" localSheetId="49">'300 &amp; 317'!$D$263</definedName>
    <definedName name="OSRRefD22_22x_0" localSheetId="50">'301'!$D$92</definedName>
    <definedName name="OSRRefD22_22x_0" localSheetId="74">'310 &amp; 491'!$D$114</definedName>
    <definedName name="OSRRefD22_22x_0" localSheetId="75">'491'!$D$107:$D$109</definedName>
    <definedName name="OSRRefD22_22x_0" localSheetId="47">'Div 3'!$D$243:$D$244</definedName>
    <definedName name="OSRRefD22_22x_0" localSheetId="73">'Div 4'!$D$108</definedName>
    <definedName name="OSRRefD22_22x_0" localSheetId="2">Summary!$D$271:$D$279</definedName>
    <definedName name="OSRRefD22_23x_0" localSheetId="48">'300'!$D$240:$D$242</definedName>
    <definedName name="OSRRefD22_23x_0" localSheetId="49">'300 &amp; 317'!$D$265:$D$267</definedName>
    <definedName name="OSRRefD22_23x_0" localSheetId="74">'310 &amp; 491'!$D$116:$D$118</definedName>
    <definedName name="OSRRefD22_23x_0" localSheetId="75">'491'!$D$111</definedName>
    <definedName name="OSRRefD22_23x_0" localSheetId="47">'Div 3'!$D$246</definedName>
    <definedName name="OSRRefD22_23x_0" localSheetId="73">'Div 4'!$D$110:$D$112</definedName>
    <definedName name="OSRRefD22_23x_0" localSheetId="2">Summary!$D$281:$D$282</definedName>
    <definedName name="OSRRefD22_24x_0" localSheetId="48">'300'!$D$244</definedName>
    <definedName name="OSRRefD22_24x_0" localSheetId="49">'300 &amp; 317'!$D$269</definedName>
    <definedName name="OSRRefD22_24x_0" localSheetId="74">'310 &amp; 491'!$D$120</definedName>
    <definedName name="OSRRefD22_24x_0" localSheetId="47">'Div 3'!$D$248:$D$250</definedName>
    <definedName name="OSRRefD22_24x_0" localSheetId="73">'Div 4'!$D$114</definedName>
    <definedName name="OSRRefD22_24x_0" localSheetId="2">Summary!$D$284</definedName>
    <definedName name="OSRRefD22_25x_0" localSheetId="47">'Div 3'!$D$252</definedName>
    <definedName name="OSRRefD22_25x_0" localSheetId="2">Summary!$D$286:$D$288</definedName>
    <definedName name="OSRRefD22_26x_0" localSheetId="2">Summary!$D$290</definedName>
    <definedName name="OSRRefD22_2x_0" localSheetId="40">'200'!$D$24</definedName>
    <definedName name="OSRRefD22_2x_0" localSheetId="41">'201'!$D$33</definedName>
    <definedName name="OSRRefD22_2x_0" localSheetId="42">'202'!$D$34</definedName>
    <definedName name="OSRRefD22_2x_0" localSheetId="43">'203'!$D$36</definedName>
    <definedName name="OSRRefD22_2x_0" localSheetId="44">'204'!$D$36</definedName>
    <definedName name="OSRRefD22_2x_0" localSheetId="45">'205'!$D$31</definedName>
    <definedName name="OSRRefD22_2x_0" localSheetId="46">'206'!$D$33</definedName>
    <definedName name="OSRRefD22_2x_0" localSheetId="48">'300'!$D$178</definedName>
    <definedName name="OSRRefD22_2x_0" localSheetId="49">'300 &amp; 317'!$D$203</definedName>
    <definedName name="OSRRefD22_2x_0" localSheetId="50">'301'!$D$38</definedName>
    <definedName name="OSRRefD22_2x_0" localSheetId="51">'306'!$D$37</definedName>
    <definedName name="OSRRefD22_2x_0" localSheetId="53">'307'!$D$82</definedName>
    <definedName name="OSRRefD22_2x_0" localSheetId="55">'308'!$D$78</definedName>
    <definedName name="OSRRefD22_2x_0" localSheetId="67">'309'!$D$39</definedName>
    <definedName name="OSRRefD22_2x_0" localSheetId="66">'310'!$D$46</definedName>
    <definedName name="OSRRefD22_2x_0" localSheetId="74">'310 &amp; 491'!$D$55</definedName>
    <definedName name="OSRRefD22_2x_0" localSheetId="56">'311'!$D$77</definedName>
    <definedName name="OSRRefD22_2x_0" localSheetId="68">'313'!$D$42</definedName>
    <definedName name="OSRRefD22_2x_0" localSheetId="54">'314'!$D$66</definedName>
    <definedName name="OSRRefD22_2x_0" localSheetId="59">'315'!$D$95</definedName>
    <definedName name="OSRRefD22_2x_0" localSheetId="62">'316'!$D$45</definedName>
    <definedName name="OSRRefD22_2x_0" localSheetId="65">'317'!$D$74</definedName>
    <definedName name="OSRRefD22_2x_0" localSheetId="63">'320'!$D$40</definedName>
    <definedName name="OSRRefD22_2x_0" localSheetId="69">'321'!$D$39</definedName>
    <definedName name="OSRRefD22_2x_0" localSheetId="70">'322'!$D$38</definedName>
    <definedName name="OSRRefD22_2x_0" localSheetId="71">'325'!$D$39</definedName>
    <definedName name="OSRRefD22_2x_0" localSheetId="60">'326'!$D$72</definedName>
    <definedName name="OSRRefD22_2x_0" localSheetId="72">'327'!$D$26</definedName>
    <definedName name="OSRRefD22_2x_0" localSheetId="52">'330'!$D$91</definedName>
    <definedName name="OSRRefD22_2x_0" localSheetId="58">'331'!$D$102</definedName>
    <definedName name="OSRRefD22_2x_0" localSheetId="61">'332'!$D$54</definedName>
    <definedName name="OSRRefD22_2x_0" localSheetId="76">'405'!$D$38</definedName>
    <definedName name="OSRRefD22_2x_0" localSheetId="77">'406'!$D$39</definedName>
    <definedName name="OSRRefD22_2x_0" localSheetId="78">'411'!$D$37</definedName>
    <definedName name="OSRRefD22_2x_0" localSheetId="79">'412'!$D$39</definedName>
    <definedName name="OSRRefD22_2x_0" localSheetId="80">'413'!$D$38</definedName>
    <definedName name="OSRRefD22_2x_0" localSheetId="81">'414'!$D$37</definedName>
    <definedName name="OSRRefD22_2x_0" localSheetId="82">'415'!$D$39</definedName>
    <definedName name="OSRRefD22_2x_0" localSheetId="83">'418'!$D$40</definedName>
    <definedName name="OSRRefD22_2x_0" localSheetId="84">'420'!$D$35</definedName>
    <definedName name="OSRRefD22_2x_0" localSheetId="85">'423'!$D$32</definedName>
    <definedName name="OSRRefD22_2x_0" localSheetId="86">'424'!$D$31</definedName>
    <definedName name="OSRRefD22_2x_0" localSheetId="87">'425'!$D$39</definedName>
    <definedName name="OSRRefD22_2x_0" localSheetId="90">'430'!$D$31</definedName>
    <definedName name="OSRRefD22_2x_0" localSheetId="91">'433'!$D$42</definedName>
    <definedName name="OSRRefD22_2x_0" localSheetId="92">'435'!$D$32</definedName>
    <definedName name="OSRRefD22_2x_0" localSheetId="93">'444'!$D$42</definedName>
    <definedName name="OSRRefD22_2x_0" localSheetId="94">'450'!$D$42</definedName>
    <definedName name="OSRRefD22_2x_0" localSheetId="75">'491'!$D$49</definedName>
    <definedName name="OSRRefD22_2x_0" localSheetId="89">'492'!$D$45</definedName>
    <definedName name="OSRRefD22_2x_0" localSheetId="96">'501'!$D$37</definedName>
    <definedName name="OSRRefD22_2x_0" localSheetId="39">'Div 2'!$D$40</definedName>
    <definedName name="OSRRefD22_2x_0" localSheetId="47">'Div 3'!$D$183</definedName>
    <definedName name="OSRRefD22_2x_0" localSheetId="73">'Div 4'!$D$50</definedName>
    <definedName name="OSRRefD22_2x_0" localSheetId="95">'Div 5'!$D$37</definedName>
    <definedName name="OSRRefD22_2x_0" localSheetId="64">'Div 6'!$D$74</definedName>
    <definedName name="OSRRefD22_2x_0" localSheetId="2">Summary!$D$215</definedName>
    <definedName name="OSRRefD22_3x_0" localSheetId="40">'200'!$D$26:$D$27</definedName>
    <definedName name="OSRRefD22_3x_0" localSheetId="41">'201'!$D$35</definedName>
    <definedName name="OSRRefD22_3x_0" localSheetId="42">'202'!$D$36</definedName>
    <definedName name="OSRRefD22_3x_0" localSheetId="43">'203'!$D$38</definedName>
    <definedName name="OSRRefD22_3x_0" localSheetId="44">'204'!$D$38</definedName>
    <definedName name="OSRRefD22_3x_0" localSheetId="45">'205'!$D$33</definedName>
    <definedName name="OSRRefD22_3x_0" localSheetId="46">'206'!$D$35</definedName>
    <definedName name="OSRRefD22_3x_0" localSheetId="48">'300'!$D$180:$D$181</definedName>
    <definedName name="OSRRefD22_3x_0" localSheetId="49">'300 &amp; 317'!$D$205:$D$206</definedName>
    <definedName name="OSRRefD22_3x_0" localSheetId="50">'301'!$D$40:$D$41</definedName>
    <definedName name="OSRRefD22_3x_0" localSheetId="51">'306'!$D$39</definedName>
    <definedName name="OSRRefD22_3x_0" localSheetId="53">'307'!$D$84</definedName>
    <definedName name="OSRRefD22_3x_0" localSheetId="55">'308'!$D$80:$D$81</definedName>
    <definedName name="OSRRefD22_3x_0" localSheetId="67">'309'!$D$41</definedName>
    <definedName name="OSRRefD22_3x_0" localSheetId="66">'310'!$D$48</definedName>
    <definedName name="OSRRefD22_3x_0" localSheetId="74">'310 &amp; 491'!$D$57</definedName>
    <definedName name="OSRRefD22_3x_0" localSheetId="56">'311'!$D$79:$D$80</definedName>
    <definedName name="OSRRefD22_3x_0" localSheetId="68">'313'!$D$44</definedName>
    <definedName name="OSRRefD22_3x_0" localSheetId="54">'314'!$D$68:$D$69</definedName>
    <definedName name="OSRRefD22_3x_0" localSheetId="59">'315'!$D$97:$D$98</definedName>
    <definedName name="OSRRefD22_3x_0" localSheetId="62">'316'!$D$47</definedName>
    <definedName name="OSRRefD22_3x_0" localSheetId="65">'317'!$D$76</definedName>
    <definedName name="OSRRefD22_3x_0" localSheetId="63">'320'!$D$42</definedName>
    <definedName name="OSRRefD22_3x_0" localSheetId="69">'321'!$D$41</definedName>
    <definedName name="OSRRefD22_3x_0" localSheetId="70">'322'!$D$40</definedName>
    <definedName name="OSRRefD22_3x_0" localSheetId="71">'325'!$D$41</definedName>
    <definedName name="OSRRefD22_3x_0" localSheetId="60">'326'!$D$74</definedName>
    <definedName name="OSRRefD22_3x_0" localSheetId="52">'330'!$D$93</definedName>
    <definedName name="OSRRefD22_3x_0" localSheetId="58">'331'!$D$104</definedName>
    <definedName name="OSRRefD22_3x_0" localSheetId="61">'332'!$D$56</definedName>
    <definedName name="OSRRefD22_3x_0" localSheetId="76">'405'!$D$40</definedName>
    <definedName name="OSRRefD22_3x_0" localSheetId="77">'406'!$D$41</definedName>
    <definedName name="OSRRefD22_3x_0" localSheetId="78">'411'!$D$39</definedName>
    <definedName name="OSRRefD22_3x_0" localSheetId="79">'412'!$D$41</definedName>
    <definedName name="OSRRefD22_3x_0" localSheetId="80">'413'!$D$40</definedName>
    <definedName name="OSRRefD22_3x_0" localSheetId="81">'414'!$D$39</definedName>
    <definedName name="OSRRefD22_3x_0" localSheetId="82">'415'!$D$41</definedName>
    <definedName name="OSRRefD22_3x_0" localSheetId="83">'418'!$D$42</definedName>
    <definedName name="OSRRefD22_3x_0" localSheetId="84">'420'!$D$37</definedName>
    <definedName name="OSRRefD22_3x_0" localSheetId="85">'423'!$D$34</definedName>
    <definedName name="OSRRefD22_3x_0" localSheetId="86">'424'!$D$33</definedName>
    <definedName name="OSRRefD22_3x_0" localSheetId="87">'425'!$D$41</definedName>
    <definedName name="OSRRefD22_3x_0" localSheetId="90">'430'!$D$33</definedName>
    <definedName name="OSRRefD22_3x_0" localSheetId="91">'433'!$D$44</definedName>
    <definedName name="OSRRefD22_3x_0" localSheetId="92">'435'!$D$34</definedName>
    <definedName name="OSRRefD22_3x_0" localSheetId="93">'444'!$D$44</definedName>
    <definedName name="OSRRefD22_3x_0" localSheetId="94">'450'!$D$44</definedName>
    <definedName name="OSRRefD22_3x_0" localSheetId="75">'491'!$D$51</definedName>
    <definedName name="OSRRefD22_3x_0" localSheetId="89">'492'!$D$47</definedName>
    <definedName name="OSRRefD22_3x_0" localSheetId="96">'501'!$D$39</definedName>
    <definedName name="OSRRefD22_3x_0" localSheetId="39">'Div 2'!$D$42</definedName>
    <definedName name="OSRRefD22_3x_0" localSheetId="47">'Div 3'!$D$185:$D$186</definedName>
    <definedName name="OSRRefD22_3x_0" localSheetId="73">'Div 4'!$D$52</definedName>
    <definedName name="OSRRefD22_3x_0" localSheetId="95">'Div 5'!$D$39</definedName>
    <definedName name="OSRRefD22_3x_0" localSheetId="64">'Div 6'!$D$76</definedName>
    <definedName name="OSRRefD22_3x_0" localSheetId="2">Summary!$D$217:$D$218</definedName>
    <definedName name="OSRRefD22_4x_0" localSheetId="41">'201'!$D$37</definedName>
    <definedName name="OSRRefD22_4x_0" localSheetId="42">'202'!$D$38:$D$39</definedName>
    <definedName name="OSRRefD22_4x_0" localSheetId="43">'203'!$D$40</definedName>
    <definedName name="OSRRefD22_4x_0" localSheetId="44">'204'!$D$40</definedName>
    <definedName name="OSRRefD22_4x_0" localSheetId="45">'205'!$D$35:$D$36</definedName>
    <definedName name="OSRRefD22_4x_0" localSheetId="46">'206'!$D$37</definedName>
    <definedName name="OSRRefD22_4x_0" localSheetId="48">'300'!$D$183</definedName>
    <definedName name="OSRRefD22_4x_0" localSheetId="49">'300 &amp; 317'!$D$208</definedName>
    <definedName name="OSRRefD22_4x_0" localSheetId="50">'301'!$D$43</definedName>
    <definedName name="OSRRefD22_4x_0" localSheetId="51">'306'!$D$41</definedName>
    <definedName name="OSRRefD22_4x_0" localSheetId="53">'307'!$D$86:$D$87</definedName>
    <definedName name="OSRRefD22_4x_0" localSheetId="55">'308'!$D$83</definedName>
    <definedName name="OSRRefD22_4x_0" localSheetId="67">'309'!$D$43</definedName>
    <definedName name="OSRRefD22_4x_0" localSheetId="66">'310'!$D$50</definedName>
    <definedName name="OSRRefD22_4x_0" localSheetId="74">'310 &amp; 491'!$D$59</definedName>
    <definedName name="OSRRefD22_4x_0" localSheetId="56">'311'!$D$82</definedName>
    <definedName name="OSRRefD22_4x_0" localSheetId="68">'313'!$D$46</definedName>
    <definedName name="OSRRefD22_4x_0" localSheetId="54">'314'!$D$71</definedName>
    <definedName name="OSRRefD22_4x_0" localSheetId="59">'315'!$D$100</definedName>
    <definedName name="OSRRefD22_4x_0" localSheetId="62">'316'!$D$49</definedName>
    <definedName name="OSRRefD22_4x_0" localSheetId="65">'317'!$D$78</definedName>
    <definedName name="OSRRefD22_4x_0" localSheetId="63">'320'!$D$44:$D$45</definedName>
    <definedName name="OSRRefD22_4x_0" localSheetId="69">'321'!$D$43</definedName>
    <definedName name="OSRRefD22_4x_0" localSheetId="70">'322'!$D$42</definedName>
    <definedName name="OSRRefD22_4x_0" localSheetId="71">'325'!$D$43</definedName>
    <definedName name="OSRRefD22_4x_0" localSheetId="60">'326'!$D$76</definedName>
    <definedName name="OSRRefD22_4x_0" localSheetId="52">'330'!$D$95:$D$96</definedName>
    <definedName name="OSRRefD22_4x_0" localSheetId="58">'331'!$D$106</definedName>
    <definedName name="OSRRefD22_4x_0" localSheetId="61">'332'!$D$58</definedName>
    <definedName name="OSRRefD22_4x_0" localSheetId="76">'405'!$D$42</definedName>
    <definedName name="OSRRefD22_4x_0" localSheetId="77">'406'!$D$43</definedName>
    <definedName name="OSRRefD22_4x_0" localSheetId="78">'411'!$D$41:$D$43</definedName>
    <definedName name="OSRRefD22_4x_0" localSheetId="79">'412'!$D$43</definedName>
    <definedName name="OSRRefD22_4x_0" localSheetId="80">'413'!$D$42</definedName>
    <definedName name="OSRRefD22_4x_0" localSheetId="81">'414'!$D$41</definedName>
    <definedName name="OSRRefD22_4x_0" localSheetId="82">'415'!$D$43</definedName>
    <definedName name="OSRRefD22_4x_0" localSheetId="83">'418'!$D$44</definedName>
    <definedName name="OSRRefD22_4x_0" localSheetId="85">'423'!$D$36</definedName>
    <definedName name="OSRRefD22_4x_0" localSheetId="86">'424'!$D$35</definedName>
    <definedName name="OSRRefD22_4x_0" localSheetId="87">'425'!$D$43</definedName>
    <definedName name="OSRRefD22_4x_0" localSheetId="90">'430'!$D$35:$D$36</definedName>
    <definedName name="OSRRefD22_4x_0" localSheetId="91">'433'!$D$46</definedName>
    <definedName name="OSRRefD22_4x_0" localSheetId="92">'435'!$D$36</definedName>
    <definedName name="OSRRefD22_4x_0" localSheetId="93">'444'!$D$46</definedName>
    <definedName name="OSRRefD22_4x_0" localSheetId="94">'450'!$D$46</definedName>
    <definedName name="OSRRefD22_4x_0" localSheetId="75">'491'!$D$53</definedName>
    <definedName name="OSRRefD22_4x_0" localSheetId="89">'492'!$D$49</definedName>
    <definedName name="OSRRefD22_4x_0" localSheetId="96">'501'!$D$41</definedName>
    <definedName name="OSRRefD22_4x_0" localSheetId="39">'Div 2'!$D$44</definedName>
    <definedName name="OSRRefD22_4x_0" localSheetId="47">'Div 3'!$D$188</definedName>
    <definedName name="OSRRefD22_4x_0" localSheetId="73">'Div 4'!$D$54</definedName>
    <definedName name="OSRRefD22_4x_0" localSheetId="95">'Div 5'!$D$41</definedName>
    <definedName name="OSRRefD22_4x_0" localSheetId="64">'Div 6'!$D$78</definedName>
    <definedName name="OSRRefD22_4x_0" localSheetId="2">Summary!$D$220</definedName>
    <definedName name="OSRRefD22_5x_0" localSheetId="41">'201'!$D$39</definedName>
    <definedName name="OSRRefD22_5x_0" localSheetId="42">'202'!$D$41</definedName>
    <definedName name="OSRRefD22_5x_0" localSheetId="43">'203'!$D$42</definedName>
    <definedName name="OSRRefD22_5x_0" localSheetId="44">'204'!$D$42:$D$44</definedName>
    <definedName name="OSRRefD22_5x_0" localSheetId="45">'205'!$D$38</definedName>
    <definedName name="OSRRefD22_5x_0" localSheetId="46">'206'!$D$39:$D$40</definedName>
    <definedName name="OSRRefD22_5x_0" localSheetId="48">'300'!$D$185:$D$186</definedName>
    <definedName name="OSRRefD22_5x_0" localSheetId="49">'300 &amp; 317'!$D$210:$D$211</definedName>
    <definedName name="OSRRefD22_5x_0" localSheetId="50">'301'!$D$45:$D$46</definedName>
    <definedName name="OSRRefD22_5x_0" localSheetId="51">'306'!$D$43:$D$44</definedName>
    <definedName name="OSRRefD22_5x_0" localSheetId="53">'307'!$D$89</definedName>
    <definedName name="OSRRefD22_5x_0" localSheetId="55">'308'!$D$85</definedName>
    <definedName name="OSRRefD22_5x_0" localSheetId="67">'309'!$D$45</definedName>
    <definedName name="OSRRefD22_5x_0" localSheetId="66">'310'!$D$52:$D$53</definedName>
    <definedName name="OSRRefD22_5x_0" localSheetId="74">'310 &amp; 491'!$D$61:$D$63</definedName>
    <definedName name="OSRRefD22_5x_0" localSheetId="56">'311'!$D$84</definedName>
    <definedName name="OSRRefD22_5x_0" localSheetId="68">'313'!$D$48</definedName>
    <definedName name="OSRRefD22_5x_0" localSheetId="54">'314'!$D$73</definedName>
    <definedName name="OSRRefD22_5x_0" localSheetId="59">'315'!$D$102:$D$103</definedName>
    <definedName name="OSRRefD22_5x_0" localSheetId="62">'316'!$D$51:$D$52</definedName>
    <definedName name="OSRRefD22_5x_0" localSheetId="65">'317'!$D$80:$D$81</definedName>
    <definedName name="OSRRefD22_5x_0" localSheetId="63">'320'!$D$47</definedName>
    <definedName name="OSRRefD22_5x_0" localSheetId="69">'321'!$D$45</definedName>
    <definedName name="OSRRefD22_5x_0" localSheetId="70">'322'!$D$44</definedName>
    <definedName name="OSRRefD22_5x_0" localSheetId="71">'325'!$D$45:$D$46</definedName>
    <definedName name="OSRRefD22_5x_0" localSheetId="60">'326'!$D$78</definedName>
    <definedName name="OSRRefD22_5x_0" localSheetId="52">'330'!$D$98</definedName>
    <definedName name="OSRRefD22_5x_0" localSheetId="58">'331'!$D$108:$D$109</definedName>
    <definedName name="OSRRefD22_5x_0" localSheetId="61">'332'!$D$60</definedName>
    <definedName name="OSRRefD22_5x_0" localSheetId="76">'405'!$D$44:$D$45</definedName>
    <definedName name="OSRRefD22_5x_0" localSheetId="77">'406'!$D$45</definedName>
    <definedName name="OSRRefD22_5x_0" localSheetId="78">'411'!$D$45</definedName>
    <definedName name="OSRRefD22_5x_0" localSheetId="79">'412'!$D$45</definedName>
    <definedName name="OSRRefD22_5x_0" localSheetId="80">'413'!$D$44</definedName>
    <definedName name="OSRRefD22_5x_0" localSheetId="81">'414'!$D$43</definedName>
    <definedName name="OSRRefD22_5x_0" localSheetId="82">'415'!$D$45:$D$46</definedName>
    <definedName name="OSRRefD22_5x_0" localSheetId="83">'418'!$D$46:$D$47</definedName>
    <definedName name="OSRRefD22_5x_0" localSheetId="85">'423'!$D$38</definedName>
    <definedName name="OSRRefD22_5x_0" localSheetId="86">'424'!$D$37</definedName>
    <definedName name="OSRRefD22_5x_0" localSheetId="87">'425'!$D$45</definedName>
    <definedName name="OSRRefD22_5x_0" localSheetId="90">'430'!$D$38</definedName>
    <definedName name="OSRRefD22_5x_0" localSheetId="91">'433'!$D$48</definedName>
    <definedName name="OSRRefD22_5x_0" localSheetId="92">'435'!$D$38</definedName>
    <definedName name="OSRRefD22_5x_0" localSheetId="93">'444'!$D$48</definedName>
    <definedName name="OSRRefD22_5x_0" localSheetId="94">'450'!$D$48</definedName>
    <definedName name="OSRRefD22_5x_0" localSheetId="75">'491'!$D$55:$D$57</definedName>
    <definedName name="OSRRefD22_5x_0" localSheetId="89">'492'!$D$51</definedName>
    <definedName name="OSRRefD22_5x_0" localSheetId="96">'501'!$D$43:$D$44</definedName>
    <definedName name="OSRRefD22_5x_0" localSheetId="39">'Div 2'!$D$46</definedName>
    <definedName name="OSRRefD22_5x_0" localSheetId="47">'Div 3'!$D$190:$D$191</definedName>
    <definedName name="OSRRefD22_5x_0" localSheetId="73">'Div 4'!$D$56:$D$58</definedName>
    <definedName name="OSRRefD22_5x_0" localSheetId="95">'Div 5'!$D$43:$D$44</definedName>
    <definedName name="OSRRefD22_5x_0" localSheetId="64">'Div 6'!$D$80:$D$81</definedName>
    <definedName name="OSRRefD22_5x_0" localSheetId="2">Summary!$D$222:$D$224</definedName>
    <definedName name="OSRRefD22_6x_0" localSheetId="41">'201'!$D$41</definedName>
    <definedName name="OSRRefD22_6x_0" localSheetId="42">'202'!$D$43</definedName>
    <definedName name="OSRRefD22_6x_0" localSheetId="43">'203'!$D$44</definedName>
    <definedName name="OSRRefD22_6x_0" localSheetId="44">'204'!$D$46</definedName>
    <definedName name="OSRRefD22_6x_0" localSheetId="45">'205'!$D$40:$D$41</definedName>
    <definedName name="OSRRefD22_6x_0" localSheetId="46">'206'!$D$42</definedName>
    <definedName name="OSRRefD22_6x_0" localSheetId="48">'300'!$D$188:$D$189</definedName>
    <definedName name="OSRRefD22_6x_0" localSheetId="49">'300 &amp; 317'!$D$213:$D$214</definedName>
    <definedName name="OSRRefD22_6x_0" localSheetId="50">'301'!$D$48:$D$49</definedName>
    <definedName name="OSRRefD22_6x_0" localSheetId="51">'306'!$D$46:$D$47</definedName>
    <definedName name="OSRRefD22_6x_0" localSheetId="53">'307'!$D$91</definedName>
    <definedName name="OSRRefD22_6x_0" localSheetId="55">'308'!$D$87:$D$88</definedName>
    <definedName name="OSRRefD22_6x_0" localSheetId="67">'309'!$D$47</definedName>
    <definedName name="OSRRefD22_6x_0" localSheetId="66">'310'!$D$55</definedName>
    <definedName name="OSRRefD22_6x_0" localSheetId="74">'310 &amp; 491'!$D$65</definedName>
    <definedName name="OSRRefD22_6x_0" localSheetId="56">'311'!$D$86:$D$87</definedName>
    <definedName name="OSRRefD22_6x_0" localSheetId="68">'313'!$D$50</definedName>
    <definedName name="OSRRefD22_6x_0" localSheetId="59">'315'!$D$105</definedName>
    <definedName name="OSRRefD22_6x_0" localSheetId="62">'316'!$D$54:$D$55</definedName>
    <definedName name="OSRRefD22_6x_0" localSheetId="65">'317'!$D$83</definedName>
    <definedName name="OSRRefD22_6x_0" localSheetId="63">'320'!$D$49</definedName>
    <definedName name="OSRRefD22_6x_0" localSheetId="69">'321'!$D$47:$D$49</definedName>
    <definedName name="OSRRefD22_6x_0" localSheetId="70">'322'!$D$46</definedName>
    <definedName name="OSRRefD22_6x_0" localSheetId="71">'325'!$D$48</definedName>
    <definedName name="OSRRefD22_6x_0" localSheetId="60">'326'!$D$80</definedName>
    <definedName name="OSRRefD22_6x_0" localSheetId="52">'330'!$D$100</definedName>
    <definedName name="OSRRefD22_6x_0" localSheetId="58">'331'!$D$111</definedName>
    <definedName name="OSRRefD22_6x_0" localSheetId="61">'332'!$D$62:$D$63</definedName>
    <definedName name="OSRRefD22_6x_0" localSheetId="76">'405'!$D$47</definedName>
    <definedName name="OSRRefD22_6x_0" localSheetId="77">'406'!$D$47</definedName>
    <definedName name="OSRRefD22_6x_0" localSheetId="78">'411'!$D$47</definedName>
    <definedName name="OSRRefD22_6x_0" localSheetId="79">'412'!$D$47</definedName>
    <definedName name="OSRRefD22_6x_0" localSheetId="80">'413'!$D$46</definedName>
    <definedName name="OSRRefD22_6x_0" localSheetId="81">'414'!$D$45</definedName>
    <definedName name="OSRRefD22_6x_0" localSheetId="82">'415'!$D$48</definedName>
    <definedName name="OSRRefD22_6x_0" localSheetId="83">'418'!$D$49</definedName>
    <definedName name="OSRRefD22_6x_0" localSheetId="86">'424'!$D$39</definedName>
    <definedName name="OSRRefD22_6x_0" localSheetId="87">'425'!$D$47</definedName>
    <definedName name="OSRRefD22_6x_0" localSheetId="90">'430'!$D$40</definedName>
    <definedName name="OSRRefD22_6x_0" localSheetId="91">'433'!$D$50</definedName>
    <definedName name="OSRRefD22_6x_0" localSheetId="92">'435'!$D$40:$D$42</definedName>
    <definedName name="OSRRefD22_6x_0" localSheetId="93">'444'!$D$50</definedName>
    <definedName name="OSRRefD22_6x_0" localSheetId="94">'450'!$D$50</definedName>
    <definedName name="OSRRefD22_6x_0" localSheetId="75">'491'!$D$59</definedName>
    <definedName name="OSRRefD22_6x_0" localSheetId="89">'492'!$D$53</definedName>
    <definedName name="OSRRefD22_6x_0" localSheetId="96">'501'!$D$46</definedName>
    <definedName name="OSRRefD22_6x_0" localSheetId="39">'Div 2'!$D$48</definedName>
    <definedName name="OSRRefD22_6x_0" localSheetId="47">'Div 3'!$D$193:$D$194</definedName>
    <definedName name="OSRRefD22_6x_0" localSheetId="73">'Div 4'!$D$60</definedName>
    <definedName name="OSRRefD22_6x_0" localSheetId="95">'Div 5'!$D$46</definedName>
    <definedName name="OSRRefD22_6x_0" localSheetId="64">'Div 6'!$D$83</definedName>
    <definedName name="OSRRefD22_6x_0" localSheetId="2">Summary!$D$226:$D$227</definedName>
    <definedName name="OSRRefD22_7x_0" localSheetId="41">'201'!$D$43</definedName>
    <definedName name="OSRRefD22_7x_0" localSheetId="42">'202'!$D$45:$D$47</definedName>
    <definedName name="OSRRefD22_7x_0" localSheetId="43">'203'!$D$46</definedName>
    <definedName name="OSRRefD22_7x_0" localSheetId="44">'204'!$D$48:$D$49</definedName>
    <definedName name="OSRRefD22_7x_0" localSheetId="45">'205'!$D$43</definedName>
    <definedName name="OSRRefD22_7x_0" localSheetId="46">'206'!$D$44</definedName>
    <definedName name="OSRRefD22_7x_0" localSheetId="48">'300'!$D$191</definedName>
    <definedName name="OSRRefD22_7x_0" localSheetId="49">'300 &amp; 317'!$D$216</definedName>
    <definedName name="OSRRefD22_7x_0" localSheetId="50">'301'!$D$51</definedName>
    <definedName name="OSRRefD22_7x_0" localSheetId="51">'306'!$D$49</definedName>
    <definedName name="OSRRefD22_7x_0" localSheetId="53">'307'!$D$93:$D$94</definedName>
    <definedName name="OSRRefD22_7x_0" localSheetId="55">'308'!$D$90</definedName>
    <definedName name="OSRRefD22_7x_0" localSheetId="67">'309'!$D$49:$D$50</definedName>
    <definedName name="OSRRefD22_7x_0" localSheetId="66">'310'!$D$57</definedName>
    <definedName name="OSRRefD22_7x_0" localSheetId="74">'310 &amp; 491'!$D$67</definedName>
    <definedName name="OSRRefD22_7x_0" localSheetId="56">'311'!$D$89</definedName>
    <definedName name="OSRRefD22_7x_0" localSheetId="68">'313'!$D$52</definedName>
    <definedName name="OSRRefD22_7x_0" localSheetId="59">'315'!$D$107:$D$108</definedName>
    <definedName name="OSRRefD22_7x_0" localSheetId="62">'316'!$D$57</definedName>
    <definedName name="OSRRefD22_7x_0" localSheetId="65">'317'!$D$85</definedName>
    <definedName name="OSRRefD22_7x_0" localSheetId="63">'320'!$D$51:$D$52</definedName>
    <definedName name="OSRRefD22_7x_0" localSheetId="69">'321'!$D$51</definedName>
    <definedName name="OSRRefD22_7x_0" localSheetId="70">'322'!$D$48</definedName>
    <definedName name="OSRRefD22_7x_0" localSheetId="71">'325'!$D$50</definedName>
    <definedName name="OSRRefD22_7x_0" localSheetId="60">'326'!$D$82</definedName>
    <definedName name="OSRRefD22_7x_0" localSheetId="52">'330'!$D$102:$D$103</definedName>
    <definedName name="OSRRefD22_7x_0" localSheetId="58">'331'!$D$113:$D$114</definedName>
    <definedName name="OSRRefD22_7x_0" localSheetId="61">'332'!$D$65</definedName>
    <definedName name="OSRRefD22_7x_0" localSheetId="76">'405'!$D$49</definedName>
    <definedName name="OSRRefD22_7x_0" localSheetId="77">'406'!$D$49</definedName>
    <definedName name="OSRRefD22_7x_0" localSheetId="78">'411'!$D$49</definedName>
    <definedName name="OSRRefD22_7x_0" localSheetId="79">'412'!$D$49</definedName>
    <definedName name="OSRRefD22_7x_0" localSheetId="80">'413'!$D$48:$D$50</definedName>
    <definedName name="OSRRefD22_7x_0" localSheetId="81">'414'!$D$47</definedName>
    <definedName name="OSRRefD22_7x_0" localSheetId="82">'415'!$D$50</definedName>
    <definedName name="OSRRefD22_7x_0" localSheetId="83">'418'!$D$51</definedName>
    <definedName name="OSRRefD22_7x_0" localSheetId="86">'424'!$D$41</definedName>
    <definedName name="OSRRefD22_7x_0" localSheetId="87">'425'!$D$49</definedName>
    <definedName name="OSRRefD22_7x_0" localSheetId="90">'430'!$D$42</definedName>
    <definedName name="OSRRefD22_7x_0" localSheetId="91">'433'!$D$52</definedName>
    <definedName name="OSRRefD22_7x_0" localSheetId="92">'435'!$D$44</definedName>
    <definedName name="OSRRefD22_7x_0" localSheetId="93">'444'!$D$52</definedName>
    <definedName name="OSRRefD22_7x_0" localSheetId="94">'450'!$D$52</definedName>
    <definedName name="OSRRefD22_7x_0" localSheetId="75">'491'!$D$61</definedName>
    <definedName name="OSRRefD22_7x_0" localSheetId="89">'492'!$D$55</definedName>
    <definedName name="OSRRefD22_7x_0" localSheetId="96">'501'!$D$48</definedName>
    <definedName name="OSRRefD22_7x_0" localSheetId="39">'Div 2'!$D$50</definedName>
    <definedName name="OSRRefD22_7x_0" localSheetId="47">'Div 3'!$D$196</definedName>
    <definedName name="OSRRefD22_7x_0" localSheetId="73">'Div 4'!$D$62</definedName>
    <definedName name="OSRRefD22_7x_0" localSheetId="95">'Div 5'!$D$48</definedName>
    <definedName name="OSRRefD22_7x_0" localSheetId="64">'Div 6'!$D$85</definedName>
    <definedName name="OSRRefD22_7x_0" localSheetId="2">Summary!$D$229</definedName>
    <definedName name="OSRRefD22_8x_0" localSheetId="41">'201'!$D$45</definedName>
    <definedName name="OSRRefD22_8x_0" localSheetId="42">'202'!$D$49</definedName>
    <definedName name="OSRRefD22_8x_0" localSheetId="43">'203'!$D$48</definedName>
    <definedName name="OSRRefD22_8x_0" localSheetId="44">'204'!$D$51</definedName>
    <definedName name="OSRRefD22_8x_0" localSheetId="45">'205'!$D$45</definedName>
    <definedName name="OSRRefD22_8x_0" localSheetId="48">'300'!$D$193</definedName>
    <definedName name="OSRRefD22_8x_0" localSheetId="49">'300 &amp; 317'!$D$218</definedName>
    <definedName name="OSRRefD22_8x_0" localSheetId="50">'301'!$D$53</definedName>
    <definedName name="OSRRefD22_8x_0" localSheetId="51">'306'!$D$51</definedName>
    <definedName name="OSRRefD22_8x_0" localSheetId="53">'307'!$D$96:$D$97</definedName>
    <definedName name="OSRRefD22_8x_0" localSheetId="55">'308'!$D$92</definedName>
    <definedName name="OSRRefD22_8x_0" localSheetId="67">'309'!$D$52:$D$53</definedName>
    <definedName name="OSRRefD22_8x_0" localSheetId="66">'310'!$D$59</definedName>
    <definedName name="OSRRefD22_8x_0" localSheetId="74">'310 &amp; 491'!$D$69</definedName>
    <definedName name="OSRRefD22_8x_0" localSheetId="56">'311'!$D$91</definedName>
    <definedName name="OSRRefD22_8x_0" localSheetId="68">'313'!$D$54:$D$56</definedName>
    <definedName name="OSRRefD22_8x_0" localSheetId="59">'315'!$D$110</definedName>
    <definedName name="OSRRefD22_8x_0" localSheetId="62">'316'!$D$59:$D$64</definedName>
    <definedName name="OSRRefD22_8x_0" localSheetId="65">'317'!$D$87</definedName>
    <definedName name="OSRRefD22_8x_0" localSheetId="63">'320'!$D$54</definedName>
    <definedName name="OSRRefD22_8x_0" localSheetId="69">'321'!$D$53:$D$55</definedName>
    <definedName name="OSRRefD22_8x_0" localSheetId="70">'322'!$D$50:$D$51</definedName>
    <definedName name="OSRRefD22_8x_0" localSheetId="71">'325'!$D$52</definedName>
    <definedName name="OSRRefD22_8x_0" localSheetId="60">'326'!$D$84</definedName>
    <definedName name="OSRRefD22_8x_0" localSheetId="52">'330'!$D$105:$D$106</definedName>
    <definedName name="OSRRefD22_8x_0" localSheetId="58">'331'!$D$116</definedName>
    <definedName name="OSRRefD22_8x_0" localSheetId="61">'332'!$D$67</definedName>
    <definedName name="OSRRefD22_8x_0" localSheetId="76">'405'!$D$51</definedName>
    <definedName name="OSRRefD22_8x_0" localSheetId="77">'406'!$D$51:$D$53</definedName>
    <definedName name="OSRRefD22_8x_0" localSheetId="78">'411'!$D$51</definedName>
    <definedName name="OSRRefD22_8x_0" localSheetId="79">'412'!$D$51:$D$52</definedName>
    <definedName name="OSRRefD22_8x_0" localSheetId="80">'413'!$D$52:$D$53</definedName>
    <definedName name="OSRRefD22_8x_0" localSheetId="81">'414'!$D$49:$D$50</definedName>
    <definedName name="OSRRefD22_8x_0" localSheetId="82">'415'!$D$52</definedName>
    <definedName name="OSRRefD22_8x_0" localSheetId="83">'418'!$D$53:$D$54</definedName>
    <definedName name="OSRRefD22_8x_0" localSheetId="86">'424'!$D$43:$D$44</definedName>
    <definedName name="OSRRefD22_8x_0" localSheetId="87">'425'!$D$51</definedName>
    <definedName name="OSRRefD22_8x_0" localSheetId="91">'433'!$D$54</definedName>
    <definedName name="OSRRefD22_8x_0" localSheetId="93">'444'!$D$54</definedName>
    <definedName name="OSRRefD22_8x_0" localSheetId="94">'450'!$D$54</definedName>
    <definedName name="OSRRefD22_8x_0" localSheetId="75">'491'!$D$63</definedName>
    <definedName name="OSRRefD22_8x_0" localSheetId="89">'492'!$D$57</definedName>
    <definedName name="OSRRefD22_8x_0" localSheetId="96">'501'!$D$50:$D$52</definedName>
    <definedName name="OSRRefD22_8x_0" localSheetId="39">'Div 2'!$D$52</definedName>
    <definedName name="OSRRefD22_8x_0" localSheetId="47">'Div 3'!$D$198</definedName>
    <definedName name="OSRRefD22_8x_0" localSheetId="73">'Div 4'!$D$64</definedName>
    <definedName name="OSRRefD22_8x_0" localSheetId="95">'Div 5'!$D$50:$D$52</definedName>
    <definedName name="OSRRefD22_8x_0" localSheetId="64">'Div 6'!$D$87</definedName>
    <definedName name="OSRRefD22_8x_0" localSheetId="2">Summary!$D$231</definedName>
    <definedName name="OSRRefD22_9x_0" localSheetId="41">'201'!$D$47:$D$49</definedName>
    <definedName name="OSRRefD22_9x_0" localSheetId="42">'202'!$D$51</definedName>
    <definedName name="OSRRefD22_9x_0" localSheetId="43">'203'!$D$50:$D$51</definedName>
    <definedName name="OSRRefD22_9x_0" localSheetId="44">'204'!$D$53:$D$54</definedName>
    <definedName name="OSRRefD22_9x_0" localSheetId="48">'300'!$D$195</definedName>
    <definedName name="OSRRefD22_9x_0" localSheetId="49">'300 &amp; 317'!$D$220</definedName>
    <definedName name="OSRRefD22_9x_0" localSheetId="50">'301'!$D$55</definedName>
    <definedName name="OSRRefD22_9x_0" localSheetId="53">'307'!$D$99:$D$101</definedName>
    <definedName name="OSRRefD22_9x_0" localSheetId="55">'308'!$D$94:$D$95</definedName>
    <definedName name="OSRRefD22_9x_0" localSheetId="67">'309'!$D$55:$D$57</definedName>
    <definedName name="OSRRefD22_9x_0" localSheetId="66">'310'!$D$61</definedName>
    <definedName name="OSRRefD22_9x_0" localSheetId="74">'310 &amp; 491'!$D$71</definedName>
    <definedName name="OSRRefD22_9x_0" localSheetId="56">'311'!$D$93:$D$94</definedName>
    <definedName name="OSRRefD22_9x_0" localSheetId="68">'313'!$D$58</definedName>
    <definedName name="OSRRefD22_9x_0" localSheetId="59">'315'!$D$112:$D$115</definedName>
    <definedName name="OSRRefD22_9x_0" localSheetId="62">'316'!$D$66</definedName>
    <definedName name="OSRRefD22_9x_0" localSheetId="65">'317'!$D$89:$D$91</definedName>
    <definedName name="OSRRefD22_9x_0" localSheetId="69">'321'!$D$57:$D$60</definedName>
    <definedName name="OSRRefD22_9x_0" localSheetId="70">'322'!$D$53:$D$55</definedName>
    <definedName name="OSRRefD22_9x_0" localSheetId="71">'325'!$D$54</definedName>
    <definedName name="OSRRefD22_9x_0" localSheetId="60">'326'!$D$86</definedName>
    <definedName name="OSRRefD22_9x_0" localSheetId="52">'330'!$D$108</definedName>
    <definedName name="OSRRefD22_9x_0" localSheetId="58">'331'!$D$118</definedName>
    <definedName name="OSRRefD22_9x_0" localSheetId="61">'332'!$D$69:$D$70</definedName>
    <definedName name="OSRRefD22_9x_0" localSheetId="76">'405'!$D$53:$D$54</definedName>
    <definedName name="OSRRefD22_9x_0" localSheetId="77">'406'!$D$55</definedName>
    <definedName name="OSRRefD22_9x_0" localSheetId="78">'411'!$D$53</definedName>
    <definedName name="OSRRefD22_9x_0" localSheetId="79">'412'!$D$54:$D$55</definedName>
    <definedName name="OSRRefD22_9x_0" localSheetId="80">'413'!$D$55:$D$59</definedName>
    <definedName name="OSRRefD22_9x_0" localSheetId="81">'414'!$D$52</definedName>
    <definedName name="OSRRefD22_9x_0" localSheetId="82">'415'!$D$54</definedName>
    <definedName name="OSRRefD22_9x_0" localSheetId="83">'418'!$D$56:$D$58</definedName>
    <definedName name="OSRRefD22_9x_0" localSheetId="86">'424'!$D$46</definedName>
    <definedName name="OSRRefD22_9x_0" localSheetId="87">'425'!$D$53:$D$55</definedName>
    <definedName name="OSRRefD22_9x_0" localSheetId="91">'433'!$D$56</definedName>
    <definedName name="OSRRefD22_9x_0" localSheetId="93">'444'!$D$56</definedName>
    <definedName name="OSRRefD22_9x_0" localSheetId="94">'450'!$D$56</definedName>
    <definedName name="OSRRefD22_9x_0" localSheetId="75">'491'!$D$65</definedName>
    <definedName name="OSRRefD22_9x_0" localSheetId="89">'492'!$D$59</definedName>
    <definedName name="OSRRefD22_9x_0" localSheetId="96">'501'!$D$54:$D$56</definedName>
    <definedName name="OSRRefD22_9x_0" localSheetId="39">'Div 2'!$D$54:$D$55</definedName>
    <definedName name="OSRRefD22_9x_0" localSheetId="47">'Div 3'!$D$200</definedName>
    <definedName name="OSRRefD22_9x_0" localSheetId="73">'Div 4'!$D$66</definedName>
    <definedName name="OSRRefD22_9x_0" localSheetId="95">'Div 5'!$D$54:$D$56</definedName>
    <definedName name="OSRRefD22_9x_0" localSheetId="64">'Div 6'!$D$89:$D$91</definedName>
    <definedName name="OSRRefD22_9x_0" localSheetId="2">Summary!$D$233</definedName>
    <definedName name="OSRRefD22x_0" localSheetId="40">'200'!$D$20,'200'!$D$22,'200'!$D$24,'200'!$D$26:$D$27</definedName>
    <definedName name="OSRRefD22x_0" localSheetId="41">'201'!$D$20:$D$27,'201'!$D$29:$D$31,'201'!$D$33,'201'!$D$35,'201'!$D$37,'201'!$D$39,'201'!$D$41,'201'!$D$43,'201'!$D$45,'201'!$D$47:$D$49,'201'!$D$51:$D$53,'201'!$D$55,'201'!$D$57:$D$60,'201'!$D$62,'201'!$D$64,'201'!$D$66</definedName>
    <definedName name="OSRRefD22x_0" localSheetId="42">'202'!$D$20:$D$27,'202'!$D$29:$D$32,'202'!$D$34,'202'!$D$36,'202'!$D$38:$D$39,'202'!$D$41,'202'!$D$43,'202'!$D$45:$D$47,'202'!$D$49,'202'!$D$51,'202'!$D$53:$D$55,'202'!$D$57,'202'!$D$59,'202'!$D$61</definedName>
    <definedName name="OSRRefD22x_0" localSheetId="43">'203'!$D$20:$D$29,'203'!$D$31:$D$34,'203'!$D$36,'203'!$D$38,'203'!$D$40,'203'!$D$42,'203'!$D$44,'203'!$D$46,'203'!$D$48,'203'!$D$50:$D$51,'203'!$D$53:$D$54,'203'!$D$56,'203'!$D$58:$D$61,'203'!$D$63,'203'!$D$65,'203'!$D$67</definedName>
    <definedName name="OSRRefD22x_0" localSheetId="44">'204'!$D$20:$D$28,'204'!$D$30:$D$34,'204'!$D$36,'204'!$D$38,'204'!$D$40,'204'!$D$42:$D$44,'204'!$D$46,'204'!$D$48:$D$49,'204'!$D$51,'204'!$D$53:$D$54</definedName>
    <definedName name="OSRRefD22x_0" localSheetId="45">'205'!$D$20:$D$27,'205'!$D$29,'205'!$D$31,'205'!$D$33,'205'!$D$35:$D$36,'205'!$D$38,'205'!$D$40:$D$41,'205'!$D$43,'205'!$D$45</definedName>
    <definedName name="OSRRefD22x_0" localSheetId="46">'206'!$D$20:$D$26,'206'!$D$28:$D$31,'206'!$D$33,'206'!$D$35,'206'!$D$37,'206'!$D$39:$D$40,'206'!$D$42,'206'!$D$44</definedName>
    <definedName name="OSRRefD22x_0" localSheetId="48">'300'!$D$159:$D$168,'300'!$D$170:$D$176,'300'!$D$178,'300'!$D$180:$D$181,'300'!$D$183,'300'!$D$185:$D$186,'300'!$D$188:$D$189,'300'!$D$191,'300'!$D$193,'300'!$D$195,'300'!$D$197:$D$198,'300'!$D$200,'300'!$D$202,'300'!$D$204,'300'!$D$206,'300'!$D$208,'300'!$D$210:$D$213,'300'!$D$215:$D$217,'300'!$D$219:$D$222,'300'!$D$224:$D$225,'300'!$D$227:$D$233,'300'!$D$235:$D$236,'300'!$D$238,'300'!$D$240:$D$242,'300'!$D$244</definedName>
    <definedName name="OSRRefD22x_0" localSheetId="49">'300 &amp; 317'!$D$184:$D$193,'300 &amp; 317'!$D$195:$D$201,'300 &amp; 317'!$D$203,'300 &amp; 317'!$D$205:$D$206,'300 &amp; 317'!$D$208,'300 &amp; 317'!$D$210:$D$211,'300 &amp; 317'!$D$213:$D$214,'300 &amp; 317'!$D$216,'300 &amp; 317'!$D$218,'300 &amp; 317'!$D$220,'300 &amp; 317'!$D$222:$D$223,'300 &amp; 317'!$D$225,'300 &amp; 317'!$D$227,'300 &amp; 317'!$D$229,'300 &amp; 317'!$D$231,'300 &amp; 317'!$D$233,'300 &amp; 317'!$D$235:$D$238,'300 &amp; 317'!$D$240:$D$242,'300 &amp; 317'!$D$244:$D$247,'300 &amp; 317'!$D$249:$D$250,'300 &amp; 317'!$D$252:$D$258,'300 &amp; 317'!$D$260:$D$261,'300 &amp; 317'!$D$263,'300 &amp; 317'!$D$265:$D$267,'300 &amp; 317'!$D$269</definedName>
    <definedName name="OSRRefD22x_0" localSheetId="50">'301'!$D$20:$D$28,'301'!$D$30:$D$36,'301'!$D$38,'301'!$D$40:$D$41,'301'!$D$43,'301'!$D$45:$D$46,'301'!$D$48:$D$49,'301'!$D$51,'301'!$D$53,'301'!$D$55,'301'!$D$57,'301'!$D$59,'301'!$D$61,'301'!$D$63,'301'!$D$65,'301'!$D$67:$D$70,'301'!$D$72:$D$74,'301'!$D$76,'301'!$D$78:$D$83,'301'!$D$85,'301'!$D$87,'301'!$D$89:$D$90,'301'!$D$92</definedName>
    <definedName name="OSRRefD22x_0" localSheetId="51">'306'!$D$20:$D$28,'306'!$D$30:$D$35,'306'!$D$37,'306'!$D$39,'306'!$D$41,'306'!$D$43:$D$44,'306'!$D$46:$D$47,'306'!$D$49,'306'!$D$51</definedName>
    <definedName name="OSRRefD22x_0" localSheetId="53">'307'!$D$68:$D$75,'307'!$D$77:$D$80,'307'!$D$82,'307'!$D$84,'307'!$D$86:$D$87,'307'!$D$89,'307'!$D$91,'307'!$D$93:$D$94,'307'!$D$96:$D$97,'307'!$D$99:$D$101,'307'!$D$103,'307'!$D$105</definedName>
    <definedName name="OSRRefD22x_0" localSheetId="55">'308'!$D$61:$D$69,'308'!$D$71:$D$76,'308'!$D$78,'308'!$D$80:$D$81,'308'!$D$83,'308'!$D$85,'308'!$D$87:$D$88,'308'!$D$90,'308'!$D$92,'308'!$D$94:$D$95,'308'!$D$97,'308'!$D$99:$D$101,'308'!$D$103:$D$104,'308'!$D$106,'308'!$D$108</definedName>
    <definedName name="OSRRefD22x_0" localSheetId="67">'309'!$D$24:$D$31,'309'!$D$33:$D$37,'309'!$D$39,'309'!$D$41,'309'!$D$43,'309'!$D$45,'309'!$D$47,'309'!$D$49:$D$50,'309'!$D$52:$D$53,'309'!$D$55:$D$57,'309'!$D$59</definedName>
    <definedName name="OSRRefD22x_0" localSheetId="66">'310'!$D$30:$D$37,'310'!$D$39:$D$44,'310'!$D$46,'310'!$D$48,'310'!$D$50,'310'!$D$52:$D$53,'310'!$D$55,'310'!$D$57,'310'!$D$59,'310'!$D$61,'310'!$D$63,'310'!$D$65,'310'!$D$67,'310'!$D$69,'310'!$D$71:$D$73,'310'!$D$75,'310'!$D$77:$D$80,'310'!$D$82,'310'!$D$84:$D$90,'310'!$D$92,'310'!$D$94,'310'!$D$96</definedName>
    <definedName name="OSRRefD22x_0" localSheetId="74">'310 &amp; 491'!$D$37:$D$45,'310 &amp; 491'!$D$47:$D$53,'310 &amp; 491'!$D$55,'310 &amp; 491'!$D$57,'310 &amp; 491'!$D$59,'310 &amp; 491'!$D$61:$D$63,'310 &amp; 491'!$D$65,'310 &amp; 491'!$D$67,'310 &amp; 491'!$D$69,'310 &amp; 491'!$D$71,'310 &amp; 491'!$D$73:$D$74,'310 &amp; 491'!$D$76:$D$77,'310 &amp; 491'!$D$79,'310 &amp; 491'!$D$81,'310 &amp; 491'!$D$83,'310 &amp; 491'!$D$85,'310 &amp; 491'!$D$87:$D$89,'310 &amp; 491'!$D$91:$D$92,'310 &amp; 491'!$D$94:$D$98,'310 &amp; 491'!$D$100,'310 &amp; 491'!$D$102:$D$110,'310 &amp; 491'!$D$112,'310 &amp; 491'!$D$114,'310 &amp; 491'!$D$116:$D$118,'310 &amp; 491'!$D$120</definedName>
    <definedName name="OSRRefD22x_0" localSheetId="56">'311'!$D$60:$D$68,'311'!$D$70:$D$75,'311'!$D$77,'311'!$D$79:$D$80,'311'!$D$82,'311'!$D$84,'311'!$D$86:$D$87,'311'!$D$89,'311'!$D$91,'311'!$D$93:$D$94,'311'!$D$96,'311'!$D$98:$D$100,'311'!$D$102:$D$103,'311'!$D$105,'311'!$D$107</definedName>
    <definedName name="OSRRefD22x_0" localSheetId="68">'313'!$D$27:$D$34,'313'!$D$36:$D$40,'313'!$D$42,'313'!$D$44,'313'!$D$46,'313'!$D$48,'313'!$D$50,'313'!$D$52,'313'!$D$54:$D$56,'313'!$D$58,'313'!$D$60:$D$64,'313'!$D$66,'313'!$D$68</definedName>
    <definedName name="OSRRefD22x_0" localSheetId="54">'314'!$D$55:$D$61,'314'!$D$63:$D$64,'314'!$D$66,'314'!$D$68:$D$69,'314'!$D$71,'314'!$D$73</definedName>
    <definedName name="OSRRefD22x_0" localSheetId="59">'315'!$D$79:$D$86,'315'!$D$88:$D$93,'315'!$D$95,'315'!$D$97:$D$98,'315'!$D$100,'315'!$D$102:$D$103,'315'!$D$105,'315'!$D$107:$D$108,'315'!$D$110,'315'!$D$112:$D$115,'315'!$D$117,'315'!$D$119,'315'!$D$121</definedName>
    <definedName name="OSRRefD22x_0" localSheetId="62">'316'!$D$32:$D$39,'316'!$D$41:$D$43,'316'!$D$45,'316'!$D$47,'316'!$D$49,'316'!$D$51:$D$52,'316'!$D$54:$D$55,'316'!$D$57,'316'!$D$59:$D$64,'316'!$D$66,'316'!$D$68,'316'!$D$70</definedName>
    <definedName name="OSRRefD22x_0" localSheetId="65">'317'!$D$58:$D$66,'317'!$D$68:$D$72,'317'!$D$74,'317'!$D$76,'317'!$D$78,'317'!$D$80:$D$81,'317'!$D$83,'317'!$D$85,'317'!$D$87,'317'!$D$89:$D$91,'317'!$D$93,'317'!$D$95</definedName>
    <definedName name="OSRRefD22x_0" localSheetId="63">'320'!$D$28:$D$34,'320'!$D$36:$D$38,'320'!$D$40,'320'!$D$42,'320'!$D$44:$D$45,'320'!$D$47,'320'!$D$49,'320'!$D$51:$D$52,'320'!$D$54</definedName>
    <definedName name="OSRRefD22x_0" localSheetId="69">'321'!$D$24:$D$31,'321'!$D$33:$D$37,'321'!$D$39,'321'!$D$41,'321'!$D$43,'321'!$D$45,'321'!$D$47:$D$49,'321'!$D$51,'321'!$D$53:$D$55,'321'!$D$57:$D$60,'321'!$D$62,'321'!$D$64</definedName>
    <definedName name="OSRRefD22x_0" localSheetId="70">'322'!$D$24:$D$31,'322'!$D$33:$D$36,'322'!$D$38,'322'!$D$40,'322'!$D$42,'322'!$D$44,'322'!$D$46,'322'!$D$48,'322'!$D$50:$D$51,'322'!$D$53:$D$55,'322'!$D$57:$D$61,'322'!$D$63,'322'!$D$65</definedName>
    <definedName name="OSRRefD22x_0" localSheetId="71">'325'!$D$24:$D$31,'325'!$D$33:$D$37,'325'!$D$39,'325'!$D$41,'325'!$D$43,'325'!$D$45:$D$46,'325'!$D$48,'325'!$D$50,'325'!$D$52,'325'!$D$54,'325'!$D$56,'325'!$D$58:$D$60,'325'!$D$62:$D$64,'325'!$D$66,'325'!$D$68:$D$72,'325'!$D$74,'325'!$D$76</definedName>
    <definedName name="OSRRefD22x_0" localSheetId="60">'326'!$D$57:$D$64,'326'!$D$66:$D$70,'326'!$D$72,'326'!$D$74,'326'!$D$76,'326'!$D$78,'326'!$D$80,'326'!$D$82,'326'!$D$84,'326'!$D$86,'326'!$D$88,'326'!$D$90:$D$91,'326'!$D$93:$D$95,'326'!$D$97,'326'!$D$99:$D$101,'326'!$D$103,'326'!$D$105,'326'!$D$107</definedName>
    <definedName name="OSRRefD22x_0" localSheetId="72">'327'!$D$22,'327'!$D$24,'327'!$D$26</definedName>
    <definedName name="OSRRefD22x_0" localSheetId="52">'330'!$D$77:$D$84,'330'!$D$86:$D$89,'330'!$D$91,'330'!$D$93,'330'!$D$95:$D$96,'330'!$D$98,'330'!$D$100,'330'!$D$102:$D$103,'330'!$D$105:$D$106,'330'!$D$108,'330'!$D$110:$D$112,'330'!$D$114,'330'!$D$116</definedName>
    <definedName name="OSRRefD22x_0" localSheetId="58">'331'!$D$86:$D$93,'331'!$D$95:$D$100,'331'!$D$102,'331'!$D$104,'331'!$D$106,'331'!$D$108:$D$109,'331'!$D$111,'331'!$D$113:$D$114,'331'!$D$116,'331'!$D$118,'331'!$D$120,'331'!$D$122,'331'!$D$124:$D$125,'331'!$D$127:$D$128,'331'!$D$130:$D$132,'331'!$D$134,'331'!$D$136:$D$140,'331'!$D$142,'331'!$D$144,'331'!$D$146:$D$147,'331'!$D$149</definedName>
    <definedName name="OSRRefD22x_0" localSheetId="61">'332'!$D$40:$D$47,'332'!$D$49:$D$52,'332'!$D$54,'332'!$D$56,'332'!$D$58,'332'!$D$60,'332'!$D$62:$D$63,'332'!$D$65,'332'!$D$67,'332'!$D$69:$D$70,'332'!$D$72,'332'!$D$74:$D$79,'332'!$D$81,'332'!$D$83,'332'!$D$85</definedName>
    <definedName name="OSRRefD22x_0" localSheetId="76">'405'!$D$24:$D$31,'405'!$D$33:$D$36,'405'!$D$38,'405'!$D$40,'405'!$D$42,'405'!$D$44:$D$45,'405'!$D$47,'405'!$D$49,'405'!$D$51,'405'!$D$53:$D$54,'405'!$D$56,'405'!$D$58:$D$60,'405'!$D$62,'405'!$D$64:$D$70,'405'!$D$72,'405'!$D$74,'405'!$D$76</definedName>
    <definedName name="OSRRefD22x_0" localSheetId="77">'406'!$D$24:$D$31,'406'!$D$33:$D$37,'406'!$D$39,'406'!$D$41,'406'!$D$43,'406'!$D$45,'406'!$D$47,'406'!$D$49,'406'!$D$51:$D$53,'406'!$D$55,'406'!$D$57:$D$61,'406'!$D$63,'406'!$D$65</definedName>
    <definedName name="OSRRefD22x_0" localSheetId="78">'411'!$D$20:$D$28,'411'!$D$30:$D$35,'411'!$D$37,'411'!$D$39,'411'!$D$41:$D$43,'411'!$D$45,'411'!$D$47,'411'!$D$49,'411'!$D$51,'411'!$D$53,'411'!$D$55,'411'!$D$57,'411'!$D$59:$D$60,'411'!$D$62:$D$66,'411'!$D$68:$D$73,'411'!$D$75,'411'!$D$77,'411'!$D$79:$D$81,'411'!$D$83</definedName>
    <definedName name="OSRRefD22x_0" localSheetId="79">'412'!$D$23:$D$30,'412'!$D$32:$D$37,'412'!$D$39,'412'!$D$41,'412'!$D$43,'412'!$D$45,'412'!$D$47,'412'!$D$49,'412'!$D$51:$D$52,'412'!$D$54:$D$55,'412'!$D$57:$D$62,'412'!$D$64,'412'!$D$66</definedName>
    <definedName name="OSRRefD22x_0" localSheetId="80">'413'!$D$24:$D$31,'413'!$D$33:$D$36,'413'!$D$38,'413'!$D$40,'413'!$D$42,'413'!$D$44,'413'!$D$46,'413'!$D$48:$D$50,'413'!$D$52:$D$53,'413'!$D$55:$D$59,'413'!$D$61</definedName>
    <definedName name="OSRRefD22x_0" localSheetId="81">'414'!$D$24:$D$30,'414'!$D$32:$D$35,'414'!$D$37,'414'!$D$39,'414'!$D$41,'414'!$D$43,'414'!$D$45,'414'!$D$47,'414'!$D$49:$D$50,'414'!$D$52,'414'!$D$54,'414'!$D$56,'414'!$D$58:$D$64,'414'!$D$66,'414'!$D$68</definedName>
    <definedName name="OSRRefD22x_0" localSheetId="82">'415'!$D$24:$D$31,'415'!$D$33:$D$37,'415'!$D$39,'415'!$D$41,'415'!$D$43,'415'!$D$45:$D$46,'415'!$D$48,'415'!$D$50,'415'!$D$52,'415'!$D$54,'415'!$D$56,'415'!$D$58:$D$60,'415'!$D$62:$D$66,'415'!$D$68,'415'!$D$70:$D$76,'415'!$D$78,'415'!$D$80,'415'!$D$82</definedName>
    <definedName name="OSRRefD22x_0" localSheetId="83">'418'!$D$24:$D$31,'418'!$D$33:$D$38,'418'!$D$40,'418'!$D$42,'418'!$D$44,'418'!$D$46:$D$47,'418'!$D$49,'418'!$D$51,'418'!$D$53:$D$54,'418'!$D$56:$D$58,'418'!$D$60:$D$62,'418'!$D$64,'418'!$D$66:$D$71,'418'!$D$73,'418'!$D$75</definedName>
    <definedName name="OSRRefD22x_0" localSheetId="84">'420'!$D$22:$D$28,'420'!$D$30:$D$33,'420'!$D$35,'420'!$D$37</definedName>
    <definedName name="OSRRefD22x_0" localSheetId="85">'423'!$D$21:$D$28,'423'!$D$30,'423'!$D$32,'423'!$D$34,'423'!$D$36,'423'!$D$38</definedName>
    <definedName name="OSRRefD22x_0" localSheetId="86">'424'!$D$23:$D$24,'424'!$D$26:$D$29,'424'!$D$31,'424'!$D$33,'424'!$D$35,'424'!$D$37,'424'!$D$39,'424'!$D$41,'424'!$D$43:$D$44,'424'!$D$46,'424'!$D$48,'424'!$D$50:$D$52,'424'!$D$54</definedName>
    <definedName name="OSRRefD22x_0" localSheetId="87">'425'!$D$24:$D$31,'425'!$D$33:$D$37,'425'!$D$39,'425'!$D$41,'425'!$D$43,'425'!$D$45,'425'!$D$47,'425'!$D$49,'425'!$D$51,'425'!$D$53:$D$55,'425'!$D$57,'425'!$D$59:$D$60,'425'!$D$62:$D$67,'425'!$D$69,'425'!$D$71</definedName>
    <definedName name="OSRRefD22x_0" localSheetId="90">'430'!$D$20:$D$27,'430'!$D$29,'430'!$D$31,'430'!$D$33,'430'!$D$35:$D$36,'430'!$D$38,'430'!$D$40,'430'!$D$42</definedName>
    <definedName name="OSRRefD22x_0" localSheetId="91">'433'!$D$25:$D$33,'433'!$D$35:$D$40,'433'!$D$42,'433'!$D$44,'433'!$D$46,'433'!$D$48,'433'!$D$50,'433'!$D$52,'433'!$D$54,'433'!$D$56,'433'!$D$58,'433'!$D$60:$D$61,'433'!$D$63:$D$65,'433'!$D$67:$D$73,'433'!$D$75,'433'!$D$77,'433'!$D$79</definedName>
    <definedName name="OSRRefD22x_0" localSheetId="92">'435'!$D$25:$D$27,'435'!$D$29:$D$30,'435'!$D$32,'435'!$D$34,'435'!$D$36,'435'!$D$38,'435'!$D$40:$D$42,'435'!$D$44</definedName>
    <definedName name="OSRRefD22x_0" localSheetId="93">'444'!$D$25:$D$33,'444'!$D$35:$D$40,'444'!$D$42,'444'!$D$44,'444'!$D$46,'444'!$D$48,'444'!$D$50,'444'!$D$52,'444'!$D$54,'444'!$D$56,'444'!$D$58,'444'!$D$60:$D$61,'444'!$D$63:$D$65,'444'!$D$67:$D$75,'444'!$D$77,'444'!$D$79,'444'!$D$81</definedName>
    <definedName name="OSRRefD22x_0" localSheetId="94">'450'!$D$25:$D$33,'450'!$D$35:$D$40,'450'!$D$42,'450'!$D$44,'450'!$D$46,'450'!$D$48,'450'!$D$50,'450'!$D$52,'450'!$D$54,'450'!$D$56,'450'!$D$58,'450'!$D$60,'450'!$D$62,'450'!$D$64:$D$66,'450'!$D$68:$D$73,'450'!$D$75,'450'!$D$77,'450'!$D$79</definedName>
    <definedName name="OSRRefD22x_0" localSheetId="88">'455'!$D$20:$D$26,'455'!$D$28:$D$29</definedName>
    <definedName name="OSRRefD22x_0" localSheetId="75">'491'!$D$31:$D$39,'491'!$D$41:$D$47,'491'!$D$49,'491'!$D$51,'491'!$D$53,'491'!$D$55:$D$57,'491'!$D$59,'491'!$D$61,'491'!$D$63,'491'!$D$65,'491'!$D$67:$D$68,'491'!$D$70,'491'!$D$72,'491'!$D$74,'491'!$D$76,'491'!$D$78:$D$80,'491'!$D$82:$D$83,'491'!$D$85:$D$89,'491'!$D$91,'491'!$D$93:$D$101,'491'!$D$103,'491'!$D$105,'491'!$D$107:$D$109,'491'!$D$111</definedName>
    <definedName name="OSRRefD22x_0" localSheetId="89">'492'!$D$27:$D$35,'492'!$D$37:$D$43,'492'!$D$45,'492'!$D$47,'492'!$D$49,'492'!$D$51,'492'!$D$53,'492'!$D$55,'492'!$D$57,'492'!$D$59,'492'!$D$61,'492'!$D$63,'492'!$D$65:$D$67,'492'!$D$69:$D$71,'492'!$D$73:$D$81,'492'!$D$83,'492'!$D$85,'492'!$D$87</definedName>
    <definedName name="OSRRefD22x_0" localSheetId="96">'501'!$D$21:$D$29,'501'!$D$31:$D$35,'501'!$D$37,'501'!$D$39,'501'!$D$41,'501'!$D$43:$D$44,'501'!$D$46,'501'!$D$48,'501'!$D$50:$D$52,'501'!$D$54:$D$56,'501'!$D$58</definedName>
    <definedName name="OSRRefD22x_0" localSheetId="39">'Div 2'!$D$20:$D$30,'Div 2'!$D$32:$D$38,'Div 2'!$D$40,'Div 2'!$D$42,'Div 2'!$D$44,'Div 2'!$D$46,'Div 2'!$D$48,'Div 2'!$D$50,'Div 2'!$D$52,'Div 2'!$D$54:$D$55,'Div 2'!$D$57,'Div 2'!$D$59,'Div 2'!$D$61:$D$64,'Div 2'!$D$66:$D$68,'Div 2'!$D$70:$D$71,'Div 2'!$D$73,'Div 2'!$D$75:$D$79,'Div 2'!$D$81:$D$82,'Div 2'!$D$84,'Div 2'!$D$86:$D$87</definedName>
    <definedName name="OSRRefD22x_0" localSheetId="47">'Div 3'!$D$164:$D$173,'Div 3'!$D$175:$D$181,'Div 3'!$D$183,'Div 3'!$D$185:$D$186,'Div 3'!$D$188,'Div 3'!$D$190:$D$191,'Div 3'!$D$193:$D$194,'Div 3'!$D$196,'Div 3'!$D$198,'Div 3'!$D$200,'Div 3'!$D$202:$D$203,'Div 3'!$D$205,'Div 3'!$D$207,'Div 3'!$D$209,'Div 3'!$D$211,'Div 3'!$D$213,'Div 3'!$D$215,'Div 3'!$D$217:$D$220,'Div 3'!$D$222:$D$224,'Div 3'!$D$226:$D$230,'Div 3'!$D$232:$D$233,'Div 3'!$D$235:$D$241,'Div 3'!$D$243:$D$244,'Div 3'!$D$246,'Div 3'!$D$248:$D$250,'Div 3'!$D$252</definedName>
    <definedName name="OSRRefD22x_0" localSheetId="73">'Div 4'!$D$32:$D$40,'Div 4'!$D$42:$D$48,'Div 4'!$D$50,'Div 4'!$D$52,'Div 4'!$D$54,'Div 4'!$D$56:$D$58,'Div 4'!$D$60,'Div 4'!$D$62,'Div 4'!$D$64,'Div 4'!$D$66,'Div 4'!$D$68:$D$69,'Div 4'!$D$71,'Div 4'!$D$73,'Div 4'!$D$75,'Div 4'!$D$77,'Div 4'!$D$79,'Div 4'!$D$81:$D$83,'Div 4'!$D$85:$D$86,'Div 4'!$D$88:$D$92,'Div 4'!$D$94,'Div 4'!$D$96:$D$104,'Div 4'!$D$106,'Div 4'!$D$108,'Div 4'!$D$110:$D$112,'Div 4'!$D$114</definedName>
    <definedName name="OSRRefD22x_0" localSheetId="95">'Div 5'!$D$21:$D$29,'Div 5'!$D$31:$D$35,'Div 5'!$D$37,'Div 5'!$D$39,'Div 5'!$D$41,'Div 5'!$D$43:$D$44,'Div 5'!$D$46,'Div 5'!$D$48,'Div 5'!$D$50:$D$52,'Div 5'!$D$54:$D$56,'Div 5'!$D$58</definedName>
    <definedName name="OSRRefD22x_0" localSheetId="64">'Div 6'!$D$58:$D$66,'Div 6'!$D$68:$D$72,'Div 6'!$D$74,'Div 6'!$D$76,'Div 6'!$D$78,'Div 6'!$D$80:$D$81,'Div 6'!$D$83,'Div 6'!$D$85,'Div 6'!$D$87,'Div 6'!$D$89:$D$91,'Div 6'!$D$93,'Div 6'!$D$95</definedName>
    <definedName name="OSRRefD22x_0" localSheetId="2">Summary!$D$196:$D$205,Summary!$D$207:$D$213,Summary!$D$215,Summary!$D$217:$D$218,Summary!$D$220,Summary!$D$222:$D$224,Summary!$D$226:$D$227,Summary!$D$229,Summary!$D$231,Summary!$D$233,Summary!$D$235:$D$236,Summary!$D$238:$D$239,Summary!$D$241,Summary!$D$243,Summary!$D$245,Summary!$D$247,Summary!$D$249,Summary!$D$251,Summary!$D$253:$D$256,Summary!$D$258:$D$260,Summary!$D$262:$D$266,Summary!$D$268:$D$269,Summary!$D$271:$D$279,Summary!$D$281:$D$282,Summary!$D$284,Summary!$D$286:$D$288,Summary!$D$290</definedName>
    <definedName name="OSRRefD25x_0" localSheetId="48">'300'!$D$247:$D$254</definedName>
    <definedName name="OSRRefD25x_0" localSheetId="49">'300 &amp; 317'!$D$272:$D$281</definedName>
    <definedName name="OSRRefD25x_0" localSheetId="50">'301'!$D$95:$D$96</definedName>
    <definedName name="OSRRefD25x_0" localSheetId="55">'308'!$D$111:$D$113</definedName>
    <definedName name="OSRRefD25x_0" localSheetId="74">'310 &amp; 491'!$D$123:$D$125</definedName>
    <definedName name="OSRRefD25x_0" localSheetId="56">'311'!$D$110:$D$112</definedName>
    <definedName name="OSRRefD25x_0" localSheetId="59">'315'!$D$124:$D$125</definedName>
    <definedName name="OSRRefD25x_0" localSheetId="62">'316'!$D$73</definedName>
    <definedName name="OSRRefD25x_0" localSheetId="65">'317'!$D$98:$D$100</definedName>
    <definedName name="OSRRefD25x_0" localSheetId="63">'320'!$D$57:$D$61</definedName>
    <definedName name="OSRRefD25x_0" localSheetId="58">'331'!$D$152:$D$153</definedName>
    <definedName name="OSRRefD25x_0" localSheetId="61">'332'!$D$88:$D$93</definedName>
    <definedName name="OSRRefD25x_0" localSheetId="78">'411'!$D$86:$D$87</definedName>
    <definedName name="OSRRefD25x_0" localSheetId="80">'413'!$D$64</definedName>
    <definedName name="OSRRefD25x_0" localSheetId="83">'418'!$D$78</definedName>
    <definedName name="OSRRefD25x_0" localSheetId="85">'423'!$D$41</definedName>
    <definedName name="OSRRefD25x_0" localSheetId="86">'424'!$D$57</definedName>
    <definedName name="OSRRefD25x_0" localSheetId="87">'425'!$D$74</definedName>
    <definedName name="OSRRefD25x_0" localSheetId="88">'455'!$D$32:$D$33</definedName>
    <definedName name="OSRRefD25x_0" localSheetId="75">'491'!$D$114:$D$116</definedName>
    <definedName name="OSRRefD25x_0" localSheetId="96">'501'!$D$61</definedName>
    <definedName name="OSRRefD25x_0" localSheetId="47">'Div 3'!$D$255:$D$262</definedName>
    <definedName name="OSRRefD25x_0" localSheetId="73">'Div 4'!$D$117:$D$119</definedName>
    <definedName name="OSRRefD25x_0" localSheetId="95">'Div 5'!$D$61</definedName>
    <definedName name="OSRRefD25x_0" localSheetId="64">'Div 6'!$D$98:$D$100</definedName>
    <definedName name="OSRRefD25x_0" localSheetId="2">Summary!$D$293:$D$303</definedName>
    <definedName name="OSRRefH13x_0" localSheetId="48">'300'!$H$13:$H$103</definedName>
    <definedName name="OSRRefH13x_0" localSheetId="49">'300 &amp; 317'!$H$13:$H$121</definedName>
    <definedName name="OSRRefH13x_0" localSheetId="53">'307'!$H$13:$H$41</definedName>
    <definedName name="OSRRefH13x_0" localSheetId="55">'308'!$H$13:$H$40</definedName>
    <definedName name="OSRRefH13x_0" localSheetId="67">'309'!$H$13:$H$14</definedName>
    <definedName name="OSRRefH13x_0" localSheetId="66">'310'!$H$13:$H$20</definedName>
    <definedName name="OSRRefH13x_0" localSheetId="74">'310 &amp; 491'!$H$13:$H$27</definedName>
    <definedName name="OSRRefH13x_0" localSheetId="56">'311'!$H$13:$H$39</definedName>
    <definedName name="OSRRefH13x_0" localSheetId="68">'313'!$H$13:$H$17</definedName>
    <definedName name="OSRRefH13x_0" localSheetId="54">'314'!$H$13:$H$32</definedName>
    <definedName name="OSRRefH13x_0" localSheetId="59">'315'!$H$13:$H$48</definedName>
    <definedName name="OSRRefH13x_0" localSheetId="62">'316'!$H$13:$H$24</definedName>
    <definedName name="OSRRefH13x_0" localSheetId="65">'317'!$H$13:$H$37</definedName>
    <definedName name="OSRRefH13x_0" localSheetId="63">'320'!$H$13:$H$15</definedName>
    <definedName name="OSRRefH13x_0" localSheetId="69">'321'!$H$13:$H$14</definedName>
    <definedName name="OSRRefH13x_0" localSheetId="70">'322'!$H$13:$H$14</definedName>
    <definedName name="OSRRefH13x_0" localSheetId="57">'324'!$H$13:$H$15</definedName>
    <definedName name="OSRRefH13x_0" localSheetId="71">'325'!$H$13:$H$14</definedName>
    <definedName name="OSRRefH13x_0" localSheetId="60">'326'!$H$13:$H$36</definedName>
    <definedName name="OSRRefH13x_0" localSheetId="72">'327'!$H$13</definedName>
    <definedName name="OSRRefH13x_0" localSheetId="52">'330'!$H$13:$H$46</definedName>
    <definedName name="OSRRefH13x_0" localSheetId="58">'331'!$H$13:$H$51</definedName>
    <definedName name="OSRRefH13x_0" localSheetId="61">'332'!$H$13:$H$27</definedName>
    <definedName name="OSRRefH13x_0" localSheetId="76">'405'!$H$13:$H$14</definedName>
    <definedName name="OSRRefH13x_0" localSheetId="77">'406'!$H$13:$H$14</definedName>
    <definedName name="OSRRefH13x_0" localSheetId="79">'412'!$H$13:$H$14</definedName>
    <definedName name="OSRRefH13x_0" localSheetId="80">'413'!$H$13:$H$14</definedName>
    <definedName name="OSRRefH13x_0" localSheetId="81">'414'!$H$13:$H$14</definedName>
    <definedName name="OSRRefH13x_0" localSheetId="82">'415'!$H$13:$H$14</definedName>
    <definedName name="OSRRefH13x_0" localSheetId="83">'418'!$H$13:$H$14</definedName>
    <definedName name="OSRRefH13x_0" localSheetId="84">'420'!$H$13:$H$14</definedName>
    <definedName name="OSRRefH13x_0" localSheetId="86">'424'!$H$13</definedName>
    <definedName name="OSRRefH13x_0" localSheetId="87">'425'!$H$13:$H$14</definedName>
    <definedName name="OSRRefH13x_0" localSheetId="91">'433'!$H$13:$H$15</definedName>
    <definedName name="OSRRefH13x_0" localSheetId="92">'435'!$H$13:$H$15</definedName>
    <definedName name="OSRRefH13x_0" localSheetId="93">'444'!$H$13:$H$15</definedName>
    <definedName name="OSRRefH13x_0" localSheetId="94">'450'!$H$13:$H$15</definedName>
    <definedName name="OSRRefH13x_0" localSheetId="75">'491'!$H$13:$H$21</definedName>
    <definedName name="OSRRefH13x_0" localSheetId="89">'492'!$H$13:$H$17</definedName>
    <definedName name="OSRRefH13x_0" localSheetId="96">'501'!$H$13</definedName>
    <definedName name="OSRRefH13x_0" localSheetId="47">'Div 3'!$H$13:$H$106</definedName>
    <definedName name="OSRRefH13x_0" localSheetId="73">'Div 4'!$H$13:$H$22</definedName>
    <definedName name="OSRRefH13x_0" localSheetId="95">'Div 5'!$H$13</definedName>
    <definedName name="OSRRefH13x_0" localSheetId="64">'Div 6'!$H$13:$H$37</definedName>
    <definedName name="OSRRefH13x_0" localSheetId="2">Summary!$H$13:$H$131</definedName>
    <definedName name="OSRRefH16x_0" localSheetId="48">'300'!$H$106:$H$153</definedName>
    <definedName name="OSRRefH16x_0" localSheetId="49">'300 &amp; 317'!$H$124:$H$178</definedName>
    <definedName name="OSRRefH16x_0" localSheetId="53">'307'!$H$44:$H$62</definedName>
    <definedName name="OSRRefH16x_0" localSheetId="55">'308'!$H$43:$H$55</definedName>
    <definedName name="OSRRefH16x_0" localSheetId="67">'309'!$H$17:$H$18</definedName>
    <definedName name="OSRRefH16x_0" localSheetId="66">'310'!$H$23:$H$24</definedName>
    <definedName name="OSRRefH16x_0" localSheetId="74">'310 &amp; 491'!$H$30:$H$31</definedName>
    <definedName name="OSRRefH16x_0" localSheetId="56">'311'!$H$42:$H$54</definedName>
    <definedName name="OSRRefH16x_0" localSheetId="68">'313'!$H$20:$H$21</definedName>
    <definedName name="OSRRefH16x_0" localSheetId="54">'314'!$H$35:$H$49</definedName>
    <definedName name="OSRRefH16x_0" localSheetId="59">'315'!$H$51:$H$73</definedName>
    <definedName name="OSRRefH16x_0" localSheetId="65">'317'!$H$40:$H$52</definedName>
    <definedName name="OSRRefH16x_0" localSheetId="63">'320'!$H$18:$H$22</definedName>
    <definedName name="OSRRefH16x_0" localSheetId="69">'321'!$H$17:$H$18</definedName>
    <definedName name="OSRRefH16x_0" localSheetId="70">'322'!$H$17:$H$18</definedName>
    <definedName name="OSRRefH16x_0" localSheetId="57">'324'!$H$18:$H$19</definedName>
    <definedName name="OSRRefH16x_0" localSheetId="71">'325'!$H$17:$H$18</definedName>
    <definedName name="OSRRefH16x_0" localSheetId="60">'326'!$H$39:$H$51</definedName>
    <definedName name="OSRRefH16x_0" localSheetId="72">'327'!$H$16</definedName>
    <definedName name="OSRRefH16x_0" localSheetId="52">'330'!$H$49:$H$71</definedName>
    <definedName name="OSRRefH16x_0" localSheetId="58">'331'!$H$54:$H$80</definedName>
    <definedName name="OSRRefH16x_0" localSheetId="61">'332'!$H$30:$H$34</definedName>
    <definedName name="OSRRefH16x_0" localSheetId="76">'405'!$H$17:$H$18</definedName>
    <definedName name="OSRRefH16x_0" localSheetId="77">'406'!$H$17:$H$18</definedName>
    <definedName name="OSRRefH16x_0" localSheetId="79">'412'!$H$17</definedName>
    <definedName name="OSRRefH16x_0" localSheetId="80">'413'!$H$17:$H$18</definedName>
    <definedName name="OSRRefH16x_0" localSheetId="81">'414'!$H$17:$H$18</definedName>
    <definedName name="OSRRefH16x_0" localSheetId="82">'415'!$H$17:$H$18</definedName>
    <definedName name="OSRRefH16x_0" localSheetId="83">'418'!$H$17:$H$18</definedName>
    <definedName name="OSRRefH16x_0" localSheetId="85">'423'!$H$15</definedName>
    <definedName name="OSRRefH16x_0" localSheetId="86">'424'!$H$16:$H$17</definedName>
    <definedName name="OSRRefH16x_0" localSheetId="87">'425'!$H$17:$H$18</definedName>
    <definedName name="OSRRefH16x_0" localSheetId="91">'433'!$H$18:$H$19</definedName>
    <definedName name="OSRRefH16x_0" localSheetId="92">'435'!$H$18:$H$19</definedName>
    <definedName name="OSRRefH16x_0" localSheetId="93">'444'!$H$18:$H$19</definedName>
    <definedName name="OSRRefH16x_0" localSheetId="94">'450'!$H$18:$H$19</definedName>
    <definedName name="OSRRefH16x_0" localSheetId="75">'491'!$H$24:$H$25</definedName>
    <definedName name="OSRRefH16x_0" localSheetId="89">'492'!$H$20:$H$21</definedName>
    <definedName name="OSRRefH16x_0" localSheetId="47">'Div 3'!$H$109:$H$158</definedName>
    <definedName name="OSRRefH16x_0" localSheetId="73">'Div 4'!$H$25:$H$26</definedName>
    <definedName name="OSRRefH16x_0" localSheetId="64">'Div 6'!$H$40:$H$52</definedName>
    <definedName name="OSRRefH16x_0" localSheetId="2">Summary!$H$134:$H$190</definedName>
    <definedName name="OSRRefH22_0x_0" localSheetId="40">'200'!$H$20</definedName>
    <definedName name="OSRRefH22_0x_0" localSheetId="41">'201'!$H$20:$H$27</definedName>
    <definedName name="OSRRefH22_0x_0" localSheetId="42">'202'!$H$20:$H$27</definedName>
    <definedName name="OSRRefH22_0x_0" localSheetId="43">'203'!$H$20:$H$29</definedName>
    <definedName name="OSRRefH22_0x_0" localSheetId="44">'204'!$H$20:$H$28</definedName>
    <definedName name="OSRRefH22_0x_0" localSheetId="45">'205'!$H$20:$H$27</definedName>
    <definedName name="OSRRefH22_0x_0" localSheetId="46">'206'!$H$20:$H$26</definedName>
    <definedName name="OSRRefH22_0x_0" localSheetId="48">'300'!$H$159:$H$168</definedName>
    <definedName name="OSRRefH22_0x_0" localSheetId="49">'300 &amp; 317'!$H$184:$H$193</definedName>
    <definedName name="OSRRefH22_0x_0" localSheetId="50">'301'!$H$20:$H$28</definedName>
    <definedName name="OSRRefH22_0x_0" localSheetId="51">'306'!$H$20:$H$28</definedName>
    <definedName name="OSRRefH22_0x_0" localSheetId="53">'307'!$H$68:$H$75</definedName>
    <definedName name="OSRRefH22_0x_0" localSheetId="55">'308'!$H$61:$H$69</definedName>
    <definedName name="OSRRefH22_0x_0" localSheetId="67">'309'!$H$24:$H$31</definedName>
    <definedName name="OSRRefH22_0x_0" localSheetId="66">'310'!$H$30:$H$37</definedName>
    <definedName name="OSRRefH22_0x_0" localSheetId="74">'310 &amp; 491'!$H$37:$H$45</definedName>
    <definedName name="OSRRefH22_0x_0" localSheetId="56">'311'!$H$60:$H$68</definedName>
    <definedName name="OSRRefH22_0x_0" localSheetId="68">'313'!$H$27:$H$34</definedName>
    <definedName name="OSRRefH22_0x_0" localSheetId="54">'314'!$H$55:$H$61</definedName>
    <definedName name="OSRRefH22_0x_0" localSheetId="59">'315'!$H$79:$H$86</definedName>
    <definedName name="OSRRefH22_0x_0" localSheetId="62">'316'!$H$32:$H$39</definedName>
    <definedName name="OSRRefH22_0x_0" localSheetId="65">'317'!$H$58:$H$66</definedName>
    <definedName name="OSRRefH22_0x_0" localSheetId="63">'320'!$H$28:$H$34</definedName>
    <definedName name="OSRRefH22_0x_0" localSheetId="69">'321'!$H$24:$H$31</definedName>
    <definedName name="OSRRefH22_0x_0" localSheetId="70">'322'!$H$24:$H$31</definedName>
    <definedName name="OSRRefH22_0x_0" localSheetId="71">'325'!$H$24:$H$31</definedName>
    <definedName name="OSRRefH22_0x_0" localSheetId="60">'326'!$H$57:$H$64</definedName>
    <definedName name="OSRRefH22_0x_0" localSheetId="72">'327'!$H$22</definedName>
    <definedName name="OSRRefH22_0x_0" localSheetId="52">'330'!$H$77:$H$84</definedName>
    <definedName name="OSRRefH22_0x_0" localSheetId="58">'331'!$H$86:$H$93</definedName>
    <definedName name="OSRRefH22_0x_0" localSheetId="61">'332'!$H$40:$H$47</definedName>
    <definedName name="OSRRefH22_0x_0" localSheetId="76">'405'!$H$24:$H$31</definedName>
    <definedName name="OSRRefH22_0x_0" localSheetId="77">'406'!$H$24:$H$31</definedName>
    <definedName name="OSRRefH22_0x_0" localSheetId="78">'411'!$H$20:$H$28</definedName>
    <definedName name="OSRRefH22_0x_0" localSheetId="79">'412'!$H$23:$H$30</definedName>
    <definedName name="OSRRefH22_0x_0" localSheetId="80">'413'!$H$24:$H$31</definedName>
    <definedName name="OSRRefH22_0x_0" localSheetId="81">'414'!$H$24:$H$30</definedName>
    <definedName name="OSRRefH22_0x_0" localSheetId="82">'415'!$H$24:$H$31</definedName>
    <definedName name="OSRRefH22_0x_0" localSheetId="83">'418'!$H$24:$H$31</definedName>
    <definedName name="OSRRefH22_0x_0" localSheetId="84">'420'!$H$22:$H$28</definedName>
    <definedName name="OSRRefH22_0x_0" localSheetId="85">'423'!$H$21:$H$28</definedName>
    <definedName name="OSRRefH22_0x_0" localSheetId="86">'424'!$H$23:$H$24</definedName>
    <definedName name="OSRRefH22_0x_0" localSheetId="87">'425'!$H$24:$H$31</definedName>
    <definedName name="OSRRefH22_0x_0" localSheetId="90">'430'!$H$20:$H$27</definedName>
    <definedName name="OSRRefH22_0x_0" localSheetId="91">'433'!$H$25:$H$33</definedName>
    <definedName name="OSRRefH22_0x_0" localSheetId="92">'435'!$H$25:$H$27</definedName>
    <definedName name="OSRRefH22_0x_0" localSheetId="93">'444'!$H$25:$H$33</definedName>
    <definedName name="OSRRefH22_0x_0" localSheetId="94">'450'!$H$25:$H$33</definedName>
    <definedName name="OSRRefH22_0x_0" localSheetId="88">'455'!$H$20:$H$26</definedName>
    <definedName name="OSRRefH22_0x_0" localSheetId="75">'491'!$H$31:$H$39</definedName>
    <definedName name="OSRRefH22_0x_0" localSheetId="89">'492'!$H$27:$H$35</definedName>
    <definedName name="OSRRefH22_0x_0" localSheetId="96">'501'!$H$21:$H$29</definedName>
    <definedName name="OSRRefH22_0x_0" localSheetId="39">'Div 2'!$H$20:$H$30</definedName>
    <definedName name="OSRRefH22_0x_0" localSheetId="47">'Div 3'!$H$164:$H$173</definedName>
    <definedName name="OSRRefH22_0x_0" localSheetId="73">'Div 4'!$H$32:$H$40</definedName>
    <definedName name="OSRRefH22_0x_0" localSheetId="95">'Div 5'!$H$21:$H$29</definedName>
    <definedName name="OSRRefH22_0x_0" localSheetId="64">'Div 6'!$H$58:$H$66</definedName>
    <definedName name="OSRRefH22_0x_0" localSheetId="2">Summary!$H$196:$H$205</definedName>
    <definedName name="OSRRefH22_10x_0" localSheetId="41">'201'!$H$51:$H$53</definedName>
    <definedName name="OSRRefH22_10x_0" localSheetId="42">'202'!$H$53:$H$55</definedName>
    <definedName name="OSRRefH22_10x_0" localSheetId="43">'203'!$H$53:$H$54</definedName>
    <definedName name="OSRRefH22_10x_0" localSheetId="48">'300'!$H$197:$H$198</definedName>
    <definedName name="OSRRefH22_10x_0" localSheetId="49">'300 &amp; 317'!$H$222:$H$223</definedName>
    <definedName name="OSRRefH22_10x_0" localSheetId="50">'301'!$H$57</definedName>
    <definedName name="OSRRefH22_10x_0" localSheetId="53">'307'!$H$103</definedName>
    <definedName name="OSRRefH22_10x_0" localSheetId="55">'308'!$H$97</definedName>
    <definedName name="OSRRefH22_10x_0" localSheetId="67">'309'!$H$59</definedName>
    <definedName name="OSRRefH22_10x_0" localSheetId="66">'310'!$H$63</definedName>
    <definedName name="OSRRefH22_10x_0" localSheetId="74">'310 &amp; 491'!$H$73:$H$74</definedName>
    <definedName name="OSRRefH22_10x_0" localSheetId="56">'311'!$H$96</definedName>
    <definedName name="OSRRefH22_10x_0" localSheetId="68">'313'!$H$60:$H$64</definedName>
    <definedName name="OSRRefH22_10x_0" localSheetId="59">'315'!$H$117</definedName>
    <definedName name="OSRRefH22_10x_0" localSheetId="62">'316'!$H$68</definedName>
    <definedName name="OSRRefH22_10x_0" localSheetId="65">'317'!$H$93</definedName>
    <definedName name="OSRRefH22_10x_0" localSheetId="69">'321'!$H$62</definedName>
    <definedName name="OSRRefH22_10x_0" localSheetId="70">'322'!$H$57:$H$61</definedName>
    <definedName name="OSRRefH22_10x_0" localSheetId="71">'325'!$H$56</definedName>
    <definedName name="OSRRefH22_10x_0" localSheetId="60">'326'!$H$88</definedName>
    <definedName name="OSRRefH22_10x_0" localSheetId="52">'330'!$H$110:$H$112</definedName>
    <definedName name="OSRRefH22_10x_0" localSheetId="58">'331'!$H$120</definedName>
    <definedName name="OSRRefH22_10x_0" localSheetId="61">'332'!$H$72</definedName>
    <definedName name="OSRRefH22_10x_0" localSheetId="76">'405'!$H$56</definedName>
    <definedName name="OSRRefH22_10x_0" localSheetId="77">'406'!$H$57:$H$61</definedName>
    <definedName name="OSRRefH22_10x_0" localSheetId="78">'411'!$H$55</definedName>
    <definedName name="OSRRefH22_10x_0" localSheetId="79">'412'!$H$57:$H$62</definedName>
    <definedName name="OSRRefH22_10x_0" localSheetId="80">'413'!$H$61</definedName>
    <definedName name="OSRRefH22_10x_0" localSheetId="81">'414'!$H$54</definedName>
    <definedName name="OSRRefH22_10x_0" localSheetId="82">'415'!$H$56</definedName>
    <definedName name="OSRRefH22_10x_0" localSheetId="83">'418'!$H$60:$H$62</definedName>
    <definedName name="OSRRefH22_10x_0" localSheetId="86">'424'!$H$48</definedName>
    <definedName name="OSRRefH22_10x_0" localSheetId="87">'425'!$H$57</definedName>
    <definedName name="OSRRefH22_10x_0" localSheetId="91">'433'!$H$58</definedName>
    <definedName name="OSRRefH22_10x_0" localSheetId="93">'444'!$H$58</definedName>
    <definedName name="OSRRefH22_10x_0" localSheetId="94">'450'!$H$58</definedName>
    <definedName name="OSRRefH22_10x_0" localSheetId="75">'491'!$H$67:$H$68</definedName>
    <definedName name="OSRRefH22_10x_0" localSheetId="89">'492'!$H$61</definedName>
    <definedName name="OSRRefH22_10x_0" localSheetId="96">'501'!$H$58</definedName>
    <definedName name="OSRRefH22_10x_0" localSheetId="39">'Div 2'!$H$57</definedName>
    <definedName name="OSRRefH22_10x_0" localSheetId="47">'Div 3'!$H$202:$H$203</definedName>
    <definedName name="OSRRefH22_10x_0" localSheetId="73">'Div 4'!$H$68:$H$69</definedName>
    <definedName name="OSRRefH22_10x_0" localSheetId="95">'Div 5'!$H$58</definedName>
    <definedName name="OSRRefH22_10x_0" localSheetId="64">'Div 6'!$H$93</definedName>
    <definedName name="OSRRefH22_10x_0" localSheetId="2">Summary!$H$235:$H$236</definedName>
    <definedName name="OSRRefH22_11x_0" localSheetId="41">'201'!$H$55</definedName>
    <definedName name="OSRRefH22_11x_0" localSheetId="42">'202'!$H$57</definedName>
    <definedName name="OSRRefH22_11x_0" localSheetId="43">'203'!$H$56</definedName>
    <definedName name="OSRRefH22_11x_0" localSheetId="48">'300'!$H$200</definedName>
    <definedName name="OSRRefH22_11x_0" localSheetId="49">'300 &amp; 317'!$H$225</definedName>
    <definedName name="OSRRefH22_11x_0" localSheetId="50">'301'!$H$59</definedName>
    <definedName name="OSRRefH22_11x_0" localSheetId="53">'307'!$H$105</definedName>
    <definedName name="OSRRefH22_11x_0" localSheetId="55">'308'!$H$99:$H$101</definedName>
    <definedName name="OSRRefH22_11x_0" localSheetId="66">'310'!$H$65</definedName>
    <definedName name="OSRRefH22_11x_0" localSheetId="74">'310 &amp; 491'!$H$76:$H$77</definedName>
    <definedName name="OSRRefH22_11x_0" localSheetId="56">'311'!$H$98:$H$100</definedName>
    <definedName name="OSRRefH22_11x_0" localSheetId="68">'313'!$H$66</definedName>
    <definedName name="OSRRefH22_11x_0" localSheetId="59">'315'!$H$119</definedName>
    <definedName name="OSRRefH22_11x_0" localSheetId="62">'316'!$H$70</definedName>
    <definedName name="OSRRefH22_11x_0" localSheetId="65">'317'!$H$95</definedName>
    <definedName name="OSRRefH22_11x_0" localSheetId="69">'321'!$H$64</definedName>
    <definedName name="OSRRefH22_11x_0" localSheetId="70">'322'!$H$63</definedName>
    <definedName name="OSRRefH22_11x_0" localSheetId="71">'325'!$H$58:$H$60</definedName>
    <definedName name="OSRRefH22_11x_0" localSheetId="60">'326'!$H$90:$H$91</definedName>
    <definedName name="OSRRefH22_11x_0" localSheetId="52">'330'!$H$114</definedName>
    <definedName name="OSRRefH22_11x_0" localSheetId="58">'331'!$H$122</definedName>
    <definedName name="OSRRefH22_11x_0" localSheetId="61">'332'!$H$74:$H$79</definedName>
    <definedName name="OSRRefH22_11x_0" localSheetId="76">'405'!$H$58:$H$60</definedName>
    <definedName name="OSRRefH22_11x_0" localSheetId="77">'406'!$H$63</definedName>
    <definedName name="OSRRefH22_11x_0" localSheetId="78">'411'!$H$57</definedName>
    <definedName name="OSRRefH22_11x_0" localSheetId="79">'412'!$H$64</definedName>
    <definedName name="OSRRefH22_11x_0" localSheetId="81">'414'!$H$56</definedName>
    <definedName name="OSRRefH22_11x_0" localSheetId="82">'415'!$H$58:$H$60</definedName>
    <definedName name="OSRRefH22_11x_0" localSheetId="83">'418'!$H$64</definedName>
    <definedName name="OSRRefH22_11x_0" localSheetId="86">'424'!$H$50:$H$52</definedName>
    <definedName name="OSRRefH22_11x_0" localSheetId="87">'425'!$H$59:$H$60</definedName>
    <definedName name="OSRRefH22_11x_0" localSheetId="91">'433'!$H$60:$H$61</definedName>
    <definedName name="OSRRefH22_11x_0" localSheetId="93">'444'!$H$60:$H$61</definedName>
    <definedName name="OSRRefH22_11x_0" localSheetId="94">'450'!$H$60</definedName>
    <definedName name="OSRRefH22_11x_0" localSheetId="75">'491'!$H$70</definedName>
    <definedName name="OSRRefH22_11x_0" localSheetId="89">'492'!$H$63</definedName>
    <definedName name="OSRRefH22_11x_0" localSheetId="39">'Div 2'!$H$59</definedName>
    <definedName name="OSRRefH22_11x_0" localSheetId="47">'Div 3'!$H$205</definedName>
    <definedName name="OSRRefH22_11x_0" localSheetId="73">'Div 4'!$H$71</definedName>
    <definedName name="OSRRefH22_11x_0" localSheetId="64">'Div 6'!$H$95</definedName>
    <definedName name="OSRRefH22_11x_0" localSheetId="2">Summary!$H$238:$H$239</definedName>
    <definedName name="OSRRefH22_12x_0" localSheetId="41">'201'!$H$57:$H$60</definedName>
    <definedName name="OSRRefH22_12x_0" localSheetId="42">'202'!$H$59</definedName>
    <definedName name="OSRRefH22_12x_0" localSheetId="43">'203'!$H$58:$H$61</definedName>
    <definedName name="OSRRefH22_12x_0" localSheetId="48">'300'!$H$202</definedName>
    <definedName name="OSRRefH22_12x_0" localSheetId="49">'300 &amp; 317'!$H$227</definedName>
    <definedName name="OSRRefH22_12x_0" localSheetId="50">'301'!$H$61</definedName>
    <definedName name="OSRRefH22_12x_0" localSheetId="55">'308'!$H$103:$H$104</definedName>
    <definedName name="OSRRefH22_12x_0" localSheetId="66">'310'!$H$67</definedName>
    <definedName name="OSRRefH22_12x_0" localSheetId="74">'310 &amp; 491'!$H$79</definedName>
    <definedName name="OSRRefH22_12x_0" localSheetId="56">'311'!$H$102:$H$103</definedName>
    <definedName name="OSRRefH22_12x_0" localSheetId="68">'313'!$H$68</definedName>
    <definedName name="OSRRefH22_12x_0" localSheetId="59">'315'!$H$121</definedName>
    <definedName name="OSRRefH22_12x_0" localSheetId="70">'322'!$H$65</definedName>
    <definedName name="OSRRefH22_12x_0" localSheetId="71">'325'!$H$62:$H$64</definedName>
    <definedName name="OSRRefH22_12x_0" localSheetId="60">'326'!$H$93:$H$95</definedName>
    <definedName name="OSRRefH22_12x_0" localSheetId="52">'330'!$H$116</definedName>
    <definedName name="OSRRefH22_12x_0" localSheetId="58">'331'!$H$124:$H$125</definedName>
    <definedName name="OSRRefH22_12x_0" localSheetId="61">'332'!$H$81</definedName>
    <definedName name="OSRRefH22_12x_0" localSheetId="76">'405'!$H$62</definedName>
    <definedName name="OSRRefH22_12x_0" localSheetId="77">'406'!$H$65</definedName>
    <definedName name="OSRRefH22_12x_0" localSheetId="78">'411'!$H$59:$H$60</definedName>
    <definedName name="OSRRefH22_12x_0" localSheetId="79">'412'!$H$66</definedName>
    <definedName name="OSRRefH22_12x_0" localSheetId="81">'414'!$H$58:$H$64</definedName>
    <definedName name="OSRRefH22_12x_0" localSheetId="82">'415'!$H$62:$H$66</definedName>
    <definedName name="OSRRefH22_12x_0" localSheetId="83">'418'!$H$66:$H$71</definedName>
    <definedName name="OSRRefH22_12x_0" localSheetId="86">'424'!$H$54</definedName>
    <definedName name="OSRRefH22_12x_0" localSheetId="87">'425'!$H$62:$H$67</definedName>
    <definedName name="OSRRefH22_12x_0" localSheetId="91">'433'!$H$63:$H$65</definedName>
    <definedName name="OSRRefH22_12x_0" localSheetId="93">'444'!$H$63:$H$65</definedName>
    <definedName name="OSRRefH22_12x_0" localSheetId="94">'450'!$H$62</definedName>
    <definedName name="OSRRefH22_12x_0" localSheetId="75">'491'!$H$72</definedName>
    <definedName name="OSRRefH22_12x_0" localSheetId="89">'492'!$H$65:$H$67</definedName>
    <definedName name="OSRRefH22_12x_0" localSheetId="39">'Div 2'!$H$61:$H$64</definedName>
    <definedName name="OSRRefH22_12x_0" localSheetId="47">'Div 3'!$H$207</definedName>
    <definedName name="OSRRefH22_12x_0" localSheetId="73">'Div 4'!$H$73</definedName>
    <definedName name="OSRRefH22_12x_0" localSheetId="2">Summary!$H$241</definedName>
    <definedName name="OSRRefH22_13x_0" localSheetId="41">'201'!$H$62</definedName>
    <definedName name="OSRRefH22_13x_0" localSheetId="42">'202'!$H$61</definedName>
    <definedName name="OSRRefH22_13x_0" localSheetId="43">'203'!$H$63</definedName>
    <definedName name="OSRRefH22_13x_0" localSheetId="48">'300'!$H$204</definedName>
    <definedName name="OSRRefH22_13x_0" localSheetId="49">'300 &amp; 317'!$H$229</definedName>
    <definedName name="OSRRefH22_13x_0" localSheetId="50">'301'!$H$63</definedName>
    <definedName name="OSRRefH22_13x_0" localSheetId="55">'308'!$H$106</definedName>
    <definedName name="OSRRefH22_13x_0" localSheetId="66">'310'!$H$69</definedName>
    <definedName name="OSRRefH22_13x_0" localSheetId="74">'310 &amp; 491'!$H$81</definedName>
    <definedName name="OSRRefH22_13x_0" localSheetId="56">'311'!$H$105</definedName>
    <definedName name="OSRRefH22_13x_0" localSheetId="71">'325'!$H$66</definedName>
    <definedName name="OSRRefH22_13x_0" localSheetId="60">'326'!$H$97</definedName>
    <definedName name="OSRRefH22_13x_0" localSheetId="58">'331'!$H$127:$H$128</definedName>
    <definedName name="OSRRefH22_13x_0" localSheetId="61">'332'!$H$83</definedName>
    <definedName name="OSRRefH22_13x_0" localSheetId="76">'405'!$H$64:$H$70</definedName>
    <definedName name="OSRRefH22_13x_0" localSheetId="78">'411'!$H$62:$H$66</definedName>
    <definedName name="OSRRefH22_13x_0" localSheetId="81">'414'!$H$66</definedName>
    <definedName name="OSRRefH22_13x_0" localSheetId="82">'415'!$H$68</definedName>
    <definedName name="OSRRefH22_13x_0" localSheetId="83">'418'!$H$73</definedName>
    <definedName name="OSRRefH22_13x_0" localSheetId="87">'425'!$H$69</definedName>
    <definedName name="OSRRefH22_13x_0" localSheetId="91">'433'!$H$67:$H$73</definedName>
    <definedName name="OSRRefH22_13x_0" localSheetId="93">'444'!$H$67:$H$75</definedName>
    <definedName name="OSRRefH22_13x_0" localSheetId="94">'450'!$H$64:$H$66</definedName>
    <definedName name="OSRRefH22_13x_0" localSheetId="75">'491'!$H$74</definedName>
    <definedName name="OSRRefH22_13x_0" localSheetId="89">'492'!$H$69:$H$71</definedName>
    <definedName name="OSRRefH22_13x_0" localSheetId="39">'Div 2'!$H$66:$H$68</definedName>
    <definedName name="OSRRefH22_13x_0" localSheetId="47">'Div 3'!$H$209</definedName>
    <definedName name="OSRRefH22_13x_0" localSheetId="73">'Div 4'!$H$75</definedName>
    <definedName name="OSRRefH22_13x_0" localSheetId="2">Summary!$H$243</definedName>
    <definedName name="OSRRefH22_14x_0" localSheetId="41">'201'!$H$64</definedName>
    <definedName name="OSRRefH22_14x_0" localSheetId="43">'203'!$H$65</definedName>
    <definedName name="OSRRefH22_14x_0" localSheetId="48">'300'!$H$206</definedName>
    <definedName name="OSRRefH22_14x_0" localSheetId="49">'300 &amp; 317'!$H$231</definedName>
    <definedName name="OSRRefH22_14x_0" localSheetId="50">'301'!$H$65</definedName>
    <definedName name="OSRRefH22_14x_0" localSheetId="55">'308'!$H$108</definedName>
    <definedName name="OSRRefH22_14x_0" localSheetId="66">'310'!$H$71:$H$73</definedName>
    <definedName name="OSRRefH22_14x_0" localSheetId="74">'310 &amp; 491'!$H$83</definedName>
    <definedName name="OSRRefH22_14x_0" localSheetId="56">'311'!$H$107</definedName>
    <definedName name="OSRRefH22_14x_0" localSheetId="71">'325'!$H$68:$H$72</definedName>
    <definedName name="OSRRefH22_14x_0" localSheetId="60">'326'!$H$99:$H$101</definedName>
    <definedName name="OSRRefH22_14x_0" localSheetId="58">'331'!$H$130:$H$132</definedName>
    <definedName name="OSRRefH22_14x_0" localSheetId="61">'332'!$H$85</definedName>
    <definedName name="OSRRefH22_14x_0" localSheetId="76">'405'!$H$72</definedName>
    <definedName name="OSRRefH22_14x_0" localSheetId="78">'411'!$H$68:$H$73</definedName>
    <definedName name="OSRRefH22_14x_0" localSheetId="81">'414'!$H$68</definedName>
    <definedName name="OSRRefH22_14x_0" localSheetId="82">'415'!$H$70:$H$76</definedName>
    <definedName name="OSRRefH22_14x_0" localSheetId="83">'418'!$H$75</definedName>
    <definedName name="OSRRefH22_14x_0" localSheetId="87">'425'!$H$71</definedName>
    <definedName name="OSRRefH22_14x_0" localSheetId="91">'433'!$H$75</definedName>
    <definedName name="OSRRefH22_14x_0" localSheetId="93">'444'!$H$77</definedName>
    <definedName name="OSRRefH22_14x_0" localSheetId="94">'450'!$H$68:$H$73</definedName>
    <definedName name="OSRRefH22_14x_0" localSheetId="75">'491'!$H$76</definedName>
    <definedName name="OSRRefH22_14x_0" localSheetId="89">'492'!$H$73:$H$81</definedName>
    <definedName name="OSRRefH22_14x_0" localSheetId="39">'Div 2'!$H$70:$H$71</definedName>
    <definedName name="OSRRefH22_14x_0" localSheetId="47">'Div 3'!$H$211</definedName>
    <definedName name="OSRRefH22_14x_0" localSheetId="73">'Div 4'!$H$77</definedName>
    <definedName name="OSRRefH22_14x_0" localSheetId="2">Summary!$H$245</definedName>
    <definedName name="OSRRefH22_15x_0" localSheetId="41">'201'!$H$66</definedName>
    <definedName name="OSRRefH22_15x_0" localSheetId="43">'203'!$H$67</definedName>
    <definedName name="OSRRefH22_15x_0" localSheetId="48">'300'!$H$208</definedName>
    <definedName name="OSRRefH22_15x_0" localSheetId="49">'300 &amp; 317'!$H$233</definedName>
    <definedName name="OSRRefH22_15x_0" localSheetId="50">'301'!$H$67:$H$70</definedName>
    <definedName name="OSRRefH22_15x_0" localSheetId="66">'310'!$H$75</definedName>
    <definedName name="OSRRefH22_15x_0" localSheetId="74">'310 &amp; 491'!$H$85</definedName>
    <definedName name="OSRRefH22_15x_0" localSheetId="71">'325'!$H$74</definedName>
    <definedName name="OSRRefH22_15x_0" localSheetId="60">'326'!$H$103</definedName>
    <definedName name="OSRRefH22_15x_0" localSheetId="58">'331'!$H$134</definedName>
    <definedName name="OSRRefH22_15x_0" localSheetId="76">'405'!$H$74</definedName>
    <definedName name="OSRRefH22_15x_0" localSheetId="78">'411'!$H$75</definedName>
    <definedName name="OSRRefH22_15x_0" localSheetId="82">'415'!$H$78</definedName>
    <definedName name="OSRRefH22_15x_0" localSheetId="91">'433'!$H$77</definedName>
    <definedName name="OSRRefH22_15x_0" localSheetId="93">'444'!$H$79</definedName>
    <definedName name="OSRRefH22_15x_0" localSheetId="94">'450'!$H$75</definedName>
    <definedName name="OSRRefH22_15x_0" localSheetId="75">'491'!$H$78:$H$80</definedName>
    <definedName name="OSRRefH22_15x_0" localSheetId="89">'492'!$H$83</definedName>
    <definedName name="OSRRefH22_15x_0" localSheetId="39">'Div 2'!$H$73</definedName>
    <definedName name="OSRRefH22_15x_0" localSheetId="47">'Div 3'!$H$213</definedName>
    <definedName name="OSRRefH22_15x_0" localSheetId="73">'Div 4'!$H$79</definedName>
    <definedName name="OSRRefH22_15x_0" localSheetId="2">Summary!$H$247</definedName>
    <definedName name="OSRRefH22_16x_0" localSheetId="48">'300'!$H$210:$H$213</definedName>
    <definedName name="OSRRefH22_16x_0" localSheetId="49">'300 &amp; 317'!$H$235:$H$238</definedName>
    <definedName name="OSRRefH22_16x_0" localSheetId="50">'301'!$H$72:$H$74</definedName>
    <definedName name="OSRRefH22_16x_0" localSheetId="66">'310'!$H$77:$H$80</definedName>
    <definedName name="OSRRefH22_16x_0" localSheetId="74">'310 &amp; 491'!$H$87:$H$89</definedName>
    <definedName name="OSRRefH22_16x_0" localSheetId="71">'325'!$H$76</definedName>
    <definedName name="OSRRefH22_16x_0" localSheetId="60">'326'!$H$105</definedName>
    <definedName name="OSRRefH22_16x_0" localSheetId="58">'331'!$H$136:$H$140</definedName>
    <definedName name="OSRRefH22_16x_0" localSheetId="76">'405'!$H$76</definedName>
    <definedName name="OSRRefH22_16x_0" localSheetId="78">'411'!$H$77</definedName>
    <definedName name="OSRRefH22_16x_0" localSheetId="82">'415'!$H$80</definedName>
    <definedName name="OSRRefH22_16x_0" localSheetId="91">'433'!$H$79</definedName>
    <definedName name="OSRRefH22_16x_0" localSheetId="93">'444'!$H$81</definedName>
    <definedName name="OSRRefH22_16x_0" localSheetId="94">'450'!$H$77</definedName>
    <definedName name="OSRRefH22_16x_0" localSheetId="75">'491'!$H$82:$H$83</definedName>
    <definedName name="OSRRefH22_16x_0" localSheetId="89">'492'!$H$85</definedName>
    <definedName name="OSRRefH22_16x_0" localSheetId="39">'Div 2'!$H$75:$H$79</definedName>
    <definedName name="OSRRefH22_16x_0" localSheetId="47">'Div 3'!$H$215</definedName>
    <definedName name="OSRRefH22_16x_0" localSheetId="73">'Div 4'!$H$81:$H$83</definedName>
    <definedName name="OSRRefH22_16x_0" localSheetId="2">Summary!$H$249</definedName>
    <definedName name="OSRRefH22_17x_0" localSheetId="48">'300'!$H$215:$H$217</definedName>
    <definedName name="OSRRefH22_17x_0" localSheetId="49">'300 &amp; 317'!$H$240:$H$242</definedName>
    <definedName name="OSRRefH22_17x_0" localSheetId="50">'301'!$H$76</definedName>
    <definedName name="OSRRefH22_17x_0" localSheetId="66">'310'!$H$82</definedName>
    <definedName name="OSRRefH22_17x_0" localSheetId="74">'310 &amp; 491'!$H$91:$H$92</definedName>
    <definedName name="OSRRefH22_17x_0" localSheetId="60">'326'!$H$107</definedName>
    <definedName name="OSRRefH22_17x_0" localSheetId="58">'331'!$H$142</definedName>
    <definedName name="OSRRefH22_17x_0" localSheetId="78">'411'!$H$79:$H$81</definedName>
    <definedName name="OSRRefH22_17x_0" localSheetId="82">'415'!$H$82</definedName>
    <definedName name="OSRRefH22_17x_0" localSheetId="94">'450'!$H$79</definedName>
    <definedName name="OSRRefH22_17x_0" localSheetId="75">'491'!$H$85:$H$89</definedName>
    <definedName name="OSRRefH22_17x_0" localSheetId="89">'492'!$H$87</definedName>
    <definedName name="OSRRefH22_17x_0" localSheetId="39">'Div 2'!$H$81:$H$82</definedName>
    <definedName name="OSRRefH22_17x_0" localSheetId="47">'Div 3'!$H$217:$H$220</definedName>
    <definedName name="OSRRefH22_17x_0" localSheetId="73">'Div 4'!$H$85:$H$86</definedName>
    <definedName name="OSRRefH22_17x_0" localSheetId="2">Summary!$H$251</definedName>
    <definedName name="OSRRefH22_18x_0" localSheetId="48">'300'!$H$219:$H$222</definedName>
    <definedName name="OSRRefH22_18x_0" localSheetId="49">'300 &amp; 317'!$H$244:$H$247</definedName>
    <definedName name="OSRRefH22_18x_0" localSheetId="50">'301'!$H$78:$H$83</definedName>
    <definedName name="OSRRefH22_18x_0" localSheetId="66">'310'!$H$84:$H$90</definedName>
    <definedName name="OSRRefH22_18x_0" localSheetId="74">'310 &amp; 491'!$H$94:$H$98</definedName>
    <definedName name="OSRRefH22_18x_0" localSheetId="58">'331'!$H$144</definedName>
    <definedName name="OSRRefH22_18x_0" localSheetId="78">'411'!$H$83</definedName>
    <definedName name="OSRRefH22_18x_0" localSheetId="75">'491'!$H$91</definedName>
    <definedName name="OSRRefH22_18x_0" localSheetId="39">'Div 2'!$H$84</definedName>
    <definedName name="OSRRefH22_18x_0" localSheetId="47">'Div 3'!$H$222:$H$224</definedName>
    <definedName name="OSRRefH22_18x_0" localSheetId="73">'Div 4'!$H$88:$H$92</definedName>
    <definedName name="OSRRefH22_18x_0" localSheetId="2">Summary!$H$253:$H$256</definedName>
    <definedName name="OSRRefH22_19x_0" localSheetId="48">'300'!$H$224:$H$225</definedName>
    <definedName name="OSRRefH22_19x_0" localSheetId="49">'300 &amp; 317'!$H$249:$H$250</definedName>
    <definedName name="OSRRefH22_19x_0" localSheetId="50">'301'!$H$85</definedName>
    <definedName name="OSRRefH22_19x_0" localSheetId="66">'310'!$H$92</definedName>
    <definedName name="OSRRefH22_19x_0" localSheetId="74">'310 &amp; 491'!$H$100</definedName>
    <definedName name="OSRRefH22_19x_0" localSheetId="58">'331'!$H$146:$H$147</definedName>
    <definedName name="OSRRefH22_19x_0" localSheetId="75">'491'!$H$93:$H$101</definedName>
    <definedName name="OSRRefH22_19x_0" localSheetId="39">'Div 2'!$H$86:$H$87</definedName>
    <definedName name="OSRRefH22_19x_0" localSheetId="47">'Div 3'!$H$226:$H$230</definedName>
    <definedName name="OSRRefH22_19x_0" localSheetId="73">'Div 4'!$H$94</definedName>
    <definedName name="OSRRefH22_19x_0" localSheetId="2">Summary!$H$258:$H$260</definedName>
    <definedName name="OSRRefH22_1x_0" localSheetId="40">'200'!$H$22</definedName>
    <definedName name="OSRRefH22_1x_0" localSheetId="41">'201'!$H$29:$H$31</definedName>
    <definedName name="OSRRefH22_1x_0" localSheetId="42">'202'!$H$29:$H$32</definedName>
    <definedName name="OSRRefH22_1x_0" localSheetId="43">'203'!$H$31:$H$34</definedName>
    <definedName name="OSRRefH22_1x_0" localSheetId="44">'204'!$H$30:$H$34</definedName>
    <definedName name="OSRRefH22_1x_0" localSheetId="45">'205'!$H$29</definedName>
    <definedName name="OSRRefH22_1x_0" localSheetId="46">'206'!$H$28:$H$31</definedName>
    <definedName name="OSRRefH22_1x_0" localSheetId="48">'300'!$H$170:$H$176</definedName>
    <definedName name="OSRRefH22_1x_0" localSheetId="49">'300 &amp; 317'!$H$195:$H$201</definedName>
    <definedName name="OSRRefH22_1x_0" localSheetId="50">'301'!$H$30:$H$36</definedName>
    <definedName name="OSRRefH22_1x_0" localSheetId="51">'306'!$H$30:$H$35</definedName>
    <definedName name="OSRRefH22_1x_0" localSheetId="53">'307'!$H$77:$H$80</definedName>
    <definedName name="OSRRefH22_1x_0" localSheetId="55">'308'!$H$71:$H$76</definedName>
    <definedName name="OSRRefH22_1x_0" localSheetId="67">'309'!$H$33:$H$37</definedName>
    <definedName name="OSRRefH22_1x_0" localSheetId="66">'310'!$H$39:$H$44</definedName>
    <definedName name="OSRRefH22_1x_0" localSheetId="74">'310 &amp; 491'!$H$47:$H$53</definedName>
    <definedName name="OSRRefH22_1x_0" localSheetId="56">'311'!$H$70:$H$75</definedName>
    <definedName name="OSRRefH22_1x_0" localSheetId="68">'313'!$H$36:$H$40</definedName>
    <definedName name="OSRRefH22_1x_0" localSheetId="54">'314'!$H$63:$H$64</definedName>
    <definedName name="OSRRefH22_1x_0" localSheetId="59">'315'!$H$88:$H$93</definedName>
    <definedName name="OSRRefH22_1x_0" localSheetId="62">'316'!$H$41:$H$43</definedName>
    <definedName name="OSRRefH22_1x_0" localSheetId="65">'317'!$H$68:$H$72</definedName>
    <definedName name="OSRRefH22_1x_0" localSheetId="63">'320'!$H$36:$H$38</definedName>
    <definedName name="OSRRefH22_1x_0" localSheetId="69">'321'!$H$33:$H$37</definedName>
    <definedName name="OSRRefH22_1x_0" localSheetId="70">'322'!$H$33:$H$36</definedName>
    <definedName name="OSRRefH22_1x_0" localSheetId="71">'325'!$H$33:$H$37</definedName>
    <definedName name="OSRRefH22_1x_0" localSheetId="60">'326'!$H$66:$H$70</definedName>
    <definedName name="OSRRefH22_1x_0" localSheetId="72">'327'!$H$24</definedName>
    <definedName name="OSRRefH22_1x_0" localSheetId="52">'330'!$H$86:$H$89</definedName>
    <definedName name="OSRRefH22_1x_0" localSheetId="58">'331'!$H$95:$H$100</definedName>
    <definedName name="OSRRefH22_1x_0" localSheetId="61">'332'!$H$49:$H$52</definedName>
    <definedName name="OSRRefH22_1x_0" localSheetId="76">'405'!$H$33:$H$36</definedName>
    <definedName name="OSRRefH22_1x_0" localSheetId="77">'406'!$H$33:$H$37</definedName>
    <definedName name="OSRRefH22_1x_0" localSheetId="78">'411'!$H$30:$H$35</definedName>
    <definedName name="OSRRefH22_1x_0" localSheetId="79">'412'!$H$32:$H$37</definedName>
    <definedName name="OSRRefH22_1x_0" localSheetId="80">'413'!$H$33:$H$36</definedName>
    <definedName name="OSRRefH22_1x_0" localSheetId="81">'414'!$H$32:$H$35</definedName>
    <definedName name="OSRRefH22_1x_0" localSheetId="82">'415'!$H$33:$H$37</definedName>
    <definedName name="OSRRefH22_1x_0" localSheetId="83">'418'!$H$33:$H$38</definedName>
    <definedName name="OSRRefH22_1x_0" localSheetId="84">'420'!$H$30:$H$33</definedName>
    <definedName name="OSRRefH22_1x_0" localSheetId="85">'423'!$H$30</definedName>
    <definedName name="OSRRefH22_1x_0" localSheetId="86">'424'!$H$26:$H$29</definedName>
    <definedName name="OSRRefH22_1x_0" localSheetId="87">'425'!$H$33:$H$37</definedName>
    <definedName name="OSRRefH22_1x_0" localSheetId="90">'430'!$H$29</definedName>
    <definedName name="OSRRefH22_1x_0" localSheetId="91">'433'!$H$35:$H$40</definedName>
    <definedName name="OSRRefH22_1x_0" localSheetId="92">'435'!$H$29:$H$30</definedName>
    <definedName name="OSRRefH22_1x_0" localSheetId="93">'444'!$H$35:$H$40</definedName>
    <definedName name="OSRRefH22_1x_0" localSheetId="94">'450'!$H$35:$H$40</definedName>
    <definedName name="OSRRefH22_1x_0" localSheetId="88">'455'!$H$28:$H$29</definedName>
    <definedName name="OSRRefH22_1x_0" localSheetId="75">'491'!$H$41:$H$47</definedName>
    <definedName name="OSRRefH22_1x_0" localSheetId="89">'492'!$H$37:$H$43</definedName>
    <definedName name="OSRRefH22_1x_0" localSheetId="96">'501'!$H$31:$H$35</definedName>
    <definedName name="OSRRefH22_1x_0" localSheetId="39">'Div 2'!$H$32:$H$38</definedName>
    <definedName name="OSRRefH22_1x_0" localSheetId="47">'Div 3'!$H$175:$H$181</definedName>
    <definedName name="OSRRefH22_1x_0" localSheetId="73">'Div 4'!$H$42:$H$48</definedName>
    <definedName name="OSRRefH22_1x_0" localSheetId="95">'Div 5'!$H$31:$H$35</definedName>
    <definedName name="OSRRefH22_1x_0" localSheetId="64">'Div 6'!$H$68:$H$72</definedName>
    <definedName name="OSRRefH22_1x_0" localSheetId="2">Summary!$H$207:$H$213</definedName>
    <definedName name="OSRRefH22_20x_0" localSheetId="48">'300'!$H$227:$H$233</definedName>
    <definedName name="OSRRefH22_20x_0" localSheetId="49">'300 &amp; 317'!$H$252:$H$258</definedName>
    <definedName name="OSRRefH22_20x_0" localSheetId="50">'301'!$H$87</definedName>
    <definedName name="OSRRefH22_20x_0" localSheetId="66">'310'!$H$94</definedName>
    <definedName name="OSRRefH22_20x_0" localSheetId="74">'310 &amp; 491'!$H$102:$H$110</definedName>
    <definedName name="OSRRefH22_20x_0" localSheetId="58">'331'!$H$149</definedName>
    <definedName name="OSRRefH22_20x_0" localSheetId="75">'491'!$H$103</definedName>
    <definedName name="OSRRefH22_20x_0" localSheetId="47">'Div 3'!$H$232:$H$233</definedName>
    <definedName name="OSRRefH22_20x_0" localSheetId="73">'Div 4'!$H$96:$H$104</definedName>
    <definedName name="OSRRefH22_20x_0" localSheetId="2">Summary!$H$262:$H$266</definedName>
    <definedName name="OSRRefH22_21x_0" localSheetId="48">'300'!$H$235:$H$236</definedName>
    <definedName name="OSRRefH22_21x_0" localSheetId="49">'300 &amp; 317'!$H$260:$H$261</definedName>
    <definedName name="OSRRefH22_21x_0" localSheetId="50">'301'!$H$89:$H$90</definedName>
    <definedName name="OSRRefH22_21x_0" localSheetId="66">'310'!$H$96</definedName>
    <definedName name="OSRRefH22_21x_0" localSheetId="74">'310 &amp; 491'!$H$112</definedName>
    <definedName name="OSRRefH22_21x_0" localSheetId="75">'491'!$H$105</definedName>
    <definedName name="OSRRefH22_21x_0" localSheetId="47">'Div 3'!$H$235:$H$241</definedName>
    <definedName name="OSRRefH22_21x_0" localSheetId="73">'Div 4'!$H$106</definedName>
    <definedName name="OSRRefH22_21x_0" localSheetId="2">Summary!$H$268:$H$269</definedName>
    <definedName name="OSRRefH22_22x_0" localSheetId="48">'300'!$H$238</definedName>
    <definedName name="OSRRefH22_22x_0" localSheetId="49">'300 &amp; 317'!$H$263</definedName>
    <definedName name="OSRRefH22_22x_0" localSheetId="50">'301'!$H$92</definedName>
    <definedName name="OSRRefH22_22x_0" localSheetId="74">'310 &amp; 491'!$H$114</definedName>
    <definedName name="OSRRefH22_22x_0" localSheetId="75">'491'!$H$107:$H$109</definedName>
    <definedName name="OSRRefH22_22x_0" localSheetId="47">'Div 3'!$H$243:$H$244</definedName>
    <definedName name="OSRRefH22_22x_0" localSheetId="73">'Div 4'!$H$108</definedName>
    <definedName name="OSRRefH22_22x_0" localSheetId="2">Summary!$H$271:$H$279</definedName>
    <definedName name="OSRRefH22_23x_0" localSheetId="48">'300'!$H$240:$H$242</definedName>
    <definedName name="OSRRefH22_23x_0" localSheetId="49">'300 &amp; 317'!$H$265:$H$267</definedName>
    <definedName name="OSRRefH22_23x_0" localSheetId="74">'310 &amp; 491'!$H$116:$H$118</definedName>
    <definedName name="OSRRefH22_23x_0" localSheetId="75">'491'!$H$111</definedName>
    <definedName name="OSRRefH22_23x_0" localSheetId="47">'Div 3'!$H$246</definedName>
    <definedName name="OSRRefH22_23x_0" localSheetId="73">'Div 4'!$H$110:$H$112</definedName>
    <definedName name="OSRRefH22_23x_0" localSheetId="2">Summary!$H$281:$H$282</definedName>
    <definedName name="OSRRefH22_24x_0" localSheetId="48">'300'!$H$244</definedName>
    <definedName name="OSRRefH22_24x_0" localSheetId="49">'300 &amp; 317'!$H$269</definedName>
    <definedName name="OSRRefH22_24x_0" localSheetId="74">'310 &amp; 491'!$H$120</definedName>
    <definedName name="OSRRefH22_24x_0" localSheetId="47">'Div 3'!$H$248:$H$250</definedName>
    <definedName name="OSRRefH22_24x_0" localSheetId="73">'Div 4'!$H$114</definedName>
    <definedName name="OSRRefH22_24x_0" localSheetId="2">Summary!$H$284</definedName>
    <definedName name="OSRRefH22_25x_0" localSheetId="47">'Div 3'!$H$252</definedName>
    <definedName name="OSRRefH22_25x_0" localSheetId="2">Summary!$H$286:$H$288</definedName>
    <definedName name="OSRRefH22_26x_0" localSheetId="2">Summary!$H$290</definedName>
    <definedName name="OSRRefH22_2x_0" localSheetId="40">'200'!$H$24</definedName>
    <definedName name="OSRRefH22_2x_0" localSheetId="41">'201'!$H$33</definedName>
    <definedName name="OSRRefH22_2x_0" localSheetId="42">'202'!$H$34</definedName>
    <definedName name="OSRRefH22_2x_0" localSheetId="43">'203'!$H$36</definedName>
    <definedName name="OSRRefH22_2x_0" localSheetId="44">'204'!$H$36</definedName>
    <definedName name="OSRRefH22_2x_0" localSheetId="45">'205'!$H$31</definedName>
    <definedName name="OSRRefH22_2x_0" localSheetId="46">'206'!$H$33</definedName>
    <definedName name="OSRRefH22_2x_0" localSheetId="48">'300'!$H$178</definedName>
    <definedName name="OSRRefH22_2x_0" localSheetId="49">'300 &amp; 317'!$H$203</definedName>
    <definedName name="OSRRefH22_2x_0" localSheetId="50">'301'!$H$38</definedName>
    <definedName name="OSRRefH22_2x_0" localSheetId="51">'306'!$H$37</definedName>
    <definedName name="OSRRefH22_2x_0" localSheetId="53">'307'!$H$82</definedName>
    <definedName name="OSRRefH22_2x_0" localSheetId="55">'308'!$H$78</definedName>
    <definedName name="OSRRefH22_2x_0" localSheetId="67">'309'!$H$39</definedName>
    <definedName name="OSRRefH22_2x_0" localSheetId="66">'310'!$H$46</definedName>
    <definedName name="OSRRefH22_2x_0" localSheetId="74">'310 &amp; 491'!$H$55</definedName>
    <definedName name="OSRRefH22_2x_0" localSheetId="56">'311'!$H$77</definedName>
    <definedName name="OSRRefH22_2x_0" localSheetId="68">'313'!$H$42</definedName>
    <definedName name="OSRRefH22_2x_0" localSheetId="54">'314'!$H$66</definedName>
    <definedName name="OSRRefH22_2x_0" localSheetId="59">'315'!$H$95</definedName>
    <definedName name="OSRRefH22_2x_0" localSheetId="62">'316'!$H$45</definedName>
    <definedName name="OSRRefH22_2x_0" localSheetId="65">'317'!$H$74</definedName>
    <definedName name="OSRRefH22_2x_0" localSheetId="63">'320'!$H$40</definedName>
    <definedName name="OSRRefH22_2x_0" localSheetId="69">'321'!$H$39</definedName>
    <definedName name="OSRRefH22_2x_0" localSheetId="70">'322'!$H$38</definedName>
    <definedName name="OSRRefH22_2x_0" localSheetId="71">'325'!$H$39</definedName>
    <definedName name="OSRRefH22_2x_0" localSheetId="60">'326'!$H$72</definedName>
    <definedName name="OSRRefH22_2x_0" localSheetId="72">'327'!$H$26</definedName>
    <definedName name="OSRRefH22_2x_0" localSheetId="52">'330'!$H$91</definedName>
    <definedName name="OSRRefH22_2x_0" localSheetId="58">'331'!$H$102</definedName>
    <definedName name="OSRRefH22_2x_0" localSheetId="61">'332'!$H$54</definedName>
    <definedName name="OSRRefH22_2x_0" localSheetId="76">'405'!$H$38</definedName>
    <definedName name="OSRRefH22_2x_0" localSheetId="77">'406'!$H$39</definedName>
    <definedName name="OSRRefH22_2x_0" localSheetId="78">'411'!$H$37</definedName>
    <definedName name="OSRRefH22_2x_0" localSheetId="79">'412'!$H$39</definedName>
    <definedName name="OSRRefH22_2x_0" localSheetId="80">'413'!$H$38</definedName>
    <definedName name="OSRRefH22_2x_0" localSheetId="81">'414'!$H$37</definedName>
    <definedName name="OSRRefH22_2x_0" localSheetId="82">'415'!$H$39</definedName>
    <definedName name="OSRRefH22_2x_0" localSheetId="83">'418'!$H$40</definedName>
    <definedName name="OSRRefH22_2x_0" localSheetId="84">'420'!$H$35</definedName>
    <definedName name="OSRRefH22_2x_0" localSheetId="85">'423'!$H$32</definedName>
    <definedName name="OSRRefH22_2x_0" localSheetId="86">'424'!$H$31</definedName>
    <definedName name="OSRRefH22_2x_0" localSheetId="87">'425'!$H$39</definedName>
    <definedName name="OSRRefH22_2x_0" localSheetId="90">'430'!$H$31</definedName>
    <definedName name="OSRRefH22_2x_0" localSheetId="91">'433'!$H$42</definedName>
    <definedName name="OSRRefH22_2x_0" localSheetId="92">'435'!$H$32</definedName>
    <definedName name="OSRRefH22_2x_0" localSheetId="93">'444'!$H$42</definedName>
    <definedName name="OSRRefH22_2x_0" localSheetId="94">'450'!$H$42</definedName>
    <definedName name="OSRRefH22_2x_0" localSheetId="75">'491'!$H$49</definedName>
    <definedName name="OSRRefH22_2x_0" localSheetId="89">'492'!$H$45</definedName>
    <definedName name="OSRRefH22_2x_0" localSheetId="96">'501'!$H$37</definedName>
    <definedName name="OSRRefH22_2x_0" localSheetId="39">'Div 2'!$H$40</definedName>
    <definedName name="OSRRefH22_2x_0" localSheetId="47">'Div 3'!$H$183</definedName>
    <definedName name="OSRRefH22_2x_0" localSheetId="73">'Div 4'!$H$50</definedName>
    <definedName name="OSRRefH22_2x_0" localSheetId="95">'Div 5'!$H$37</definedName>
    <definedName name="OSRRefH22_2x_0" localSheetId="64">'Div 6'!$H$74</definedName>
    <definedName name="OSRRefH22_2x_0" localSheetId="2">Summary!$H$215</definedName>
    <definedName name="OSRRefH22_3x_0" localSheetId="40">'200'!$H$26:$H$27</definedName>
    <definedName name="OSRRefH22_3x_0" localSheetId="41">'201'!$H$35</definedName>
    <definedName name="OSRRefH22_3x_0" localSheetId="42">'202'!$H$36</definedName>
    <definedName name="OSRRefH22_3x_0" localSheetId="43">'203'!$H$38</definedName>
    <definedName name="OSRRefH22_3x_0" localSheetId="44">'204'!$H$38</definedName>
    <definedName name="OSRRefH22_3x_0" localSheetId="45">'205'!$H$33</definedName>
    <definedName name="OSRRefH22_3x_0" localSheetId="46">'206'!$H$35</definedName>
    <definedName name="OSRRefH22_3x_0" localSheetId="48">'300'!$H$180:$H$181</definedName>
    <definedName name="OSRRefH22_3x_0" localSheetId="49">'300 &amp; 317'!$H$205:$H$206</definedName>
    <definedName name="OSRRefH22_3x_0" localSheetId="50">'301'!$H$40:$H$41</definedName>
    <definedName name="OSRRefH22_3x_0" localSheetId="51">'306'!$H$39</definedName>
    <definedName name="OSRRefH22_3x_0" localSheetId="53">'307'!$H$84</definedName>
    <definedName name="OSRRefH22_3x_0" localSheetId="55">'308'!$H$80:$H$81</definedName>
    <definedName name="OSRRefH22_3x_0" localSheetId="67">'309'!$H$41</definedName>
    <definedName name="OSRRefH22_3x_0" localSheetId="66">'310'!$H$48</definedName>
    <definedName name="OSRRefH22_3x_0" localSheetId="74">'310 &amp; 491'!$H$57</definedName>
    <definedName name="OSRRefH22_3x_0" localSheetId="56">'311'!$H$79:$H$80</definedName>
    <definedName name="OSRRefH22_3x_0" localSheetId="68">'313'!$H$44</definedName>
    <definedName name="OSRRefH22_3x_0" localSheetId="54">'314'!$H$68:$H$69</definedName>
    <definedName name="OSRRefH22_3x_0" localSheetId="59">'315'!$H$97:$H$98</definedName>
    <definedName name="OSRRefH22_3x_0" localSheetId="62">'316'!$H$47</definedName>
    <definedName name="OSRRefH22_3x_0" localSheetId="65">'317'!$H$76</definedName>
    <definedName name="OSRRefH22_3x_0" localSheetId="63">'320'!$H$42</definedName>
    <definedName name="OSRRefH22_3x_0" localSheetId="69">'321'!$H$41</definedName>
    <definedName name="OSRRefH22_3x_0" localSheetId="70">'322'!$H$40</definedName>
    <definedName name="OSRRefH22_3x_0" localSheetId="71">'325'!$H$41</definedName>
    <definedName name="OSRRefH22_3x_0" localSheetId="60">'326'!$H$74</definedName>
    <definedName name="OSRRefH22_3x_0" localSheetId="52">'330'!$H$93</definedName>
    <definedName name="OSRRefH22_3x_0" localSheetId="58">'331'!$H$104</definedName>
    <definedName name="OSRRefH22_3x_0" localSheetId="61">'332'!$H$56</definedName>
    <definedName name="OSRRefH22_3x_0" localSheetId="76">'405'!$H$40</definedName>
    <definedName name="OSRRefH22_3x_0" localSheetId="77">'406'!$H$41</definedName>
    <definedName name="OSRRefH22_3x_0" localSheetId="78">'411'!$H$39</definedName>
    <definedName name="OSRRefH22_3x_0" localSheetId="79">'412'!$H$41</definedName>
    <definedName name="OSRRefH22_3x_0" localSheetId="80">'413'!$H$40</definedName>
    <definedName name="OSRRefH22_3x_0" localSheetId="81">'414'!$H$39</definedName>
    <definedName name="OSRRefH22_3x_0" localSheetId="82">'415'!$H$41</definedName>
    <definedName name="OSRRefH22_3x_0" localSheetId="83">'418'!$H$42</definedName>
    <definedName name="OSRRefH22_3x_0" localSheetId="84">'420'!$H$37</definedName>
    <definedName name="OSRRefH22_3x_0" localSheetId="85">'423'!$H$34</definedName>
    <definedName name="OSRRefH22_3x_0" localSheetId="86">'424'!$H$33</definedName>
    <definedName name="OSRRefH22_3x_0" localSheetId="87">'425'!$H$41</definedName>
    <definedName name="OSRRefH22_3x_0" localSheetId="90">'430'!$H$33</definedName>
    <definedName name="OSRRefH22_3x_0" localSheetId="91">'433'!$H$44</definedName>
    <definedName name="OSRRefH22_3x_0" localSheetId="92">'435'!$H$34</definedName>
    <definedName name="OSRRefH22_3x_0" localSheetId="93">'444'!$H$44</definedName>
    <definedName name="OSRRefH22_3x_0" localSheetId="94">'450'!$H$44</definedName>
    <definedName name="OSRRefH22_3x_0" localSheetId="75">'491'!$H$51</definedName>
    <definedName name="OSRRefH22_3x_0" localSheetId="89">'492'!$H$47</definedName>
    <definedName name="OSRRefH22_3x_0" localSheetId="96">'501'!$H$39</definedName>
    <definedName name="OSRRefH22_3x_0" localSheetId="39">'Div 2'!$H$42</definedName>
    <definedName name="OSRRefH22_3x_0" localSheetId="47">'Div 3'!$H$185:$H$186</definedName>
    <definedName name="OSRRefH22_3x_0" localSheetId="73">'Div 4'!$H$52</definedName>
    <definedName name="OSRRefH22_3x_0" localSheetId="95">'Div 5'!$H$39</definedName>
    <definedName name="OSRRefH22_3x_0" localSheetId="64">'Div 6'!$H$76</definedName>
    <definedName name="OSRRefH22_3x_0" localSheetId="2">Summary!$H$217:$H$218</definedName>
    <definedName name="OSRRefH22_4x_0" localSheetId="41">'201'!$H$37</definedName>
    <definedName name="OSRRefH22_4x_0" localSheetId="42">'202'!$H$38:$H$39</definedName>
    <definedName name="OSRRefH22_4x_0" localSheetId="43">'203'!$H$40</definedName>
    <definedName name="OSRRefH22_4x_0" localSheetId="44">'204'!$H$40</definedName>
    <definedName name="OSRRefH22_4x_0" localSheetId="45">'205'!$H$35:$H$36</definedName>
    <definedName name="OSRRefH22_4x_0" localSheetId="46">'206'!$H$37</definedName>
    <definedName name="OSRRefH22_4x_0" localSheetId="48">'300'!$H$183</definedName>
    <definedName name="OSRRefH22_4x_0" localSheetId="49">'300 &amp; 317'!$H$208</definedName>
    <definedName name="OSRRefH22_4x_0" localSheetId="50">'301'!$H$43</definedName>
    <definedName name="OSRRefH22_4x_0" localSheetId="51">'306'!$H$41</definedName>
    <definedName name="OSRRefH22_4x_0" localSheetId="53">'307'!$H$86:$H$87</definedName>
    <definedName name="OSRRefH22_4x_0" localSheetId="55">'308'!$H$83</definedName>
    <definedName name="OSRRefH22_4x_0" localSheetId="67">'309'!$H$43</definedName>
    <definedName name="OSRRefH22_4x_0" localSheetId="66">'310'!$H$50</definedName>
    <definedName name="OSRRefH22_4x_0" localSheetId="74">'310 &amp; 491'!$H$59</definedName>
    <definedName name="OSRRefH22_4x_0" localSheetId="56">'311'!$H$82</definedName>
    <definedName name="OSRRefH22_4x_0" localSheetId="68">'313'!$H$46</definedName>
    <definedName name="OSRRefH22_4x_0" localSheetId="54">'314'!$H$71</definedName>
    <definedName name="OSRRefH22_4x_0" localSheetId="59">'315'!$H$100</definedName>
    <definedName name="OSRRefH22_4x_0" localSheetId="62">'316'!$H$49</definedName>
    <definedName name="OSRRefH22_4x_0" localSheetId="65">'317'!$H$78</definedName>
    <definedName name="OSRRefH22_4x_0" localSheetId="63">'320'!$H$44:$H$45</definedName>
    <definedName name="OSRRefH22_4x_0" localSheetId="69">'321'!$H$43</definedName>
    <definedName name="OSRRefH22_4x_0" localSheetId="70">'322'!$H$42</definedName>
    <definedName name="OSRRefH22_4x_0" localSheetId="71">'325'!$H$43</definedName>
    <definedName name="OSRRefH22_4x_0" localSheetId="60">'326'!$H$76</definedName>
    <definedName name="OSRRefH22_4x_0" localSheetId="52">'330'!$H$95:$H$96</definedName>
    <definedName name="OSRRefH22_4x_0" localSheetId="58">'331'!$H$106</definedName>
    <definedName name="OSRRefH22_4x_0" localSheetId="61">'332'!$H$58</definedName>
    <definedName name="OSRRefH22_4x_0" localSheetId="76">'405'!$H$42</definedName>
    <definedName name="OSRRefH22_4x_0" localSheetId="77">'406'!$H$43</definedName>
    <definedName name="OSRRefH22_4x_0" localSheetId="78">'411'!$H$41:$H$43</definedName>
    <definedName name="OSRRefH22_4x_0" localSheetId="79">'412'!$H$43</definedName>
    <definedName name="OSRRefH22_4x_0" localSheetId="80">'413'!$H$42</definedName>
    <definedName name="OSRRefH22_4x_0" localSheetId="81">'414'!$H$41</definedName>
    <definedName name="OSRRefH22_4x_0" localSheetId="82">'415'!$H$43</definedName>
    <definedName name="OSRRefH22_4x_0" localSheetId="83">'418'!$H$44</definedName>
    <definedName name="OSRRefH22_4x_0" localSheetId="85">'423'!$H$36</definedName>
    <definedName name="OSRRefH22_4x_0" localSheetId="86">'424'!$H$35</definedName>
    <definedName name="OSRRefH22_4x_0" localSheetId="87">'425'!$H$43</definedName>
    <definedName name="OSRRefH22_4x_0" localSheetId="90">'430'!$H$35:$H$36</definedName>
    <definedName name="OSRRefH22_4x_0" localSheetId="91">'433'!$H$46</definedName>
    <definedName name="OSRRefH22_4x_0" localSheetId="92">'435'!$H$36</definedName>
    <definedName name="OSRRefH22_4x_0" localSheetId="93">'444'!$H$46</definedName>
    <definedName name="OSRRefH22_4x_0" localSheetId="94">'450'!$H$46</definedName>
    <definedName name="OSRRefH22_4x_0" localSheetId="75">'491'!$H$53</definedName>
    <definedName name="OSRRefH22_4x_0" localSheetId="89">'492'!$H$49</definedName>
    <definedName name="OSRRefH22_4x_0" localSheetId="96">'501'!$H$41</definedName>
    <definedName name="OSRRefH22_4x_0" localSheetId="39">'Div 2'!$H$44</definedName>
    <definedName name="OSRRefH22_4x_0" localSheetId="47">'Div 3'!$H$188</definedName>
    <definedName name="OSRRefH22_4x_0" localSheetId="73">'Div 4'!$H$54</definedName>
    <definedName name="OSRRefH22_4x_0" localSheetId="95">'Div 5'!$H$41</definedName>
    <definedName name="OSRRefH22_4x_0" localSheetId="64">'Div 6'!$H$78</definedName>
    <definedName name="OSRRefH22_4x_0" localSheetId="2">Summary!$H$220</definedName>
    <definedName name="OSRRefH22_5x_0" localSheetId="41">'201'!$H$39</definedName>
    <definedName name="OSRRefH22_5x_0" localSheetId="42">'202'!$H$41</definedName>
    <definedName name="OSRRefH22_5x_0" localSheetId="43">'203'!$H$42</definedName>
    <definedName name="OSRRefH22_5x_0" localSheetId="44">'204'!$H$42:$H$44</definedName>
    <definedName name="OSRRefH22_5x_0" localSheetId="45">'205'!$H$38</definedName>
    <definedName name="OSRRefH22_5x_0" localSheetId="46">'206'!$H$39:$H$40</definedName>
    <definedName name="OSRRefH22_5x_0" localSheetId="48">'300'!$H$185:$H$186</definedName>
    <definedName name="OSRRefH22_5x_0" localSheetId="49">'300 &amp; 317'!$H$210:$H$211</definedName>
    <definedName name="OSRRefH22_5x_0" localSheetId="50">'301'!$H$45:$H$46</definedName>
    <definedName name="OSRRefH22_5x_0" localSheetId="51">'306'!$H$43:$H$44</definedName>
    <definedName name="OSRRefH22_5x_0" localSheetId="53">'307'!$H$89</definedName>
    <definedName name="OSRRefH22_5x_0" localSheetId="55">'308'!$H$85</definedName>
    <definedName name="OSRRefH22_5x_0" localSheetId="67">'309'!$H$45</definedName>
    <definedName name="OSRRefH22_5x_0" localSheetId="66">'310'!$H$52:$H$53</definedName>
    <definedName name="OSRRefH22_5x_0" localSheetId="74">'310 &amp; 491'!$H$61:$H$63</definedName>
    <definedName name="OSRRefH22_5x_0" localSheetId="56">'311'!$H$84</definedName>
    <definedName name="OSRRefH22_5x_0" localSheetId="68">'313'!$H$48</definedName>
    <definedName name="OSRRefH22_5x_0" localSheetId="54">'314'!$H$73</definedName>
    <definedName name="OSRRefH22_5x_0" localSheetId="59">'315'!$H$102:$H$103</definedName>
    <definedName name="OSRRefH22_5x_0" localSheetId="62">'316'!$H$51:$H$52</definedName>
    <definedName name="OSRRefH22_5x_0" localSheetId="65">'317'!$H$80:$H$81</definedName>
    <definedName name="OSRRefH22_5x_0" localSheetId="63">'320'!$H$47</definedName>
    <definedName name="OSRRefH22_5x_0" localSheetId="69">'321'!$H$45</definedName>
    <definedName name="OSRRefH22_5x_0" localSheetId="70">'322'!$H$44</definedName>
    <definedName name="OSRRefH22_5x_0" localSheetId="71">'325'!$H$45:$H$46</definedName>
    <definedName name="OSRRefH22_5x_0" localSheetId="60">'326'!$H$78</definedName>
    <definedName name="OSRRefH22_5x_0" localSheetId="52">'330'!$H$98</definedName>
    <definedName name="OSRRefH22_5x_0" localSheetId="58">'331'!$H$108:$H$109</definedName>
    <definedName name="OSRRefH22_5x_0" localSheetId="61">'332'!$H$60</definedName>
    <definedName name="OSRRefH22_5x_0" localSheetId="76">'405'!$H$44:$H$45</definedName>
    <definedName name="OSRRefH22_5x_0" localSheetId="77">'406'!$H$45</definedName>
    <definedName name="OSRRefH22_5x_0" localSheetId="78">'411'!$H$45</definedName>
    <definedName name="OSRRefH22_5x_0" localSheetId="79">'412'!$H$45</definedName>
    <definedName name="OSRRefH22_5x_0" localSheetId="80">'413'!$H$44</definedName>
    <definedName name="OSRRefH22_5x_0" localSheetId="81">'414'!$H$43</definedName>
    <definedName name="OSRRefH22_5x_0" localSheetId="82">'415'!$H$45:$H$46</definedName>
    <definedName name="OSRRefH22_5x_0" localSheetId="83">'418'!$H$46:$H$47</definedName>
    <definedName name="OSRRefH22_5x_0" localSheetId="85">'423'!$H$38</definedName>
    <definedName name="OSRRefH22_5x_0" localSheetId="86">'424'!$H$37</definedName>
    <definedName name="OSRRefH22_5x_0" localSheetId="87">'425'!$H$45</definedName>
    <definedName name="OSRRefH22_5x_0" localSheetId="90">'430'!$H$38</definedName>
    <definedName name="OSRRefH22_5x_0" localSheetId="91">'433'!$H$48</definedName>
    <definedName name="OSRRefH22_5x_0" localSheetId="92">'435'!$H$38</definedName>
    <definedName name="OSRRefH22_5x_0" localSheetId="93">'444'!$H$48</definedName>
    <definedName name="OSRRefH22_5x_0" localSheetId="94">'450'!$H$48</definedName>
    <definedName name="OSRRefH22_5x_0" localSheetId="75">'491'!$H$55:$H$57</definedName>
    <definedName name="OSRRefH22_5x_0" localSheetId="89">'492'!$H$51</definedName>
    <definedName name="OSRRefH22_5x_0" localSheetId="96">'501'!$H$43:$H$44</definedName>
    <definedName name="OSRRefH22_5x_0" localSheetId="39">'Div 2'!$H$46</definedName>
    <definedName name="OSRRefH22_5x_0" localSheetId="47">'Div 3'!$H$190:$H$191</definedName>
    <definedName name="OSRRefH22_5x_0" localSheetId="73">'Div 4'!$H$56:$H$58</definedName>
    <definedName name="OSRRefH22_5x_0" localSheetId="95">'Div 5'!$H$43:$H$44</definedName>
    <definedName name="OSRRefH22_5x_0" localSheetId="64">'Div 6'!$H$80:$H$81</definedName>
    <definedName name="OSRRefH22_5x_0" localSheetId="2">Summary!$H$222:$H$224</definedName>
    <definedName name="OSRRefH22_6x_0" localSheetId="41">'201'!$H$41</definedName>
    <definedName name="OSRRefH22_6x_0" localSheetId="42">'202'!$H$43</definedName>
    <definedName name="OSRRefH22_6x_0" localSheetId="43">'203'!$H$44</definedName>
    <definedName name="OSRRefH22_6x_0" localSheetId="44">'204'!$H$46</definedName>
    <definedName name="OSRRefH22_6x_0" localSheetId="45">'205'!$H$40:$H$41</definedName>
    <definedName name="OSRRefH22_6x_0" localSheetId="46">'206'!$H$42</definedName>
    <definedName name="OSRRefH22_6x_0" localSheetId="48">'300'!$H$188:$H$189</definedName>
    <definedName name="OSRRefH22_6x_0" localSheetId="49">'300 &amp; 317'!$H$213:$H$214</definedName>
    <definedName name="OSRRefH22_6x_0" localSheetId="50">'301'!$H$48:$H$49</definedName>
    <definedName name="OSRRefH22_6x_0" localSheetId="51">'306'!$H$46:$H$47</definedName>
    <definedName name="OSRRefH22_6x_0" localSheetId="53">'307'!$H$91</definedName>
    <definedName name="OSRRefH22_6x_0" localSheetId="55">'308'!$H$87:$H$88</definedName>
    <definedName name="OSRRefH22_6x_0" localSheetId="67">'309'!$H$47</definedName>
    <definedName name="OSRRefH22_6x_0" localSheetId="66">'310'!$H$55</definedName>
    <definedName name="OSRRefH22_6x_0" localSheetId="74">'310 &amp; 491'!$H$65</definedName>
    <definedName name="OSRRefH22_6x_0" localSheetId="56">'311'!$H$86:$H$87</definedName>
    <definedName name="OSRRefH22_6x_0" localSheetId="68">'313'!$H$50</definedName>
    <definedName name="OSRRefH22_6x_0" localSheetId="59">'315'!$H$105</definedName>
    <definedName name="OSRRefH22_6x_0" localSheetId="62">'316'!$H$54:$H$55</definedName>
    <definedName name="OSRRefH22_6x_0" localSheetId="65">'317'!$H$83</definedName>
    <definedName name="OSRRefH22_6x_0" localSheetId="63">'320'!$H$49</definedName>
    <definedName name="OSRRefH22_6x_0" localSheetId="69">'321'!$H$47:$H$49</definedName>
    <definedName name="OSRRefH22_6x_0" localSheetId="70">'322'!$H$46</definedName>
    <definedName name="OSRRefH22_6x_0" localSheetId="71">'325'!$H$48</definedName>
    <definedName name="OSRRefH22_6x_0" localSheetId="60">'326'!$H$80</definedName>
    <definedName name="OSRRefH22_6x_0" localSheetId="52">'330'!$H$100</definedName>
    <definedName name="OSRRefH22_6x_0" localSheetId="58">'331'!$H$111</definedName>
    <definedName name="OSRRefH22_6x_0" localSheetId="61">'332'!$H$62:$H$63</definedName>
    <definedName name="OSRRefH22_6x_0" localSheetId="76">'405'!$H$47</definedName>
    <definedName name="OSRRefH22_6x_0" localSheetId="77">'406'!$H$47</definedName>
    <definedName name="OSRRefH22_6x_0" localSheetId="78">'411'!$H$47</definedName>
    <definedName name="OSRRefH22_6x_0" localSheetId="79">'412'!$H$47</definedName>
    <definedName name="OSRRefH22_6x_0" localSheetId="80">'413'!$H$46</definedName>
    <definedName name="OSRRefH22_6x_0" localSheetId="81">'414'!$H$45</definedName>
    <definedName name="OSRRefH22_6x_0" localSheetId="82">'415'!$H$48</definedName>
    <definedName name="OSRRefH22_6x_0" localSheetId="83">'418'!$H$49</definedName>
    <definedName name="OSRRefH22_6x_0" localSheetId="86">'424'!$H$39</definedName>
    <definedName name="OSRRefH22_6x_0" localSheetId="87">'425'!$H$47</definedName>
    <definedName name="OSRRefH22_6x_0" localSheetId="90">'430'!$H$40</definedName>
    <definedName name="OSRRefH22_6x_0" localSheetId="91">'433'!$H$50</definedName>
    <definedName name="OSRRefH22_6x_0" localSheetId="92">'435'!$H$40:$H$42</definedName>
    <definedName name="OSRRefH22_6x_0" localSheetId="93">'444'!$H$50</definedName>
    <definedName name="OSRRefH22_6x_0" localSheetId="94">'450'!$H$50</definedName>
    <definedName name="OSRRefH22_6x_0" localSheetId="75">'491'!$H$59</definedName>
    <definedName name="OSRRefH22_6x_0" localSheetId="89">'492'!$H$53</definedName>
    <definedName name="OSRRefH22_6x_0" localSheetId="96">'501'!$H$46</definedName>
    <definedName name="OSRRefH22_6x_0" localSheetId="39">'Div 2'!$H$48</definedName>
    <definedName name="OSRRefH22_6x_0" localSheetId="47">'Div 3'!$H$193:$H$194</definedName>
    <definedName name="OSRRefH22_6x_0" localSheetId="73">'Div 4'!$H$60</definedName>
    <definedName name="OSRRefH22_6x_0" localSheetId="95">'Div 5'!$H$46</definedName>
    <definedName name="OSRRefH22_6x_0" localSheetId="64">'Div 6'!$H$83</definedName>
    <definedName name="OSRRefH22_6x_0" localSheetId="2">Summary!$H$226:$H$227</definedName>
    <definedName name="OSRRefH22_7x_0" localSheetId="41">'201'!$H$43</definedName>
    <definedName name="OSRRefH22_7x_0" localSheetId="42">'202'!$H$45:$H$47</definedName>
    <definedName name="OSRRefH22_7x_0" localSheetId="43">'203'!$H$46</definedName>
    <definedName name="OSRRefH22_7x_0" localSheetId="44">'204'!$H$48:$H$49</definedName>
    <definedName name="OSRRefH22_7x_0" localSheetId="45">'205'!$H$43</definedName>
    <definedName name="OSRRefH22_7x_0" localSheetId="46">'206'!$H$44</definedName>
    <definedName name="OSRRefH22_7x_0" localSheetId="48">'300'!$H$191</definedName>
    <definedName name="OSRRefH22_7x_0" localSheetId="49">'300 &amp; 317'!$H$216</definedName>
    <definedName name="OSRRefH22_7x_0" localSheetId="50">'301'!$H$51</definedName>
    <definedName name="OSRRefH22_7x_0" localSheetId="51">'306'!$H$49</definedName>
    <definedName name="OSRRefH22_7x_0" localSheetId="53">'307'!$H$93:$H$94</definedName>
    <definedName name="OSRRefH22_7x_0" localSheetId="55">'308'!$H$90</definedName>
    <definedName name="OSRRefH22_7x_0" localSheetId="67">'309'!$H$49:$H$50</definedName>
    <definedName name="OSRRefH22_7x_0" localSheetId="66">'310'!$H$57</definedName>
    <definedName name="OSRRefH22_7x_0" localSheetId="74">'310 &amp; 491'!$H$67</definedName>
    <definedName name="OSRRefH22_7x_0" localSheetId="56">'311'!$H$89</definedName>
    <definedName name="OSRRefH22_7x_0" localSheetId="68">'313'!$H$52</definedName>
    <definedName name="OSRRefH22_7x_0" localSheetId="59">'315'!$H$107:$H$108</definedName>
    <definedName name="OSRRefH22_7x_0" localSheetId="62">'316'!$H$57</definedName>
    <definedName name="OSRRefH22_7x_0" localSheetId="65">'317'!$H$85</definedName>
    <definedName name="OSRRefH22_7x_0" localSheetId="63">'320'!$H$51:$H$52</definedName>
    <definedName name="OSRRefH22_7x_0" localSheetId="69">'321'!$H$51</definedName>
    <definedName name="OSRRefH22_7x_0" localSheetId="70">'322'!$H$48</definedName>
    <definedName name="OSRRefH22_7x_0" localSheetId="71">'325'!$H$50</definedName>
    <definedName name="OSRRefH22_7x_0" localSheetId="60">'326'!$H$82</definedName>
    <definedName name="OSRRefH22_7x_0" localSheetId="52">'330'!$H$102:$H$103</definedName>
    <definedName name="OSRRefH22_7x_0" localSheetId="58">'331'!$H$113:$H$114</definedName>
    <definedName name="OSRRefH22_7x_0" localSheetId="61">'332'!$H$65</definedName>
    <definedName name="OSRRefH22_7x_0" localSheetId="76">'405'!$H$49</definedName>
    <definedName name="OSRRefH22_7x_0" localSheetId="77">'406'!$H$49</definedName>
    <definedName name="OSRRefH22_7x_0" localSheetId="78">'411'!$H$49</definedName>
    <definedName name="OSRRefH22_7x_0" localSheetId="79">'412'!$H$49</definedName>
    <definedName name="OSRRefH22_7x_0" localSheetId="80">'413'!$H$48:$H$50</definedName>
    <definedName name="OSRRefH22_7x_0" localSheetId="81">'414'!$H$47</definedName>
    <definedName name="OSRRefH22_7x_0" localSheetId="82">'415'!$H$50</definedName>
    <definedName name="OSRRefH22_7x_0" localSheetId="83">'418'!$H$51</definedName>
    <definedName name="OSRRefH22_7x_0" localSheetId="86">'424'!$H$41</definedName>
    <definedName name="OSRRefH22_7x_0" localSheetId="87">'425'!$H$49</definedName>
    <definedName name="OSRRefH22_7x_0" localSheetId="90">'430'!$H$42</definedName>
    <definedName name="OSRRefH22_7x_0" localSheetId="91">'433'!$H$52</definedName>
    <definedName name="OSRRefH22_7x_0" localSheetId="92">'435'!$H$44</definedName>
    <definedName name="OSRRefH22_7x_0" localSheetId="93">'444'!$H$52</definedName>
    <definedName name="OSRRefH22_7x_0" localSheetId="94">'450'!$H$52</definedName>
    <definedName name="OSRRefH22_7x_0" localSheetId="75">'491'!$H$61</definedName>
    <definedName name="OSRRefH22_7x_0" localSheetId="89">'492'!$H$55</definedName>
    <definedName name="OSRRefH22_7x_0" localSheetId="96">'501'!$H$48</definedName>
    <definedName name="OSRRefH22_7x_0" localSheetId="39">'Div 2'!$H$50</definedName>
    <definedName name="OSRRefH22_7x_0" localSheetId="47">'Div 3'!$H$196</definedName>
    <definedName name="OSRRefH22_7x_0" localSheetId="73">'Div 4'!$H$62</definedName>
    <definedName name="OSRRefH22_7x_0" localSheetId="95">'Div 5'!$H$48</definedName>
    <definedName name="OSRRefH22_7x_0" localSheetId="64">'Div 6'!$H$85</definedName>
    <definedName name="OSRRefH22_7x_0" localSheetId="2">Summary!$H$229</definedName>
    <definedName name="OSRRefH22_8x_0" localSheetId="41">'201'!$H$45</definedName>
    <definedName name="OSRRefH22_8x_0" localSheetId="42">'202'!$H$49</definedName>
    <definedName name="OSRRefH22_8x_0" localSheetId="43">'203'!$H$48</definedName>
    <definedName name="OSRRefH22_8x_0" localSheetId="44">'204'!$H$51</definedName>
    <definedName name="OSRRefH22_8x_0" localSheetId="45">'205'!$H$45</definedName>
    <definedName name="OSRRefH22_8x_0" localSheetId="48">'300'!$H$193</definedName>
    <definedName name="OSRRefH22_8x_0" localSheetId="49">'300 &amp; 317'!$H$218</definedName>
    <definedName name="OSRRefH22_8x_0" localSheetId="50">'301'!$H$53</definedName>
    <definedName name="OSRRefH22_8x_0" localSheetId="51">'306'!$H$51</definedName>
    <definedName name="OSRRefH22_8x_0" localSheetId="53">'307'!$H$96:$H$97</definedName>
    <definedName name="OSRRefH22_8x_0" localSheetId="55">'308'!$H$92</definedName>
    <definedName name="OSRRefH22_8x_0" localSheetId="67">'309'!$H$52:$H$53</definedName>
    <definedName name="OSRRefH22_8x_0" localSheetId="66">'310'!$H$59</definedName>
    <definedName name="OSRRefH22_8x_0" localSheetId="74">'310 &amp; 491'!$H$69</definedName>
    <definedName name="OSRRefH22_8x_0" localSheetId="56">'311'!$H$91</definedName>
    <definedName name="OSRRefH22_8x_0" localSheetId="68">'313'!$H$54:$H$56</definedName>
    <definedName name="OSRRefH22_8x_0" localSheetId="59">'315'!$H$110</definedName>
    <definedName name="OSRRefH22_8x_0" localSheetId="62">'316'!$H$59:$H$64</definedName>
    <definedName name="OSRRefH22_8x_0" localSheetId="65">'317'!$H$87</definedName>
    <definedName name="OSRRefH22_8x_0" localSheetId="63">'320'!$H$54</definedName>
    <definedName name="OSRRefH22_8x_0" localSheetId="69">'321'!$H$53:$H$55</definedName>
    <definedName name="OSRRefH22_8x_0" localSheetId="70">'322'!$H$50:$H$51</definedName>
    <definedName name="OSRRefH22_8x_0" localSheetId="71">'325'!$H$52</definedName>
    <definedName name="OSRRefH22_8x_0" localSheetId="60">'326'!$H$84</definedName>
    <definedName name="OSRRefH22_8x_0" localSheetId="52">'330'!$H$105:$H$106</definedName>
    <definedName name="OSRRefH22_8x_0" localSheetId="58">'331'!$H$116</definedName>
    <definedName name="OSRRefH22_8x_0" localSheetId="61">'332'!$H$67</definedName>
    <definedName name="OSRRefH22_8x_0" localSheetId="76">'405'!$H$51</definedName>
    <definedName name="OSRRefH22_8x_0" localSheetId="77">'406'!$H$51:$H$53</definedName>
    <definedName name="OSRRefH22_8x_0" localSheetId="78">'411'!$H$51</definedName>
    <definedName name="OSRRefH22_8x_0" localSheetId="79">'412'!$H$51:$H$52</definedName>
    <definedName name="OSRRefH22_8x_0" localSheetId="80">'413'!$H$52:$H$53</definedName>
    <definedName name="OSRRefH22_8x_0" localSheetId="81">'414'!$H$49:$H$50</definedName>
    <definedName name="OSRRefH22_8x_0" localSheetId="82">'415'!$H$52</definedName>
    <definedName name="OSRRefH22_8x_0" localSheetId="83">'418'!$H$53:$H$54</definedName>
    <definedName name="OSRRefH22_8x_0" localSheetId="86">'424'!$H$43:$H$44</definedName>
    <definedName name="OSRRefH22_8x_0" localSheetId="87">'425'!$H$51</definedName>
    <definedName name="OSRRefH22_8x_0" localSheetId="91">'433'!$H$54</definedName>
    <definedName name="OSRRefH22_8x_0" localSheetId="93">'444'!$H$54</definedName>
    <definedName name="OSRRefH22_8x_0" localSheetId="94">'450'!$H$54</definedName>
    <definedName name="OSRRefH22_8x_0" localSheetId="75">'491'!$H$63</definedName>
    <definedName name="OSRRefH22_8x_0" localSheetId="89">'492'!$H$57</definedName>
    <definedName name="OSRRefH22_8x_0" localSheetId="96">'501'!$H$50:$H$52</definedName>
    <definedName name="OSRRefH22_8x_0" localSheetId="39">'Div 2'!$H$52</definedName>
    <definedName name="OSRRefH22_8x_0" localSheetId="47">'Div 3'!$H$198</definedName>
    <definedName name="OSRRefH22_8x_0" localSheetId="73">'Div 4'!$H$64</definedName>
    <definedName name="OSRRefH22_8x_0" localSheetId="95">'Div 5'!$H$50:$H$52</definedName>
    <definedName name="OSRRefH22_8x_0" localSheetId="64">'Div 6'!$H$87</definedName>
    <definedName name="OSRRefH22_8x_0" localSheetId="2">Summary!$H$231</definedName>
    <definedName name="OSRRefH22_9x_0" localSheetId="41">'201'!$H$47:$H$49</definedName>
    <definedName name="OSRRefH22_9x_0" localSheetId="42">'202'!$H$51</definedName>
    <definedName name="OSRRefH22_9x_0" localSheetId="43">'203'!$H$50:$H$51</definedName>
    <definedName name="OSRRefH22_9x_0" localSheetId="44">'204'!$H$53:$H$54</definedName>
    <definedName name="OSRRefH22_9x_0" localSheetId="48">'300'!$H$195</definedName>
    <definedName name="OSRRefH22_9x_0" localSheetId="49">'300 &amp; 317'!$H$220</definedName>
    <definedName name="OSRRefH22_9x_0" localSheetId="50">'301'!$H$55</definedName>
    <definedName name="OSRRefH22_9x_0" localSheetId="53">'307'!$H$99:$H$101</definedName>
    <definedName name="OSRRefH22_9x_0" localSheetId="55">'308'!$H$94:$H$95</definedName>
    <definedName name="OSRRefH22_9x_0" localSheetId="67">'309'!$H$55:$H$57</definedName>
    <definedName name="OSRRefH22_9x_0" localSheetId="66">'310'!$H$61</definedName>
    <definedName name="OSRRefH22_9x_0" localSheetId="74">'310 &amp; 491'!$H$71</definedName>
    <definedName name="OSRRefH22_9x_0" localSheetId="56">'311'!$H$93:$H$94</definedName>
    <definedName name="OSRRefH22_9x_0" localSheetId="68">'313'!$H$58</definedName>
    <definedName name="OSRRefH22_9x_0" localSheetId="59">'315'!$H$112:$H$115</definedName>
    <definedName name="OSRRefH22_9x_0" localSheetId="62">'316'!$H$66</definedName>
    <definedName name="OSRRefH22_9x_0" localSheetId="65">'317'!$H$89:$H$91</definedName>
    <definedName name="OSRRefH22_9x_0" localSheetId="69">'321'!$H$57:$H$60</definedName>
    <definedName name="OSRRefH22_9x_0" localSheetId="70">'322'!$H$53:$H$55</definedName>
    <definedName name="OSRRefH22_9x_0" localSheetId="71">'325'!$H$54</definedName>
    <definedName name="OSRRefH22_9x_0" localSheetId="60">'326'!$H$86</definedName>
    <definedName name="OSRRefH22_9x_0" localSheetId="52">'330'!$H$108</definedName>
    <definedName name="OSRRefH22_9x_0" localSheetId="58">'331'!$H$118</definedName>
    <definedName name="OSRRefH22_9x_0" localSheetId="61">'332'!$H$69:$H$70</definedName>
    <definedName name="OSRRefH22_9x_0" localSheetId="76">'405'!$H$53:$H$54</definedName>
    <definedName name="OSRRefH22_9x_0" localSheetId="77">'406'!$H$55</definedName>
    <definedName name="OSRRefH22_9x_0" localSheetId="78">'411'!$H$53</definedName>
    <definedName name="OSRRefH22_9x_0" localSheetId="79">'412'!$H$54:$H$55</definedName>
    <definedName name="OSRRefH22_9x_0" localSheetId="80">'413'!$H$55:$H$59</definedName>
    <definedName name="OSRRefH22_9x_0" localSheetId="81">'414'!$H$52</definedName>
    <definedName name="OSRRefH22_9x_0" localSheetId="82">'415'!$H$54</definedName>
    <definedName name="OSRRefH22_9x_0" localSheetId="83">'418'!$H$56:$H$58</definedName>
    <definedName name="OSRRefH22_9x_0" localSheetId="86">'424'!$H$46</definedName>
    <definedName name="OSRRefH22_9x_0" localSheetId="87">'425'!$H$53:$H$55</definedName>
    <definedName name="OSRRefH22_9x_0" localSheetId="91">'433'!$H$56</definedName>
    <definedName name="OSRRefH22_9x_0" localSheetId="93">'444'!$H$56</definedName>
    <definedName name="OSRRefH22_9x_0" localSheetId="94">'450'!$H$56</definedName>
    <definedName name="OSRRefH22_9x_0" localSheetId="75">'491'!$H$65</definedName>
    <definedName name="OSRRefH22_9x_0" localSheetId="89">'492'!$H$59</definedName>
    <definedName name="OSRRefH22_9x_0" localSheetId="96">'501'!$H$54:$H$56</definedName>
    <definedName name="OSRRefH22_9x_0" localSheetId="39">'Div 2'!$H$54:$H$55</definedName>
    <definedName name="OSRRefH22_9x_0" localSheetId="47">'Div 3'!$H$200</definedName>
    <definedName name="OSRRefH22_9x_0" localSheetId="73">'Div 4'!$H$66</definedName>
    <definedName name="OSRRefH22_9x_0" localSheetId="95">'Div 5'!$H$54:$H$56</definedName>
    <definedName name="OSRRefH22_9x_0" localSheetId="64">'Div 6'!$H$89:$H$91</definedName>
    <definedName name="OSRRefH22_9x_0" localSheetId="2">Summary!$H$233</definedName>
    <definedName name="OSRRefH22x_0" localSheetId="40">'200'!$H$20,'200'!$H$22,'200'!$H$24,'200'!$H$26:$H$27</definedName>
    <definedName name="OSRRefH22x_0" localSheetId="41">'201'!$H$20:$H$27,'201'!$H$29:$H$31,'201'!$H$33,'201'!$H$35,'201'!$H$37,'201'!$H$39,'201'!$H$41,'201'!$H$43,'201'!$H$45,'201'!$H$47:$H$49,'201'!$H$51:$H$53,'201'!$H$55,'201'!$H$57:$H$60,'201'!$H$62,'201'!$H$64,'201'!$H$66</definedName>
    <definedName name="OSRRefH22x_0" localSheetId="42">'202'!$H$20:$H$27,'202'!$H$29:$H$32,'202'!$H$34,'202'!$H$36,'202'!$H$38:$H$39,'202'!$H$41,'202'!$H$43,'202'!$H$45:$H$47,'202'!$H$49,'202'!$H$51,'202'!$H$53:$H$55,'202'!$H$57,'202'!$H$59,'202'!$H$61</definedName>
    <definedName name="OSRRefH22x_0" localSheetId="43">'203'!$H$20:$H$29,'203'!$H$31:$H$34,'203'!$H$36,'203'!$H$38,'203'!$H$40,'203'!$H$42,'203'!$H$44,'203'!$H$46,'203'!$H$48,'203'!$H$50:$H$51,'203'!$H$53:$H$54,'203'!$H$56,'203'!$H$58:$H$61,'203'!$H$63,'203'!$H$65,'203'!$H$67</definedName>
    <definedName name="OSRRefH22x_0" localSheetId="44">'204'!$H$20:$H$28,'204'!$H$30:$H$34,'204'!$H$36,'204'!$H$38,'204'!$H$40,'204'!$H$42:$H$44,'204'!$H$46,'204'!$H$48:$H$49,'204'!$H$51,'204'!$H$53:$H$54</definedName>
    <definedName name="OSRRefH22x_0" localSheetId="45">'205'!$H$20:$H$27,'205'!$H$29,'205'!$H$31,'205'!$H$33,'205'!$H$35:$H$36,'205'!$H$38,'205'!$H$40:$H$41,'205'!$H$43,'205'!$H$45</definedName>
    <definedName name="OSRRefH22x_0" localSheetId="46">'206'!$H$20:$H$26,'206'!$H$28:$H$31,'206'!$H$33,'206'!$H$35,'206'!$H$37,'206'!$H$39:$H$40,'206'!$H$42,'206'!$H$44</definedName>
    <definedName name="OSRRefH22x_0" localSheetId="48">'300'!$H$159:$H$168,'300'!$H$170:$H$176,'300'!$H$178,'300'!$H$180:$H$181,'300'!$H$183,'300'!$H$185:$H$186,'300'!$H$188:$H$189,'300'!$H$191,'300'!$H$193,'300'!$H$195,'300'!$H$197:$H$198,'300'!$H$200,'300'!$H$202,'300'!$H$204,'300'!$H$206,'300'!$H$208,'300'!$H$210:$H$213,'300'!$H$215:$H$217,'300'!$H$219:$H$222,'300'!$H$224:$H$225,'300'!$H$227:$H$233,'300'!$H$235:$H$236,'300'!$H$238,'300'!$H$240:$H$242,'300'!$H$244</definedName>
    <definedName name="OSRRefH22x_0" localSheetId="49">'300 &amp; 317'!$H$184:$H$193,'300 &amp; 317'!$H$195:$H$201,'300 &amp; 317'!$H$203,'300 &amp; 317'!$H$205:$H$206,'300 &amp; 317'!$H$208,'300 &amp; 317'!$H$210:$H$211,'300 &amp; 317'!$H$213:$H$214,'300 &amp; 317'!$H$216,'300 &amp; 317'!$H$218,'300 &amp; 317'!$H$220,'300 &amp; 317'!$H$222:$H$223,'300 &amp; 317'!$H$225,'300 &amp; 317'!$H$227,'300 &amp; 317'!$H$229,'300 &amp; 317'!$H$231,'300 &amp; 317'!$H$233,'300 &amp; 317'!$H$235:$H$238,'300 &amp; 317'!$H$240:$H$242,'300 &amp; 317'!$H$244:$H$247,'300 &amp; 317'!$H$249:$H$250,'300 &amp; 317'!$H$252:$H$258,'300 &amp; 317'!$H$260:$H$261,'300 &amp; 317'!$H$263,'300 &amp; 317'!$H$265:$H$267,'300 &amp; 317'!$H$269</definedName>
    <definedName name="OSRRefH22x_0" localSheetId="50">'301'!$H$20:$H$28,'301'!$H$30:$H$36,'301'!$H$38,'301'!$H$40:$H$41,'301'!$H$43,'301'!$H$45:$H$46,'301'!$H$48:$H$49,'301'!$H$51,'301'!$H$53,'301'!$H$55,'301'!$H$57,'301'!$H$59,'301'!$H$61,'301'!$H$63,'301'!$H$65,'301'!$H$67:$H$70,'301'!$H$72:$H$74,'301'!$H$76,'301'!$H$78:$H$83,'301'!$H$85,'301'!$H$87,'301'!$H$89:$H$90,'301'!$H$92</definedName>
    <definedName name="OSRRefH22x_0" localSheetId="51">'306'!$H$20:$H$28,'306'!$H$30:$H$35,'306'!$H$37,'306'!$H$39,'306'!$H$41,'306'!$H$43:$H$44,'306'!$H$46:$H$47,'306'!$H$49,'306'!$H$51</definedName>
    <definedName name="OSRRefH22x_0" localSheetId="53">'307'!$H$68:$H$75,'307'!$H$77:$H$80,'307'!$H$82,'307'!$H$84,'307'!$H$86:$H$87,'307'!$H$89,'307'!$H$91,'307'!$H$93:$H$94,'307'!$H$96:$H$97,'307'!$H$99:$H$101,'307'!$H$103,'307'!$H$105</definedName>
    <definedName name="OSRRefH22x_0" localSheetId="55">'308'!$H$61:$H$69,'308'!$H$71:$H$76,'308'!$H$78,'308'!$H$80:$H$81,'308'!$H$83,'308'!$H$85,'308'!$H$87:$H$88,'308'!$H$90,'308'!$H$92,'308'!$H$94:$H$95,'308'!$H$97,'308'!$H$99:$H$101,'308'!$H$103:$H$104,'308'!$H$106,'308'!$H$108</definedName>
    <definedName name="OSRRefH22x_0" localSheetId="67">'309'!$H$24:$H$31,'309'!$H$33:$H$37,'309'!$H$39,'309'!$H$41,'309'!$H$43,'309'!$H$45,'309'!$H$47,'309'!$H$49:$H$50,'309'!$H$52:$H$53,'309'!$H$55:$H$57,'309'!$H$59</definedName>
    <definedName name="OSRRefH22x_0" localSheetId="66">'310'!$H$30:$H$37,'310'!$H$39:$H$44,'310'!$H$46,'310'!$H$48,'310'!$H$50,'310'!$H$52:$H$53,'310'!$H$55,'310'!$H$57,'310'!$H$59,'310'!$H$61,'310'!$H$63,'310'!$H$65,'310'!$H$67,'310'!$H$69,'310'!$H$71:$H$73,'310'!$H$75,'310'!$H$77:$H$80,'310'!$H$82,'310'!$H$84:$H$90,'310'!$H$92,'310'!$H$94,'310'!$H$96</definedName>
    <definedName name="OSRRefH22x_0" localSheetId="74">'310 &amp; 491'!$H$37:$H$45,'310 &amp; 491'!$H$47:$H$53,'310 &amp; 491'!$H$55,'310 &amp; 491'!$H$57,'310 &amp; 491'!$H$59,'310 &amp; 491'!$H$61:$H$63,'310 &amp; 491'!$H$65,'310 &amp; 491'!$H$67,'310 &amp; 491'!$H$69,'310 &amp; 491'!$H$71,'310 &amp; 491'!$H$73:$H$74,'310 &amp; 491'!$H$76:$H$77,'310 &amp; 491'!$H$79,'310 &amp; 491'!$H$81,'310 &amp; 491'!$H$83,'310 &amp; 491'!$H$85,'310 &amp; 491'!$H$87:$H$89,'310 &amp; 491'!$H$91:$H$92,'310 &amp; 491'!$H$94:$H$98,'310 &amp; 491'!$H$100,'310 &amp; 491'!$H$102:$H$110,'310 &amp; 491'!$H$112,'310 &amp; 491'!$H$114,'310 &amp; 491'!$H$116:$H$118,'310 &amp; 491'!$H$120</definedName>
    <definedName name="OSRRefH22x_0" localSheetId="56">'311'!$H$60:$H$68,'311'!$H$70:$H$75,'311'!$H$77,'311'!$H$79:$H$80,'311'!$H$82,'311'!$H$84,'311'!$H$86:$H$87,'311'!$H$89,'311'!$H$91,'311'!$H$93:$H$94,'311'!$H$96,'311'!$H$98:$H$100,'311'!$H$102:$H$103,'311'!$H$105,'311'!$H$107</definedName>
    <definedName name="OSRRefH22x_0" localSheetId="68">'313'!$H$27:$H$34,'313'!$H$36:$H$40,'313'!$H$42,'313'!$H$44,'313'!$H$46,'313'!$H$48,'313'!$H$50,'313'!$H$52,'313'!$H$54:$H$56,'313'!$H$58,'313'!$H$60:$H$64,'313'!$H$66,'313'!$H$68</definedName>
    <definedName name="OSRRefH22x_0" localSheetId="54">'314'!$H$55:$H$61,'314'!$H$63:$H$64,'314'!$H$66,'314'!$H$68:$H$69,'314'!$H$71,'314'!$H$73</definedName>
    <definedName name="OSRRefH22x_0" localSheetId="59">'315'!$H$79:$H$86,'315'!$H$88:$H$93,'315'!$H$95,'315'!$H$97:$H$98,'315'!$H$100,'315'!$H$102:$H$103,'315'!$H$105,'315'!$H$107:$H$108,'315'!$H$110,'315'!$H$112:$H$115,'315'!$H$117,'315'!$H$119,'315'!$H$121</definedName>
    <definedName name="OSRRefH22x_0" localSheetId="62">'316'!$H$32:$H$39,'316'!$H$41:$H$43,'316'!$H$45,'316'!$H$47,'316'!$H$49,'316'!$H$51:$H$52,'316'!$H$54:$H$55,'316'!$H$57,'316'!$H$59:$H$64,'316'!$H$66,'316'!$H$68,'316'!$H$70</definedName>
    <definedName name="OSRRefH22x_0" localSheetId="65">'317'!$H$58:$H$66,'317'!$H$68:$H$72,'317'!$H$74,'317'!$H$76,'317'!$H$78,'317'!$H$80:$H$81,'317'!$H$83,'317'!$H$85,'317'!$H$87,'317'!$H$89:$H$91,'317'!$H$93,'317'!$H$95</definedName>
    <definedName name="OSRRefH22x_0" localSheetId="63">'320'!$H$28:$H$34,'320'!$H$36:$H$38,'320'!$H$40,'320'!$H$42,'320'!$H$44:$H$45,'320'!$H$47,'320'!$H$49,'320'!$H$51:$H$52,'320'!$H$54</definedName>
    <definedName name="OSRRefH22x_0" localSheetId="69">'321'!$H$24:$H$31,'321'!$H$33:$H$37,'321'!$H$39,'321'!$H$41,'321'!$H$43,'321'!$H$45,'321'!$H$47:$H$49,'321'!$H$51,'321'!$H$53:$H$55,'321'!$H$57:$H$60,'321'!$H$62,'321'!$H$64</definedName>
    <definedName name="OSRRefH22x_0" localSheetId="70">'322'!$H$24:$H$31,'322'!$H$33:$H$36,'322'!$H$38,'322'!$H$40,'322'!$H$42,'322'!$H$44,'322'!$H$46,'322'!$H$48,'322'!$H$50:$H$51,'322'!$H$53:$H$55,'322'!$H$57:$H$61,'322'!$H$63,'322'!$H$65</definedName>
    <definedName name="OSRRefH22x_0" localSheetId="71">'325'!$H$24:$H$31,'325'!$H$33:$H$37,'325'!$H$39,'325'!$H$41,'325'!$H$43,'325'!$H$45:$H$46,'325'!$H$48,'325'!$H$50,'325'!$H$52,'325'!$H$54,'325'!$H$56,'325'!$H$58:$H$60,'325'!$H$62:$H$64,'325'!$H$66,'325'!$H$68:$H$72,'325'!$H$74,'325'!$H$76</definedName>
    <definedName name="OSRRefH22x_0" localSheetId="60">'326'!$H$57:$H$64,'326'!$H$66:$H$70,'326'!$H$72,'326'!$H$74,'326'!$H$76,'326'!$H$78,'326'!$H$80,'326'!$H$82,'326'!$H$84,'326'!$H$86,'326'!$H$88,'326'!$H$90:$H$91,'326'!$H$93:$H$95,'326'!$H$97,'326'!$H$99:$H$101,'326'!$H$103,'326'!$H$105,'326'!$H$107</definedName>
    <definedName name="OSRRefH22x_0" localSheetId="72">'327'!$H$22,'327'!$H$24,'327'!$H$26</definedName>
    <definedName name="OSRRefH22x_0" localSheetId="52">'330'!$H$77:$H$84,'330'!$H$86:$H$89,'330'!$H$91,'330'!$H$93,'330'!$H$95:$H$96,'330'!$H$98,'330'!$H$100,'330'!$H$102:$H$103,'330'!$H$105:$H$106,'330'!$H$108,'330'!$H$110:$H$112,'330'!$H$114,'330'!$H$116</definedName>
    <definedName name="OSRRefH22x_0" localSheetId="58">'331'!$H$86:$H$93,'331'!$H$95:$H$100,'331'!$H$102,'331'!$H$104,'331'!$H$106,'331'!$H$108:$H$109,'331'!$H$111,'331'!$H$113:$H$114,'331'!$H$116,'331'!$H$118,'331'!$H$120,'331'!$H$122,'331'!$H$124:$H$125,'331'!$H$127:$H$128,'331'!$H$130:$H$132,'331'!$H$134,'331'!$H$136:$H$140,'331'!$H$142,'331'!$H$144,'331'!$H$146:$H$147,'331'!$H$149</definedName>
    <definedName name="OSRRefH22x_0" localSheetId="61">'332'!$H$40:$H$47,'332'!$H$49:$H$52,'332'!$H$54,'332'!$H$56,'332'!$H$58,'332'!$H$60,'332'!$H$62:$H$63,'332'!$H$65,'332'!$H$67,'332'!$H$69:$H$70,'332'!$H$72,'332'!$H$74:$H$79,'332'!$H$81,'332'!$H$83,'332'!$H$85</definedName>
    <definedName name="OSRRefH22x_0" localSheetId="76">'405'!$H$24:$H$31,'405'!$H$33:$H$36,'405'!$H$38,'405'!$H$40,'405'!$H$42,'405'!$H$44:$H$45,'405'!$H$47,'405'!$H$49,'405'!$H$51,'405'!$H$53:$H$54,'405'!$H$56,'405'!$H$58:$H$60,'405'!$H$62,'405'!$H$64:$H$70,'405'!$H$72,'405'!$H$74,'405'!$H$76</definedName>
    <definedName name="OSRRefH22x_0" localSheetId="77">'406'!$H$24:$H$31,'406'!$H$33:$H$37,'406'!$H$39,'406'!$H$41,'406'!$H$43,'406'!$H$45,'406'!$H$47,'406'!$H$49,'406'!$H$51:$H$53,'406'!$H$55,'406'!$H$57:$H$61,'406'!$H$63,'406'!$H$65</definedName>
    <definedName name="OSRRefH22x_0" localSheetId="78">'411'!$H$20:$H$28,'411'!$H$30:$H$35,'411'!$H$37,'411'!$H$39,'411'!$H$41:$H$43,'411'!$H$45,'411'!$H$47,'411'!$H$49,'411'!$H$51,'411'!$H$53,'411'!$H$55,'411'!$H$57,'411'!$H$59:$H$60,'411'!$H$62:$H$66,'411'!$H$68:$H$73,'411'!$H$75,'411'!$H$77,'411'!$H$79:$H$81,'411'!$H$83</definedName>
    <definedName name="OSRRefH22x_0" localSheetId="79">'412'!$H$23:$H$30,'412'!$H$32:$H$37,'412'!$H$39,'412'!$H$41,'412'!$H$43,'412'!$H$45,'412'!$H$47,'412'!$H$49,'412'!$H$51:$H$52,'412'!$H$54:$H$55,'412'!$H$57:$H$62,'412'!$H$64,'412'!$H$66</definedName>
    <definedName name="OSRRefH22x_0" localSheetId="80">'413'!$H$24:$H$31,'413'!$H$33:$H$36,'413'!$H$38,'413'!$H$40,'413'!$H$42,'413'!$H$44,'413'!$H$46,'413'!$H$48:$H$50,'413'!$H$52:$H$53,'413'!$H$55:$H$59,'413'!$H$61</definedName>
    <definedName name="OSRRefH22x_0" localSheetId="81">'414'!$H$24:$H$30,'414'!$H$32:$H$35,'414'!$H$37,'414'!$H$39,'414'!$H$41,'414'!$H$43,'414'!$H$45,'414'!$H$47,'414'!$H$49:$H$50,'414'!$H$52,'414'!$H$54,'414'!$H$56,'414'!$H$58:$H$64,'414'!$H$66,'414'!$H$68</definedName>
    <definedName name="OSRRefH22x_0" localSheetId="82">'415'!$H$24:$H$31,'415'!$H$33:$H$37,'415'!$H$39,'415'!$H$41,'415'!$H$43,'415'!$H$45:$H$46,'415'!$H$48,'415'!$H$50,'415'!$H$52,'415'!$H$54,'415'!$H$56,'415'!$H$58:$H$60,'415'!$H$62:$H$66,'415'!$H$68,'415'!$H$70:$H$76,'415'!$H$78,'415'!$H$80,'415'!$H$82</definedName>
    <definedName name="OSRRefH22x_0" localSheetId="83">'418'!$H$24:$H$31,'418'!$H$33:$H$38,'418'!$H$40,'418'!$H$42,'418'!$H$44,'418'!$H$46:$H$47,'418'!$H$49,'418'!$H$51,'418'!$H$53:$H$54,'418'!$H$56:$H$58,'418'!$H$60:$H$62,'418'!$H$64,'418'!$H$66:$H$71,'418'!$H$73,'418'!$H$75</definedName>
    <definedName name="OSRRefH22x_0" localSheetId="84">'420'!$H$22:$H$28,'420'!$H$30:$H$33,'420'!$H$35,'420'!$H$37</definedName>
    <definedName name="OSRRefH22x_0" localSheetId="85">'423'!$H$21:$H$28,'423'!$H$30,'423'!$H$32,'423'!$H$34,'423'!$H$36,'423'!$H$38</definedName>
    <definedName name="OSRRefH22x_0" localSheetId="86">'424'!$H$23:$H$24,'424'!$H$26:$H$29,'424'!$H$31,'424'!$H$33,'424'!$H$35,'424'!$H$37,'424'!$H$39,'424'!$H$41,'424'!$H$43:$H$44,'424'!$H$46,'424'!$H$48,'424'!$H$50:$H$52,'424'!$H$54</definedName>
    <definedName name="OSRRefH22x_0" localSheetId="87">'425'!$H$24:$H$31,'425'!$H$33:$H$37,'425'!$H$39,'425'!$H$41,'425'!$H$43,'425'!$H$45,'425'!$H$47,'425'!$H$49,'425'!$H$51,'425'!$H$53:$H$55,'425'!$H$57,'425'!$H$59:$H$60,'425'!$H$62:$H$67,'425'!$H$69,'425'!$H$71</definedName>
    <definedName name="OSRRefH22x_0" localSheetId="90">'430'!$H$20:$H$27,'430'!$H$29,'430'!$H$31,'430'!$H$33,'430'!$H$35:$H$36,'430'!$H$38,'430'!$H$40,'430'!$H$42</definedName>
    <definedName name="OSRRefH22x_0" localSheetId="91">'433'!$H$25:$H$33,'433'!$H$35:$H$40,'433'!$H$42,'433'!$H$44,'433'!$H$46,'433'!$H$48,'433'!$H$50,'433'!$H$52,'433'!$H$54,'433'!$H$56,'433'!$H$58,'433'!$H$60:$H$61,'433'!$H$63:$H$65,'433'!$H$67:$H$73,'433'!$H$75,'433'!$H$77,'433'!$H$79</definedName>
    <definedName name="OSRRefH22x_0" localSheetId="92">'435'!$H$25:$H$27,'435'!$H$29:$H$30,'435'!$H$32,'435'!$H$34,'435'!$H$36,'435'!$H$38,'435'!$H$40:$H$42,'435'!$H$44</definedName>
    <definedName name="OSRRefH22x_0" localSheetId="93">'444'!$H$25:$H$33,'444'!$H$35:$H$40,'444'!$H$42,'444'!$H$44,'444'!$H$46,'444'!$H$48,'444'!$H$50,'444'!$H$52,'444'!$H$54,'444'!$H$56,'444'!$H$58,'444'!$H$60:$H$61,'444'!$H$63:$H$65,'444'!$H$67:$H$75,'444'!$H$77,'444'!$H$79,'444'!$H$81</definedName>
    <definedName name="OSRRefH22x_0" localSheetId="94">'450'!$H$25:$H$33,'450'!$H$35:$H$40,'450'!$H$42,'450'!$H$44,'450'!$H$46,'450'!$H$48,'450'!$H$50,'450'!$H$52,'450'!$H$54,'450'!$H$56,'450'!$H$58,'450'!$H$60,'450'!$H$62,'450'!$H$64:$H$66,'450'!$H$68:$H$73,'450'!$H$75,'450'!$H$77,'450'!$H$79</definedName>
    <definedName name="OSRRefH22x_0" localSheetId="88">'455'!$H$20:$H$26,'455'!$H$28:$H$29</definedName>
    <definedName name="OSRRefH22x_0" localSheetId="75">'491'!$H$31:$H$39,'491'!$H$41:$H$47,'491'!$H$49,'491'!$H$51,'491'!$H$53,'491'!$H$55:$H$57,'491'!$H$59,'491'!$H$61,'491'!$H$63,'491'!$H$65,'491'!$H$67:$H$68,'491'!$H$70,'491'!$H$72,'491'!$H$74,'491'!$H$76,'491'!$H$78:$H$80,'491'!$H$82:$H$83,'491'!$H$85:$H$89,'491'!$H$91,'491'!$H$93:$H$101,'491'!$H$103,'491'!$H$105,'491'!$H$107:$H$109,'491'!$H$111</definedName>
    <definedName name="OSRRefH22x_0" localSheetId="89">'492'!$H$27:$H$35,'492'!$H$37:$H$43,'492'!$H$45,'492'!$H$47,'492'!$H$49,'492'!$H$51,'492'!$H$53,'492'!$H$55,'492'!$H$57,'492'!$H$59,'492'!$H$61,'492'!$H$63,'492'!$H$65:$H$67,'492'!$H$69:$H$71,'492'!$H$73:$H$81,'492'!$H$83,'492'!$H$85,'492'!$H$87</definedName>
    <definedName name="OSRRefH22x_0" localSheetId="96">'501'!$H$21:$H$29,'501'!$H$31:$H$35,'501'!$H$37,'501'!$H$39,'501'!$H$41,'501'!$H$43:$H$44,'501'!$H$46,'501'!$H$48,'501'!$H$50:$H$52,'501'!$H$54:$H$56,'501'!$H$58</definedName>
    <definedName name="OSRRefH22x_0" localSheetId="39">'Div 2'!$H$20:$H$30,'Div 2'!$H$32:$H$38,'Div 2'!$H$40,'Div 2'!$H$42,'Div 2'!$H$44,'Div 2'!$H$46,'Div 2'!$H$48,'Div 2'!$H$50,'Div 2'!$H$52,'Div 2'!$H$54:$H$55,'Div 2'!$H$57,'Div 2'!$H$59,'Div 2'!$H$61:$H$64,'Div 2'!$H$66:$H$68,'Div 2'!$H$70:$H$71,'Div 2'!$H$73,'Div 2'!$H$75:$H$79,'Div 2'!$H$81:$H$82,'Div 2'!$H$84,'Div 2'!$H$86:$H$87</definedName>
    <definedName name="OSRRefH22x_0" localSheetId="47">'Div 3'!$H$164:$H$173,'Div 3'!$H$175:$H$181,'Div 3'!$H$183,'Div 3'!$H$185:$H$186,'Div 3'!$H$188,'Div 3'!$H$190:$H$191,'Div 3'!$H$193:$H$194,'Div 3'!$H$196,'Div 3'!$H$198,'Div 3'!$H$200,'Div 3'!$H$202:$H$203,'Div 3'!$H$205,'Div 3'!$H$207,'Div 3'!$H$209,'Div 3'!$H$211,'Div 3'!$H$213,'Div 3'!$H$215,'Div 3'!$H$217:$H$220,'Div 3'!$H$222:$H$224,'Div 3'!$H$226:$H$230,'Div 3'!$H$232:$H$233,'Div 3'!$H$235:$H$241,'Div 3'!$H$243:$H$244,'Div 3'!$H$246,'Div 3'!$H$248:$H$250,'Div 3'!$H$252</definedName>
    <definedName name="OSRRefH22x_0" localSheetId="73">'Div 4'!$H$32:$H$40,'Div 4'!$H$42:$H$48,'Div 4'!$H$50,'Div 4'!$H$52,'Div 4'!$H$54,'Div 4'!$H$56:$H$58,'Div 4'!$H$60,'Div 4'!$H$62,'Div 4'!$H$64,'Div 4'!$H$66,'Div 4'!$H$68:$H$69,'Div 4'!$H$71,'Div 4'!$H$73,'Div 4'!$H$75,'Div 4'!$H$77,'Div 4'!$H$79,'Div 4'!$H$81:$H$83,'Div 4'!$H$85:$H$86,'Div 4'!$H$88:$H$92,'Div 4'!$H$94,'Div 4'!$H$96:$H$104,'Div 4'!$H$106,'Div 4'!$H$108,'Div 4'!$H$110:$H$112,'Div 4'!$H$114</definedName>
    <definedName name="OSRRefH22x_0" localSheetId="95">'Div 5'!$H$21:$H$29,'Div 5'!$H$31:$H$35,'Div 5'!$H$37,'Div 5'!$H$39,'Div 5'!$H$41,'Div 5'!$H$43:$H$44,'Div 5'!$H$46,'Div 5'!$H$48,'Div 5'!$H$50:$H$52,'Div 5'!$H$54:$H$56,'Div 5'!$H$58</definedName>
    <definedName name="OSRRefH22x_0" localSheetId="64">'Div 6'!$H$58:$H$66,'Div 6'!$H$68:$H$72,'Div 6'!$H$74,'Div 6'!$H$76,'Div 6'!$H$78,'Div 6'!$H$80:$H$81,'Div 6'!$H$83,'Div 6'!$H$85,'Div 6'!$H$87,'Div 6'!$H$89:$H$91,'Div 6'!$H$93,'Div 6'!$H$95</definedName>
    <definedName name="OSRRefH22x_0" localSheetId="2">Summary!$H$196:$H$205,Summary!$H$207:$H$213,Summary!$H$215,Summary!$H$217:$H$218,Summary!$H$220,Summary!$H$222:$H$224,Summary!$H$226:$H$227,Summary!$H$229,Summary!$H$231,Summary!$H$233,Summary!$H$235:$H$236,Summary!$H$238:$H$239,Summary!$H$241,Summary!$H$243,Summary!$H$245,Summary!$H$247,Summary!$H$249,Summary!$H$251,Summary!$H$253:$H$256,Summary!$H$258:$H$260,Summary!$H$262:$H$266,Summary!$H$268:$H$269,Summary!$H$271:$H$279,Summary!$H$281:$H$282,Summary!$H$284,Summary!$H$286:$H$288,Summary!$H$290</definedName>
    <definedName name="OSRRefH25x_0" localSheetId="48">'300'!$H$247:$H$254</definedName>
    <definedName name="OSRRefH25x_0" localSheetId="49">'300 &amp; 317'!$H$272:$H$281</definedName>
    <definedName name="OSRRefH25x_0" localSheetId="50">'301'!$H$95:$H$96</definedName>
    <definedName name="OSRRefH25x_0" localSheetId="55">'308'!$H$111:$H$113</definedName>
    <definedName name="OSRRefH25x_0" localSheetId="74">'310 &amp; 491'!$H$123:$H$125</definedName>
    <definedName name="OSRRefH25x_0" localSheetId="56">'311'!$H$110:$H$112</definedName>
    <definedName name="OSRRefH25x_0" localSheetId="59">'315'!$H$124:$H$125</definedName>
    <definedName name="OSRRefH25x_0" localSheetId="62">'316'!$H$73</definedName>
    <definedName name="OSRRefH25x_0" localSheetId="65">'317'!$H$98:$H$100</definedName>
    <definedName name="OSRRefH25x_0" localSheetId="63">'320'!$H$57:$H$61</definedName>
    <definedName name="OSRRefH25x_0" localSheetId="58">'331'!$H$152:$H$153</definedName>
    <definedName name="OSRRefH25x_0" localSheetId="61">'332'!$H$88:$H$93</definedName>
    <definedName name="OSRRefH25x_0" localSheetId="78">'411'!$H$86:$H$87</definedName>
    <definedName name="OSRRefH25x_0" localSheetId="80">'413'!$H$64</definedName>
    <definedName name="OSRRefH25x_0" localSheetId="83">'418'!$H$78</definedName>
    <definedName name="OSRRefH25x_0" localSheetId="85">'423'!$H$41</definedName>
    <definedName name="OSRRefH25x_0" localSheetId="86">'424'!$H$57</definedName>
    <definedName name="OSRRefH25x_0" localSheetId="87">'425'!$H$74</definedName>
    <definedName name="OSRRefH25x_0" localSheetId="88">'455'!$H$32:$H$33</definedName>
    <definedName name="OSRRefH25x_0" localSheetId="75">'491'!$H$114:$H$116</definedName>
    <definedName name="OSRRefH25x_0" localSheetId="96">'501'!$H$61</definedName>
    <definedName name="OSRRefH25x_0" localSheetId="47">'Div 3'!$H$255:$H$262</definedName>
    <definedName name="OSRRefH25x_0" localSheetId="73">'Div 4'!$H$117:$H$119</definedName>
    <definedName name="OSRRefH25x_0" localSheetId="95">'Div 5'!$H$61</definedName>
    <definedName name="OSRRefH25x_0" localSheetId="64">'Div 6'!$H$98:$H$100</definedName>
    <definedName name="OSRRefH25x_0" localSheetId="2">Summary!$H$293:$H$303</definedName>
    <definedName name="OSRRefP13x_0" localSheetId="48">'300'!$P$13:$P$103</definedName>
    <definedName name="OSRRefP13x_0" localSheetId="49">'300 &amp; 317'!$P$13:$P$121</definedName>
    <definedName name="OSRRefP13x_0" localSheetId="53">'307'!$P$13:$P$41</definedName>
    <definedName name="OSRRefP13x_0" localSheetId="55">'308'!$P$13:$P$40</definedName>
    <definedName name="OSRRefP13x_0" localSheetId="67">'309'!$P$13:$P$14</definedName>
    <definedName name="OSRRefP13x_0" localSheetId="66">'310'!$P$13:$P$20</definedName>
    <definedName name="OSRRefP13x_0" localSheetId="74">'310 &amp; 491'!$P$13:$P$27</definedName>
    <definedName name="OSRRefP13x_0" localSheetId="56">'311'!$P$13:$P$39</definedName>
    <definedName name="OSRRefP13x_0" localSheetId="68">'313'!$P$13:$P$17</definedName>
    <definedName name="OSRRefP13x_0" localSheetId="54">'314'!$P$13:$P$32</definedName>
    <definedName name="OSRRefP13x_0" localSheetId="59">'315'!$P$13:$P$48</definedName>
    <definedName name="OSRRefP13x_0" localSheetId="62">'316'!$P$13:$P$24</definedName>
    <definedName name="OSRRefP13x_0" localSheetId="65">'317'!$P$13:$P$37</definedName>
    <definedName name="OSRRefP13x_0" localSheetId="63">'320'!$P$13:$P$15</definedName>
    <definedName name="OSRRefP13x_0" localSheetId="69">'321'!$P$13:$P$14</definedName>
    <definedName name="OSRRefP13x_0" localSheetId="70">'322'!$P$13:$P$14</definedName>
    <definedName name="OSRRefP13x_0" localSheetId="57">'324'!$P$13:$P$15</definedName>
    <definedName name="OSRRefP13x_0" localSheetId="71">'325'!$P$13:$P$14</definedName>
    <definedName name="OSRRefP13x_0" localSheetId="60">'326'!$P$13:$P$36</definedName>
    <definedName name="OSRRefP13x_0" localSheetId="72">'327'!$P$13</definedName>
    <definedName name="OSRRefP13x_0" localSheetId="52">'330'!$P$13:$P$46</definedName>
    <definedName name="OSRRefP13x_0" localSheetId="58">'331'!$P$13:$P$51</definedName>
    <definedName name="OSRRefP13x_0" localSheetId="61">'332'!$P$13:$P$27</definedName>
    <definedName name="OSRRefP13x_0" localSheetId="76">'405'!$P$13:$P$14</definedName>
    <definedName name="OSRRefP13x_0" localSheetId="77">'406'!$P$13:$P$14</definedName>
    <definedName name="OSRRefP13x_0" localSheetId="79">'412'!$P$13:$P$14</definedName>
    <definedName name="OSRRefP13x_0" localSheetId="80">'413'!$P$13:$P$14</definedName>
    <definedName name="OSRRefP13x_0" localSheetId="81">'414'!$P$13:$P$14</definedName>
    <definedName name="OSRRefP13x_0" localSheetId="82">'415'!$P$13:$P$14</definedName>
    <definedName name="OSRRefP13x_0" localSheetId="83">'418'!$P$13:$P$14</definedName>
    <definedName name="OSRRefP13x_0" localSheetId="84">'420'!$P$13:$P$14</definedName>
    <definedName name="OSRRefP13x_0" localSheetId="86">'424'!$P$13</definedName>
    <definedName name="OSRRefP13x_0" localSheetId="87">'425'!$P$13:$P$14</definedName>
    <definedName name="OSRRefP13x_0" localSheetId="91">'433'!$P$13:$P$15</definedName>
    <definedName name="OSRRefP13x_0" localSheetId="92">'435'!$P$13:$P$15</definedName>
    <definedName name="OSRRefP13x_0" localSheetId="93">'444'!$P$13:$P$15</definedName>
    <definedName name="OSRRefP13x_0" localSheetId="94">'450'!$P$13:$P$15</definedName>
    <definedName name="OSRRefP13x_0" localSheetId="75">'491'!$P$13:$P$21</definedName>
    <definedName name="OSRRefP13x_0" localSheetId="89">'492'!$P$13:$P$17</definedName>
    <definedName name="OSRRefP13x_0" localSheetId="96">'501'!$P$13</definedName>
    <definedName name="OSRRefP13x_0" localSheetId="47">'Div 3'!$P$13:$P$106</definedName>
    <definedName name="OSRRefP13x_0" localSheetId="73">'Div 4'!$P$13:$P$22</definedName>
    <definedName name="OSRRefP13x_0" localSheetId="95">'Div 5'!$P$13</definedName>
    <definedName name="OSRRefP13x_0" localSheetId="64">'Div 6'!$P$13:$P$37</definedName>
    <definedName name="OSRRefP13x_0" localSheetId="2">Summary!$P$13:$P$131</definedName>
    <definedName name="OSRRefP16x_0" localSheetId="48">'300'!$P$106:$P$153</definedName>
    <definedName name="OSRRefP16x_0" localSheetId="49">'300 &amp; 317'!$P$124:$P$178</definedName>
    <definedName name="OSRRefP16x_0" localSheetId="53">'307'!$P$44:$P$62</definedName>
    <definedName name="OSRRefP16x_0" localSheetId="55">'308'!$P$43:$P$55</definedName>
    <definedName name="OSRRefP16x_0" localSheetId="67">'309'!$P$17:$P$18</definedName>
    <definedName name="OSRRefP16x_0" localSheetId="66">'310'!$P$23:$P$24</definedName>
    <definedName name="OSRRefP16x_0" localSheetId="74">'310 &amp; 491'!$P$30:$P$31</definedName>
    <definedName name="OSRRefP16x_0" localSheetId="56">'311'!$P$42:$P$54</definedName>
    <definedName name="OSRRefP16x_0" localSheetId="68">'313'!$P$20:$P$21</definedName>
    <definedName name="OSRRefP16x_0" localSheetId="54">'314'!$P$35:$P$49</definedName>
    <definedName name="OSRRefP16x_0" localSheetId="59">'315'!$P$51:$P$73</definedName>
    <definedName name="OSRRefP16x_0" localSheetId="65">'317'!$P$40:$P$52</definedName>
    <definedName name="OSRRefP16x_0" localSheetId="63">'320'!$P$18:$P$22</definedName>
    <definedName name="OSRRefP16x_0" localSheetId="69">'321'!$P$17:$P$18</definedName>
    <definedName name="OSRRefP16x_0" localSheetId="70">'322'!$P$17:$P$18</definedName>
    <definedName name="OSRRefP16x_0" localSheetId="57">'324'!$P$18:$P$19</definedName>
    <definedName name="OSRRefP16x_0" localSheetId="71">'325'!$P$17:$P$18</definedName>
    <definedName name="OSRRefP16x_0" localSheetId="60">'326'!$P$39:$P$51</definedName>
    <definedName name="OSRRefP16x_0" localSheetId="72">'327'!$P$16</definedName>
    <definedName name="OSRRefP16x_0" localSheetId="52">'330'!$P$49:$P$71</definedName>
    <definedName name="OSRRefP16x_0" localSheetId="58">'331'!$P$54:$P$80</definedName>
    <definedName name="OSRRefP16x_0" localSheetId="61">'332'!$P$30:$P$34</definedName>
    <definedName name="OSRRefP16x_0" localSheetId="76">'405'!$P$17:$P$18</definedName>
    <definedName name="OSRRefP16x_0" localSheetId="77">'406'!$P$17:$P$18</definedName>
    <definedName name="OSRRefP16x_0" localSheetId="79">'412'!$P$17</definedName>
    <definedName name="OSRRefP16x_0" localSheetId="80">'413'!$P$17:$P$18</definedName>
    <definedName name="OSRRefP16x_0" localSheetId="81">'414'!$P$17:$P$18</definedName>
    <definedName name="OSRRefP16x_0" localSheetId="82">'415'!$P$17:$P$18</definedName>
    <definedName name="OSRRefP16x_0" localSheetId="83">'418'!$P$17:$P$18</definedName>
    <definedName name="OSRRefP16x_0" localSheetId="85">'423'!$P$15</definedName>
    <definedName name="OSRRefP16x_0" localSheetId="86">'424'!$P$16:$P$17</definedName>
    <definedName name="OSRRefP16x_0" localSheetId="87">'425'!$P$17:$P$18</definedName>
    <definedName name="OSRRefP16x_0" localSheetId="91">'433'!$P$18:$P$19</definedName>
    <definedName name="OSRRefP16x_0" localSheetId="92">'435'!$P$18:$P$19</definedName>
    <definedName name="OSRRefP16x_0" localSheetId="93">'444'!$P$18:$P$19</definedName>
    <definedName name="OSRRefP16x_0" localSheetId="94">'450'!$P$18:$P$19</definedName>
    <definedName name="OSRRefP16x_0" localSheetId="75">'491'!$P$24:$P$25</definedName>
    <definedName name="OSRRefP16x_0" localSheetId="89">'492'!$P$20:$P$21</definedName>
    <definedName name="OSRRefP16x_0" localSheetId="47">'Div 3'!$P$109:$P$158</definedName>
    <definedName name="OSRRefP16x_0" localSheetId="73">'Div 4'!$P$25:$P$26</definedName>
    <definedName name="OSRRefP16x_0" localSheetId="64">'Div 6'!$P$40:$P$52</definedName>
    <definedName name="OSRRefP16x_0" localSheetId="2">Summary!$P$134:$P$190</definedName>
    <definedName name="OSRRefP22_0x_0" localSheetId="40">'200'!$P$20</definedName>
    <definedName name="OSRRefP22_0x_0" localSheetId="41">'201'!$P$20:$P$27</definedName>
    <definedName name="OSRRefP22_0x_0" localSheetId="42">'202'!$P$20:$P$27</definedName>
    <definedName name="OSRRefP22_0x_0" localSheetId="43">'203'!$P$20:$P$29</definedName>
    <definedName name="OSRRefP22_0x_0" localSheetId="44">'204'!$P$20:$P$28</definedName>
    <definedName name="OSRRefP22_0x_0" localSheetId="45">'205'!$P$20:$P$27</definedName>
    <definedName name="OSRRefP22_0x_0" localSheetId="46">'206'!$P$20:$P$26</definedName>
    <definedName name="OSRRefP22_0x_0" localSheetId="48">'300'!$P$159:$P$168</definedName>
    <definedName name="OSRRefP22_0x_0" localSheetId="49">'300 &amp; 317'!$P$184:$P$193</definedName>
    <definedName name="OSRRefP22_0x_0" localSheetId="50">'301'!$P$20:$P$28</definedName>
    <definedName name="OSRRefP22_0x_0" localSheetId="51">'306'!$P$20:$P$28</definedName>
    <definedName name="OSRRefP22_0x_0" localSheetId="53">'307'!$P$68:$P$75</definedName>
    <definedName name="OSRRefP22_0x_0" localSheetId="55">'308'!$P$61:$P$69</definedName>
    <definedName name="OSRRefP22_0x_0" localSheetId="67">'309'!$P$24:$P$31</definedName>
    <definedName name="OSRRefP22_0x_0" localSheetId="66">'310'!$P$30:$P$37</definedName>
    <definedName name="OSRRefP22_0x_0" localSheetId="74">'310 &amp; 491'!$P$37:$P$45</definedName>
    <definedName name="OSRRefP22_0x_0" localSheetId="56">'311'!$P$60:$P$68</definedName>
    <definedName name="OSRRefP22_0x_0" localSheetId="68">'313'!$P$27:$P$34</definedName>
    <definedName name="OSRRefP22_0x_0" localSheetId="54">'314'!$P$55:$P$61</definedName>
    <definedName name="OSRRefP22_0x_0" localSheetId="59">'315'!$P$79:$P$86</definedName>
    <definedName name="OSRRefP22_0x_0" localSheetId="62">'316'!$P$32:$P$39</definedName>
    <definedName name="OSRRefP22_0x_0" localSheetId="65">'317'!$P$58:$P$66</definedName>
    <definedName name="OSRRefP22_0x_0" localSheetId="63">'320'!$P$28:$P$34</definedName>
    <definedName name="OSRRefP22_0x_0" localSheetId="69">'321'!$P$24:$P$31</definedName>
    <definedName name="OSRRefP22_0x_0" localSheetId="70">'322'!$P$24:$P$31</definedName>
    <definedName name="OSRRefP22_0x_0" localSheetId="71">'325'!$P$24:$P$31</definedName>
    <definedName name="OSRRefP22_0x_0" localSheetId="60">'326'!$P$57:$P$64</definedName>
    <definedName name="OSRRefP22_0x_0" localSheetId="72">'327'!$P$22</definedName>
    <definedName name="OSRRefP22_0x_0" localSheetId="52">'330'!$P$77:$P$84</definedName>
    <definedName name="OSRRefP22_0x_0" localSheetId="58">'331'!$P$86:$P$93</definedName>
    <definedName name="OSRRefP22_0x_0" localSheetId="61">'332'!$P$40:$P$47</definedName>
    <definedName name="OSRRefP22_0x_0" localSheetId="76">'405'!$P$24:$P$31</definedName>
    <definedName name="OSRRefP22_0x_0" localSheetId="77">'406'!$P$24:$P$31</definedName>
    <definedName name="OSRRefP22_0x_0" localSheetId="78">'411'!$P$20:$P$28</definedName>
    <definedName name="OSRRefP22_0x_0" localSheetId="79">'412'!$P$23:$P$30</definedName>
    <definedName name="OSRRefP22_0x_0" localSheetId="80">'413'!$P$24:$P$31</definedName>
    <definedName name="OSRRefP22_0x_0" localSheetId="81">'414'!$P$24:$P$30</definedName>
    <definedName name="OSRRefP22_0x_0" localSheetId="82">'415'!$P$24:$P$31</definedName>
    <definedName name="OSRRefP22_0x_0" localSheetId="83">'418'!$P$24:$P$31</definedName>
    <definedName name="OSRRefP22_0x_0" localSheetId="84">'420'!$P$22:$P$28</definedName>
    <definedName name="OSRRefP22_0x_0" localSheetId="85">'423'!$P$21:$P$28</definedName>
    <definedName name="OSRRefP22_0x_0" localSheetId="86">'424'!$P$23:$P$24</definedName>
    <definedName name="OSRRefP22_0x_0" localSheetId="87">'425'!$P$24:$P$31</definedName>
    <definedName name="OSRRefP22_0x_0" localSheetId="90">'430'!$P$20:$P$27</definedName>
    <definedName name="OSRRefP22_0x_0" localSheetId="91">'433'!$P$25:$P$33</definedName>
    <definedName name="OSRRefP22_0x_0" localSheetId="92">'435'!$P$25:$P$27</definedName>
    <definedName name="OSRRefP22_0x_0" localSheetId="93">'444'!$P$25:$P$33</definedName>
    <definedName name="OSRRefP22_0x_0" localSheetId="94">'450'!$P$25:$P$33</definedName>
    <definedName name="OSRRefP22_0x_0" localSheetId="88">'455'!$P$20:$P$26</definedName>
    <definedName name="OSRRefP22_0x_0" localSheetId="75">'491'!$P$31:$P$39</definedName>
    <definedName name="OSRRefP22_0x_0" localSheetId="89">'492'!$P$27:$P$35</definedName>
    <definedName name="OSRRefP22_0x_0" localSheetId="96">'501'!$P$21:$P$29</definedName>
    <definedName name="OSRRefP22_0x_0" localSheetId="39">'Div 2'!$P$20:$P$30</definedName>
    <definedName name="OSRRefP22_0x_0" localSheetId="47">'Div 3'!$P$164:$P$173</definedName>
    <definedName name="OSRRefP22_0x_0" localSheetId="73">'Div 4'!$P$32:$P$40</definedName>
    <definedName name="OSRRefP22_0x_0" localSheetId="95">'Div 5'!$P$21:$P$29</definedName>
    <definedName name="OSRRefP22_0x_0" localSheetId="64">'Div 6'!$P$58:$P$66</definedName>
    <definedName name="OSRRefP22_0x_0" localSheetId="2">Summary!$P$196:$P$205</definedName>
    <definedName name="OSRRefP22_10x_0" localSheetId="41">'201'!$P$51:$P$53</definedName>
    <definedName name="OSRRefP22_10x_0" localSheetId="42">'202'!$P$53:$P$55</definedName>
    <definedName name="OSRRefP22_10x_0" localSheetId="43">'203'!$P$53:$P$54</definedName>
    <definedName name="OSRRefP22_10x_0" localSheetId="48">'300'!$P$197:$P$198</definedName>
    <definedName name="OSRRefP22_10x_0" localSheetId="49">'300 &amp; 317'!$P$222:$P$223</definedName>
    <definedName name="OSRRefP22_10x_0" localSheetId="50">'301'!$P$57</definedName>
    <definedName name="OSRRefP22_10x_0" localSheetId="53">'307'!$P$103</definedName>
    <definedName name="OSRRefP22_10x_0" localSheetId="55">'308'!$P$97</definedName>
    <definedName name="OSRRefP22_10x_0" localSheetId="67">'309'!$P$59</definedName>
    <definedName name="OSRRefP22_10x_0" localSheetId="66">'310'!$P$63</definedName>
    <definedName name="OSRRefP22_10x_0" localSheetId="74">'310 &amp; 491'!$P$73:$P$74</definedName>
    <definedName name="OSRRefP22_10x_0" localSheetId="56">'311'!$P$96</definedName>
    <definedName name="OSRRefP22_10x_0" localSheetId="68">'313'!$P$60:$P$64</definedName>
    <definedName name="OSRRefP22_10x_0" localSheetId="59">'315'!$P$117</definedName>
    <definedName name="OSRRefP22_10x_0" localSheetId="62">'316'!$P$68</definedName>
    <definedName name="OSRRefP22_10x_0" localSheetId="65">'317'!$P$93</definedName>
    <definedName name="OSRRefP22_10x_0" localSheetId="69">'321'!$P$62</definedName>
    <definedName name="OSRRefP22_10x_0" localSheetId="70">'322'!$P$57:$P$61</definedName>
    <definedName name="OSRRefP22_10x_0" localSheetId="71">'325'!$P$56</definedName>
    <definedName name="OSRRefP22_10x_0" localSheetId="60">'326'!$P$88</definedName>
    <definedName name="OSRRefP22_10x_0" localSheetId="52">'330'!$P$110:$P$112</definedName>
    <definedName name="OSRRefP22_10x_0" localSheetId="58">'331'!$P$120</definedName>
    <definedName name="OSRRefP22_10x_0" localSheetId="61">'332'!$P$72</definedName>
    <definedName name="OSRRefP22_10x_0" localSheetId="76">'405'!$P$56</definedName>
    <definedName name="OSRRefP22_10x_0" localSheetId="77">'406'!$P$57:$P$61</definedName>
    <definedName name="OSRRefP22_10x_0" localSheetId="78">'411'!$P$55</definedName>
    <definedName name="OSRRefP22_10x_0" localSheetId="79">'412'!$P$57:$P$62</definedName>
    <definedName name="OSRRefP22_10x_0" localSheetId="80">'413'!$P$61</definedName>
    <definedName name="OSRRefP22_10x_0" localSheetId="81">'414'!$P$54</definedName>
    <definedName name="OSRRefP22_10x_0" localSheetId="82">'415'!$P$56</definedName>
    <definedName name="OSRRefP22_10x_0" localSheetId="83">'418'!$P$60:$P$62</definedName>
    <definedName name="OSRRefP22_10x_0" localSheetId="86">'424'!$P$48</definedName>
    <definedName name="OSRRefP22_10x_0" localSheetId="87">'425'!$P$57</definedName>
    <definedName name="OSRRefP22_10x_0" localSheetId="91">'433'!$P$58</definedName>
    <definedName name="OSRRefP22_10x_0" localSheetId="93">'444'!$P$58</definedName>
    <definedName name="OSRRefP22_10x_0" localSheetId="94">'450'!$P$58</definedName>
    <definedName name="OSRRefP22_10x_0" localSheetId="75">'491'!$P$67:$P$68</definedName>
    <definedName name="OSRRefP22_10x_0" localSheetId="89">'492'!$P$61</definedName>
    <definedName name="OSRRefP22_10x_0" localSheetId="96">'501'!$P$58</definedName>
    <definedName name="OSRRefP22_10x_0" localSheetId="39">'Div 2'!$P$57</definedName>
    <definedName name="OSRRefP22_10x_0" localSheetId="47">'Div 3'!$P$202:$P$203</definedName>
    <definedName name="OSRRefP22_10x_0" localSheetId="73">'Div 4'!$P$68:$P$69</definedName>
    <definedName name="OSRRefP22_10x_0" localSheetId="95">'Div 5'!$P$58</definedName>
    <definedName name="OSRRefP22_10x_0" localSheetId="64">'Div 6'!$P$93</definedName>
    <definedName name="OSRRefP22_10x_0" localSheetId="2">Summary!$P$235:$P$236</definedName>
    <definedName name="OSRRefP22_11x_0" localSheetId="41">'201'!$P$55</definedName>
    <definedName name="OSRRefP22_11x_0" localSheetId="42">'202'!$P$57</definedName>
    <definedName name="OSRRefP22_11x_0" localSheetId="43">'203'!$P$56</definedName>
    <definedName name="OSRRefP22_11x_0" localSheetId="48">'300'!$P$200</definedName>
    <definedName name="OSRRefP22_11x_0" localSheetId="49">'300 &amp; 317'!$P$225</definedName>
    <definedName name="OSRRefP22_11x_0" localSheetId="50">'301'!$P$59</definedName>
    <definedName name="OSRRefP22_11x_0" localSheetId="53">'307'!$P$105</definedName>
    <definedName name="OSRRefP22_11x_0" localSheetId="55">'308'!$P$99:$P$101</definedName>
    <definedName name="OSRRefP22_11x_0" localSheetId="66">'310'!$P$65</definedName>
    <definedName name="OSRRefP22_11x_0" localSheetId="74">'310 &amp; 491'!$P$76:$P$77</definedName>
    <definedName name="OSRRefP22_11x_0" localSheetId="56">'311'!$P$98:$P$100</definedName>
    <definedName name="OSRRefP22_11x_0" localSheetId="68">'313'!$P$66</definedName>
    <definedName name="OSRRefP22_11x_0" localSheetId="59">'315'!$P$119</definedName>
    <definedName name="OSRRefP22_11x_0" localSheetId="62">'316'!$P$70</definedName>
    <definedName name="OSRRefP22_11x_0" localSheetId="65">'317'!$P$95</definedName>
    <definedName name="OSRRefP22_11x_0" localSheetId="69">'321'!$P$64</definedName>
    <definedName name="OSRRefP22_11x_0" localSheetId="70">'322'!$P$63</definedName>
    <definedName name="OSRRefP22_11x_0" localSheetId="71">'325'!$P$58:$P$60</definedName>
    <definedName name="OSRRefP22_11x_0" localSheetId="60">'326'!$P$90:$P$91</definedName>
    <definedName name="OSRRefP22_11x_0" localSheetId="52">'330'!$P$114</definedName>
    <definedName name="OSRRefP22_11x_0" localSheetId="58">'331'!$P$122</definedName>
    <definedName name="OSRRefP22_11x_0" localSheetId="61">'332'!$P$74:$P$79</definedName>
    <definedName name="OSRRefP22_11x_0" localSheetId="76">'405'!$P$58:$P$60</definedName>
    <definedName name="OSRRefP22_11x_0" localSheetId="77">'406'!$P$63</definedName>
    <definedName name="OSRRefP22_11x_0" localSheetId="78">'411'!$P$57</definedName>
    <definedName name="OSRRefP22_11x_0" localSheetId="79">'412'!$P$64</definedName>
    <definedName name="OSRRefP22_11x_0" localSheetId="81">'414'!$P$56</definedName>
    <definedName name="OSRRefP22_11x_0" localSheetId="82">'415'!$P$58:$P$60</definedName>
    <definedName name="OSRRefP22_11x_0" localSheetId="83">'418'!$P$64</definedName>
    <definedName name="OSRRefP22_11x_0" localSheetId="86">'424'!$P$50:$P$52</definedName>
    <definedName name="OSRRefP22_11x_0" localSheetId="87">'425'!$P$59:$P$60</definedName>
    <definedName name="OSRRefP22_11x_0" localSheetId="91">'433'!$P$60:$P$61</definedName>
    <definedName name="OSRRefP22_11x_0" localSheetId="93">'444'!$P$60:$P$61</definedName>
    <definedName name="OSRRefP22_11x_0" localSheetId="94">'450'!$P$60</definedName>
    <definedName name="OSRRefP22_11x_0" localSheetId="75">'491'!$P$70</definedName>
    <definedName name="OSRRefP22_11x_0" localSheetId="89">'492'!$P$63</definedName>
    <definedName name="OSRRefP22_11x_0" localSheetId="39">'Div 2'!$P$59</definedName>
    <definedName name="OSRRefP22_11x_0" localSheetId="47">'Div 3'!$P$205</definedName>
    <definedName name="OSRRefP22_11x_0" localSheetId="73">'Div 4'!$P$71</definedName>
    <definedName name="OSRRefP22_11x_0" localSheetId="64">'Div 6'!$P$95</definedName>
    <definedName name="OSRRefP22_11x_0" localSheetId="2">Summary!$P$238:$P$239</definedName>
    <definedName name="OSRRefP22_12x_0" localSheetId="41">'201'!$P$57:$P$60</definedName>
    <definedName name="OSRRefP22_12x_0" localSheetId="42">'202'!$P$59</definedName>
    <definedName name="OSRRefP22_12x_0" localSheetId="43">'203'!$P$58:$P$61</definedName>
    <definedName name="OSRRefP22_12x_0" localSheetId="48">'300'!$P$202</definedName>
    <definedName name="OSRRefP22_12x_0" localSheetId="49">'300 &amp; 317'!$P$227</definedName>
    <definedName name="OSRRefP22_12x_0" localSheetId="50">'301'!$P$61</definedName>
    <definedName name="OSRRefP22_12x_0" localSheetId="55">'308'!$P$103:$P$104</definedName>
    <definedName name="OSRRefP22_12x_0" localSheetId="66">'310'!$P$67</definedName>
    <definedName name="OSRRefP22_12x_0" localSheetId="74">'310 &amp; 491'!$P$79</definedName>
    <definedName name="OSRRefP22_12x_0" localSheetId="56">'311'!$P$102:$P$103</definedName>
    <definedName name="OSRRefP22_12x_0" localSheetId="68">'313'!$P$68</definedName>
    <definedName name="OSRRefP22_12x_0" localSheetId="59">'315'!$P$121</definedName>
    <definedName name="OSRRefP22_12x_0" localSheetId="70">'322'!$P$65</definedName>
    <definedName name="OSRRefP22_12x_0" localSheetId="71">'325'!$P$62:$P$64</definedName>
    <definedName name="OSRRefP22_12x_0" localSheetId="60">'326'!$P$93:$P$95</definedName>
    <definedName name="OSRRefP22_12x_0" localSheetId="52">'330'!$P$116</definedName>
    <definedName name="OSRRefP22_12x_0" localSheetId="58">'331'!$P$124:$P$125</definedName>
    <definedName name="OSRRefP22_12x_0" localSheetId="61">'332'!$P$81</definedName>
    <definedName name="OSRRefP22_12x_0" localSheetId="76">'405'!$P$62</definedName>
    <definedName name="OSRRefP22_12x_0" localSheetId="77">'406'!$P$65</definedName>
    <definedName name="OSRRefP22_12x_0" localSheetId="78">'411'!$P$59:$P$60</definedName>
    <definedName name="OSRRefP22_12x_0" localSheetId="79">'412'!$P$66</definedName>
    <definedName name="OSRRefP22_12x_0" localSheetId="81">'414'!$P$58:$P$64</definedName>
    <definedName name="OSRRefP22_12x_0" localSheetId="82">'415'!$P$62:$P$66</definedName>
    <definedName name="OSRRefP22_12x_0" localSheetId="83">'418'!$P$66:$P$71</definedName>
    <definedName name="OSRRefP22_12x_0" localSheetId="86">'424'!$P$54</definedName>
    <definedName name="OSRRefP22_12x_0" localSheetId="87">'425'!$P$62:$P$67</definedName>
    <definedName name="OSRRefP22_12x_0" localSheetId="91">'433'!$P$63:$P$65</definedName>
    <definedName name="OSRRefP22_12x_0" localSheetId="93">'444'!$P$63:$P$65</definedName>
    <definedName name="OSRRefP22_12x_0" localSheetId="94">'450'!$P$62</definedName>
    <definedName name="OSRRefP22_12x_0" localSheetId="75">'491'!$P$72</definedName>
    <definedName name="OSRRefP22_12x_0" localSheetId="89">'492'!$P$65:$P$67</definedName>
    <definedName name="OSRRefP22_12x_0" localSheetId="39">'Div 2'!$P$61:$P$64</definedName>
    <definedName name="OSRRefP22_12x_0" localSheetId="47">'Div 3'!$P$207</definedName>
    <definedName name="OSRRefP22_12x_0" localSheetId="73">'Div 4'!$P$73</definedName>
    <definedName name="OSRRefP22_12x_0" localSheetId="2">Summary!$P$241</definedName>
    <definedName name="OSRRefP22_13x_0" localSheetId="41">'201'!$P$62</definedName>
    <definedName name="OSRRefP22_13x_0" localSheetId="42">'202'!$P$61</definedName>
    <definedName name="OSRRefP22_13x_0" localSheetId="43">'203'!$P$63</definedName>
    <definedName name="OSRRefP22_13x_0" localSheetId="48">'300'!$P$204</definedName>
    <definedName name="OSRRefP22_13x_0" localSheetId="49">'300 &amp; 317'!$P$229</definedName>
    <definedName name="OSRRefP22_13x_0" localSheetId="50">'301'!$P$63</definedName>
    <definedName name="OSRRefP22_13x_0" localSheetId="55">'308'!$P$106</definedName>
    <definedName name="OSRRefP22_13x_0" localSheetId="66">'310'!$P$69</definedName>
    <definedName name="OSRRefP22_13x_0" localSheetId="74">'310 &amp; 491'!$P$81</definedName>
    <definedName name="OSRRefP22_13x_0" localSheetId="56">'311'!$P$105</definedName>
    <definedName name="OSRRefP22_13x_0" localSheetId="71">'325'!$P$66</definedName>
    <definedName name="OSRRefP22_13x_0" localSheetId="60">'326'!$P$97</definedName>
    <definedName name="OSRRefP22_13x_0" localSheetId="58">'331'!$P$127:$P$128</definedName>
    <definedName name="OSRRefP22_13x_0" localSheetId="61">'332'!$P$83</definedName>
    <definedName name="OSRRefP22_13x_0" localSheetId="76">'405'!$P$64:$P$70</definedName>
    <definedName name="OSRRefP22_13x_0" localSheetId="78">'411'!$P$62:$P$66</definedName>
    <definedName name="OSRRefP22_13x_0" localSheetId="81">'414'!$P$66</definedName>
    <definedName name="OSRRefP22_13x_0" localSheetId="82">'415'!$P$68</definedName>
    <definedName name="OSRRefP22_13x_0" localSheetId="83">'418'!$P$73</definedName>
    <definedName name="OSRRefP22_13x_0" localSheetId="87">'425'!$P$69</definedName>
    <definedName name="OSRRefP22_13x_0" localSheetId="91">'433'!$P$67:$P$73</definedName>
    <definedName name="OSRRefP22_13x_0" localSheetId="93">'444'!$P$67:$P$75</definedName>
    <definedName name="OSRRefP22_13x_0" localSheetId="94">'450'!$P$64:$P$66</definedName>
    <definedName name="OSRRefP22_13x_0" localSheetId="75">'491'!$P$74</definedName>
    <definedName name="OSRRefP22_13x_0" localSheetId="89">'492'!$P$69:$P$71</definedName>
    <definedName name="OSRRefP22_13x_0" localSheetId="39">'Div 2'!$P$66:$P$68</definedName>
    <definedName name="OSRRefP22_13x_0" localSheetId="47">'Div 3'!$P$209</definedName>
    <definedName name="OSRRefP22_13x_0" localSheetId="73">'Div 4'!$P$75</definedName>
    <definedName name="OSRRefP22_13x_0" localSheetId="2">Summary!$P$243</definedName>
    <definedName name="OSRRefP22_14x_0" localSheetId="41">'201'!$P$64</definedName>
    <definedName name="OSRRefP22_14x_0" localSheetId="43">'203'!$P$65</definedName>
    <definedName name="OSRRefP22_14x_0" localSheetId="48">'300'!$P$206</definedName>
    <definedName name="OSRRefP22_14x_0" localSheetId="49">'300 &amp; 317'!$P$231</definedName>
    <definedName name="OSRRefP22_14x_0" localSheetId="50">'301'!$P$65</definedName>
    <definedName name="OSRRefP22_14x_0" localSheetId="55">'308'!$P$108</definedName>
    <definedName name="OSRRefP22_14x_0" localSheetId="66">'310'!$P$71:$P$73</definedName>
    <definedName name="OSRRefP22_14x_0" localSheetId="74">'310 &amp; 491'!$P$83</definedName>
    <definedName name="OSRRefP22_14x_0" localSheetId="56">'311'!$P$107</definedName>
    <definedName name="OSRRefP22_14x_0" localSheetId="71">'325'!$P$68:$P$72</definedName>
    <definedName name="OSRRefP22_14x_0" localSheetId="60">'326'!$P$99:$P$101</definedName>
    <definedName name="OSRRefP22_14x_0" localSheetId="58">'331'!$P$130:$P$132</definedName>
    <definedName name="OSRRefP22_14x_0" localSheetId="61">'332'!$P$85</definedName>
    <definedName name="OSRRefP22_14x_0" localSheetId="76">'405'!$P$72</definedName>
    <definedName name="OSRRefP22_14x_0" localSheetId="78">'411'!$P$68:$P$73</definedName>
    <definedName name="OSRRefP22_14x_0" localSheetId="81">'414'!$P$68</definedName>
    <definedName name="OSRRefP22_14x_0" localSheetId="82">'415'!$P$70:$P$76</definedName>
    <definedName name="OSRRefP22_14x_0" localSheetId="83">'418'!$P$75</definedName>
    <definedName name="OSRRefP22_14x_0" localSheetId="87">'425'!$P$71</definedName>
    <definedName name="OSRRefP22_14x_0" localSheetId="91">'433'!$P$75</definedName>
    <definedName name="OSRRefP22_14x_0" localSheetId="93">'444'!$P$77</definedName>
    <definedName name="OSRRefP22_14x_0" localSheetId="94">'450'!$P$68:$P$73</definedName>
    <definedName name="OSRRefP22_14x_0" localSheetId="75">'491'!$P$76</definedName>
    <definedName name="OSRRefP22_14x_0" localSheetId="89">'492'!$P$73:$P$81</definedName>
    <definedName name="OSRRefP22_14x_0" localSheetId="39">'Div 2'!$P$70:$P$71</definedName>
    <definedName name="OSRRefP22_14x_0" localSheetId="47">'Div 3'!$P$211</definedName>
    <definedName name="OSRRefP22_14x_0" localSheetId="73">'Div 4'!$P$77</definedName>
    <definedName name="OSRRefP22_14x_0" localSheetId="2">Summary!$P$245</definedName>
    <definedName name="OSRRefP22_15x_0" localSheetId="41">'201'!$P$66</definedName>
    <definedName name="OSRRefP22_15x_0" localSheetId="43">'203'!$P$67</definedName>
    <definedName name="OSRRefP22_15x_0" localSheetId="48">'300'!$P$208</definedName>
    <definedName name="OSRRefP22_15x_0" localSheetId="49">'300 &amp; 317'!$P$233</definedName>
    <definedName name="OSRRefP22_15x_0" localSheetId="50">'301'!$P$67:$P$70</definedName>
    <definedName name="OSRRefP22_15x_0" localSheetId="66">'310'!$P$75</definedName>
    <definedName name="OSRRefP22_15x_0" localSheetId="74">'310 &amp; 491'!$P$85</definedName>
    <definedName name="OSRRefP22_15x_0" localSheetId="71">'325'!$P$74</definedName>
    <definedName name="OSRRefP22_15x_0" localSheetId="60">'326'!$P$103</definedName>
    <definedName name="OSRRefP22_15x_0" localSheetId="58">'331'!$P$134</definedName>
    <definedName name="OSRRefP22_15x_0" localSheetId="76">'405'!$P$74</definedName>
    <definedName name="OSRRefP22_15x_0" localSheetId="78">'411'!$P$75</definedName>
    <definedName name="OSRRefP22_15x_0" localSheetId="82">'415'!$P$78</definedName>
    <definedName name="OSRRefP22_15x_0" localSheetId="91">'433'!$P$77</definedName>
    <definedName name="OSRRefP22_15x_0" localSheetId="93">'444'!$P$79</definedName>
    <definedName name="OSRRefP22_15x_0" localSheetId="94">'450'!$P$75</definedName>
    <definedName name="OSRRefP22_15x_0" localSheetId="75">'491'!$P$78:$P$80</definedName>
    <definedName name="OSRRefP22_15x_0" localSheetId="89">'492'!$P$83</definedName>
    <definedName name="OSRRefP22_15x_0" localSheetId="39">'Div 2'!$P$73</definedName>
    <definedName name="OSRRefP22_15x_0" localSheetId="47">'Div 3'!$P$213</definedName>
    <definedName name="OSRRefP22_15x_0" localSheetId="73">'Div 4'!$P$79</definedName>
    <definedName name="OSRRefP22_15x_0" localSheetId="2">Summary!$P$247</definedName>
    <definedName name="OSRRefP22_16x_0" localSheetId="48">'300'!$P$210:$P$213</definedName>
    <definedName name="OSRRefP22_16x_0" localSheetId="49">'300 &amp; 317'!$P$235:$P$238</definedName>
    <definedName name="OSRRefP22_16x_0" localSheetId="50">'301'!$P$72:$P$74</definedName>
    <definedName name="OSRRefP22_16x_0" localSheetId="66">'310'!$P$77:$P$80</definedName>
    <definedName name="OSRRefP22_16x_0" localSheetId="74">'310 &amp; 491'!$P$87:$P$89</definedName>
    <definedName name="OSRRefP22_16x_0" localSheetId="71">'325'!$P$76</definedName>
    <definedName name="OSRRefP22_16x_0" localSheetId="60">'326'!$P$105</definedName>
    <definedName name="OSRRefP22_16x_0" localSheetId="58">'331'!$P$136:$P$140</definedName>
    <definedName name="OSRRefP22_16x_0" localSheetId="76">'405'!$P$76</definedName>
    <definedName name="OSRRefP22_16x_0" localSheetId="78">'411'!$P$77</definedName>
    <definedName name="OSRRefP22_16x_0" localSheetId="82">'415'!$P$80</definedName>
    <definedName name="OSRRefP22_16x_0" localSheetId="91">'433'!$P$79</definedName>
    <definedName name="OSRRefP22_16x_0" localSheetId="93">'444'!$P$81</definedName>
    <definedName name="OSRRefP22_16x_0" localSheetId="94">'450'!$P$77</definedName>
    <definedName name="OSRRefP22_16x_0" localSheetId="75">'491'!$P$82:$P$83</definedName>
    <definedName name="OSRRefP22_16x_0" localSheetId="89">'492'!$P$85</definedName>
    <definedName name="OSRRefP22_16x_0" localSheetId="39">'Div 2'!$P$75:$P$79</definedName>
    <definedName name="OSRRefP22_16x_0" localSheetId="47">'Div 3'!$P$215</definedName>
    <definedName name="OSRRefP22_16x_0" localSheetId="73">'Div 4'!$P$81:$P$83</definedName>
    <definedName name="OSRRefP22_16x_0" localSheetId="2">Summary!$P$249</definedName>
    <definedName name="OSRRefP22_17x_0" localSheetId="48">'300'!$P$215:$P$217</definedName>
    <definedName name="OSRRefP22_17x_0" localSheetId="49">'300 &amp; 317'!$P$240:$P$242</definedName>
    <definedName name="OSRRefP22_17x_0" localSheetId="50">'301'!$P$76</definedName>
    <definedName name="OSRRefP22_17x_0" localSheetId="66">'310'!$P$82</definedName>
    <definedName name="OSRRefP22_17x_0" localSheetId="74">'310 &amp; 491'!$P$91:$P$92</definedName>
    <definedName name="OSRRefP22_17x_0" localSheetId="60">'326'!$P$107</definedName>
    <definedName name="OSRRefP22_17x_0" localSheetId="58">'331'!$P$142</definedName>
    <definedName name="OSRRefP22_17x_0" localSheetId="78">'411'!$P$79:$P$81</definedName>
    <definedName name="OSRRefP22_17x_0" localSheetId="82">'415'!$P$82</definedName>
    <definedName name="OSRRefP22_17x_0" localSheetId="94">'450'!$P$79</definedName>
    <definedName name="OSRRefP22_17x_0" localSheetId="75">'491'!$P$85:$P$89</definedName>
    <definedName name="OSRRefP22_17x_0" localSheetId="89">'492'!$P$87</definedName>
    <definedName name="OSRRefP22_17x_0" localSheetId="39">'Div 2'!$P$81:$P$82</definedName>
    <definedName name="OSRRefP22_17x_0" localSheetId="47">'Div 3'!$P$217:$P$220</definedName>
    <definedName name="OSRRefP22_17x_0" localSheetId="73">'Div 4'!$P$85:$P$86</definedName>
    <definedName name="OSRRefP22_17x_0" localSheetId="2">Summary!$P$251</definedName>
    <definedName name="OSRRefP22_18x_0" localSheetId="48">'300'!$P$219:$P$222</definedName>
    <definedName name="OSRRefP22_18x_0" localSheetId="49">'300 &amp; 317'!$P$244:$P$247</definedName>
    <definedName name="OSRRefP22_18x_0" localSheetId="50">'301'!$P$78:$P$83</definedName>
    <definedName name="OSRRefP22_18x_0" localSheetId="66">'310'!$P$84:$P$90</definedName>
    <definedName name="OSRRefP22_18x_0" localSheetId="74">'310 &amp; 491'!$P$94:$P$98</definedName>
    <definedName name="OSRRefP22_18x_0" localSheetId="58">'331'!$P$144</definedName>
    <definedName name="OSRRefP22_18x_0" localSheetId="78">'411'!$P$83</definedName>
    <definedName name="OSRRefP22_18x_0" localSheetId="75">'491'!$P$91</definedName>
    <definedName name="OSRRefP22_18x_0" localSheetId="39">'Div 2'!$P$84</definedName>
    <definedName name="OSRRefP22_18x_0" localSheetId="47">'Div 3'!$P$222:$P$224</definedName>
    <definedName name="OSRRefP22_18x_0" localSheetId="73">'Div 4'!$P$88:$P$92</definedName>
    <definedName name="OSRRefP22_18x_0" localSheetId="2">Summary!$P$253:$P$256</definedName>
    <definedName name="OSRRefP22_19x_0" localSheetId="48">'300'!$P$224:$P$225</definedName>
    <definedName name="OSRRefP22_19x_0" localSheetId="49">'300 &amp; 317'!$P$249:$P$250</definedName>
    <definedName name="OSRRefP22_19x_0" localSheetId="50">'301'!$P$85</definedName>
    <definedName name="OSRRefP22_19x_0" localSheetId="66">'310'!$P$92</definedName>
    <definedName name="OSRRefP22_19x_0" localSheetId="74">'310 &amp; 491'!$P$100</definedName>
    <definedName name="OSRRefP22_19x_0" localSheetId="58">'331'!$P$146:$P$147</definedName>
    <definedName name="OSRRefP22_19x_0" localSheetId="75">'491'!$P$93:$P$101</definedName>
    <definedName name="OSRRefP22_19x_0" localSheetId="39">'Div 2'!$P$86:$P$87</definedName>
    <definedName name="OSRRefP22_19x_0" localSheetId="47">'Div 3'!$P$226:$P$230</definedName>
    <definedName name="OSRRefP22_19x_0" localSheetId="73">'Div 4'!$P$94</definedName>
    <definedName name="OSRRefP22_19x_0" localSheetId="2">Summary!$P$258:$P$260</definedName>
    <definedName name="OSRRefP22_1x_0" localSheetId="40">'200'!$P$22</definedName>
    <definedName name="OSRRefP22_1x_0" localSheetId="41">'201'!$P$29:$P$31</definedName>
    <definedName name="OSRRefP22_1x_0" localSheetId="42">'202'!$P$29:$P$32</definedName>
    <definedName name="OSRRefP22_1x_0" localSheetId="43">'203'!$P$31:$P$34</definedName>
    <definedName name="OSRRefP22_1x_0" localSheetId="44">'204'!$P$30:$P$34</definedName>
    <definedName name="OSRRefP22_1x_0" localSheetId="45">'205'!$P$29</definedName>
    <definedName name="OSRRefP22_1x_0" localSheetId="46">'206'!$P$28:$P$31</definedName>
    <definedName name="OSRRefP22_1x_0" localSheetId="48">'300'!$P$170:$P$176</definedName>
    <definedName name="OSRRefP22_1x_0" localSheetId="49">'300 &amp; 317'!$P$195:$P$201</definedName>
    <definedName name="OSRRefP22_1x_0" localSheetId="50">'301'!$P$30:$P$36</definedName>
    <definedName name="OSRRefP22_1x_0" localSheetId="51">'306'!$P$30:$P$35</definedName>
    <definedName name="OSRRefP22_1x_0" localSheetId="53">'307'!$P$77:$P$80</definedName>
    <definedName name="OSRRefP22_1x_0" localSheetId="55">'308'!$P$71:$P$76</definedName>
    <definedName name="OSRRefP22_1x_0" localSheetId="67">'309'!$P$33:$P$37</definedName>
    <definedName name="OSRRefP22_1x_0" localSheetId="66">'310'!$P$39:$P$44</definedName>
    <definedName name="OSRRefP22_1x_0" localSheetId="74">'310 &amp; 491'!$P$47:$P$53</definedName>
    <definedName name="OSRRefP22_1x_0" localSheetId="56">'311'!$P$70:$P$75</definedName>
    <definedName name="OSRRefP22_1x_0" localSheetId="68">'313'!$P$36:$P$40</definedName>
    <definedName name="OSRRefP22_1x_0" localSheetId="54">'314'!$P$63:$P$64</definedName>
    <definedName name="OSRRefP22_1x_0" localSheetId="59">'315'!$P$88:$P$93</definedName>
    <definedName name="OSRRefP22_1x_0" localSheetId="62">'316'!$P$41:$P$43</definedName>
    <definedName name="OSRRefP22_1x_0" localSheetId="65">'317'!$P$68:$P$72</definedName>
    <definedName name="OSRRefP22_1x_0" localSheetId="63">'320'!$P$36:$P$38</definedName>
    <definedName name="OSRRefP22_1x_0" localSheetId="69">'321'!$P$33:$P$37</definedName>
    <definedName name="OSRRefP22_1x_0" localSheetId="70">'322'!$P$33:$P$36</definedName>
    <definedName name="OSRRefP22_1x_0" localSheetId="71">'325'!$P$33:$P$37</definedName>
    <definedName name="OSRRefP22_1x_0" localSheetId="60">'326'!$P$66:$P$70</definedName>
    <definedName name="OSRRefP22_1x_0" localSheetId="72">'327'!$P$24</definedName>
    <definedName name="OSRRefP22_1x_0" localSheetId="52">'330'!$P$86:$P$89</definedName>
    <definedName name="OSRRefP22_1x_0" localSheetId="58">'331'!$P$95:$P$100</definedName>
    <definedName name="OSRRefP22_1x_0" localSheetId="61">'332'!$P$49:$P$52</definedName>
    <definedName name="OSRRefP22_1x_0" localSheetId="76">'405'!$P$33:$P$36</definedName>
    <definedName name="OSRRefP22_1x_0" localSheetId="77">'406'!$P$33:$P$37</definedName>
    <definedName name="OSRRefP22_1x_0" localSheetId="78">'411'!$P$30:$P$35</definedName>
    <definedName name="OSRRefP22_1x_0" localSheetId="79">'412'!$P$32:$P$37</definedName>
    <definedName name="OSRRefP22_1x_0" localSheetId="80">'413'!$P$33:$P$36</definedName>
    <definedName name="OSRRefP22_1x_0" localSheetId="81">'414'!$P$32:$P$35</definedName>
    <definedName name="OSRRefP22_1x_0" localSheetId="82">'415'!$P$33:$P$37</definedName>
    <definedName name="OSRRefP22_1x_0" localSheetId="83">'418'!$P$33:$P$38</definedName>
    <definedName name="OSRRefP22_1x_0" localSheetId="84">'420'!$P$30:$P$33</definedName>
    <definedName name="OSRRefP22_1x_0" localSheetId="85">'423'!$P$30</definedName>
    <definedName name="OSRRefP22_1x_0" localSheetId="86">'424'!$P$26:$P$29</definedName>
    <definedName name="OSRRefP22_1x_0" localSheetId="87">'425'!$P$33:$P$37</definedName>
    <definedName name="OSRRefP22_1x_0" localSheetId="90">'430'!$P$29</definedName>
    <definedName name="OSRRefP22_1x_0" localSheetId="91">'433'!$P$35:$P$40</definedName>
    <definedName name="OSRRefP22_1x_0" localSheetId="92">'435'!$P$29:$P$30</definedName>
    <definedName name="OSRRefP22_1x_0" localSheetId="93">'444'!$P$35:$P$40</definedName>
    <definedName name="OSRRefP22_1x_0" localSheetId="94">'450'!$P$35:$P$40</definedName>
    <definedName name="OSRRefP22_1x_0" localSheetId="88">'455'!$P$28:$P$29</definedName>
    <definedName name="OSRRefP22_1x_0" localSheetId="75">'491'!$P$41:$P$47</definedName>
    <definedName name="OSRRefP22_1x_0" localSheetId="89">'492'!$P$37:$P$43</definedName>
    <definedName name="OSRRefP22_1x_0" localSheetId="96">'501'!$P$31:$P$35</definedName>
    <definedName name="OSRRefP22_1x_0" localSheetId="39">'Div 2'!$P$32:$P$38</definedName>
    <definedName name="OSRRefP22_1x_0" localSheetId="47">'Div 3'!$P$175:$P$181</definedName>
    <definedName name="OSRRefP22_1x_0" localSheetId="73">'Div 4'!$P$42:$P$48</definedName>
    <definedName name="OSRRefP22_1x_0" localSheetId="95">'Div 5'!$P$31:$P$35</definedName>
    <definedName name="OSRRefP22_1x_0" localSheetId="64">'Div 6'!$P$68:$P$72</definedName>
    <definedName name="OSRRefP22_1x_0" localSheetId="2">Summary!$P$207:$P$213</definedName>
    <definedName name="OSRRefP22_20x_0" localSheetId="48">'300'!$P$227:$P$233</definedName>
    <definedName name="OSRRefP22_20x_0" localSheetId="49">'300 &amp; 317'!$P$252:$P$258</definedName>
    <definedName name="OSRRefP22_20x_0" localSheetId="50">'301'!$P$87</definedName>
    <definedName name="OSRRefP22_20x_0" localSheetId="66">'310'!$P$94</definedName>
    <definedName name="OSRRefP22_20x_0" localSheetId="74">'310 &amp; 491'!$P$102:$P$110</definedName>
    <definedName name="OSRRefP22_20x_0" localSheetId="58">'331'!$P$149</definedName>
    <definedName name="OSRRefP22_20x_0" localSheetId="75">'491'!$P$103</definedName>
    <definedName name="OSRRefP22_20x_0" localSheetId="47">'Div 3'!$P$232:$P$233</definedName>
    <definedName name="OSRRefP22_20x_0" localSheetId="73">'Div 4'!$P$96:$P$104</definedName>
    <definedName name="OSRRefP22_20x_0" localSheetId="2">Summary!$P$262:$P$266</definedName>
    <definedName name="OSRRefP22_21x_0" localSheetId="48">'300'!$P$235:$P$236</definedName>
    <definedName name="OSRRefP22_21x_0" localSheetId="49">'300 &amp; 317'!$P$260:$P$261</definedName>
    <definedName name="OSRRefP22_21x_0" localSheetId="50">'301'!$P$89:$P$90</definedName>
    <definedName name="OSRRefP22_21x_0" localSheetId="66">'310'!$P$96</definedName>
    <definedName name="OSRRefP22_21x_0" localSheetId="74">'310 &amp; 491'!$P$112</definedName>
    <definedName name="OSRRefP22_21x_0" localSheetId="75">'491'!$P$105</definedName>
    <definedName name="OSRRefP22_21x_0" localSheetId="47">'Div 3'!$P$235:$P$241</definedName>
    <definedName name="OSRRefP22_21x_0" localSheetId="73">'Div 4'!$P$106</definedName>
    <definedName name="OSRRefP22_21x_0" localSheetId="2">Summary!$P$268:$P$269</definedName>
    <definedName name="OSRRefP22_22x_0" localSheetId="48">'300'!$P$238</definedName>
    <definedName name="OSRRefP22_22x_0" localSheetId="49">'300 &amp; 317'!$P$263</definedName>
    <definedName name="OSRRefP22_22x_0" localSheetId="50">'301'!$P$92</definedName>
    <definedName name="OSRRefP22_22x_0" localSheetId="74">'310 &amp; 491'!$P$114</definedName>
    <definedName name="OSRRefP22_22x_0" localSheetId="75">'491'!$P$107:$P$109</definedName>
    <definedName name="OSRRefP22_22x_0" localSheetId="47">'Div 3'!$P$243:$P$244</definedName>
    <definedName name="OSRRefP22_22x_0" localSheetId="73">'Div 4'!$P$108</definedName>
    <definedName name="OSRRefP22_22x_0" localSheetId="2">Summary!$P$271:$P$279</definedName>
    <definedName name="OSRRefP22_23x_0" localSheetId="48">'300'!$P$240:$P$242</definedName>
    <definedName name="OSRRefP22_23x_0" localSheetId="49">'300 &amp; 317'!$P$265:$P$267</definedName>
    <definedName name="OSRRefP22_23x_0" localSheetId="74">'310 &amp; 491'!$P$116:$P$118</definedName>
    <definedName name="OSRRefP22_23x_0" localSheetId="75">'491'!$P$111</definedName>
    <definedName name="OSRRefP22_23x_0" localSheetId="47">'Div 3'!$P$246</definedName>
    <definedName name="OSRRefP22_23x_0" localSheetId="73">'Div 4'!$P$110:$P$112</definedName>
    <definedName name="OSRRefP22_23x_0" localSheetId="2">Summary!$P$281:$P$282</definedName>
    <definedName name="OSRRefP22_24x_0" localSheetId="48">'300'!$P$244</definedName>
    <definedName name="OSRRefP22_24x_0" localSheetId="49">'300 &amp; 317'!$P$269</definedName>
    <definedName name="OSRRefP22_24x_0" localSheetId="74">'310 &amp; 491'!$P$120</definedName>
    <definedName name="OSRRefP22_24x_0" localSheetId="47">'Div 3'!$P$248:$P$250</definedName>
    <definedName name="OSRRefP22_24x_0" localSheetId="73">'Div 4'!$P$114</definedName>
    <definedName name="OSRRefP22_24x_0" localSheetId="2">Summary!$P$284</definedName>
    <definedName name="OSRRefP22_25x_0" localSheetId="47">'Div 3'!$P$252</definedName>
    <definedName name="OSRRefP22_25x_0" localSheetId="2">Summary!$P$286:$P$288</definedName>
    <definedName name="OSRRefP22_26x_0" localSheetId="2">Summary!$P$290</definedName>
    <definedName name="OSRRefP22_2x_0" localSheetId="40">'200'!$P$24</definedName>
    <definedName name="OSRRefP22_2x_0" localSheetId="41">'201'!$P$33</definedName>
    <definedName name="OSRRefP22_2x_0" localSheetId="42">'202'!$P$34</definedName>
    <definedName name="OSRRefP22_2x_0" localSheetId="43">'203'!$P$36</definedName>
    <definedName name="OSRRefP22_2x_0" localSheetId="44">'204'!$P$36</definedName>
    <definedName name="OSRRefP22_2x_0" localSheetId="45">'205'!$P$31</definedName>
    <definedName name="OSRRefP22_2x_0" localSheetId="46">'206'!$P$33</definedName>
    <definedName name="OSRRefP22_2x_0" localSheetId="48">'300'!$P$178</definedName>
    <definedName name="OSRRefP22_2x_0" localSheetId="49">'300 &amp; 317'!$P$203</definedName>
    <definedName name="OSRRefP22_2x_0" localSheetId="50">'301'!$P$38</definedName>
    <definedName name="OSRRefP22_2x_0" localSheetId="51">'306'!$P$37</definedName>
    <definedName name="OSRRefP22_2x_0" localSheetId="53">'307'!$P$82</definedName>
    <definedName name="OSRRefP22_2x_0" localSheetId="55">'308'!$P$78</definedName>
    <definedName name="OSRRefP22_2x_0" localSheetId="67">'309'!$P$39</definedName>
    <definedName name="OSRRefP22_2x_0" localSheetId="66">'310'!$P$46</definedName>
    <definedName name="OSRRefP22_2x_0" localSheetId="74">'310 &amp; 491'!$P$55</definedName>
    <definedName name="OSRRefP22_2x_0" localSheetId="56">'311'!$P$77</definedName>
    <definedName name="OSRRefP22_2x_0" localSheetId="68">'313'!$P$42</definedName>
    <definedName name="OSRRefP22_2x_0" localSheetId="54">'314'!$P$66</definedName>
    <definedName name="OSRRefP22_2x_0" localSheetId="59">'315'!$P$95</definedName>
    <definedName name="OSRRefP22_2x_0" localSheetId="62">'316'!$P$45</definedName>
    <definedName name="OSRRefP22_2x_0" localSheetId="65">'317'!$P$74</definedName>
    <definedName name="OSRRefP22_2x_0" localSheetId="63">'320'!$P$40</definedName>
    <definedName name="OSRRefP22_2x_0" localSheetId="69">'321'!$P$39</definedName>
    <definedName name="OSRRefP22_2x_0" localSheetId="70">'322'!$P$38</definedName>
    <definedName name="OSRRefP22_2x_0" localSheetId="71">'325'!$P$39</definedName>
    <definedName name="OSRRefP22_2x_0" localSheetId="60">'326'!$P$72</definedName>
    <definedName name="OSRRefP22_2x_0" localSheetId="72">'327'!$P$26</definedName>
    <definedName name="OSRRefP22_2x_0" localSheetId="52">'330'!$P$91</definedName>
    <definedName name="OSRRefP22_2x_0" localSheetId="58">'331'!$P$102</definedName>
    <definedName name="OSRRefP22_2x_0" localSheetId="61">'332'!$P$54</definedName>
    <definedName name="OSRRefP22_2x_0" localSheetId="76">'405'!$P$38</definedName>
    <definedName name="OSRRefP22_2x_0" localSheetId="77">'406'!$P$39</definedName>
    <definedName name="OSRRefP22_2x_0" localSheetId="78">'411'!$P$37</definedName>
    <definedName name="OSRRefP22_2x_0" localSheetId="79">'412'!$P$39</definedName>
    <definedName name="OSRRefP22_2x_0" localSheetId="80">'413'!$P$38</definedName>
    <definedName name="OSRRefP22_2x_0" localSheetId="81">'414'!$P$37</definedName>
    <definedName name="OSRRefP22_2x_0" localSheetId="82">'415'!$P$39</definedName>
    <definedName name="OSRRefP22_2x_0" localSheetId="83">'418'!$P$40</definedName>
    <definedName name="OSRRefP22_2x_0" localSheetId="84">'420'!$P$35</definedName>
    <definedName name="OSRRefP22_2x_0" localSheetId="85">'423'!$P$32</definedName>
    <definedName name="OSRRefP22_2x_0" localSheetId="86">'424'!$P$31</definedName>
    <definedName name="OSRRefP22_2x_0" localSheetId="87">'425'!$P$39</definedName>
    <definedName name="OSRRefP22_2x_0" localSheetId="90">'430'!$P$31</definedName>
    <definedName name="OSRRefP22_2x_0" localSheetId="91">'433'!$P$42</definedName>
    <definedName name="OSRRefP22_2x_0" localSheetId="92">'435'!$P$32</definedName>
    <definedName name="OSRRefP22_2x_0" localSheetId="93">'444'!$P$42</definedName>
    <definedName name="OSRRefP22_2x_0" localSheetId="94">'450'!$P$42</definedName>
    <definedName name="OSRRefP22_2x_0" localSheetId="75">'491'!$P$49</definedName>
    <definedName name="OSRRefP22_2x_0" localSheetId="89">'492'!$P$45</definedName>
    <definedName name="OSRRefP22_2x_0" localSheetId="96">'501'!$P$37</definedName>
    <definedName name="OSRRefP22_2x_0" localSheetId="39">'Div 2'!$P$40</definedName>
    <definedName name="OSRRefP22_2x_0" localSheetId="47">'Div 3'!$P$183</definedName>
    <definedName name="OSRRefP22_2x_0" localSheetId="73">'Div 4'!$P$50</definedName>
    <definedName name="OSRRefP22_2x_0" localSheetId="95">'Div 5'!$P$37</definedName>
    <definedName name="OSRRefP22_2x_0" localSheetId="64">'Div 6'!$P$74</definedName>
    <definedName name="OSRRefP22_2x_0" localSheetId="2">Summary!$P$215</definedName>
    <definedName name="OSRRefP22_3x_0" localSheetId="40">'200'!$P$26:$P$27</definedName>
    <definedName name="OSRRefP22_3x_0" localSheetId="41">'201'!$P$35</definedName>
    <definedName name="OSRRefP22_3x_0" localSheetId="42">'202'!$P$36</definedName>
    <definedName name="OSRRefP22_3x_0" localSheetId="43">'203'!$P$38</definedName>
    <definedName name="OSRRefP22_3x_0" localSheetId="44">'204'!$P$38</definedName>
    <definedName name="OSRRefP22_3x_0" localSheetId="45">'205'!$P$33</definedName>
    <definedName name="OSRRefP22_3x_0" localSheetId="46">'206'!$P$35</definedName>
    <definedName name="OSRRefP22_3x_0" localSheetId="48">'300'!$P$180:$P$181</definedName>
    <definedName name="OSRRefP22_3x_0" localSheetId="49">'300 &amp; 317'!$P$205:$P$206</definedName>
    <definedName name="OSRRefP22_3x_0" localSheetId="50">'301'!$P$40:$P$41</definedName>
    <definedName name="OSRRefP22_3x_0" localSheetId="51">'306'!$P$39</definedName>
    <definedName name="OSRRefP22_3x_0" localSheetId="53">'307'!$P$84</definedName>
    <definedName name="OSRRefP22_3x_0" localSheetId="55">'308'!$P$80:$P$81</definedName>
    <definedName name="OSRRefP22_3x_0" localSheetId="67">'309'!$P$41</definedName>
    <definedName name="OSRRefP22_3x_0" localSheetId="66">'310'!$P$48</definedName>
    <definedName name="OSRRefP22_3x_0" localSheetId="74">'310 &amp; 491'!$P$57</definedName>
    <definedName name="OSRRefP22_3x_0" localSheetId="56">'311'!$P$79:$P$80</definedName>
    <definedName name="OSRRefP22_3x_0" localSheetId="68">'313'!$P$44</definedName>
    <definedName name="OSRRefP22_3x_0" localSheetId="54">'314'!$P$68:$P$69</definedName>
    <definedName name="OSRRefP22_3x_0" localSheetId="59">'315'!$P$97:$P$98</definedName>
    <definedName name="OSRRefP22_3x_0" localSheetId="62">'316'!$P$47</definedName>
    <definedName name="OSRRefP22_3x_0" localSheetId="65">'317'!$P$76</definedName>
    <definedName name="OSRRefP22_3x_0" localSheetId="63">'320'!$P$42</definedName>
    <definedName name="OSRRefP22_3x_0" localSheetId="69">'321'!$P$41</definedName>
    <definedName name="OSRRefP22_3x_0" localSheetId="70">'322'!$P$40</definedName>
    <definedName name="OSRRefP22_3x_0" localSheetId="71">'325'!$P$41</definedName>
    <definedName name="OSRRefP22_3x_0" localSheetId="60">'326'!$P$74</definedName>
    <definedName name="OSRRefP22_3x_0" localSheetId="52">'330'!$P$93</definedName>
    <definedName name="OSRRefP22_3x_0" localSheetId="58">'331'!$P$104</definedName>
    <definedName name="OSRRefP22_3x_0" localSheetId="61">'332'!$P$56</definedName>
    <definedName name="OSRRefP22_3x_0" localSheetId="76">'405'!$P$40</definedName>
    <definedName name="OSRRefP22_3x_0" localSheetId="77">'406'!$P$41</definedName>
    <definedName name="OSRRefP22_3x_0" localSheetId="78">'411'!$P$39</definedName>
    <definedName name="OSRRefP22_3x_0" localSheetId="79">'412'!$P$41</definedName>
    <definedName name="OSRRefP22_3x_0" localSheetId="80">'413'!$P$40</definedName>
    <definedName name="OSRRefP22_3x_0" localSheetId="81">'414'!$P$39</definedName>
    <definedName name="OSRRefP22_3x_0" localSheetId="82">'415'!$P$41</definedName>
    <definedName name="OSRRefP22_3x_0" localSheetId="83">'418'!$P$42</definedName>
    <definedName name="OSRRefP22_3x_0" localSheetId="84">'420'!$P$37</definedName>
    <definedName name="OSRRefP22_3x_0" localSheetId="85">'423'!$P$34</definedName>
    <definedName name="OSRRefP22_3x_0" localSheetId="86">'424'!$P$33</definedName>
    <definedName name="OSRRefP22_3x_0" localSheetId="87">'425'!$P$41</definedName>
    <definedName name="OSRRefP22_3x_0" localSheetId="90">'430'!$P$33</definedName>
    <definedName name="OSRRefP22_3x_0" localSheetId="91">'433'!$P$44</definedName>
    <definedName name="OSRRefP22_3x_0" localSheetId="92">'435'!$P$34</definedName>
    <definedName name="OSRRefP22_3x_0" localSheetId="93">'444'!$P$44</definedName>
    <definedName name="OSRRefP22_3x_0" localSheetId="94">'450'!$P$44</definedName>
    <definedName name="OSRRefP22_3x_0" localSheetId="75">'491'!$P$51</definedName>
    <definedName name="OSRRefP22_3x_0" localSheetId="89">'492'!$P$47</definedName>
    <definedName name="OSRRefP22_3x_0" localSheetId="96">'501'!$P$39</definedName>
    <definedName name="OSRRefP22_3x_0" localSheetId="39">'Div 2'!$P$42</definedName>
    <definedName name="OSRRefP22_3x_0" localSheetId="47">'Div 3'!$P$185:$P$186</definedName>
    <definedName name="OSRRefP22_3x_0" localSheetId="73">'Div 4'!$P$52</definedName>
    <definedName name="OSRRefP22_3x_0" localSheetId="95">'Div 5'!$P$39</definedName>
    <definedName name="OSRRefP22_3x_0" localSheetId="64">'Div 6'!$P$76</definedName>
    <definedName name="OSRRefP22_3x_0" localSheetId="2">Summary!$P$217:$P$218</definedName>
    <definedName name="OSRRefP22_4x_0" localSheetId="41">'201'!$P$37</definedName>
    <definedName name="OSRRefP22_4x_0" localSheetId="42">'202'!$P$38:$P$39</definedName>
    <definedName name="OSRRefP22_4x_0" localSheetId="43">'203'!$P$40</definedName>
    <definedName name="OSRRefP22_4x_0" localSheetId="44">'204'!$P$40</definedName>
    <definedName name="OSRRefP22_4x_0" localSheetId="45">'205'!$P$35:$P$36</definedName>
    <definedName name="OSRRefP22_4x_0" localSheetId="46">'206'!$P$37</definedName>
    <definedName name="OSRRefP22_4x_0" localSheetId="48">'300'!$P$183</definedName>
    <definedName name="OSRRefP22_4x_0" localSheetId="49">'300 &amp; 317'!$P$208</definedName>
    <definedName name="OSRRefP22_4x_0" localSheetId="50">'301'!$P$43</definedName>
    <definedName name="OSRRefP22_4x_0" localSheetId="51">'306'!$P$41</definedName>
    <definedName name="OSRRefP22_4x_0" localSheetId="53">'307'!$P$86:$P$87</definedName>
    <definedName name="OSRRefP22_4x_0" localSheetId="55">'308'!$P$83</definedName>
    <definedName name="OSRRefP22_4x_0" localSheetId="67">'309'!$P$43</definedName>
    <definedName name="OSRRefP22_4x_0" localSheetId="66">'310'!$P$50</definedName>
    <definedName name="OSRRefP22_4x_0" localSheetId="74">'310 &amp; 491'!$P$59</definedName>
    <definedName name="OSRRefP22_4x_0" localSheetId="56">'311'!$P$82</definedName>
    <definedName name="OSRRefP22_4x_0" localSheetId="68">'313'!$P$46</definedName>
    <definedName name="OSRRefP22_4x_0" localSheetId="54">'314'!$P$71</definedName>
    <definedName name="OSRRefP22_4x_0" localSheetId="59">'315'!$P$100</definedName>
    <definedName name="OSRRefP22_4x_0" localSheetId="62">'316'!$P$49</definedName>
    <definedName name="OSRRefP22_4x_0" localSheetId="65">'317'!$P$78</definedName>
    <definedName name="OSRRefP22_4x_0" localSheetId="63">'320'!$P$44:$P$45</definedName>
    <definedName name="OSRRefP22_4x_0" localSheetId="69">'321'!$P$43</definedName>
    <definedName name="OSRRefP22_4x_0" localSheetId="70">'322'!$P$42</definedName>
    <definedName name="OSRRefP22_4x_0" localSheetId="71">'325'!$P$43</definedName>
    <definedName name="OSRRefP22_4x_0" localSheetId="60">'326'!$P$76</definedName>
    <definedName name="OSRRefP22_4x_0" localSheetId="52">'330'!$P$95:$P$96</definedName>
    <definedName name="OSRRefP22_4x_0" localSheetId="58">'331'!$P$106</definedName>
    <definedName name="OSRRefP22_4x_0" localSheetId="61">'332'!$P$58</definedName>
    <definedName name="OSRRefP22_4x_0" localSheetId="76">'405'!$P$42</definedName>
    <definedName name="OSRRefP22_4x_0" localSheetId="77">'406'!$P$43</definedName>
    <definedName name="OSRRefP22_4x_0" localSheetId="78">'411'!$P$41:$P$43</definedName>
    <definedName name="OSRRefP22_4x_0" localSheetId="79">'412'!$P$43</definedName>
    <definedName name="OSRRefP22_4x_0" localSheetId="80">'413'!$P$42</definedName>
    <definedName name="OSRRefP22_4x_0" localSheetId="81">'414'!$P$41</definedName>
    <definedName name="OSRRefP22_4x_0" localSheetId="82">'415'!$P$43</definedName>
    <definedName name="OSRRefP22_4x_0" localSheetId="83">'418'!$P$44</definedName>
    <definedName name="OSRRefP22_4x_0" localSheetId="85">'423'!$P$36</definedName>
    <definedName name="OSRRefP22_4x_0" localSheetId="86">'424'!$P$35</definedName>
    <definedName name="OSRRefP22_4x_0" localSheetId="87">'425'!$P$43</definedName>
    <definedName name="OSRRefP22_4x_0" localSheetId="90">'430'!$P$35:$P$36</definedName>
    <definedName name="OSRRefP22_4x_0" localSheetId="91">'433'!$P$46</definedName>
    <definedName name="OSRRefP22_4x_0" localSheetId="92">'435'!$P$36</definedName>
    <definedName name="OSRRefP22_4x_0" localSheetId="93">'444'!$P$46</definedName>
    <definedName name="OSRRefP22_4x_0" localSheetId="94">'450'!$P$46</definedName>
    <definedName name="OSRRefP22_4x_0" localSheetId="75">'491'!$P$53</definedName>
    <definedName name="OSRRefP22_4x_0" localSheetId="89">'492'!$P$49</definedName>
    <definedName name="OSRRefP22_4x_0" localSheetId="96">'501'!$P$41</definedName>
    <definedName name="OSRRefP22_4x_0" localSheetId="39">'Div 2'!$P$44</definedName>
    <definedName name="OSRRefP22_4x_0" localSheetId="47">'Div 3'!$P$188</definedName>
    <definedName name="OSRRefP22_4x_0" localSheetId="73">'Div 4'!$P$54</definedName>
    <definedName name="OSRRefP22_4x_0" localSheetId="95">'Div 5'!$P$41</definedName>
    <definedName name="OSRRefP22_4x_0" localSheetId="64">'Div 6'!$P$78</definedName>
    <definedName name="OSRRefP22_4x_0" localSheetId="2">Summary!$P$220</definedName>
    <definedName name="OSRRefP22_5x_0" localSheetId="41">'201'!$P$39</definedName>
    <definedName name="OSRRefP22_5x_0" localSheetId="42">'202'!$P$41</definedName>
    <definedName name="OSRRefP22_5x_0" localSheetId="43">'203'!$P$42</definedName>
    <definedName name="OSRRefP22_5x_0" localSheetId="44">'204'!$P$42:$P$44</definedName>
    <definedName name="OSRRefP22_5x_0" localSheetId="45">'205'!$P$38</definedName>
    <definedName name="OSRRefP22_5x_0" localSheetId="46">'206'!$P$39:$P$40</definedName>
    <definedName name="OSRRefP22_5x_0" localSheetId="48">'300'!$P$185:$P$186</definedName>
    <definedName name="OSRRefP22_5x_0" localSheetId="49">'300 &amp; 317'!$P$210:$P$211</definedName>
    <definedName name="OSRRefP22_5x_0" localSheetId="50">'301'!$P$45:$P$46</definedName>
    <definedName name="OSRRefP22_5x_0" localSheetId="51">'306'!$P$43:$P$44</definedName>
    <definedName name="OSRRefP22_5x_0" localSheetId="53">'307'!$P$89</definedName>
    <definedName name="OSRRefP22_5x_0" localSheetId="55">'308'!$P$85</definedName>
    <definedName name="OSRRefP22_5x_0" localSheetId="67">'309'!$P$45</definedName>
    <definedName name="OSRRefP22_5x_0" localSheetId="66">'310'!$P$52:$P$53</definedName>
    <definedName name="OSRRefP22_5x_0" localSheetId="74">'310 &amp; 491'!$P$61:$P$63</definedName>
    <definedName name="OSRRefP22_5x_0" localSheetId="56">'311'!$P$84</definedName>
    <definedName name="OSRRefP22_5x_0" localSheetId="68">'313'!$P$48</definedName>
    <definedName name="OSRRefP22_5x_0" localSheetId="54">'314'!$P$73</definedName>
    <definedName name="OSRRefP22_5x_0" localSheetId="59">'315'!$P$102:$P$103</definedName>
    <definedName name="OSRRefP22_5x_0" localSheetId="62">'316'!$P$51:$P$52</definedName>
    <definedName name="OSRRefP22_5x_0" localSheetId="65">'317'!$P$80:$P$81</definedName>
    <definedName name="OSRRefP22_5x_0" localSheetId="63">'320'!$P$47</definedName>
    <definedName name="OSRRefP22_5x_0" localSheetId="69">'321'!$P$45</definedName>
    <definedName name="OSRRefP22_5x_0" localSheetId="70">'322'!$P$44</definedName>
    <definedName name="OSRRefP22_5x_0" localSheetId="71">'325'!$P$45:$P$46</definedName>
    <definedName name="OSRRefP22_5x_0" localSheetId="60">'326'!$P$78</definedName>
    <definedName name="OSRRefP22_5x_0" localSheetId="52">'330'!$P$98</definedName>
    <definedName name="OSRRefP22_5x_0" localSheetId="58">'331'!$P$108:$P$109</definedName>
    <definedName name="OSRRefP22_5x_0" localSheetId="61">'332'!$P$60</definedName>
    <definedName name="OSRRefP22_5x_0" localSheetId="76">'405'!$P$44:$P$45</definedName>
    <definedName name="OSRRefP22_5x_0" localSheetId="77">'406'!$P$45</definedName>
    <definedName name="OSRRefP22_5x_0" localSheetId="78">'411'!$P$45</definedName>
    <definedName name="OSRRefP22_5x_0" localSheetId="79">'412'!$P$45</definedName>
    <definedName name="OSRRefP22_5x_0" localSheetId="80">'413'!$P$44</definedName>
    <definedName name="OSRRefP22_5x_0" localSheetId="81">'414'!$P$43</definedName>
    <definedName name="OSRRefP22_5x_0" localSheetId="82">'415'!$P$45:$P$46</definedName>
    <definedName name="OSRRefP22_5x_0" localSheetId="83">'418'!$P$46:$P$47</definedName>
    <definedName name="OSRRefP22_5x_0" localSheetId="85">'423'!$P$38</definedName>
    <definedName name="OSRRefP22_5x_0" localSheetId="86">'424'!$P$37</definedName>
    <definedName name="OSRRefP22_5x_0" localSheetId="87">'425'!$P$45</definedName>
    <definedName name="OSRRefP22_5x_0" localSheetId="90">'430'!$P$38</definedName>
    <definedName name="OSRRefP22_5x_0" localSheetId="91">'433'!$P$48</definedName>
    <definedName name="OSRRefP22_5x_0" localSheetId="92">'435'!$P$38</definedName>
    <definedName name="OSRRefP22_5x_0" localSheetId="93">'444'!$P$48</definedName>
    <definedName name="OSRRefP22_5x_0" localSheetId="94">'450'!$P$48</definedName>
    <definedName name="OSRRefP22_5x_0" localSheetId="75">'491'!$P$55:$P$57</definedName>
    <definedName name="OSRRefP22_5x_0" localSheetId="89">'492'!$P$51</definedName>
    <definedName name="OSRRefP22_5x_0" localSheetId="96">'501'!$P$43:$P$44</definedName>
    <definedName name="OSRRefP22_5x_0" localSheetId="39">'Div 2'!$P$46</definedName>
    <definedName name="OSRRefP22_5x_0" localSheetId="47">'Div 3'!$P$190:$P$191</definedName>
    <definedName name="OSRRefP22_5x_0" localSheetId="73">'Div 4'!$P$56:$P$58</definedName>
    <definedName name="OSRRefP22_5x_0" localSheetId="95">'Div 5'!$P$43:$P$44</definedName>
    <definedName name="OSRRefP22_5x_0" localSheetId="64">'Div 6'!$P$80:$P$81</definedName>
    <definedName name="OSRRefP22_5x_0" localSheetId="2">Summary!$P$222:$P$224</definedName>
    <definedName name="OSRRefP22_6x_0" localSheetId="41">'201'!$P$41</definedName>
    <definedName name="OSRRefP22_6x_0" localSheetId="42">'202'!$P$43</definedName>
    <definedName name="OSRRefP22_6x_0" localSheetId="43">'203'!$P$44</definedName>
    <definedName name="OSRRefP22_6x_0" localSheetId="44">'204'!$P$46</definedName>
    <definedName name="OSRRefP22_6x_0" localSheetId="45">'205'!$P$40:$P$41</definedName>
    <definedName name="OSRRefP22_6x_0" localSheetId="46">'206'!$P$42</definedName>
    <definedName name="OSRRefP22_6x_0" localSheetId="48">'300'!$P$188:$P$189</definedName>
    <definedName name="OSRRefP22_6x_0" localSheetId="49">'300 &amp; 317'!$P$213:$P$214</definedName>
    <definedName name="OSRRefP22_6x_0" localSheetId="50">'301'!$P$48:$P$49</definedName>
    <definedName name="OSRRefP22_6x_0" localSheetId="51">'306'!$P$46:$P$47</definedName>
    <definedName name="OSRRefP22_6x_0" localSheetId="53">'307'!$P$91</definedName>
    <definedName name="OSRRefP22_6x_0" localSheetId="55">'308'!$P$87:$P$88</definedName>
    <definedName name="OSRRefP22_6x_0" localSheetId="67">'309'!$P$47</definedName>
    <definedName name="OSRRefP22_6x_0" localSheetId="66">'310'!$P$55</definedName>
    <definedName name="OSRRefP22_6x_0" localSheetId="74">'310 &amp; 491'!$P$65</definedName>
    <definedName name="OSRRefP22_6x_0" localSheetId="56">'311'!$P$86:$P$87</definedName>
    <definedName name="OSRRefP22_6x_0" localSheetId="68">'313'!$P$50</definedName>
    <definedName name="OSRRefP22_6x_0" localSheetId="59">'315'!$P$105</definedName>
    <definedName name="OSRRefP22_6x_0" localSheetId="62">'316'!$P$54:$P$55</definedName>
    <definedName name="OSRRefP22_6x_0" localSheetId="65">'317'!$P$83</definedName>
    <definedName name="OSRRefP22_6x_0" localSheetId="63">'320'!$P$49</definedName>
    <definedName name="OSRRefP22_6x_0" localSheetId="69">'321'!$P$47:$P$49</definedName>
    <definedName name="OSRRefP22_6x_0" localSheetId="70">'322'!$P$46</definedName>
    <definedName name="OSRRefP22_6x_0" localSheetId="71">'325'!$P$48</definedName>
    <definedName name="OSRRefP22_6x_0" localSheetId="60">'326'!$P$80</definedName>
    <definedName name="OSRRefP22_6x_0" localSheetId="52">'330'!$P$100</definedName>
    <definedName name="OSRRefP22_6x_0" localSheetId="58">'331'!$P$111</definedName>
    <definedName name="OSRRefP22_6x_0" localSheetId="61">'332'!$P$62:$P$63</definedName>
    <definedName name="OSRRefP22_6x_0" localSheetId="76">'405'!$P$47</definedName>
    <definedName name="OSRRefP22_6x_0" localSheetId="77">'406'!$P$47</definedName>
    <definedName name="OSRRefP22_6x_0" localSheetId="78">'411'!$P$47</definedName>
    <definedName name="OSRRefP22_6x_0" localSheetId="79">'412'!$P$47</definedName>
    <definedName name="OSRRefP22_6x_0" localSheetId="80">'413'!$P$46</definedName>
    <definedName name="OSRRefP22_6x_0" localSheetId="81">'414'!$P$45</definedName>
    <definedName name="OSRRefP22_6x_0" localSheetId="82">'415'!$P$48</definedName>
    <definedName name="OSRRefP22_6x_0" localSheetId="83">'418'!$P$49</definedName>
    <definedName name="OSRRefP22_6x_0" localSheetId="86">'424'!$P$39</definedName>
    <definedName name="OSRRefP22_6x_0" localSheetId="87">'425'!$P$47</definedName>
    <definedName name="OSRRefP22_6x_0" localSheetId="90">'430'!$P$40</definedName>
    <definedName name="OSRRefP22_6x_0" localSheetId="91">'433'!$P$50</definedName>
    <definedName name="OSRRefP22_6x_0" localSheetId="92">'435'!$P$40:$P$42</definedName>
    <definedName name="OSRRefP22_6x_0" localSheetId="93">'444'!$P$50</definedName>
    <definedName name="OSRRefP22_6x_0" localSheetId="94">'450'!$P$50</definedName>
    <definedName name="OSRRefP22_6x_0" localSheetId="75">'491'!$P$59</definedName>
    <definedName name="OSRRefP22_6x_0" localSheetId="89">'492'!$P$53</definedName>
    <definedName name="OSRRefP22_6x_0" localSheetId="96">'501'!$P$46</definedName>
    <definedName name="OSRRefP22_6x_0" localSheetId="39">'Div 2'!$P$48</definedName>
    <definedName name="OSRRefP22_6x_0" localSheetId="47">'Div 3'!$P$193:$P$194</definedName>
    <definedName name="OSRRefP22_6x_0" localSheetId="73">'Div 4'!$P$60</definedName>
    <definedName name="OSRRefP22_6x_0" localSheetId="95">'Div 5'!$P$46</definedName>
    <definedName name="OSRRefP22_6x_0" localSheetId="64">'Div 6'!$P$83</definedName>
    <definedName name="OSRRefP22_6x_0" localSheetId="2">Summary!$P$226:$P$227</definedName>
    <definedName name="OSRRefP22_7x_0" localSheetId="41">'201'!$P$43</definedName>
    <definedName name="OSRRefP22_7x_0" localSheetId="42">'202'!$P$45:$P$47</definedName>
    <definedName name="OSRRefP22_7x_0" localSheetId="43">'203'!$P$46</definedName>
    <definedName name="OSRRefP22_7x_0" localSheetId="44">'204'!$P$48:$P$49</definedName>
    <definedName name="OSRRefP22_7x_0" localSheetId="45">'205'!$P$43</definedName>
    <definedName name="OSRRefP22_7x_0" localSheetId="46">'206'!$P$44</definedName>
    <definedName name="OSRRefP22_7x_0" localSheetId="48">'300'!$P$191</definedName>
    <definedName name="OSRRefP22_7x_0" localSheetId="49">'300 &amp; 317'!$P$216</definedName>
    <definedName name="OSRRefP22_7x_0" localSheetId="50">'301'!$P$51</definedName>
    <definedName name="OSRRefP22_7x_0" localSheetId="51">'306'!$P$49</definedName>
    <definedName name="OSRRefP22_7x_0" localSheetId="53">'307'!$P$93:$P$94</definedName>
    <definedName name="OSRRefP22_7x_0" localSheetId="55">'308'!$P$90</definedName>
    <definedName name="OSRRefP22_7x_0" localSheetId="67">'309'!$P$49:$P$50</definedName>
    <definedName name="OSRRefP22_7x_0" localSheetId="66">'310'!$P$57</definedName>
    <definedName name="OSRRefP22_7x_0" localSheetId="74">'310 &amp; 491'!$P$67</definedName>
    <definedName name="OSRRefP22_7x_0" localSheetId="56">'311'!$P$89</definedName>
    <definedName name="OSRRefP22_7x_0" localSheetId="68">'313'!$P$52</definedName>
    <definedName name="OSRRefP22_7x_0" localSheetId="59">'315'!$P$107:$P$108</definedName>
    <definedName name="OSRRefP22_7x_0" localSheetId="62">'316'!$P$57</definedName>
    <definedName name="OSRRefP22_7x_0" localSheetId="65">'317'!$P$85</definedName>
    <definedName name="OSRRefP22_7x_0" localSheetId="63">'320'!$P$51:$P$52</definedName>
    <definedName name="OSRRefP22_7x_0" localSheetId="69">'321'!$P$51</definedName>
    <definedName name="OSRRefP22_7x_0" localSheetId="70">'322'!$P$48</definedName>
    <definedName name="OSRRefP22_7x_0" localSheetId="71">'325'!$P$50</definedName>
    <definedName name="OSRRefP22_7x_0" localSheetId="60">'326'!$P$82</definedName>
    <definedName name="OSRRefP22_7x_0" localSheetId="52">'330'!$P$102:$P$103</definedName>
    <definedName name="OSRRefP22_7x_0" localSheetId="58">'331'!$P$113:$P$114</definedName>
    <definedName name="OSRRefP22_7x_0" localSheetId="61">'332'!$P$65</definedName>
    <definedName name="OSRRefP22_7x_0" localSheetId="76">'405'!$P$49</definedName>
    <definedName name="OSRRefP22_7x_0" localSheetId="77">'406'!$P$49</definedName>
    <definedName name="OSRRefP22_7x_0" localSheetId="78">'411'!$P$49</definedName>
    <definedName name="OSRRefP22_7x_0" localSheetId="79">'412'!$P$49</definedName>
    <definedName name="OSRRefP22_7x_0" localSheetId="80">'413'!$P$48:$P$50</definedName>
    <definedName name="OSRRefP22_7x_0" localSheetId="81">'414'!$P$47</definedName>
    <definedName name="OSRRefP22_7x_0" localSheetId="82">'415'!$P$50</definedName>
    <definedName name="OSRRefP22_7x_0" localSheetId="83">'418'!$P$51</definedName>
    <definedName name="OSRRefP22_7x_0" localSheetId="86">'424'!$P$41</definedName>
    <definedName name="OSRRefP22_7x_0" localSheetId="87">'425'!$P$49</definedName>
    <definedName name="OSRRefP22_7x_0" localSheetId="90">'430'!$P$42</definedName>
    <definedName name="OSRRefP22_7x_0" localSheetId="91">'433'!$P$52</definedName>
    <definedName name="OSRRefP22_7x_0" localSheetId="92">'435'!$P$44</definedName>
    <definedName name="OSRRefP22_7x_0" localSheetId="93">'444'!$P$52</definedName>
    <definedName name="OSRRefP22_7x_0" localSheetId="94">'450'!$P$52</definedName>
    <definedName name="OSRRefP22_7x_0" localSheetId="75">'491'!$P$61</definedName>
    <definedName name="OSRRefP22_7x_0" localSheetId="89">'492'!$P$55</definedName>
    <definedName name="OSRRefP22_7x_0" localSheetId="96">'501'!$P$48</definedName>
    <definedName name="OSRRefP22_7x_0" localSheetId="39">'Div 2'!$P$50</definedName>
    <definedName name="OSRRefP22_7x_0" localSheetId="47">'Div 3'!$P$196</definedName>
    <definedName name="OSRRefP22_7x_0" localSheetId="73">'Div 4'!$P$62</definedName>
    <definedName name="OSRRefP22_7x_0" localSheetId="95">'Div 5'!$P$48</definedName>
    <definedName name="OSRRefP22_7x_0" localSheetId="64">'Div 6'!$P$85</definedName>
    <definedName name="OSRRefP22_7x_0" localSheetId="2">Summary!$P$229</definedName>
    <definedName name="OSRRefP22_8x_0" localSheetId="41">'201'!$P$45</definedName>
    <definedName name="OSRRefP22_8x_0" localSheetId="42">'202'!$P$49</definedName>
    <definedName name="OSRRefP22_8x_0" localSheetId="43">'203'!$P$48</definedName>
    <definedName name="OSRRefP22_8x_0" localSheetId="44">'204'!$P$51</definedName>
    <definedName name="OSRRefP22_8x_0" localSheetId="45">'205'!$P$45</definedName>
    <definedName name="OSRRefP22_8x_0" localSheetId="48">'300'!$P$193</definedName>
    <definedName name="OSRRefP22_8x_0" localSheetId="49">'300 &amp; 317'!$P$218</definedName>
    <definedName name="OSRRefP22_8x_0" localSheetId="50">'301'!$P$53</definedName>
    <definedName name="OSRRefP22_8x_0" localSheetId="51">'306'!$P$51</definedName>
    <definedName name="OSRRefP22_8x_0" localSheetId="53">'307'!$P$96:$P$97</definedName>
    <definedName name="OSRRefP22_8x_0" localSheetId="55">'308'!$P$92</definedName>
    <definedName name="OSRRefP22_8x_0" localSheetId="67">'309'!$P$52:$P$53</definedName>
    <definedName name="OSRRefP22_8x_0" localSheetId="66">'310'!$P$59</definedName>
    <definedName name="OSRRefP22_8x_0" localSheetId="74">'310 &amp; 491'!$P$69</definedName>
    <definedName name="OSRRefP22_8x_0" localSheetId="56">'311'!$P$91</definedName>
    <definedName name="OSRRefP22_8x_0" localSheetId="68">'313'!$P$54:$P$56</definedName>
    <definedName name="OSRRefP22_8x_0" localSheetId="59">'315'!$P$110</definedName>
    <definedName name="OSRRefP22_8x_0" localSheetId="62">'316'!$P$59:$P$64</definedName>
    <definedName name="OSRRefP22_8x_0" localSheetId="65">'317'!$P$87</definedName>
    <definedName name="OSRRefP22_8x_0" localSheetId="63">'320'!$P$54</definedName>
    <definedName name="OSRRefP22_8x_0" localSheetId="69">'321'!$P$53:$P$55</definedName>
    <definedName name="OSRRefP22_8x_0" localSheetId="70">'322'!$P$50:$P$51</definedName>
    <definedName name="OSRRefP22_8x_0" localSheetId="71">'325'!$P$52</definedName>
    <definedName name="OSRRefP22_8x_0" localSheetId="60">'326'!$P$84</definedName>
    <definedName name="OSRRefP22_8x_0" localSheetId="52">'330'!$P$105:$P$106</definedName>
    <definedName name="OSRRefP22_8x_0" localSheetId="58">'331'!$P$116</definedName>
    <definedName name="OSRRefP22_8x_0" localSheetId="61">'332'!$P$67</definedName>
    <definedName name="OSRRefP22_8x_0" localSheetId="76">'405'!$P$51</definedName>
    <definedName name="OSRRefP22_8x_0" localSheetId="77">'406'!$P$51:$P$53</definedName>
    <definedName name="OSRRefP22_8x_0" localSheetId="78">'411'!$P$51</definedName>
    <definedName name="OSRRefP22_8x_0" localSheetId="79">'412'!$P$51:$P$52</definedName>
    <definedName name="OSRRefP22_8x_0" localSheetId="80">'413'!$P$52:$P$53</definedName>
    <definedName name="OSRRefP22_8x_0" localSheetId="81">'414'!$P$49:$P$50</definedName>
    <definedName name="OSRRefP22_8x_0" localSheetId="82">'415'!$P$52</definedName>
    <definedName name="OSRRefP22_8x_0" localSheetId="83">'418'!$P$53:$P$54</definedName>
    <definedName name="OSRRefP22_8x_0" localSheetId="86">'424'!$P$43:$P$44</definedName>
    <definedName name="OSRRefP22_8x_0" localSheetId="87">'425'!$P$51</definedName>
    <definedName name="OSRRefP22_8x_0" localSheetId="91">'433'!$P$54</definedName>
    <definedName name="OSRRefP22_8x_0" localSheetId="93">'444'!$P$54</definedName>
    <definedName name="OSRRefP22_8x_0" localSheetId="94">'450'!$P$54</definedName>
    <definedName name="OSRRefP22_8x_0" localSheetId="75">'491'!$P$63</definedName>
    <definedName name="OSRRefP22_8x_0" localSheetId="89">'492'!$P$57</definedName>
    <definedName name="OSRRefP22_8x_0" localSheetId="96">'501'!$P$50:$P$52</definedName>
    <definedName name="OSRRefP22_8x_0" localSheetId="39">'Div 2'!$P$52</definedName>
    <definedName name="OSRRefP22_8x_0" localSheetId="47">'Div 3'!$P$198</definedName>
    <definedName name="OSRRefP22_8x_0" localSheetId="73">'Div 4'!$P$64</definedName>
    <definedName name="OSRRefP22_8x_0" localSheetId="95">'Div 5'!$P$50:$P$52</definedName>
    <definedName name="OSRRefP22_8x_0" localSheetId="64">'Div 6'!$P$87</definedName>
    <definedName name="OSRRefP22_8x_0" localSheetId="2">Summary!$P$231</definedName>
    <definedName name="OSRRefP22_9x_0" localSheetId="41">'201'!$P$47:$P$49</definedName>
    <definedName name="OSRRefP22_9x_0" localSheetId="42">'202'!$P$51</definedName>
    <definedName name="OSRRefP22_9x_0" localSheetId="43">'203'!$P$50:$P$51</definedName>
    <definedName name="OSRRefP22_9x_0" localSheetId="44">'204'!$P$53:$P$54</definedName>
    <definedName name="OSRRefP22_9x_0" localSheetId="48">'300'!$P$195</definedName>
    <definedName name="OSRRefP22_9x_0" localSheetId="49">'300 &amp; 317'!$P$220</definedName>
    <definedName name="OSRRefP22_9x_0" localSheetId="50">'301'!$P$55</definedName>
    <definedName name="OSRRefP22_9x_0" localSheetId="53">'307'!$P$99:$P$101</definedName>
    <definedName name="OSRRefP22_9x_0" localSheetId="55">'308'!$P$94:$P$95</definedName>
    <definedName name="OSRRefP22_9x_0" localSheetId="67">'309'!$P$55:$P$57</definedName>
    <definedName name="OSRRefP22_9x_0" localSheetId="66">'310'!$P$61</definedName>
    <definedName name="OSRRefP22_9x_0" localSheetId="74">'310 &amp; 491'!$P$71</definedName>
    <definedName name="OSRRefP22_9x_0" localSheetId="56">'311'!$P$93:$P$94</definedName>
    <definedName name="OSRRefP22_9x_0" localSheetId="68">'313'!$P$58</definedName>
    <definedName name="OSRRefP22_9x_0" localSheetId="59">'315'!$P$112:$P$115</definedName>
    <definedName name="OSRRefP22_9x_0" localSheetId="62">'316'!$P$66</definedName>
    <definedName name="OSRRefP22_9x_0" localSheetId="65">'317'!$P$89:$P$91</definedName>
    <definedName name="OSRRefP22_9x_0" localSheetId="69">'321'!$P$57:$P$60</definedName>
    <definedName name="OSRRefP22_9x_0" localSheetId="70">'322'!$P$53:$P$55</definedName>
    <definedName name="OSRRefP22_9x_0" localSheetId="71">'325'!$P$54</definedName>
    <definedName name="OSRRefP22_9x_0" localSheetId="60">'326'!$P$86</definedName>
    <definedName name="OSRRefP22_9x_0" localSheetId="52">'330'!$P$108</definedName>
    <definedName name="OSRRefP22_9x_0" localSheetId="58">'331'!$P$118</definedName>
    <definedName name="OSRRefP22_9x_0" localSheetId="61">'332'!$P$69:$P$70</definedName>
    <definedName name="OSRRefP22_9x_0" localSheetId="76">'405'!$P$53:$P$54</definedName>
    <definedName name="OSRRefP22_9x_0" localSheetId="77">'406'!$P$55</definedName>
    <definedName name="OSRRefP22_9x_0" localSheetId="78">'411'!$P$53</definedName>
    <definedName name="OSRRefP22_9x_0" localSheetId="79">'412'!$P$54:$P$55</definedName>
    <definedName name="OSRRefP22_9x_0" localSheetId="80">'413'!$P$55:$P$59</definedName>
    <definedName name="OSRRefP22_9x_0" localSheetId="81">'414'!$P$52</definedName>
    <definedName name="OSRRefP22_9x_0" localSheetId="82">'415'!$P$54</definedName>
    <definedName name="OSRRefP22_9x_0" localSheetId="83">'418'!$P$56:$P$58</definedName>
    <definedName name="OSRRefP22_9x_0" localSheetId="86">'424'!$P$46</definedName>
    <definedName name="OSRRefP22_9x_0" localSheetId="87">'425'!$P$53:$P$55</definedName>
    <definedName name="OSRRefP22_9x_0" localSheetId="91">'433'!$P$56</definedName>
    <definedName name="OSRRefP22_9x_0" localSheetId="93">'444'!$P$56</definedName>
    <definedName name="OSRRefP22_9x_0" localSheetId="94">'450'!$P$56</definedName>
    <definedName name="OSRRefP22_9x_0" localSheetId="75">'491'!$P$65</definedName>
    <definedName name="OSRRefP22_9x_0" localSheetId="89">'492'!$P$59</definedName>
    <definedName name="OSRRefP22_9x_0" localSheetId="96">'501'!$P$54:$P$56</definedName>
    <definedName name="OSRRefP22_9x_0" localSheetId="39">'Div 2'!$P$54:$P$55</definedName>
    <definedName name="OSRRefP22_9x_0" localSheetId="47">'Div 3'!$P$200</definedName>
    <definedName name="OSRRefP22_9x_0" localSheetId="73">'Div 4'!$P$66</definedName>
    <definedName name="OSRRefP22_9x_0" localSheetId="95">'Div 5'!$P$54:$P$56</definedName>
    <definedName name="OSRRefP22_9x_0" localSheetId="64">'Div 6'!$P$89:$P$91</definedName>
    <definedName name="OSRRefP22_9x_0" localSheetId="2">Summary!$P$233</definedName>
    <definedName name="OSRRefP22x_0" localSheetId="40">'200'!$P$20,'200'!$P$22,'200'!$P$24,'200'!$P$26:$P$27</definedName>
    <definedName name="OSRRefP22x_0" localSheetId="41">'201'!$P$20:$P$27,'201'!$P$29:$P$31,'201'!$P$33,'201'!$P$35,'201'!$P$37,'201'!$P$39,'201'!$P$41,'201'!$P$43,'201'!$P$45,'201'!$P$47:$P$49,'201'!$P$51:$P$53,'201'!$P$55,'201'!$P$57:$P$60,'201'!$P$62,'201'!$P$64,'201'!$P$66</definedName>
    <definedName name="OSRRefP22x_0" localSheetId="42">'202'!$P$20:$P$27,'202'!$P$29:$P$32,'202'!$P$34,'202'!$P$36,'202'!$P$38:$P$39,'202'!$P$41,'202'!$P$43,'202'!$P$45:$P$47,'202'!$P$49,'202'!$P$51,'202'!$P$53:$P$55,'202'!$P$57,'202'!$P$59,'202'!$P$61</definedName>
    <definedName name="OSRRefP22x_0" localSheetId="43">'203'!$P$20:$P$29,'203'!$P$31:$P$34,'203'!$P$36,'203'!$P$38,'203'!$P$40,'203'!$P$42,'203'!$P$44,'203'!$P$46,'203'!$P$48,'203'!$P$50:$P$51,'203'!$P$53:$P$54,'203'!$P$56,'203'!$P$58:$P$61,'203'!$P$63,'203'!$P$65,'203'!$P$67</definedName>
    <definedName name="OSRRefP22x_0" localSheetId="44">'204'!$P$20:$P$28,'204'!$P$30:$P$34,'204'!$P$36,'204'!$P$38,'204'!$P$40,'204'!$P$42:$P$44,'204'!$P$46,'204'!$P$48:$P$49,'204'!$P$51,'204'!$P$53:$P$54</definedName>
    <definedName name="OSRRefP22x_0" localSheetId="45">'205'!$P$20:$P$27,'205'!$P$29,'205'!$P$31,'205'!$P$33,'205'!$P$35:$P$36,'205'!$P$38,'205'!$P$40:$P$41,'205'!$P$43,'205'!$P$45</definedName>
    <definedName name="OSRRefP22x_0" localSheetId="46">'206'!$P$20:$P$26,'206'!$P$28:$P$31,'206'!$P$33,'206'!$P$35,'206'!$P$37,'206'!$P$39:$P$40,'206'!$P$42,'206'!$P$44</definedName>
    <definedName name="OSRRefP22x_0" localSheetId="48">'300'!$P$159:$P$168,'300'!$P$170:$P$176,'300'!$P$178,'300'!$P$180:$P$181,'300'!$P$183,'300'!$P$185:$P$186,'300'!$P$188:$P$189,'300'!$P$191,'300'!$P$193,'300'!$P$195,'300'!$P$197:$P$198,'300'!$P$200,'300'!$P$202,'300'!$P$204,'300'!$P$206,'300'!$P$208,'300'!$P$210:$P$213,'300'!$P$215:$P$217,'300'!$P$219:$P$222,'300'!$P$224:$P$225,'300'!$P$227:$P$233,'300'!$P$235:$P$236,'300'!$P$238,'300'!$P$240:$P$242,'300'!$P$244</definedName>
    <definedName name="OSRRefP22x_0" localSheetId="49">'300 &amp; 317'!$P$184:$P$193,'300 &amp; 317'!$P$195:$P$201,'300 &amp; 317'!$P$203,'300 &amp; 317'!$P$205:$P$206,'300 &amp; 317'!$P$208,'300 &amp; 317'!$P$210:$P$211,'300 &amp; 317'!$P$213:$P$214,'300 &amp; 317'!$P$216,'300 &amp; 317'!$P$218,'300 &amp; 317'!$P$220,'300 &amp; 317'!$P$222:$P$223,'300 &amp; 317'!$P$225,'300 &amp; 317'!$P$227,'300 &amp; 317'!$P$229,'300 &amp; 317'!$P$231,'300 &amp; 317'!$P$233,'300 &amp; 317'!$P$235:$P$238,'300 &amp; 317'!$P$240:$P$242,'300 &amp; 317'!$P$244:$P$247,'300 &amp; 317'!$P$249:$P$250,'300 &amp; 317'!$P$252:$P$258,'300 &amp; 317'!$P$260:$P$261,'300 &amp; 317'!$P$263,'300 &amp; 317'!$P$265:$P$267,'300 &amp; 317'!$P$269</definedName>
    <definedName name="OSRRefP22x_0" localSheetId="50">'301'!$P$20:$P$28,'301'!$P$30:$P$36,'301'!$P$38,'301'!$P$40:$P$41,'301'!$P$43,'301'!$P$45:$P$46,'301'!$P$48:$P$49,'301'!$P$51,'301'!$P$53,'301'!$P$55,'301'!$P$57,'301'!$P$59,'301'!$P$61,'301'!$P$63,'301'!$P$65,'301'!$P$67:$P$70,'301'!$P$72:$P$74,'301'!$P$76,'301'!$P$78:$P$83,'301'!$P$85,'301'!$P$87,'301'!$P$89:$P$90,'301'!$P$92</definedName>
    <definedName name="OSRRefP22x_0" localSheetId="51">'306'!$P$20:$P$28,'306'!$P$30:$P$35,'306'!$P$37,'306'!$P$39,'306'!$P$41,'306'!$P$43:$P$44,'306'!$P$46:$P$47,'306'!$P$49,'306'!$P$51</definedName>
    <definedName name="OSRRefP22x_0" localSheetId="53">'307'!$P$68:$P$75,'307'!$P$77:$P$80,'307'!$P$82,'307'!$P$84,'307'!$P$86:$P$87,'307'!$P$89,'307'!$P$91,'307'!$P$93:$P$94,'307'!$P$96:$P$97,'307'!$P$99:$P$101,'307'!$P$103,'307'!$P$105</definedName>
    <definedName name="OSRRefP22x_0" localSheetId="55">'308'!$P$61:$P$69,'308'!$P$71:$P$76,'308'!$P$78,'308'!$P$80:$P$81,'308'!$P$83,'308'!$P$85,'308'!$P$87:$P$88,'308'!$P$90,'308'!$P$92,'308'!$P$94:$P$95,'308'!$P$97,'308'!$P$99:$P$101,'308'!$P$103:$P$104,'308'!$P$106,'308'!$P$108</definedName>
    <definedName name="OSRRefP22x_0" localSheetId="67">'309'!$P$24:$P$31,'309'!$P$33:$P$37,'309'!$P$39,'309'!$P$41,'309'!$P$43,'309'!$P$45,'309'!$P$47,'309'!$P$49:$P$50,'309'!$P$52:$P$53,'309'!$P$55:$P$57,'309'!$P$59</definedName>
    <definedName name="OSRRefP22x_0" localSheetId="66">'310'!$P$30:$P$37,'310'!$P$39:$P$44,'310'!$P$46,'310'!$P$48,'310'!$P$50,'310'!$P$52:$P$53,'310'!$P$55,'310'!$P$57,'310'!$P$59,'310'!$P$61,'310'!$P$63,'310'!$P$65,'310'!$P$67,'310'!$P$69,'310'!$P$71:$P$73,'310'!$P$75,'310'!$P$77:$P$80,'310'!$P$82,'310'!$P$84:$P$90,'310'!$P$92,'310'!$P$94,'310'!$P$96</definedName>
    <definedName name="OSRRefP22x_0" localSheetId="74">'310 &amp; 491'!$P$37:$P$45,'310 &amp; 491'!$P$47:$P$53,'310 &amp; 491'!$P$55,'310 &amp; 491'!$P$57,'310 &amp; 491'!$P$59,'310 &amp; 491'!$P$61:$P$63,'310 &amp; 491'!$P$65,'310 &amp; 491'!$P$67,'310 &amp; 491'!$P$69,'310 &amp; 491'!$P$71,'310 &amp; 491'!$P$73:$P$74,'310 &amp; 491'!$P$76:$P$77,'310 &amp; 491'!$P$79,'310 &amp; 491'!$P$81,'310 &amp; 491'!$P$83,'310 &amp; 491'!$P$85,'310 &amp; 491'!$P$87:$P$89,'310 &amp; 491'!$P$91:$P$92,'310 &amp; 491'!$P$94:$P$98,'310 &amp; 491'!$P$100,'310 &amp; 491'!$P$102:$P$110,'310 &amp; 491'!$P$112,'310 &amp; 491'!$P$114,'310 &amp; 491'!$P$116:$P$118,'310 &amp; 491'!$P$120</definedName>
    <definedName name="OSRRefP22x_0" localSheetId="56">'311'!$P$60:$P$68,'311'!$P$70:$P$75,'311'!$P$77,'311'!$P$79:$P$80,'311'!$P$82,'311'!$P$84,'311'!$P$86:$P$87,'311'!$P$89,'311'!$P$91,'311'!$P$93:$P$94,'311'!$P$96,'311'!$P$98:$P$100,'311'!$P$102:$P$103,'311'!$P$105,'311'!$P$107</definedName>
    <definedName name="OSRRefP22x_0" localSheetId="68">'313'!$P$27:$P$34,'313'!$P$36:$P$40,'313'!$P$42,'313'!$P$44,'313'!$P$46,'313'!$P$48,'313'!$P$50,'313'!$P$52,'313'!$P$54:$P$56,'313'!$P$58,'313'!$P$60:$P$64,'313'!$P$66,'313'!$P$68</definedName>
    <definedName name="OSRRefP22x_0" localSheetId="54">'314'!$P$55:$P$61,'314'!$P$63:$P$64,'314'!$P$66,'314'!$P$68:$P$69,'314'!$P$71,'314'!$P$73</definedName>
    <definedName name="OSRRefP22x_0" localSheetId="59">'315'!$P$79:$P$86,'315'!$P$88:$P$93,'315'!$P$95,'315'!$P$97:$P$98,'315'!$P$100,'315'!$P$102:$P$103,'315'!$P$105,'315'!$P$107:$P$108,'315'!$P$110,'315'!$P$112:$P$115,'315'!$P$117,'315'!$P$119,'315'!$P$121</definedName>
    <definedName name="OSRRefP22x_0" localSheetId="62">'316'!$P$32:$P$39,'316'!$P$41:$P$43,'316'!$P$45,'316'!$P$47,'316'!$P$49,'316'!$P$51:$P$52,'316'!$P$54:$P$55,'316'!$P$57,'316'!$P$59:$P$64,'316'!$P$66,'316'!$P$68,'316'!$P$70</definedName>
    <definedName name="OSRRefP22x_0" localSheetId="65">'317'!$P$58:$P$66,'317'!$P$68:$P$72,'317'!$P$74,'317'!$P$76,'317'!$P$78,'317'!$P$80:$P$81,'317'!$P$83,'317'!$P$85,'317'!$P$87,'317'!$P$89:$P$91,'317'!$P$93,'317'!$P$95</definedName>
    <definedName name="OSRRefP22x_0" localSheetId="63">'320'!$P$28:$P$34,'320'!$P$36:$P$38,'320'!$P$40,'320'!$P$42,'320'!$P$44:$P$45,'320'!$P$47,'320'!$P$49,'320'!$P$51:$P$52,'320'!$P$54</definedName>
    <definedName name="OSRRefP22x_0" localSheetId="69">'321'!$P$24:$P$31,'321'!$P$33:$P$37,'321'!$P$39,'321'!$P$41,'321'!$P$43,'321'!$P$45,'321'!$P$47:$P$49,'321'!$P$51,'321'!$P$53:$P$55,'321'!$P$57:$P$60,'321'!$P$62,'321'!$P$64</definedName>
    <definedName name="OSRRefP22x_0" localSheetId="70">'322'!$P$24:$P$31,'322'!$P$33:$P$36,'322'!$P$38,'322'!$P$40,'322'!$P$42,'322'!$P$44,'322'!$P$46,'322'!$P$48,'322'!$P$50:$P$51,'322'!$P$53:$P$55,'322'!$P$57:$P$61,'322'!$P$63,'322'!$P$65</definedName>
    <definedName name="OSRRefP22x_0" localSheetId="71">'325'!$P$24:$P$31,'325'!$P$33:$P$37,'325'!$P$39,'325'!$P$41,'325'!$P$43,'325'!$P$45:$P$46,'325'!$P$48,'325'!$P$50,'325'!$P$52,'325'!$P$54,'325'!$P$56,'325'!$P$58:$P$60,'325'!$P$62:$P$64,'325'!$P$66,'325'!$P$68:$P$72,'325'!$P$74,'325'!$P$76</definedName>
    <definedName name="OSRRefP22x_0" localSheetId="60">'326'!$P$57:$P$64,'326'!$P$66:$P$70,'326'!$P$72,'326'!$P$74,'326'!$P$76,'326'!$P$78,'326'!$P$80,'326'!$P$82,'326'!$P$84,'326'!$P$86,'326'!$P$88,'326'!$P$90:$P$91,'326'!$P$93:$P$95,'326'!$P$97,'326'!$P$99:$P$101,'326'!$P$103,'326'!$P$105,'326'!$P$107</definedName>
    <definedName name="OSRRefP22x_0" localSheetId="72">'327'!$P$22,'327'!$P$24,'327'!$P$26</definedName>
    <definedName name="OSRRefP22x_0" localSheetId="52">'330'!$P$77:$P$84,'330'!$P$86:$P$89,'330'!$P$91,'330'!$P$93,'330'!$P$95:$P$96,'330'!$P$98,'330'!$P$100,'330'!$P$102:$P$103,'330'!$P$105:$P$106,'330'!$P$108,'330'!$P$110:$P$112,'330'!$P$114,'330'!$P$116</definedName>
    <definedName name="OSRRefP22x_0" localSheetId="58">'331'!$P$86:$P$93,'331'!$P$95:$P$100,'331'!$P$102,'331'!$P$104,'331'!$P$106,'331'!$P$108:$P$109,'331'!$P$111,'331'!$P$113:$P$114,'331'!$P$116,'331'!$P$118,'331'!$P$120,'331'!$P$122,'331'!$P$124:$P$125,'331'!$P$127:$P$128,'331'!$P$130:$P$132,'331'!$P$134,'331'!$P$136:$P$140,'331'!$P$142,'331'!$P$144,'331'!$P$146:$P$147,'331'!$P$149</definedName>
    <definedName name="OSRRefP22x_0" localSheetId="61">'332'!$P$40:$P$47,'332'!$P$49:$P$52,'332'!$P$54,'332'!$P$56,'332'!$P$58,'332'!$P$60,'332'!$P$62:$P$63,'332'!$P$65,'332'!$P$67,'332'!$P$69:$P$70,'332'!$P$72,'332'!$P$74:$P$79,'332'!$P$81,'332'!$P$83,'332'!$P$85</definedName>
    <definedName name="OSRRefP22x_0" localSheetId="76">'405'!$P$24:$P$31,'405'!$P$33:$P$36,'405'!$P$38,'405'!$P$40,'405'!$P$42,'405'!$P$44:$P$45,'405'!$P$47,'405'!$P$49,'405'!$P$51,'405'!$P$53:$P$54,'405'!$P$56,'405'!$P$58:$P$60,'405'!$P$62,'405'!$P$64:$P$70,'405'!$P$72,'405'!$P$74,'405'!$P$76</definedName>
    <definedName name="OSRRefP22x_0" localSheetId="77">'406'!$P$24:$P$31,'406'!$P$33:$P$37,'406'!$P$39,'406'!$P$41,'406'!$P$43,'406'!$P$45,'406'!$P$47,'406'!$P$49,'406'!$P$51:$P$53,'406'!$P$55,'406'!$P$57:$P$61,'406'!$P$63,'406'!$P$65</definedName>
    <definedName name="OSRRefP22x_0" localSheetId="78">'411'!$P$20:$P$28,'411'!$P$30:$P$35,'411'!$P$37,'411'!$P$39,'411'!$P$41:$P$43,'411'!$P$45,'411'!$P$47,'411'!$P$49,'411'!$P$51,'411'!$P$53,'411'!$P$55,'411'!$P$57,'411'!$P$59:$P$60,'411'!$P$62:$P$66,'411'!$P$68:$P$73,'411'!$P$75,'411'!$P$77,'411'!$P$79:$P$81,'411'!$P$83</definedName>
    <definedName name="OSRRefP22x_0" localSheetId="79">'412'!$P$23:$P$30,'412'!$P$32:$P$37,'412'!$P$39,'412'!$P$41,'412'!$P$43,'412'!$P$45,'412'!$P$47,'412'!$P$49,'412'!$P$51:$P$52,'412'!$P$54:$P$55,'412'!$P$57:$P$62,'412'!$P$64,'412'!$P$66</definedName>
    <definedName name="OSRRefP22x_0" localSheetId="80">'413'!$P$24:$P$31,'413'!$P$33:$P$36,'413'!$P$38,'413'!$P$40,'413'!$P$42,'413'!$P$44,'413'!$P$46,'413'!$P$48:$P$50,'413'!$P$52:$P$53,'413'!$P$55:$P$59,'413'!$P$61</definedName>
    <definedName name="OSRRefP22x_0" localSheetId="81">'414'!$P$24:$P$30,'414'!$P$32:$P$35,'414'!$P$37,'414'!$P$39,'414'!$P$41,'414'!$P$43,'414'!$P$45,'414'!$P$47,'414'!$P$49:$P$50,'414'!$P$52,'414'!$P$54,'414'!$P$56,'414'!$P$58:$P$64,'414'!$P$66,'414'!$P$68</definedName>
    <definedName name="OSRRefP22x_0" localSheetId="82">'415'!$P$24:$P$31,'415'!$P$33:$P$37,'415'!$P$39,'415'!$P$41,'415'!$P$43,'415'!$P$45:$P$46,'415'!$P$48,'415'!$P$50,'415'!$P$52,'415'!$P$54,'415'!$P$56,'415'!$P$58:$P$60,'415'!$P$62:$P$66,'415'!$P$68,'415'!$P$70:$P$76,'415'!$P$78,'415'!$P$80,'415'!$P$82</definedName>
    <definedName name="OSRRefP22x_0" localSheetId="83">'418'!$P$24:$P$31,'418'!$P$33:$P$38,'418'!$P$40,'418'!$P$42,'418'!$P$44,'418'!$P$46:$P$47,'418'!$P$49,'418'!$P$51,'418'!$P$53:$P$54,'418'!$P$56:$P$58,'418'!$P$60:$P$62,'418'!$P$64,'418'!$P$66:$P$71,'418'!$P$73,'418'!$P$75</definedName>
    <definedName name="OSRRefP22x_0" localSheetId="84">'420'!$P$22:$P$28,'420'!$P$30:$P$33,'420'!$P$35,'420'!$P$37</definedName>
    <definedName name="OSRRefP22x_0" localSheetId="85">'423'!$P$21:$P$28,'423'!$P$30,'423'!$P$32,'423'!$P$34,'423'!$P$36,'423'!$P$38</definedName>
    <definedName name="OSRRefP22x_0" localSheetId="86">'424'!$P$23:$P$24,'424'!$P$26:$P$29,'424'!$P$31,'424'!$P$33,'424'!$P$35,'424'!$P$37,'424'!$P$39,'424'!$P$41,'424'!$P$43:$P$44,'424'!$P$46,'424'!$P$48,'424'!$P$50:$P$52,'424'!$P$54</definedName>
    <definedName name="OSRRefP22x_0" localSheetId="87">'425'!$P$24:$P$31,'425'!$P$33:$P$37,'425'!$P$39,'425'!$P$41,'425'!$P$43,'425'!$P$45,'425'!$P$47,'425'!$P$49,'425'!$P$51,'425'!$P$53:$P$55,'425'!$P$57,'425'!$P$59:$P$60,'425'!$P$62:$P$67,'425'!$P$69,'425'!$P$71</definedName>
    <definedName name="OSRRefP22x_0" localSheetId="90">'430'!$P$20:$P$27,'430'!$P$29,'430'!$P$31,'430'!$P$33,'430'!$P$35:$P$36,'430'!$P$38,'430'!$P$40,'430'!$P$42</definedName>
    <definedName name="OSRRefP22x_0" localSheetId="91">'433'!$P$25:$P$33,'433'!$P$35:$P$40,'433'!$P$42,'433'!$P$44,'433'!$P$46,'433'!$P$48,'433'!$P$50,'433'!$P$52,'433'!$P$54,'433'!$P$56,'433'!$P$58,'433'!$P$60:$P$61,'433'!$P$63:$P$65,'433'!$P$67:$P$73,'433'!$P$75,'433'!$P$77,'433'!$P$79</definedName>
    <definedName name="OSRRefP22x_0" localSheetId="92">'435'!$P$25:$P$27,'435'!$P$29:$P$30,'435'!$P$32,'435'!$P$34,'435'!$P$36,'435'!$P$38,'435'!$P$40:$P$42,'435'!$P$44</definedName>
    <definedName name="OSRRefP22x_0" localSheetId="93">'444'!$P$25:$P$33,'444'!$P$35:$P$40,'444'!$P$42,'444'!$P$44,'444'!$P$46,'444'!$P$48,'444'!$P$50,'444'!$P$52,'444'!$P$54,'444'!$P$56,'444'!$P$58,'444'!$P$60:$P$61,'444'!$P$63:$P$65,'444'!$P$67:$P$75,'444'!$P$77,'444'!$P$79,'444'!$P$81</definedName>
    <definedName name="OSRRefP22x_0" localSheetId="94">'450'!$P$25:$P$33,'450'!$P$35:$P$40,'450'!$P$42,'450'!$P$44,'450'!$P$46,'450'!$P$48,'450'!$P$50,'450'!$P$52,'450'!$P$54,'450'!$P$56,'450'!$P$58,'450'!$P$60,'450'!$P$62,'450'!$P$64:$P$66,'450'!$P$68:$P$73,'450'!$P$75,'450'!$P$77,'450'!$P$79</definedName>
    <definedName name="OSRRefP22x_0" localSheetId="88">'455'!$P$20:$P$26,'455'!$P$28:$P$29</definedName>
    <definedName name="OSRRefP22x_0" localSheetId="75">'491'!$P$31:$P$39,'491'!$P$41:$P$47,'491'!$P$49,'491'!$P$51,'491'!$P$53,'491'!$P$55:$P$57,'491'!$P$59,'491'!$P$61,'491'!$P$63,'491'!$P$65,'491'!$P$67:$P$68,'491'!$P$70,'491'!$P$72,'491'!$P$74,'491'!$P$76,'491'!$P$78:$P$80,'491'!$P$82:$P$83,'491'!$P$85:$P$89,'491'!$P$91,'491'!$P$93:$P$101,'491'!$P$103,'491'!$P$105,'491'!$P$107:$P$109,'491'!$P$111</definedName>
    <definedName name="OSRRefP22x_0" localSheetId="89">'492'!$P$27:$P$35,'492'!$P$37:$P$43,'492'!$P$45,'492'!$P$47,'492'!$P$49,'492'!$P$51,'492'!$P$53,'492'!$P$55,'492'!$P$57,'492'!$P$59,'492'!$P$61,'492'!$P$63,'492'!$P$65:$P$67,'492'!$P$69:$P$71,'492'!$P$73:$P$81,'492'!$P$83,'492'!$P$85,'492'!$P$87</definedName>
    <definedName name="OSRRefP22x_0" localSheetId="96">'501'!$P$21:$P$29,'501'!$P$31:$P$35,'501'!$P$37,'501'!$P$39,'501'!$P$41,'501'!$P$43:$P$44,'501'!$P$46,'501'!$P$48,'501'!$P$50:$P$52,'501'!$P$54:$P$56,'501'!$P$58</definedName>
    <definedName name="OSRRefP22x_0" localSheetId="39">'Div 2'!$P$20:$P$30,'Div 2'!$P$32:$P$38,'Div 2'!$P$40,'Div 2'!$P$42,'Div 2'!$P$44,'Div 2'!$P$46,'Div 2'!$P$48,'Div 2'!$P$50,'Div 2'!$P$52,'Div 2'!$P$54:$P$55,'Div 2'!$P$57,'Div 2'!$P$59,'Div 2'!$P$61:$P$64,'Div 2'!$P$66:$P$68,'Div 2'!$P$70:$P$71,'Div 2'!$P$73,'Div 2'!$P$75:$P$79,'Div 2'!$P$81:$P$82,'Div 2'!$P$84,'Div 2'!$P$86:$P$87</definedName>
    <definedName name="OSRRefP22x_0" localSheetId="47">'Div 3'!$P$164:$P$173,'Div 3'!$P$175:$P$181,'Div 3'!$P$183,'Div 3'!$P$185:$P$186,'Div 3'!$P$188,'Div 3'!$P$190:$P$191,'Div 3'!$P$193:$P$194,'Div 3'!$P$196,'Div 3'!$P$198,'Div 3'!$P$200,'Div 3'!$P$202:$P$203,'Div 3'!$P$205,'Div 3'!$P$207,'Div 3'!$P$209,'Div 3'!$P$211,'Div 3'!$P$213,'Div 3'!$P$215,'Div 3'!$P$217:$P$220,'Div 3'!$P$222:$P$224,'Div 3'!$P$226:$P$230,'Div 3'!$P$232:$P$233,'Div 3'!$P$235:$P$241,'Div 3'!$P$243:$P$244,'Div 3'!$P$246,'Div 3'!$P$248:$P$250,'Div 3'!$P$252</definedName>
    <definedName name="OSRRefP22x_0" localSheetId="73">'Div 4'!$P$32:$P$40,'Div 4'!$P$42:$P$48,'Div 4'!$P$50,'Div 4'!$P$52,'Div 4'!$P$54,'Div 4'!$P$56:$P$58,'Div 4'!$P$60,'Div 4'!$P$62,'Div 4'!$P$64,'Div 4'!$P$66,'Div 4'!$P$68:$P$69,'Div 4'!$P$71,'Div 4'!$P$73,'Div 4'!$P$75,'Div 4'!$P$77,'Div 4'!$P$79,'Div 4'!$P$81:$P$83,'Div 4'!$P$85:$P$86,'Div 4'!$P$88:$P$92,'Div 4'!$P$94,'Div 4'!$P$96:$P$104,'Div 4'!$P$106,'Div 4'!$P$108,'Div 4'!$P$110:$P$112,'Div 4'!$P$114</definedName>
    <definedName name="OSRRefP22x_0" localSheetId="95">'Div 5'!$P$21:$P$29,'Div 5'!$P$31:$P$35,'Div 5'!$P$37,'Div 5'!$P$39,'Div 5'!$P$41,'Div 5'!$P$43:$P$44,'Div 5'!$P$46,'Div 5'!$P$48,'Div 5'!$P$50:$P$52,'Div 5'!$P$54:$P$56,'Div 5'!$P$58</definedName>
    <definedName name="OSRRefP22x_0" localSheetId="64">'Div 6'!$P$58:$P$66,'Div 6'!$P$68:$P$72,'Div 6'!$P$74,'Div 6'!$P$76,'Div 6'!$P$78,'Div 6'!$P$80:$P$81,'Div 6'!$P$83,'Div 6'!$P$85,'Div 6'!$P$87,'Div 6'!$P$89:$P$91,'Div 6'!$P$93,'Div 6'!$P$95</definedName>
    <definedName name="OSRRefP22x_0" localSheetId="2">Summary!$P$196:$P$205,Summary!$P$207:$P$213,Summary!$P$215,Summary!$P$217:$P$218,Summary!$P$220,Summary!$P$222:$P$224,Summary!$P$226:$P$227,Summary!$P$229,Summary!$P$231,Summary!$P$233,Summary!$P$235:$P$236,Summary!$P$238:$P$239,Summary!$P$241,Summary!$P$243,Summary!$P$245,Summary!$P$247,Summary!$P$249,Summary!$P$251,Summary!$P$253:$P$256,Summary!$P$258:$P$260,Summary!$P$262:$P$266,Summary!$P$268:$P$269,Summary!$P$271:$P$279,Summary!$P$281:$P$282,Summary!$P$284,Summary!$P$286:$P$288,Summary!$P$290</definedName>
    <definedName name="OSRRefP25x_0" localSheetId="48">'300'!$P$247:$P$254</definedName>
    <definedName name="OSRRefP25x_0" localSheetId="49">'300 &amp; 317'!$P$272:$P$281</definedName>
    <definedName name="OSRRefP25x_0" localSheetId="50">'301'!$P$95:$P$96</definedName>
    <definedName name="OSRRefP25x_0" localSheetId="55">'308'!$P$111:$P$113</definedName>
    <definedName name="OSRRefP25x_0" localSheetId="74">'310 &amp; 491'!$P$123:$P$125</definedName>
    <definedName name="OSRRefP25x_0" localSheetId="56">'311'!$P$110:$P$112</definedName>
    <definedName name="OSRRefP25x_0" localSheetId="59">'315'!$P$124:$P$125</definedName>
    <definedName name="OSRRefP25x_0" localSheetId="62">'316'!$P$73</definedName>
    <definedName name="OSRRefP25x_0" localSheetId="65">'317'!$P$98:$P$100</definedName>
    <definedName name="OSRRefP25x_0" localSheetId="63">'320'!$P$57:$P$61</definedName>
    <definedName name="OSRRefP25x_0" localSheetId="58">'331'!$P$152:$P$153</definedName>
    <definedName name="OSRRefP25x_0" localSheetId="61">'332'!$P$88:$P$93</definedName>
    <definedName name="OSRRefP25x_0" localSheetId="78">'411'!$P$86:$P$87</definedName>
    <definedName name="OSRRefP25x_0" localSheetId="80">'413'!$P$64</definedName>
    <definedName name="OSRRefP25x_0" localSheetId="83">'418'!$P$78</definedName>
    <definedName name="OSRRefP25x_0" localSheetId="85">'423'!$P$41</definedName>
    <definedName name="OSRRefP25x_0" localSheetId="86">'424'!$P$57</definedName>
    <definedName name="OSRRefP25x_0" localSheetId="87">'425'!$P$74</definedName>
    <definedName name="OSRRefP25x_0" localSheetId="88">'455'!$P$32:$P$33</definedName>
    <definedName name="OSRRefP25x_0" localSheetId="75">'491'!$P$114:$P$116</definedName>
    <definedName name="OSRRefP25x_0" localSheetId="96">'501'!$P$61</definedName>
    <definedName name="OSRRefP25x_0" localSheetId="47">'Div 3'!$P$255:$P$262</definedName>
    <definedName name="OSRRefP25x_0" localSheetId="73">'Div 4'!$P$117:$P$119</definedName>
    <definedName name="OSRRefP25x_0" localSheetId="95">'Div 5'!$P$61</definedName>
    <definedName name="OSRRefP25x_0" localSheetId="64">'Div 6'!$P$98:$P$100</definedName>
    <definedName name="OSRRefP25x_0" localSheetId="2">Summary!$P$293:$P$303</definedName>
    <definedName name="OSRRefT13x_0" localSheetId="48">'300'!$T$13:$T$103</definedName>
    <definedName name="OSRRefT13x_0" localSheetId="49">'300 &amp; 317'!$T$13:$T$121</definedName>
    <definedName name="OSRRefT13x_0" localSheetId="53">'307'!$T$13:$T$41</definedName>
    <definedName name="OSRRefT13x_0" localSheetId="55">'308'!$T$13:$T$40</definedName>
    <definedName name="OSRRefT13x_0" localSheetId="67">'309'!$T$13:$T$14</definedName>
    <definedName name="OSRRefT13x_0" localSheetId="66">'310'!$T$13:$T$20</definedName>
    <definedName name="OSRRefT13x_0" localSheetId="74">'310 &amp; 491'!$T$13:$T$27</definedName>
    <definedName name="OSRRefT13x_0" localSheetId="56">'311'!$T$13:$T$39</definedName>
    <definedName name="OSRRefT13x_0" localSheetId="68">'313'!$T$13:$T$17</definedName>
    <definedName name="OSRRefT13x_0" localSheetId="54">'314'!$T$13:$T$32</definedName>
    <definedName name="OSRRefT13x_0" localSheetId="59">'315'!$T$13:$T$48</definedName>
    <definedName name="OSRRefT13x_0" localSheetId="62">'316'!$T$13:$T$24</definedName>
    <definedName name="OSRRefT13x_0" localSheetId="65">'317'!$T$13:$T$37</definedName>
    <definedName name="OSRRefT13x_0" localSheetId="63">'320'!$T$13:$T$15</definedName>
    <definedName name="OSRRefT13x_0" localSheetId="69">'321'!$T$13:$T$14</definedName>
    <definedName name="OSRRefT13x_0" localSheetId="70">'322'!$T$13:$T$14</definedName>
    <definedName name="OSRRefT13x_0" localSheetId="57">'324'!$T$13:$T$15</definedName>
    <definedName name="OSRRefT13x_0" localSheetId="71">'325'!$T$13:$T$14</definedName>
    <definedName name="OSRRefT13x_0" localSheetId="60">'326'!$T$13:$T$36</definedName>
    <definedName name="OSRRefT13x_0" localSheetId="72">'327'!$T$13</definedName>
    <definedName name="OSRRefT13x_0" localSheetId="52">'330'!$T$13:$T$46</definedName>
    <definedName name="OSRRefT13x_0" localSheetId="58">'331'!$T$13:$T$51</definedName>
    <definedName name="OSRRefT13x_0" localSheetId="61">'332'!$T$13:$T$27</definedName>
    <definedName name="OSRRefT13x_0" localSheetId="76">'405'!$T$13:$T$14</definedName>
    <definedName name="OSRRefT13x_0" localSheetId="77">'406'!$T$13:$T$14</definedName>
    <definedName name="OSRRefT13x_0" localSheetId="79">'412'!$T$13:$T$14</definedName>
    <definedName name="OSRRefT13x_0" localSheetId="80">'413'!$T$13:$T$14</definedName>
    <definedName name="OSRRefT13x_0" localSheetId="81">'414'!$T$13:$T$14</definedName>
    <definedName name="OSRRefT13x_0" localSheetId="82">'415'!$T$13:$T$14</definedName>
    <definedName name="OSRRefT13x_0" localSheetId="83">'418'!$T$13:$T$14</definedName>
    <definedName name="OSRRefT13x_0" localSheetId="84">'420'!$T$13:$T$14</definedName>
    <definedName name="OSRRefT13x_0" localSheetId="86">'424'!$T$13</definedName>
    <definedName name="OSRRefT13x_0" localSheetId="87">'425'!$T$13:$T$14</definedName>
    <definedName name="OSRRefT13x_0" localSheetId="91">'433'!$T$13:$T$15</definedName>
    <definedName name="OSRRefT13x_0" localSheetId="92">'435'!$T$13:$T$15</definedName>
    <definedName name="OSRRefT13x_0" localSheetId="93">'444'!$T$13:$T$15</definedName>
    <definedName name="OSRRefT13x_0" localSheetId="94">'450'!$T$13:$T$15</definedName>
    <definedName name="OSRRefT13x_0" localSheetId="75">'491'!$T$13:$T$21</definedName>
    <definedName name="OSRRefT13x_0" localSheetId="89">'492'!$T$13:$T$17</definedName>
    <definedName name="OSRRefT13x_0" localSheetId="96">'501'!$T$13</definedName>
    <definedName name="OSRRefT13x_0" localSheetId="47">'Div 3'!$T$13:$T$106</definedName>
    <definedName name="OSRRefT13x_0" localSheetId="73">'Div 4'!$T$13:$T$22</definedName>
    <definedName name="OSRRefT13x_0" localSheetId="95">'Div 5'!$T$13</definedName>
    <definedName name="OSRRefT13x_0" localSheetId="64">'Div 6'!$T$13:$T$37</definedName>
    <definedName name="OSRRefT13x_0" localSheetId="2">Summary!$T$13:$T$131</definedName>
    <definedName name="OSRRefT16x_0" localSheetId="48">'300'!$T$106:$T$153</definedName>
    <definedName name="OSRRefT16x_0" localSheetId="49">'300 &amp; 317'!$T$124:$T$178</definedName>
    <definedName name="OSRRefT16x_0" localSheetId="53">'307'!$T$44:$T$62</definedName>
    <definedName name="OSRRefT16x_0" localSheetId="55">'308'!$T$43:$T$55</definedName>
    <definedName name="OSRRefT16x_0" localSheetId="67">'309'!$T$17:$T$18</definedName>
    <definedName name="OSRRefT16x_0" localSheetId="66">'310'!$T$23:$T$24</definedName>
    <definedName name="OSRRefT16x_0" localSheetId="74">'310 &amp; 491'!$T$30:$T$31</definedName>
    <definedName name="OSRRefT16x_0" localSheetId="56">'311'!$T$42:$T$54</definedName>
    <definedName name="OSRRefT16x_0" localSheetId="68">'313'!$T$20:$T$21</definedName>
    <definedName name="OSRRefT16x_0" localSheetId="54">'314'!$T$35:$T$49</definedName>
    <definedName name="OSRRefT16x_0" localSheetId="59">'315'!$T$51:$T$73</definedName>
    <definedName name="OSRRefT16x_0" localSheetId="65">'317'!$T$40:$T$52</definedName>
    <definedName name="OSRRefT16x_0" localSheetId="63">'320'!$T$18:$T$22</definedName>
    <definedName name="OSRRefT16x_0" localSheetId="69">'321'!$T$17:$T$18</definedName>
    <definedName name="OSRRefT16x_0" localSheetId="70">'322'!$T$17:$T$18</definedName>
    <definedName name="OSRRefT16x_0" localSheetId="57">'324'!$T$18:$T$19</definedName>
    <definedName name="OSRRefT16x_0" localSheetId="71">'325'!$T$17:$T$18</definedName>
    <definedName name="OSRRefT16x_0" localSheetId="60">'326'!$T$39:$T$51</definedName>
    <definedName name="OSRRefT16x_0" localSheetId="72">'327'!$T$16</definedName>
    <definedName name="OSRRefT16x_0" localSheetId="52">'330'!$T$49:$T$71</definedName>
    <definedName name="OSRRefT16x_0" localSheetId="58">'331'!$T$54:$T$80</definedName>
    <definedName name="OSRRefT16x_0" localSheetId="61">'332'!$T$30:$T$34</definedName>
    <definedName name="OSRRefT16x_0" localSheetId="76">'405'!$T$17:$T$18</definedName>
    <definedName name="OSRRefT16x_0" localSheetId="77">'406'!$T$17:$T$18</definedName>
    <definedName name="OSRRefT16x_0" localSheetId="79">'412'!$T$17</definedName>
    <definedName name="OSRRefT16x_0" localSheetId="80">'413'!$T$17:$T$18</definedName>
    <definedName name="OSRRefT16x_0" localSheetId="81">'414'!$T$17:$T$18</definedName>
    <definedName name="OSRRefT16x_0" localSheetId="82">'415'!$T$17:$T$18</definedName>
    <definedName name="OSRRefT16x_0" localSheetId="83">'418'!$T$17:$T$18</definedName>
    <definedName name="OSRRefT16x_0" localSheetId="85">'423'!$T$15</definedName>
    <definedName name="OSRRefT16x_0" localSheetId="86">'424'!$T$16:$T$17</definedName>
    <definedName name="OSRRefT16x_0" localSheetId="87">'425'!$T$17:$T$18</definedName>
    <definedName name="OSRRefT16x_0" localSheetId="91">'433'!$T$18:$T$19</definedName>
    <definedName name="OSRRefT16x_0" localSheetId="92">'435'!$T$18:$T$19</definedName>
    <definedName name="OSRRefT16x_0" localSheetId="93">'444'!$T$18:$T$19</definedName>
    <definedName name="OSRRefT16x_0" localSheetId="94">'450'!$T$18:$T$19</definedName>
    <definedName name="OSRRefT16x_0" localSheetId="75">'491'!$T$24:$T$25</definedName>
    <definedName name="OSRRefT16x_0" localSheetId="89">'492'!$T$20:$T$21</definedName>
    <definedName name="OSRRefT16x_0" localSheetId="47">'Div 3'!$T$109:$T$158</definedName>
    <definedName name="OSRRefT16x_0" localSheetId="73">'Div 4'!$T$25:$T$26</definedName>
    <definedName name="OSRRefT16x_0" localSheetId="64">'Div 6'!$T$40:$T$52</definedName>
    <definedName name="OSRRefT16x_0" localSheetId="2">Summary!$T$134:$T$190</definedName>
    <definedName name="OSRRefT22_0x_0" localSheetId="40">'200'!$T$20</definedName>
    <definedName name="OSRRefT22_0x_0" localSheetId="41">'201'!$T$20:$T$27</definedName>
    <definedName name="OSRRefT22_0x_0" localSheetId="42">'202'!$T$20:$T$27</definedName>
    <definedName name="OSRRefT22_0x_0" localSheetId="43">'203'!$T$20:$T$29</definedName>
    <definedName name="OSRRefT22_0x_0" localSheetId="44">'204'!$T$20:$T$28</definedName>
    <definedName name="OSRRefT22_0x_0" localSheetId="45">'205'!$T$20:$T$27</definedName>
    <definedName name="OSRRefT22_0x_0" localSheetId="46">'206'!$T$20:$T$26</definedName>
    <definedName name="OSRRefT22_0x_0" localSheetId="48">'300'!$T$159:$T$168</definedName>
    <definedName name="OSRRefT22_0x_0" localSheetId="49">'300 &amp; 317'!$T$184:$T$193</definedName>
    <definedName name="OSRRefT22_0x_0" localSheetId="50">'301'!$T$20:$T$28</definedName>
    <definedName name="OSRRefT22_0x_0" localSheetId="51">'306'!$T$20:$T$28</definedName>
    <definedName name="OSRRefT22_0x_0" localSheetId="53">'307'!$T$68:$T$75</definedName>
    <definedName name="OSRRefT22_0x_0" localSheetId="55">'308'!$T$61:$T$69</definedName>
    <definedName name="OSRRefT22_0x_0" localSheetId="67">'309'!$T$24:$T$31</definedName>
    <definedName name="OSRRefT22_0x_0" localSheetId="66">'310'!$T$30:$T$37</definedName>
    <definedName name="OSRRefT22_0x_0" localSheetId="74">'310 &amp; 491'!$T$37:$T$45</definedName>
    <definedName name="OSRRefT22_0x_0" localSheetId="56">'311'!$T$60:$T$68</definedName>
    <definedName name="OSRRefT22_0x_0" localSheetId="68">'313'!$T$27:$T$34</definedName>
    <definedName name="OSRRefT22_0x_0" localSheetId="54">'314'!$T$55:$T$61</definedName>
    <definedName name="OSRRefT22_0x_0" localSheetId="59">'315'!$T$79:$T$86</definedName>
    <definedName name="OSRRefT22_0x_0" localSheetId="62">'316'!$T$32:$T$39</definedName>
    <definedName name="OSRRefT22_0x_0" localSheetId="65">'317'!$T$58:$T$66</definedName>
    <definedName name="OSRRefT22_0x_0" localSheetId="63">'320'!$T$28:$T$34</definedName>
    <definedName name="OSRRefT22_0x_0" localSheetId="69">'321'!$T$24:$T$31</definedName>
    <definedName name="OSRRefT22_0x_0" localSheetId="70">'322'!$T$24:$T$31</definedName>
    <definedName name="OSRRefT22_0x_0" localSheetId="71">'325'!$T$24:$T$31</definedName>
    <definedName name="OSRRefT22_0x_0" localSheetId="60">'326'!$T$57:$T$64</definedName>
    <definedName name="OSRRefT22_0x_0" localSheetId="72">'327'!$T$22</definedName>
    <definedName name="OSRRefT22_0x_0" localSheetId="52">'330'!$T$77:$T$84</definedName>
    <definedName name="OSRRefT22_0x_0" localSheetId="58">'331'!$T$86:$T$93</definedName>
    <definedName name="OSRRefT22_0x_0" localSheetId="61">'332'!$T$40:$T$47</definedName>
    <definedName name="OSRRefT22_0x_0" localSheetId="76">'405'!$T$24:$T$31</definedName>
    <definedName name="OSRRefT22_0x_0" localSheetId="77">'406'!$T$24:$T$31</definedName>
    <definedName name="OSRRefT22_0x_0" localSheetId="78">'411'!$T$20:$T$28</definedName>
    <definedName name="OSRRefT22_0x_0" localSheetId="79">'412'!$T$23:$T$30</definedName>
    <definedName name="OSRRefT22_0x_0" localSheetId="80">'413'!$T$24:$T$31</definedName>
    <definedName name="OSRRefT22_0x_0" localSheetId="81">'414'!$T$24:$T$30</definedName>
    <definedName name="OSRRefT22_0x_0" localSheetId="82">'415'!$T$24:$T$31</definedName>
    <definedName name="OSRRefT22_0x_0" localSheetId="83">'418'!$T$24:$T$31</definedName>
    <definedName name="OSRRefT22_0x_0" localSheetId="84">'420'!$T$22:$T$28</definedName>
    <definedName name="OSRRefT22_0x_0" localSheetId="85">'423'!$T$21:$T$28</definedName>
    <definedName name="OSRRefT22_0x_0" localSheetId="86">'424'!$T$23:$T$24</definedName>
    <definedName name="OSRRefT22_0x_0" localSheetId="87">'425'!$T$24:$T$31</definedName>
    <definedName name="OSRRefT22_0x_0" localSheetId="90">'430'!$T$20:$T$27</definedName>
    <definedName name="OSRRefT22_0x_0" localSheetId="91">'433'!$T$25:$T$33</definedName>
    <definedName name="OSRRefT22_0x_0" localSheetId="92">'435'!$T$25:$T$27</definedName>
    <definedName name="OSRRefT22_0x_0" localSheetId="93">'444'!$T$25:$T$33</definedName>
    <definedName name="OSRRefT22_0x_0" localSheetId="94">'450'!$T$25:$T$33</definedName>
    <definedName name="OSRRefT22_0x_0" localSheetId="88">'455'!$T$20:$T$26</definedName>
    <definedName name="OSRRefT22_0x_0" localSheetId="75">'491'!$T$31:$T$39</definedName>
    <definedName name="OSRRefT22_0x_0" localSheetId="89">'492'!$T$27:$T$35</definedName>
    <definedName name="OSRRefT22_0x_0" localSheetId="96">'501'!$T$21:$T$29</definedName>
    <definedName name="OSRRefT22_0x_0" localSheetId="39">'Div 2'!$T$20:$T$30</definedName>
    <definedName name="OSRRefT22_0x_0" localSheetId="47">'Div 3'!$T$164:$T$173</definedName>
    <definedName name="OSRRefT22_0x_0" localSheetId="73">'Div 4'!$T$32:$T$40</definedName>
    <definedName name="OSRRefT22_0x_0" localSheetId="95">'Div 5'!$T$21:$T$29</definedName>
    <definedName name="OSRRefT22_0x_0" localSheetId="64">'Div 6'!$T$58:$T$66</definedName>
    <definedName name="OSRRefT22_0x_0" localSheetId="2">Summary!$T$196:$T$205</definedName>
    <definedName name="OSRRefT22_10x_0" localSheetId="41">'201'!$T$51:$T$53</definedName>
    <definedName name="OSRRefT22_10x_0" localSheetId="42">'202'!$T$53:$T$55</definedName>
    <definedName name="OSRRefT22_10x_0" localSheetId="43">'203'!$T$53:$T$54</definedName>
    <definedName name="OSRRefT22_10x_0" localSheetId="48">'300'!$T$197:$T$198</definedName>
    <definedName name="OSRRefT22_10x_0" localSheetId="49">'300 &amp; 317'!$T$222:$T$223</definedName>
    <definedName name="OSRRefT22_10x_0" localSheetId="50">'301'!$T$57</definedName>
    <definedName name="OSRRefT22_10x_0" localSheetId="53">'307'!$T$103</definedName>
    <definedName name="OSRRefT22_10x_0" localSheetId="55">'308'!$T$97</definedName>
    <definedName name="OSRRefT22_10x_0" localSheetId="67">'309'!$T$59</definedName>
    <definedName name="OSRRefT22_10x_0" localSheetId="66">'310'!$T$63</definedName>
    <definedName name="OSRRefT22_10x_0" localSheetId="74">'310 &amp; 491'!$T$73:$T$74</definedName>
    <definedName name="OSRRefT22_10x_0" localSheetId="56">'311'!$T$96</definedName>
    <definedName name="OSRRefT22_10x_0" localSheetId="68">'313'!$T$60:$T$64</definedName>
    <definedName name="OSRRefT22_10x_0" localSheetId="59">'315'!$T$117</definedName>
    <definedName name="OSRRefT22_10x_0" localSheetId="62">'316'!$T$68</definedName>
    <definedName name="OSRRefT22_10x_0" localSheetId="65">'317'!$T$93</definedName>
    <definedName name="OSRRefT22_10x_0" localSheetId="69">'321'!$T$62</definedName>
    <definedName name="OSRRefT22_10x_0" localSheetId="70">'322'!$T$57:$T$61</definedName>
    <definedName name="OSRRefT22_10x_0" localSheetId="71">'325'!$T$56</definedName>
    <definedName name="OSRRefT22_10x_0" localSheetId="60">'326'!$T$88</definedName>
    <definedName name="OSRRefT22_10x_0" localSheetId="52">'330'!$T$110:$T$112</definedName>
    <definedName name="OSRRefT22_10x_0" localSheetId="58">'331'!$T$120</definedName>
    <definedName name="OSRRefT22_10x_0" localSheetId="61">'332'!$T$72</definedName>
    <definedName name="OSRRefT22_10x_0" localSheetId="76">'405'!$T$56</definedName>
    <definedName name="OSRRefT22_10x_0" localSheetId="77">'406'!$T$57:$T$61</definedName>
    <definedName name="OSRRefT22_10x_0" localSheetId="78">'411'!$T$55</definedName>
    <definedName name="OSRRefT22_10x_0" localSheetId="79">'412'!$T$57:$T$62</definedName>
    <definedName name="OSRRefT22_10x_0" localSheetId="80">'413'!$T$61</definedName>
    <definedName name="OSRRefT22_10x_0" localSheetId="81">'414'!$T$54</definedName>
    <definedName name="OSRRefT22_10x_0" localSheetId="82">'415'!$T$56</definedName>
    <definedName name="OSRRefT22_10x_0" localSheetId="83">'418'!$T$60:$T$62</definedName>
    <definedName name="OSRRefT22_10x_0" localSheetId="86">'424'!$T$48</definedName>
    <definedName name="OSRRefT22_10x_0" localSheetId="87">'425'!$T$57</definedName>
    <definedName name="OSRRefT22_10x_0" localSheetId="91">'433'!$T$58</definedName>
    <definedName name="OSRRefT22_10x_0" localSheetId="93">'444'!$T$58</definedName>
    <definedName name="OSRRefT22_10x_0" localSheetId="94">'450'!$T$58</definedName>
    <definedName name="OSRRefT22_10x_0" localSheetId="75">'491'!$T$67:$T$68</definedName>
    <definedName name="OSRRefT22_10x_0" localSheetId="89">'492'!$T$61</definedName>
    <definedName name="OSRRefT22_10x_0" localSheetId="96">'501'!$T$58</definedName>
    <definedName name="OSRRefT22_10x_0" localSheetId="39">'Div 2'!$T$57</definedName>
    <definedName name="OSRRefT22_10x_0" localSheetId="47">'Div 3'!$T$202:$T$203</definedName>
    <definedName name="OSRRefT22_10x_0" localSheetId="73">'Div 4'!$T$68:$T$69</definedName>
    <definedName name="OSRRefT22_10x_0" localSheetId="95">'Div 5'!$T$58</definedName>
    <definedName name="OSRRefT22_10x_0" localSheetId="64">'Div 6'!$T$93</definedName>
    <definedName name="OSRRefT22_10x_0" localSheetId="2">Summary!$T$235:$T$236</definedName>
    <definedName name="OSRRefT22_11x_0" localSheetId="41">'201'!$T$55</definedName>
    <definedName name="OSRRefT22_11x_0" localSheetId="42">'202'!$T$57</definedName>
    <definedName name="OSRRefT22_11x_0" localSheetId="43">'203'!$T$56</definedName>
    <definedName name="OSRRefT22_11x_0" localSheetId="48">'300'!$T$200</definedName>
    <definedName name="OSRRefT22_11x_0" localSheetId="49">'300 &amp; 317'!$T$225</definedName>
    <definedName name="OSRRefT22_11x_0" localSheetId="50">'301'!$T$59</definedName>
    <definedName name="OSRRefT22_11x_0" localSheetId="53">'307'!$T$105</definedName>
    <definedName name="OSRRefT22_11x_0" localSheetId="55">'308'!$T$99:$T$101</definedName>
    <definedName name="OSRRefT22_11x_0" localSheetId="66">'310'!$T$65</definedName>
    <definedName name="OSRRefT22_11x_0" localSheetId="74">'310 &amp; 491'!$T$76:$T$77</definedName>
    <definedName name="OSRRefT22_11x_0" localSheetId="56">'311'!$T$98:$T$100</definedName>
    <definedName name="OSRRefT22_11x_0" localSheetId="68">'313'!$T$66</definedName>
    <definedName name="OSRRefT22_11x_0" localSheetId="59">'315'!$T$119</definedName>
    <definedName name="OSRRefT22_11x_0" localSheetId="62">'316'!$T$70</definedName>
    <definedName name="OSRRefT22_11x_0" localSheetId="65">'317'!$T$95</definedName>
    <definedName name="OSRRefT22_11x_0" localSheetId="69">'321'!$T$64</definedName>
    <definedName name="OSRRefT22_11x_0" localSheetId="70">'322'!$T$63</definedName>
    <definedName name="OSRRefT22_11x_0" localSheetId="71">'325'!$T$58:$T$60</definedName>
    <definedName name="OSRRefT22_11x_0" localSheetId="60">'326'!$T$90:$T$91</definedName>
    <definedName name="OSRRefT22_11x_0" localSheetId="52">'330'!$T$114</definedName>
    <definedName name="OSRRefT22_11x_0" localSheetId="58">'331'!$T$122</definedName>
    <definedName name="OSRRefT22_11x_0" localSheetId="61">'332'!$T$74:$T$79</definedName>
    <definedName name="OSRRefT22_11x_0" localSheetId="76">'405'!$T$58:$T$60</definedName>
    <definedName name="OSRRefT22_11x_0" localSheetId="77">'406'!$T$63</definedName>
    <definedName name="OSRRefT22_11x_0" localSheetId="78">'411'!$T$57</definedName>
    <definedName name="OSRRefT22_11x_0" localSheetId="79">'412'!$T$64</definedName>
    <definedName name="OSRRefT22_11x_0" localSheetId="81">'414'!$T$56</definedName>
    <definedName name="OSRRefT22_11x_0" localSheetId="82">'415'!$T$58:$T$60</definedName>
    <definedName name="OSRRefT22_11x_0" localSheetId="83">'418'!$T$64</definedName>
    <definedName name="OSRRefT22_11x_0" localSheetId="86">'424'!$T$50:$T$52</definedName>
    <definedName name="OSRRefT22_11x_0" localSheetId="87">'425'!$T$59:$T$60</definedName>
    <definedName name="OSRRefT22_11x_0" localSheetId="91">'433'!$T$60:$T$61</definedName>
    <definedName name="OSRRefT22_11x_0" localSheetId="93">'444'!$T$60:$T$61</definedName>
    <definedName name="OSRRefT22_11x_0" localSheetId="94">'450'!$T$60</definedName>
    <definedName name="OSRRefT22_11x_0" localSheetId="75">'491'!$T$70</definedName>
    <definedName name="OSRRefT22_11x_0" localSheetId="89">'492'!$T$63</definedName>
    <definedName name="OSRRefT22_11x_0" localSheetId="39">'Div 2'!$T$59</definedName>
    <definedName name="OSRRefT22_11x_0" localSheetId="47">'Div 3'!$T$205</definedName>
    <definedName name="OSRRefT22_11x_0" localSheetId="73">'Div 4'!$T$71</definedName>
    <definedName name="OSRRefT22_11x_0" localSheetId="64">'Div 6'!$T$95</definedName>
    <definedName name="OSRRefT22_11x_0" localSheetId="2">Summary!$T$238:$T$239</definedName>
    <definedName name="OSRRefT22_12x_0" localSheetId="41">'201'!$T$57:$T$60</definedName>
    <definedName name="OSRRefT22_12x_0" localSheetId="42">'202'!$T$59</definedName>
    <definedName name="OSRRefT22_12x_0" localSheetId="43">'203'!$T$58:$T$61</definedName>
    <definedName name="OSRRefT22_12x_0" localSheetId="48">'300'!$T$202</definedName>
    <definedName name="OSRRefT22_12x_0" localSheetId="49">'300 &amp; 317'!$T$227</definedName>
    <definedName name="OSRRefT22_12x_0" localSheetId="50">'301'!$T$61</definedName>
    <definedName name="OSRRefT22_12x_0" localSheetId="55">'308'!$T$103:$T$104</definedName>
    <definedName name="OSRRefT22_12x_0" localSheetId="66">'310'!$T$67</definedName>
    <definedName name="OSRRefT22_12x_0" localSheetId="74">'310 &amp; 491'!$T$79</definedName>
    <definedName name="OSRRefT22_12x_0" localSheetId="56">'311'!$T$102:$T$103</definedName>
    <definedName name="OSRRefT22_12x_0" localSheetId="68">'313'!$T$68</definedName>
    <definedName name="OSRRefT22_12x_0" localSheetId="59">'315'!$T$121</definedName>
    <definedName name="OSRRefT22_12x_0" localSheetId="70">'322'!$T$65</definedName>
    <definedName name="OSRRefT22_12x_0" localSheetId="71">'325'!$T$62:$T$64</definedName>
    <definedName name="OSRRefT22_12x_0" localSheetId="60">'326'!$T$93:$T$95</definedName>
    <definedName name="OSRRefT22_12x_0" localSheetId="52">'330'!$T$116</definedName>
    <definedName name="OSRRefT22_12x_0" localSheetId="58">'331'!$T$124:$T$125</definedName>
    <definedName name="OSRRefT22_12x_0" localSheetId="61">'332'!$T$81</definedName>
    <definedName name="OSRRefT22_12x_0" localSheetId="76">'405'!$T$62</definedName>
    <definedName name="OSRRefT22_12x_0" localSheetId="77">'406'!$T$65</definedName>
    <definedName name="OSRRefT22_12x_0" localSheetId="78">'411'!$T$59:$T$60</definedName>
    <definedName name="OSRRefT22_12x_0" localSheetId="79">'412'!$T$66</definedName>
    <definedName name="OSRRefT22_12x_0" localSheetId="81">'414'!$T$58:$T$64</definedName>
    <definedName name="OSRRefT22_12x_0" localSheetId="82">'415'!$T$62:$T$66</definedName>
    <definedName name="OSRRefT22_12x_0" localSheetId="83">'418'!$T$66:$T$71</definedName>
    <definedName name="OSRRefT22_12x_0" localSheetId="86">'424'!$T$54</definedName>
    <definedName name="OSRRefT22_12x_0" localSheetId="87">'425'!$T$62:$T$67</definedName>
    <definedName name="OSRRefT22_12x_0" localSheetId="91">'433'!$T$63:$T$65</definedName>
    <definedName name="OSRRefT22_12x_0" localSheetId="93">'444'!$T$63:$T$65</definedName>
    <definedName name="OSRRefT22_12x_0" localSheetId="94">'450'!$T$62</definedName>
    <definedName name="OSRRefT22_12x_0" localSheetId="75">'491'!$T$72</definedName>
    <definedName name="OSRRefT22_12x_0" localSheetId="89">'492'!$T$65:$T$67</definedName>
    <definedName name="OSRRefT22_12x_0" localSheetId="39">'Div 2'!$T$61:$T$64</definedName>
    <definedName name="OSRRefT22_12x_0" localSheetId="47">'Div 3'!$T$207</definedName>
    <definedName name="OSRRefT22_12x_0" localSheetId="73">'Div 4'!$T$73</definedName>
    <definedName name="OSRRefT22_12x_0" localSheetId="2">Summary!$T$241</definedName>
    <definedName name="OSRRefT22_13x_0" localSheetId="41">'201'!$T$62</definedName>
    <definedName name="OSRRefT22_13x_0" localSheetId="42">'202'!$T$61</definedName>
    <definedName name="OSRRefT22_13x_0" localSheetId="43">'203'!$T$63</definedName>
    <definedName name="OSRRefT22_13x_0" localSheetId="48">'300'!$T$204</definedName>
    <definedName name="OSRRefT22_13x_0" localSheetId="49">'300 &amp; 317'!$T$229</definedName>
    <definedName name="OSRRefT22_13x_0" localSheetId="50">'301'!$T$63</definedName>
    <definedName name="OSRRefT22_13x_0" localSheetId="55">'308'!$T$106</definedName>
    <definedName name="OSRRefT22_13x_0" localSheetId="66">'310'!$T$69</definedName>
    <definedName name="OSRRefT22_13x_0" localSheetId="74">'310 &amp; 491'!$T$81</definedName>
    <definedName name="OSRRefT22_13x_0" localSheetId="56">'311'!$T$105</definedName>
    <definedName name="OSRRefT22_13x_0" localSheetId="71">'325'!$T$66</definedName>
    <definedName name="OSRRefT22_13x_0" localSheetId="60">'326'!$T$97</definedName>
    <definedName name="OSRRefT22_13x_0" localSheetId="58">'331'!$T$127:$T$128</definedName>
    <definedName name="OSRRefT22_13x_0" localSheetId="61">'332'!$T$83</definedName>
    <definedName name="OSRRefT22_13x_0" localSheetId="76">'405'!$T$64:$T$70</definedName>
    <definedName name="OSRRefT22_13x_0" localSheetId="78">'411'!$T$62:$T$66</definedName>
    <definedName name="OSRRefT22_13x_0" localSheetId="81">'414'!$T$66</definedName>
    <definedName name="OSRRefT22_13x_0" localSheetId="82">'415'!$T$68</definedName>
    <definedName name="OSRRefT22_13x_0" localSheetId="83">'418'!$T$73</definedName>
    <definedName name="OSRRefT22_13x_0" localSheetId="87">'425'!$T$69</definedName>
    <definedName name="OSRRefT22_13x_0" localSheetId="91">'433'!$T$67:$T$73</definedName>
    <definedName name="OSRRefT22_13x_0" localSheetId="93">'444'!$T$67:$T$75</definedName>
    <definedName name="OSRRefT22_13x_0" localSheetId="94">'450'!$T$64:$T$66</definedName>
    <definedName name="OSRRefT22_13x_0" localSheetId="75">'491'!$T$74</definedName>
    <definedName name="OSRRefT22_13x_0" localSheetId="89">'492'!$T$69:$T$71</definedName>
    <definedName name="OSRRefT22_13x_0" localSheetId="39">'Div 2'!$T$66:$T$68</definedName>
    <definedName name="OSRRefT22_13x_0" localSheetId="47">'Div 3'!$T$209</definedName>
    <definedName name="OSRRefT22_13x_0" localSheetId="73">'Div 4'!$T$75</definedName>
    <definedName name="OSRRefT22_13x_0" localSheetId="2">Summary!$T$243</definedName>
    <definedName name="OSRRefT22_14x_0" localSheetId="41">'201'!$T$64</definedName>
    <definedName name="OSRRefT22_14x_0" localSheetId="43">'203'!$T$65</definedName>
    <definedName name="OSRRefT22_14x_0" localSheetId="48">'300'!$T$206</definedName>
    <definedName name="OSRRefT22_14x_0" localSheetId="49">'300 &amp; 317'!$T$231</definedName>
    <definedName name="OSRRefT22_14x_0" localSheetId="50">'301'!$T$65</definedName>
    <definedName name="OSRRefT22_14x_0" localSheetId="55">'308'!$T$108</definedName>
    <definedName name="OSRRefT22_14x_0" localSheetId="66">'310'!$T$71:$T$73</definedName>
    <definedName name="OSRRefT22_14x_0" localSheetId="74">'310 &amp; 491'!$T$83</definedName>
    <definedName name="OSRRefT22_14x_0" localSheetId="56">'311'!$T$107</definedName>
    <definedName name="OSRRefT22_14x_0" localSheetId="71">'325'!$T$68:$T$72</definedName>
    <definedName name="OSRRefT22_14x_0" localSheetId="60">'326'!$T$99:$T$101</definedName>
    <definedName name="OSRRefT22_14x_0" localSheetId="58">'331'!$T$130:$T$132</definedName>
    <definedName name="OSRRefT22_14x_0" localSheetId="61">'332'!$T$85</definedName>
    <definedName name="OSRRefT22_14x_0" localSheetId="76">'405'!$T$72</definedName>
    <definedName name="OSRRefT22_14x_0" localSheetId="78">'411'!$T$68:$T$73</definedName>
    <definedName name="OSRRefT22_14x_0" localSheetId="81">'414'!$T$68</definedName>
    <definedName name="OSRRefT22_14x_0" localSheetId="82">'415'!$T$70:$T$76</definedName>
    <definedName name="OSRRefT22_14x_0" localSheetId="83">'418'!$T$75</definedName>
    <definedName name="OSRRefT22_14x_0" localSheetId="87">'425'!$T$71</definedName>
    <definedName name="OSRRefT22_14x_0" localSheetId="91">'433'!$T$75</definedName>
    <definedName name="OSRRefT22_14x_0" localSheetId="93">'444'!$T$77</definedName>
    <definedName name="OSRRefT22_14x_0" localSheetId="94">'450'!$T$68:$T$73</definedName>
    <definedName name="OSRRefT22_14x_0" localSheetId="75">'491'!$T$76</definedName>
    <definedName name="OSRRefT22_14x_0" localSheetId="89">'492'!$T$73:$T$81</definedName>
    <definedName name="OSRRefT22_14x_0" localSheetId="39">'Div 2'!$T$70:$T$71</definedName>
    <definedName name="OSRRefT22_14x_0" localSheetId="47">'Div 3'!$T$211</definedName>
    <definedName name="OSRRefT22_14x_0" localSheetId="73">'Div 4'!$T$77</definedName>
    <definedName name="OSRRefT22_14x_0" localSheetId="2">Summary!$T$245</definedName>
    <definedName name="OSRRefT22_15x_0" localSheetId="41">'201'!$T$66</definedName>
    <definedName name="OSRRefT22_15x_0" localSheetId="43">'203'!$T$67</definedName>
    <definedName name="OSRRefT22_15x_0" localSheetId="48">'300'!$T$208</definedName>
    <definedName name="OSRRefT22_15x_0" localSheetId="49">'300 &amp; 317'!$T$233</definedName>
    <definedName name="OSRRefT22_15x_0" localSheetId="50">'301'!$T$67:$T$70</definedName>
    <definedName name="OSRRefT22_15x_0" localSheetId="66">'310'!$T$75</definedName>
    <definedName name="OSRRefT22_15x_0" localSheetId="74">'310 &amp; 491'!$T$85</definedName>
    <definedName name="OSRRefT22_15x_0" localSheetId="71">'325'!$T$74</definedName>
    <definedName name="OSRRefT22_15x_0" localSheetId="60">'326'!$T$103</definedName>
    <definedName name="OSRRefT22_15x_0" localSheetId="58">'331'!$T$134</definedName>
    <definedName name="OSRRefT22_15x_0" localSheetId="76">'405'!$T$74</definedName>
    <definedName name="OSRRefT22_15x_0" localSheetId="78">'411'!$T$75</definedName>
    <definedName name="OSRRefT22_15x_0" localSheetId="82">'415'!$T$78</definedName>
    <definedName name="OSRRefT22_15x_0" localSheetId="91">'433'!$T$77</definedName>
    <definedName name="OSRRefT22_15x_0" localSheetId="93">'444'!$T$79</definedName>
    <definedName name="OSRRefT22_15x_0" localSheetId="94">'450'!$T$75</definedName>
    <definedName name="OSRRefT22_15x_0" localSheetId="75">'491'!$T$78:$T$80</definedName>
    <definedName name="OSRRefT22_15x_0" localSheetId="89">'492'!$T$83</definedName>
    <definedName name="OSRRefT22_15x_0" localSheetId="39">'Div 2'!$T$73</definedName>
    <definedName name="OSRRefT22_15x_0" localSheetId="47">'Div 3'!$T$213</definedName>
    <definedName name="OSRRefT22_15x_0" localSheetId="73">'Div 4'!$T$79</definedName>
    <definedName name="OSRRefT22_15x_0" localSheetId="2">Summary!$T$247</definedName>
    <definedName name="OSRRefT22_16x_0" localSheetId="48">'300'!$T$210:$T$213</definedName>
    <definedName name="OSRRefT22_16x_0" localSheetId="49">'300 &amp; 317'!$T$235:$T$238</definedName>
    <definedName name="OSRRefT22_16x_0" localSheetId="50">'301'!$T$72:$T$74</definedName>
    <definedName name="OSRRefT22_16x_0" localSheetId="66">'310'!$T$77:$T$80</definedName>
    <definedName name="OSRRefT22_16x_0" localSheetId="74">'310 &amp; 491'!$T$87:$T$89</definedName>
    <definedName name="OSRRefT22_16x_0" localSheetId="71">'325'!$T$76</definedName>
    <definedName name="OSRRefT22_16x_0" localSheetId="60">'326'!$T$105</definedName>
    <definedName name="OSRRefT22_16x_0" localSheetId="58">'331'!$T$136:$T$140</definedName>
    <definedName name="OSRRefT22_16x_0" localSheetId="76">'405'!$T$76</definedName>
    <definedName name="OSRRefT22_16x_0" localSheetId="78">'411'!$T$77</definedName>
    <definedName name="OSRRefT22_16x_0" localSheetId="82">'415'!$T$80</definedName>
    <definedName name="OSRRefT22_16x_0" localSheetId="91">'433'!$T$79</definedName>
    <definedName name="OSRRefT22_16x_0" localSheetId="93">'444'!$T$81</definedName>
    <definedName name="OSRRefT22_16x_0" localSheetId="94">'450'!$T$77</definedName>
    <definedName name="OSRRefT22_16x_0" localSheetId="75">'491'!$T$82:$T$83</definedName>
    <definedName name="OSRRefT22_16x_0" localSheetId="89">'492'!$T$85</definedName>
    <definedName name="OSRRefT22_16x_0" localSheetId="39">'Div 2'!$T$75:$T$79</definedName>
    <definedName name="OSRRefT22_16x_0" localSheetId="47">'Div 3'!$T$215</definedName>
    <definedName name="OSRRefT22_16x_0" localSheetId="73">'Div 4'!$T$81:$T$83</definedName>
    <definedName name="OSRRefT22_16x_0" localSheetId="2">Summary!$T$249</definedName>
    <definedName name="OSRRefT22_17x_0" localSheetId="48">'300'!$T$215:$T$217</definedName>
    <definedName name="OSRRefT22_17x_0" localSheetId="49">'300 &amp; 317'!$T$240:$T$242</definedName>
    <definedName name="OSRRefT22_17x_0" localSheetId="50">'301'!$T$76</definedName>
    <definedName name="OSRRefT22_17x_0" localSheetId="66">'310'!$T$82</definedName>
    <definedName name="OSRRefT22_17x_0" localSheetId="74">'310 &amp; 491'!$T$91:$T$92</definedName>
    <definedName name="OSRRefT22_17x_0" localSheetId="60">'326'!$T$107</definedName>
    <definedName name="OSRRefT22_17x_0" localSheetId="58">'331'!$T$142</definedName>
    <definedName name="OSRRefT22_17x_0" localSheetId="78">'411'!$T$79:$T$81</definedName>
    <definedName name="OSRRefT22_17x_0" localSheetId="82">'415'!$T$82</definedName>
    <definedName name="OSRRefT22_17x_0" localSheetId="94">'450'!$T$79</definedName>
    <definedName name="OSRRefT22_17x_0" localSheetId="75">'491'!$T$85:$T$89</definedName>
    <definedName name="OSRRefT22_17x_0" localSheetId="89">'492'!$T$87</definedName>
    <definedName name="OSRRefT22_17x_0" localSheetId="39">'Div 2'!$T$81:$T$82</definedName>
    <definedName name="OSRRefT22_17x_0" localSheetId="47">'Div 3'!$T$217:$T$220</definedName>
    <definedName name="OSRRefT22_17x_0" localSheetId="73">'Div 4'!$T$85:$T$86</definedName>
    <definedName name="OSRRefT22_17x_0" localSheetId="2">Summary!$T$251</definedName>
    <definedName name="OSRRefT22_18x_0" localSheetId="48">'300'!$T$219:$T$222</definedName>
    <definedName name="OSRRefT22_18x_0" localSheetId="49">'300 &amp; 317'!$T$244:$T$247</definedName>
    <definedName name="OSRRefT22_18x_0" localSheetId="50">'301'!$T$78:$T$83</definedName>
    <definedName name="OSRRefT22_18x_0" localSheetId="66">'310'!$T$84:$T$90</definedName>
    <definedName name="OSRRefT22_18x_0" localSheetId="74">'310 &amp; 491'!$T$94:$T$98</definedName>
    <definedName name="OSRRefT22_18x_0" localSheetId="58">'331'!$T$144</definedName>
    <definedName name="OSRRefT22_18x_0" localSheetId="78">'411'!$T$83</definedName>
    <definedName name="OSRRefT22_18x_0" localSheetId="75">'491'!$T$91</definedName>
    <definedName name="OSRRefT22_18x_0" localSheetId="39">'Div 2'!$T$84</definedName>
    <definedName name="OSRRefT22_18x_0" localSheetId="47">'Div 3'!$T$222:$T$224</definedName>
    <definedName name="OSRRefT22_18x_0" localSheetId="73">'Div 4'!$T$88:$T$92</definedName>
    <definedName name="OSRRefT22_18x_0" localSheetId="2">Summary!$T$253:$T$256</definedName>
    <definedName name="OSRRefT22_19x_0" localSheetId="48">'300'!$T$224:$T$225</definedName>
    <definedName name="OSRRefT22_19x_0" localSheetId="49">'300 &amp; 317'!$T$249:$T$250</definedName>
    <definedName name="OSRRefT22_19x_0" localSheetId="50">'301'!$T$85</definedName>
    <definedName name="OSRRefT22_19x_0" localSheetId="66">'310'!$T$92</definedName>
    <definedName name="OSRRefT22_19x_0" localSheetId="74">'310 &amp; 491'!$T$100</definedName>
    <definedName name="OSRRefT22_19x_0" localSheetId="58">'331'!$T$146:$T$147</definedName>
    <definedName name="OSRRefT22_19x_0" localSheetId="75">'491'!$T$93:$T$101</definedName>
    <definedName name="OSRRefT22_19x_0" localSheetId="39">'Div 2'!$T$86:$T$87</definedName>
    <definedName name="OSRRefT22_19x_0" localSheetId="47">'Div 3'!$T$226:$T$230</definedName>
    <definedName name="OSRRefT22_19x_0" localSheetId="73">'Div 4'!$T$94</definedName>
    <definedName name="OSRRefT22_19x_0" localSheetId="2">Summary!$T$258:$T$260</definedName>
    <definedName name="OSRRefT22_1x_0" localSheetId="40">'200'!$T$22</definedName>
    <definedName name="OSRRefT22_1x_0" localSheetId="41">'201'!$T$29:$T$31</definedName>
    <definedName name="OSRRefT22_1x_0" localSheetId="42">'202'!$T$29:$T$32</definedName>
    <definedName name="OSRRefT22_1x_0" localSheetId="43">'203'!$T$31:$T$34</definedName>
    <definedName name="OSRRefT22_1x_0" localSheetId="44">'204'!$T$30:$T$34</definedName>
    <definedName name="OSRRefT22_1x_0" localSheetId="45">'205'!$T$29</definedName>
    <definedName name="OSRRefT22_1x_0" localSheetId="46">'206'!$T$28:$T$31</definedName>
    <definedName name="OSRRefT22_1x_0" localSheetId="48">'300'!$T$170:$T$176</definedName>
    <definedName name="OSRRefT22_1x_0" localSheetId="49">'300 &amp; 317'!$T$195:$T$201</definedName>
    <definedName name="OSRRefT22_1x_0" localSheetId="50">'301'!$T$30:$T$36</definedName>
    <definedName name="OSRRefT22_1x_0" localSheetId="51">'306'!$T$30:$T$35</definedName>
    <definedName name="OSRRefT22_1x_0" localSheetId="53">'307'!$T$77:$T$80</definedName>
    <definedName name="OSRRefT22_1x_0" localSheetId="55">'308'!$T$71:$T$76</definedName>
    <definedName name="OSRRefT22_1x_0" localSheetId="67">'309'!$T$33:$T$37</definedName>
    <definedName name="OSRRefT22_1x_0" localSheetId="66">'310'!$T$39:$T$44</definedName>
    <definedName name="OSRRefT22_1x_0" localSheetId="74">'310 &amp; 491'!$T$47:$T$53</definedName>
    <definedName name="OSRRefT22_1x_0" localSheetId="56">'311'!$T$70:$T$75</definedName>
    <definedName name="OSRRefT22_1x_0" localSheetId="68">'313'!$T$36:$T$40</definedName>
    <definedName name="OSRRefT22_1x_0" localSheetId="54">'314'!$T$63:$T$64</definedName>
    <definedName name="OSRRefT22_1x_0" localSheetId="59">'315'!$T$88:$T$93</definedName>
    <definedName name="OSRRefT22_1x_0" localSheetId="62">'316'!$T$41:$T$43</definedName>
    <definedName name="OSRRefT22_1x_0" localSheetId="65">'317'!$T$68:$T$72</definedName>
    <definedName name="OSRRefT22_1x_0" localSheetId="63">'320'!$T$36:$T$38</definedName>
    <definedName name="OSRRefT22_1x_0" localSheetId="69">'321'!$T$33:$T$37</definedName>
    <definedName name="OSRRefT22_1x_0" localSheetId="70">'322'!$T$33:$T$36</definedName>
    <definedName name="OSRRefT22_1x_0" localSheetId="71">'325'!$T$33:$T$37</definedName>
    <definedName name="OSRRefT22_1x_0" localSheetId="60">'326'!$T$66:$T$70</definedName>
    <definedName name="OSRRefT22_1x_0" localSheetId="72">'327'!$T$24</definedName>
    <definedName name="OSRRefT22_1x_0" localSheetId="52">'330'!$T$86:$T$89</definedName>
    <definedName name="OSRRefT22_1x_0" localSheetId="58">'331'!$T$95:$T$100</definedName>
    <definedName name="OSRRefT22_1x_0" localSheetId="61">'332'!$T$49:$T$52</definedName>
    <definedName name="OSRRefT22_1x_0" localSheetId="76">'405'!$T$33:$T$36</definedName>
    <definedName name="OSRRefT22_1x_0" localSheetId="77">'406'!$T$33:$T$37</definedName>
    <definedName name="OSRRefT22_1x_0" localSheetId="78">'411'!$T$30:$T$35</definedName>
    <definedName name="OSRRefT22_1x_0" localSheetId="79">'412'!$T$32:$T$37</definedName>
    <definedName name="OSRRefT22_1x_0" localSheetId="80">'413'!$T$33:$T$36</definedName>
    <definedName name="OSRRefT22_1x_0" localSheetId="81">'414'!$T$32:$T$35</definedName>
    <definedName name="OSRRefT22_1x_0" localSheetId="82">'415'!$T$33:$T$37</definedName>
    <definedName name="OSRRefT22_1x_0" localSheetId="83">'418'!$T$33:$T$38</definedName>
    <definedName name="OSRRefT22_1x_0" localSheetId="84">'420'!$T$30:$T$33</definedName>
    <definedName name="OSRRefT22_1x_0" localSheetId="85">'423'!$T$30</definedName>
    <definedName name="OSRRefT22_1x_0" localSheetId="86">'424'!$T$26:$T$29</definedName>
    <definedName name="OSRRefT22_1x_0" localSheetId="87">'425'!$T$33:$T$37</definedName>
    <definedName name="OSRRefT22_1x_0" localSheetId="90">'430'!$T$29</definedName>
    <definedName name="OSRRefT22_1x_0" localSheetId="91">'433'!$T$35:$T$40</definedName>
    <definedName name="OSRRefT22_1x_0" localSheetId="92">'435'!$T$29:$T$30</definedName>
    <definedName name="OSRRefT22_1x_0" localSheetId="93">'444'!$T$35:$T$40</definedName>
    <definedName name="OSRRefT22_1x_0" localSheetId="94">'450'!$T$35:$T$40</definedName>
    <definedName name="OSRRefT22_1x_0" localSheetId="88">'455'!$T$28:$T$29</definedName>
    <definedName name="OSRRefT22_1x_0" localSheetId="75">'491'!$T$41:$T$47</definedName>
    <definedName name="OSRRefT22_1x_0" localSheetId="89">'492'!$T$37:$T$43</definedName>
    <definedName name="OSRRefT22_1x_0" localSheetId="96">'501'!$T$31:$T$35</definedName>
    <definedName name="OSRRefT22_1x_0" localSheetId="39">'Div 2'!$T$32:$T$38</definedName>
    <definedName name="OSRRefT22_1x_0" localSheetId="47">'Div 3'!$T$175:$T$181</definedName>
    <definedName name="OSRRefT22_1x_0" localSheetId="73">'Div 4'!$T$42:$T$48</definedName>
    <definedName name="OSRRefT22_1x_0" localSheetId="95">'Div 5'!$T$31:$T$35</definedName>
    <definedName name="OSRRefT22_1x_0" localSheetId="64">'Div 6'!$T$68:$T$72</definedName>
    <definedName name="OSRRefT22_1x_0" localSheetId="2">Summary!$T$207:$T$213</definedName>
    <definedName name="OSRRefT22_20x_0" localSheetId="48">'300'!$T$227:$T$233</definedName>
    <definedName name="OSRRefT22_20x_0" localSheetId="49">'300 &amp; 317'!$T$252:$T$258</definedName>
    <definedName name="OSRRefT22_20x_0" localSheetId="50">'301'!$T$87</definedName>
    <definedName name="OSRRefT22_20x_0" localSheetId="66">'310'!$T$94</definedName>
    <definedName name="OSRRefT22_20x_0" localSheetId="74">'310 &amp; 491'!$T$102:$T$110</definedName>
    <definedName name="OSRRefT22_20x_0" localSheetId="58">'331'!$T$149</definedName>
    <definedName name="OSRRefT22_20x_0" localSheetId="75">'491'!$T$103</definedName>
    <definedName name="OSRRefT22_20x_0" localSheetId="47">'Div 3'!$T$232:$T$233</definedName>
    <definedName name="OSRRefT22_20x_0" localSheetId="73">'Div 4'!$T$96:$T$104</definedName>
    <definedName name="OSRRefT22_20x_0" localSheetId="2">Summary!$T$262:$T$266</definedName>
    <definedName name="OSRRefT22_21x_0" localSheetId="48">'300'!$T$235:$T$236</definedName>
    <definedName name="OSRRefT22_21x_0" localSheetId="49">'300 &amp; 317'!$T$260:$T$261</definedName>
    <definedName name="OSRRefT22_21x_0" localSheetId="50">'301'!$T$89:$T$90</definedName>
    <definedName name="OSRRefT22_21x_0" localSheetId="66">'310'!$T$96</definedName>
    <definedName name="OSRRefT22_21x_0" localSheetId="74">'310 &amp; 491'!$T$112</definedName>
    <definedName name="OSRRefT22_21x_0" localSheetId="75">'491'!$T$105</definedName>
    <definedName name="OSRRefT22_21x_0" localSheetId="47">'Div 3'!$T$235:$T$241</definedName>
    <definedName name="OSRRefT22_21x_0" localSheetId="73">'Div 4'!$T$106</definedName>
    <definedName name="OSRRefT22_21x_0" localSheetId="2">Summary!$T$268:$T$269</definedName>
    <definedName name="OSRRefT22_22x_0" localSheetId="48">'300'!$T$238</definedName>
    <definedName name="OSRRefT22_22x_0" localSheetId="49">'300 &amp; 317'!$T$263</definedName>
    <definedName name="OSRRefT22_22x_0" localSheetId="50">'301'!$T$92</definedName>
    <definedName name="OSRRefT22_22x_0" localSheetId="74">'310 &amp; 491'!$T$114</definedName>
    <definedName name="OSRRefT22_22x_0" localSheetId="75">'491'!$T$107:$T$109</definedName>
    <definedName name="OSRRefT22_22x_0" localSheetId="47">'Div 3'!$T$243:$T$244</definedName>
    <definedName name="OSRRefT22_22x_0" localSheetId="73">'Div 4'!$T$108</definedName>
    <definedName name="OSRRefT22_22x_0" localSheetId="2">Summary!$T$271:$T$279</definedName>
    <definedName name="OSRRefT22_23x_0" localSheetId="48">'300'!$T$240:$T$242</definedName>
    <definedName name="OSRRefT22_23x_0" localSheetId="49">'300 &amp; 317'!$T$265:$T$267</definedName>
    <definedName name="OSRRefT22_23x_0" localSheetId="74">'310 &amp; 491'!$T$116:$T$118</definedName>
    <definedName name="OSRRefT22_23x_0" localSheetId="75">'491'!$T$111</definedName>
    <definedName name="OSRRefT22_23x_0" localSheetId="47">'Div 3'!$T$246</definedName>
    <definedName name="OSRRefT22_23x_0" localSheetId="73">'Div 4'!$T$110:$T$112</definedName>
    <definedName name="OSRRefT22_23x_0" localSheetId="2">Summary!$T$281:$T$282</definedName>
    <definedName name="OSRRefT22_24x_0" localSheetId="48">'300'!$T$244</definedName>
    <definedName name="OSRRefT22_24x_0" localSheetId="49">'300 &amp; 317'!$T$269</definedName>
    <definedName name="OSRRefT22_24x_0" localSheetId="74">'310 &amp; 491'!$T$120</definedName>
    <definedName name="OSRRefT22_24x_0" localSheetId="47">'Div 3'!$T$248:$T$250</definedName>
    <definedName name="OSRRefT22_24x_0" localSheetId="73">'Div 4'!$T$114</definedName>
    <definedName name="OSRRefT22_24x_0" localSheetId="2">Summary!$T$284</definedName>
    <definedName name="OSRRefT22_25x_0" localSheetId="47">'Div 3'!$T$252</definedName>
    <definedName name="OSRRefT22_25x_0" localSheetId="2">Summary!$T$286:$T$288</definedName>
    <definedName name="OSRRefT22_26x_0" localSheetId="2">Summary!$T$290</definedName>
    <definedName name="OSRRefT22_2x_0" localSheetId="40">'200'!$T$24</definedName>
    <definedName name="OSRRefT22_2x_0" localSheetId="41">'201'!$T$33</definedName>
    <definedName name="OSRRefT22_2x_0" localSheetId="42">'202'!$T$34</definedName>
    <definedName name="OSRRefT22_2x_0" localSheetId="43">'203'!$T$36</definedName>
    <definedName name="OSRRefT22_2x_0" localSheetId="44">'204'!$T$36</definedName>
    <definedName name="OSRRefT22_2x_0" localSheetId="45">'205'!$T$31</definedName>
    <definedName name="OSRRefT22_2x_0" localSheetId="46">'206'!$T$33</definedName>
    <definedName name="OSRRefT22_2x_0" localSheetId="48">'300'!$T$178</definedName>
    <definedName name="OSRRefT22_2x_0" localSheetId="49">'300 &amp; 317'!$T$203</definedName>
    <definedName name="OSRRefT22_2x_0" localSheetId="50">'301'!$T$38</definedName>
    <definedName name="OSRRefT22_2x_0" localSheetId="51">'306'!$T$37</definedName>
    <definedName name="OSRRefT22_2x_0" localSheetId="53">'307'!$T$82</definedName>
    <definedName name="OSRRefT22_2x_0" localSheetId="55">'308'!$T$78</definedName>
    <definedName name="OSRRefT22_2x_0" localSheetId="67">'309'!$T$39</definedName>
    <definedName name="OSRRefT22_2x_0" localSheetId="66">'310'!$T$46</definedName>
    <definedName name="OSRRefT22_2x_0" localSheetId="74">'310 &amp; 491'!$T$55</definedName>
    <definedName name="OSRRefT22_2x_0" localSheetId="56">'311'!$T$77</definedName>
    <definedName name="OSRRefT22_2x_0" localSheetId="68">'313'!$T$42</definedName>
    <definedName name="OSRRefT22_2x_0" localSheetId="54">'314'!$T$66</definedName>
    <definedName name="OSRRefT22_2x_0" localSheetId="59">'315'!$T$95</definedName>
    <definedName name="OSRRefT22_2x_0" localSheetId="62">'316'!$T$45</definedName>
    <definedName name="OSRRefT22_2x_0" localSheetId="65">'317'!$T$74</definedName>
    <definedName name="OSRRefT22_2x_0" localSheetId="63">'320'!$T$40</definedName>
    <definedName name="OSRRefT22_2x_0" localSheetId="69">'321'!$T$39</definedName>
    <definedName name="OSRRefT22_2x_0" localSheetId="70">'322'!$T$38</definedName>
    <definedName name="OSRRefT22_2x_0" localSheetId="71">'325'!$T$39</definedName>
    <definedName name="OSRRefT22_2x_0" localSheetId="60">'326'!$T$72</definedName>
    <definedName name="OSRRefT22_2x_0" localSheetId="72">'327'!$T$26</definedName>
    <definedName name="OSRRefT22_2x_0" localSheetId="52">'330'!$T$91</definedName>
    <definedName name="OSRRefT22_2x_0" localSheetId="58">'331'!$T$102</definedName>
    <definedName name="OSRRefT22_2x_0" localSheetId="61">'332'!$T$54</definedName>
    <definedName name="OSRRefT22_2x_0" localSheetId="76">'405'!$T$38</definedName>
    <definedName name="OSRRefT22_2x_0" localSheetId="77">'406'!$T$39</definedName>
    <definedName name="OSRRefT22_2x_0" localSheetId="78">'411'!$T$37</definedName>
    <definedName name="OSRRefT22_2x_0" localSheetId="79">'412'!$T$39</definedName>
    <definedName name="OSRRefT22_2x_0" localSheetId="80">'413'!$T$38</definedName>
    <definedName name="OSRRefT22_2x_0" localSheetId="81">'414'!$T$37</definedName>
    <definedName name="OSRRefT22_2x_0" localSheetId="82">'415'!$T$39</definedName>
    <definedName name="OSRRefT22_2x_0" localSheetId="83">'418'!$T$40</definedName>
    <definedName name="OSRRefT22_2x_0" localSheetId="84">'420'!$T$35</definedName>
    <definedName name="OSRRefT22_2x_0" localSheetId="85">'423'!$T$32</definedName>
    <definedName name="OSRRefT22_2x_0" localSheetId="86">'424'!$T$31</definedName>
    <definedName name="OSRRefT22_2x_0" localSheetId="87">'425'!$T$39</definedName>
    <definedName name="OSRRefT22_2x_0" localSheetId="90">'430'!$T$31</definedName>
    <definedName name="OSRRefT22_2x_0" localSheetId="91">'433'!$T$42</definedName>
    <definedName name="OSRRefT22_2x_0" localSheetId="92">'435'!$T$32</definedName>
    <definedName name="OSRRefT22_2x_0" localSheetId="93">'444'!$T$42</definedName>
    <definedName name="OSRRefT22_2x_0" localSheetId="94">'450'!$T$42</definedName>
    <definedName name="OSRRefT22_2x_0" localSheetId="75">'491'!$T$49</definedName>
    <definedName name="OSRRefT22_2x_0" localSheetId="89">'492'!$T$45</definedName>
    <definedName name="OSRRefT22_2x_0" localSheetId="96">'501'!$T$37</definedName>
    <definedName name="OSRRefT22_2x_0" localSheetId="39">'Div 2'!$T$40</definedName>
    <definedName name="OSRRefT22_2x_0" localSheetId="47">'Div 3'!$T$183</definedName>
    <definedName name="OSRRefT22_2x_0" localSheetId="73">'Div 4'!$T$50</definedName>
    <definedName name="OSRRefT22_2x_0" localSheetId="95">'Div 5'!$T$37</definedName>
    <definedName name="OSRRefT22_2x_0" localSheetId="64">'Div 6'!$T$74</definedName>
    <definedName name="OSRRefT22_2x_0" localSheetId="2">Summary!$T$215</definedName>
    <definedName name="OSRRefT22_3x_0" localSheetId="40">'200'!$T$26:$T$27</definedName>
    <definedName name="OSRRefT22_3x_0" localSheetId="41">'201'!$T$35</definedName>
    <definedName name="OSRRefT22_3x_0" localSheetId="42">'202'!$T$36</definedName>
    <definedName name="OSRRefT22_3x_0" localSheetId="43">'203'!$T$38</definedName>
    <definedName name="OSRRefT22_3x_0" localSheetId="44">'204'!$T$38</definedName>
    <definedName name="OSRRefT22_3x_0" localSheetId="45">'205'!$T$33</definedName>
    <definedName name="OSRRefT22_3x_0" localSheetId="46">'206'!$T$35</definedName>
    <definedName name="OSRRefT22_3x_0" localSheetId="48">'300'!$T$180:$T$181</definedName>
    <definedName name="OSRRefT22_3x_0" localSheetId="49">'300 &amp; 317'!$T$205:$T$206</definedName>
    <definedName name="OSRRefT22_3x_0" localSheetId="50">'301'!$T$40:$T$41</definedName>
    <definedName name="OSRRefT22_3x_0" localSheetId="51">'306'!$T$39</definedName>
    <definedName name="OSRRefT22_3x_0" localSheetId="53">'307'!$T$84</definedName>
    <definedName name="OSRRefT22_3x_0" localSheetId="55">'308'!$T$80:$T$81</definedName>
    <definedName name="OSRRefT22_3x_0" localSheetId="67">'309'!$T$41</definedName>
    <definedName name="OSRRefT22_3x_0" localSheetId="66">'310'!$T$48</definedName>
    <definedName name="OSRRefT22_3x_0" localSheetId="74">'310 &amp; 491'!$T$57</definedName>
    <definedName name="OSRRefT22_3x_0" localSheetId="56">'311'!$T$79:$T$80</definedName>
    <definedName name="OSRRefT22_3x_0" localSheetId="68">'313'!$T$44</definedName>
    <definedName name="OSRRefT22_3x_0" localSheetId="54">'314'!$T$68:$T$69</definedName>
    <definedName name="OSRRefT22_3x_0" localSheetId="59">'315'!$T$97:$T$98</definedName>
    <definedName name="OSRRefT22_3x_0" localSheetId="62">'316'!$T$47</definedName>
    <definedName name="OSRRefT22_3x_0" localSheetId="65">'317'!$T$76</definedName>
    <definedName name="OSRRefT22_3x_0" localSheetId="63">'320'!$T$42</definedName>
    <definedName name="OSRRefT22_3x_0" localSheetId="69">'321'!$T$41</definedName>
    <definedName name="OSRRefT22_3x_0" localSheetId="70">'322'!$T$40</definedName>
    <definedName name="OSRRefT22_3x_0" localSheetId="71">'325'!$T$41</definedName>
    <definedName name="OSRRefT22_3x_0" localSheetId="60">'326'!$T$74</definedName>
    <definedName name="OSRRefT22_3x_0" localSheetId="52">'330'!$T$93</definedName>
    <definedName name="OSRRefT22_3x_0" localSheetId="58">'331'!$T$104</definedName>
    <definedName name="OSRRefT22_3x_0" localSheetId="61">'332'!$T$56</definedName>
    <definedName name="OSRRefT22_3x_0" localSheetId="76">'405'!$T$40</definedName>
    <definedName name="OSRRefT22_3x_0" localSheetId="77">'406'!$T$41</definedName>
    <definedName name="OSRRefT22_3x_0" localSheetId="78">'411'!$T$39</definedName>
    <definedName name="OSRRefT22_3x_0" localSheetId="79">'412'!$T$41</definedName>
    <definedName name="OSRRefT22_3x_0" localSheetId="80">'413'!$T$40</definedName>
    <definedName name="OSRRefT22_3x_0" localSheetId="81">'414'!$T$39</definedName>
    <definedName name="OSRRefT22_3x_0" localSheetId="82">'415'!$T$41</definedName>
    <definedName name="OSRRefT22_3x_0" localSheetId="83">'418'!$T$42</definedName>
    <definedName name="OSRRefT22_3x_0" localSheetId="84">'420'!$T$37</definedName>
    <definedName name="OSRRefT22_3x_0" localSheetId="85">'423'!$T$34</definedName>
    <definedName name="OSRRefT22_3x_0" localSheetId="86">'424'!$T$33</definedName>
    <definedName name="OSRRefT22_3x_0" localSheetId="87">'425'!$T$41</definedName>
    <definedName name="OSRRefT22_3x_0" localSheetId="90">'430'!$T$33</definedName>
    <definedName name="OSRRefT22_3x_0" localSheetId="91">'433'!$T$44</definedName>
    <definedName name="OSRRefT22_3x_0" localSheetId="92">'435'!$T$34</definedName>
    <definedName name="OSRRefT22_3x_0" localSheetId="93">'444'!$T$44</definedName>
    <definedName name="OSRRefT22_3x_0" localSheetId="94">'450'!$T$44</definedName>
    <definedName name="OSRRefT22_3x_0" localSheetId="75">'491'!$T$51</definedName>
    <definedName name="OSRRefT22_3x_0" localSheetId="89">'492'!$T$47</definedName>
    <definedName name="OSRRefT22_3x_0" localSheetId="96">'501'!$T$39</definedName>
    <definedName name="OSRRefT22_3x_0" localSheetId="39">'Div 2'!$T$42</definedName>
    <definedName name="OSRRefT22_3x_0" localSheetId="47">'Div 3'!$T$185:$T$186</definedName>
    <definedName name="OSRRefT22_3x_0" localSheetId="73">'Div 4'!$T$52</definedName>
    <definedName name="OSRRefT22_3x_0" localSheetId="95">'Div 5'!$T$39</definedName>
    <definedName name="OSRRefT22_3x_0" localSheetId="64">'Div 6'!$T$76</definedName>
    <definedName name="OSRRefT22_3x_0" localSheetId="2">Summary!$T$217:$T$218</definedName>
    <definedName name="OSRRefT22_4x_0" localSheetId="41">'201'!$T$37</definedName>
    <definedName name="OSRRefT22_4x_0" localSheetId="42">'202'!$T$38:$T$39</definedName>
    <definedName name="OSRRefT22_4x_0" localSheetId="43">'203'!$T$40</definedName>
    <definedName name="OSRRefT22_4x_0" localSheetId="44">'204'!$T$40</definedName>
    <definedName name="OSRRefT22_4x_0" localSheetId="45">'205'!$T$35:$T$36</definedName>
    <definedName name="OSRRefT22_4x_0" localSheetId="46">'206'!$T$37</definedName>
    <definedName name="OSRRefT22_4x_0" localSheetId="48">'300'!$T$183</definedName>
    <definedName name="OSRRefT22_4x_0" localSheetId="49">'300 &amp; 317'!$T$208</definedName>
    <definedName name="OSRRefT22_4x_0" localSheetId="50">'301'!$T$43</definedName>
    <definedName name="OSRRefT22_4x_0" localSheetId="51">'306'!$T$41</definedName>
    <definedName name="OSRRefT22_4x_0" localSheetId="53">'307'!$T$86:$T$87</definedName>
    <definedName name="OSRRefT22_4x_0" localSheetId="55">'308'!$T$83</definedName>
    <definedName name="OSRRefT22_4x_0" localSheetId="67">'309'!$T$43</definedName>
    <definedName name="OSRRefT22_4x_0" localSheetId="66">'310'!$T$50</definedName>
    <definedName name="OSRRefT22_4x_0" localSheetId="74">'310 &amp; 491'!$T$59</definedName>
    <definedName name="OSRRefT22_4x_0" localSheetId="56">'311'!$T$82</definedName>
    <definedName name="OSRRefT22_4x_0" localSheetId="68">'313'!$T$46</definedName>
    <definedName name="OSRRefT22_4x_0" localSheetId="54">'314'!$T$71</definedName>
    <definedName name="OSRRefT22_4x_0" localSheetId="59">'315'!$T$100</definedName>
    <definedName name="OSRRefT22_4x_0" localSheetId="62">'316'!$T$49</definedName>
    <definedName name="OSRRefT22_4x_0" localSheetId="65">'317'!$T$78</definedName>
    <definedName name="OSRRefT22_4x_0" localSheetId="63">'320'!$T$44:$T$45</definedName>
    <definedName name="OSRRefT22_4x_0" localSheetId="69">'321'!$T$43</definedName>
    <definedName name="OSRRefT22_4x_0" localSheetId="70">'322'!$T$42</definedName>
    <definedName name="OSRRefT22_4x_0" localSheetId="71">'325'!$T$43</definedName>
    <definedName name="OSRRefT22_4x_0" localSheetId="60">'326'!$T$76</definedName>
    <definedName name="OSRRefT22_4x_0" localSheetId="52">'330'!$T$95:$T$96</definedName>
    <definedName name="OSRRefT22_4x_0" localSheetId="58">'331'!$T$106</definedName>
    <definedName name="OSRRefT22_4x_0" localSheetId="61">'332'!$T$58</definedName>
    <definedName name="OSRRefT22_4x_0" localSheetId="76">'405'!$T$42</definedName>
    <definedName name="OSRRefT22_4x_0" localSheetId="77">'406'!$T$43</definedName>
    <definedName name="OSRRefT22_4x_0" localSheetId="78">'411'!$T$41:$T$43</definedName>
    <definedName name="OSRRefT22_4x_0" localSheetId="79">'412'!$T$43</definedName>
    <definedName name="OSRRefT22_4x_0" localSheetId="80">'413'!$T$42</definedName>
    <definedName name="OSRRefT22_4x_0" localSheetId="81">'414'!$T$41</definedName>
    <definedName name="OSRRefT22_4x_0" localSheetId="82">'415'!$T$43</definedName>
    <definedName name="OSRRefT22_4x_0" localSheetId="83">'418'!$T$44</definedName>
    <definedName name="OSRRefT22_4x_0" localSheetId="85">'423'!$T$36</definedName>
    <definedName name="OSRRefT22_4x_0" localSheetId="86">'424'!$T$35</definedName>
    <definedName name="OSRRefT22_4x_0" localSheetId="87">'425'!$T$43</definedName>
    <definedName name="OSRRefT22_4x_0" localSheetId="90">'430'!$T$35:$T$36</definedName>
    <definedName name="OSRRefT22_4x_0" localSheetId="91">'433'!$T$46</definedName>
    <definedName name="OSRRefT22_4x_0" localSheetId="92">'435'!$T$36</definedName>
    <definedName name="OSRRefT22_4x_0" localSheetId="93">'444'!$T$46</definedName>
    <definedName name="OSRRefT22_4x_0" localSheetId="94">'450'!$T$46</definedName>
    <definedName name="OSRRefT22_4x_0" localSheetId="75">'491'!$T$53</definedName>
    <definedName name="OSRRefT22_4x_0" localSheetId="89">'492'!$T$49</definedName>
    <definedName name="OSRRefT22_4x_0" localSheetId="96">'501'!$T$41</definedName>
    <definedName name="OSRRefT22_4x_0" localSheetId="39">'Div 2'!$T$44</definedName>
    <definedName name="OSRRefT22_4x_0" localSheetId="47">'Div 3'!$T$188</definedName>
    <definedName name="OSRRefT22_4x_0" localSheetId="73">'Div 4'!$T$54</definedName>
    <definedName name="OSRRefT22_4x_0" localSheetId="95">'Div 5'!$T$41</definedName>
    <definedName name="OSRRefT22_4x_0" localSheetId="64">'Div 6'!$T$78</definedName>
    <definedName name="OSRRefT22_4x_0" localSheetId="2">Summary!$T$220</definedName>
    <definedName name="OSRRefT22_5x_0" localSheetId="41">'201'!$T$39</definedName>
    <definedName name="OSRRefT22_5x_0" localSheetId="42">'202'!$T$41</definedName>
    <definedName name="OSRRefT22_5x_0" localSheetId="43">'203'!$T$42</definedName>
    <definedName name="OSRRefT22_5x_0" localSheetId="44">'204'!$T$42:$T$44</definedName>
    <definedName name="OSRRefT22_5x_0" localSheetId="45">'205'!$T$38</definedName>
    <definedName name="OSRRefT22_5x_0" localSheetId="46">'206'!$T$39:$T$40</definedName>
    <definedName name="OSRRefT22_5x_0" localSheetId="48">'300'!$T$185:$T$186</definedName>
    <definedName name="OSRRefT22_5x_0" localSheetId="49">'300 &amp; 317'!$T$210:$T$211</definedName>
    <definedName name="OSRRefT22_5x_0" localSheetId="50">'301'!$T$45:$T$46</definedName>
    <definedName name="OSRRefT22_5x_0" localSheetId="51">'306'!$T$43:$T$44</definedName>
    <definedName name="OSRRefT22_5x_0" localSheetId="53">'307'!$T$89</definedName>
    <definedName name="OSRRefT22_5x_0" localSheetId="55">'308'!$T$85</definedName>
    <definedName name="OSRRefT22_5x_0" localSheetId="67">'309'!$T$45</definedName>
    <definedName name="OSRRefT22_5x_0" localSheetId="66">'310'!$T$52:$T$53</definedName>
    <definedName name="OSRRefT22_5x_0" localSheetId="74">'310 &amp; 491'!$T$61:$T$63</definedName>
    <definedName name="OSRRefT22_5x_0" localSheetId="56">'311'!$T$84</definedName>
    <definedName name="OSRRefT22_5x_0" localSheetId="68">'313'!$T$48</definedName>
    <definedName name="OSRRefT22_5x_0" localSheetId="54">'314'!$T$73</definedName>
    <definedName name="OSRRefT22_5x_0" localSheetId="59">'315'!$T$102:$T$103</definedName>
    <definedName name="OSRRefT22_5x_0" localSheetId="62">'316'!$T$51:$T$52</definedName>
    <definedName name="OSRRefT22_5x_0" localSheetId="65">'317'!$T$80:$T$81</definedName>
    <definedName name="OSRRefT22_5x_0" localSheetId="63">'320'!$T$47</definedName>
    <definedName name="OSRRefT22_5x_0" localSheetId="69">'321'!$T$45</definedName>
    <definedName name="OSRRefT22_5x_0" localSheetId="70">'322'!$T$44</definedName>
    <definedName name="OSRRefT22_5x_0" localSheetId="71">'325'!$T$45:$T$46</definedName>
    <definedName name="OSRRefT22_5x_0" localSheetId="60">'326'!$T$78</definedName>
    <definedName name="OSRRefT22_5x_0" localSheetId="52">'330'!$T$98</definedName>
    <definedName name="OSRRefT22_5x_0" localSheetId="58">'331'!$T$108:$T$109</definedName>
    <definedName name="OSRRefT22_5x_0" localSheetId="61">'332'!$T$60</definedName>
    <definedName name="OSRRefT22_5x_0" localSheetId="76">'405'!$T$44:$T$45</definedName>
    <definedName name="OSRRefT22_5x_0" localSheetId="77">'406'!$T$45</definedName>
    <definedName name="OSRRefT22_5x_0" localSheetId="78">'411'!$T$45</definedName>
    <definedName name="OSRRefT22_5x_0" localSheetId="79">'412'!$T$45</definedName>
    <definedName name="OSRRefT22_5x_0" localSheetId="80">'413'!$T$44</definedName>
    <definedName name="OSRRefT22_5x_0" localSheetId="81">'414'!$T$43</definedName>
    <definedName name="OSRRefT22_5x_0" localSheetId="82">'415'!$T$45:$T$46</definedName>
    <definedName name="OSRRefT22_5x_0" localSheetId="83">'418'!$T$46:$T$47</definedName>
    <definedName name="OSRRefT22_5x_0" localSheetId="85">'423'!$T$38</definedName>
    <definedName name="OSRRefT22_5x_0" localSheetId="86">'424'!$T$37</definedName>
    <definedName name="OSRRefT22_5x_0" localSheetId="87">'425'!$T$45</definedName>
    <definedName name="OSRRefT22_5x_0" localSheetId="90">'430'!$T$38</definedName>
    <definedName name="OSRRefT22_5x_0" localSheetId="91">'433'!$T$48</definedName>
    <definedName name="OSRRefT22_5x_0" localSheetId="92">'435'!$T$38</definedName>
    <definedName name="OSRRefT22_5x_0" localSheetId="93">'444'!$T$48</definedName>
    <definedName name="OSRRefT22_5x_0" localSheetId="94">'450'!$T$48</definedName>
    <definedName name="OSRRefT22_5x_0" localSheetId="75">'491'!$T$55:$T$57</definedName>
    <definedName name="OSRRefT22_5x_0" localSheetId="89">'492'!$T$51</definedName>
    <definedName name="OSRRefT22_5x_0" localSheetId="96">'501'!$T$43:$T$44</definedName>
    <definedName name="OSRRefT22_5x_0" localSheetId="39">'Div 2'!$T$46</definedName>
    <definedName name="OSRRefT22_5x_0" localSheetId="47">'Div 3'!$T$190:$T$191</definedName>
    <definedName name="OSRRefT22_5x_0" localSheetId="73">'Div 4'!$T$56:$T$58</definedName>
    <definedName name="OSRRefT22_5x_0" localSheetId="95">'Div 5'!$T$43:$T$44</definedName>
    <definedName name="OSRRefT22_5x_0" localSheetId="64">'Div 6'!$T$80:$T$81</definedName>
    <definedName name="OSRRefT22_5x_0" localSheetId="2">Summary!$T$222:$T$224</definedName>
    <definedName name="OSRRefT22_6x_0" localSheetId="41">'201'!$T$41</definedName>
    <definedName name="OSRRefT22_6x_0" localSheetId="42">'202'!$T$43</definedName>
    <definedName name="OSRRefT22_6x_0" localSheetId="43">'203'!$T$44</definedName>
    <definedName name="OSRRefT22_6x_0" localSheetId="44">'204'!$T$46</definedName>
    <definedName name="OSRRefT22_6x_0" localSheetId="45">'205'!$T$40:$T$41</definedName>
    <definedName name="OSRRefT22_6x_0" localSheetId="46">'206'!$T$42</definedName>
    <definedName name="OSRRefT22_6x_0" localSheetId="48">'300'!$T$188:$T$189</definedName>
    <definedName name="OSRRefT22_6x_0" localSheetId="49">'300 &amp; 317'!$T$213:$T$214</definedName>
    <definedName name="OSRRefT22_6x_0" localSheetId="50">'301'!$T$48:$T$49</definedName>
    <definedName name="OSRRefT22_6x_0" localSheetId="51">'306'!$T$46:$T$47</definedName>
    <definedName name="OSRRefT22_6x_0" localSheetId="53">'307'!$T$91</definedName>
    <definedName name="OSRRefT22_6x_0" localSheetId="55">'308'!$T$87:$T$88</definedName>
    <definedName name="OSRRefT22_6x_0" localSheetId="67">'309'!$T$47</definedName>
    <definedName name="OSRRefT22_6x_0" localSheetId="66">'310'!$T$55</definedName>
    <definedName name="OSRRefT22_6x_0" localSheetId="74">'310 &amp; 491'!$T$65</definedName>
    <definedName name="OSRRefT22_6x_0" localSheetId="56">'311'!$T$86:$T$87</definedName>
    <definedName name="OSRRefT22_6x_0" localSheetId="68">'313'!$T$50</definedName>
    <definedName name="OSRRefT22_6x_0" localSheetId="59">'315'!$T$105</definedName>
    <definedName name="OSRRefT22_6x_0" localSheetId="62">'316'!$T$54:$T$55</definedName>
    <definedName name="OSRRefT22_6x_0" localSheetId="65">'317'!$T$83</definedName>
    <definedName name="OSRRefT22_6x_0" localSheetId="63">'320'!$T$49</definedName>
    <definedName name="OSRRefT22_6x_0" localSheetId="69">'321'!$T$47:$T$49</definedName>
    <definedName name="OSRRefT22_6x_0" localSheetId="70">'322'!$T$46</definedName>
    <definedName name="OSRRefT22_6x_0" localSheetId="71">'325'!$T$48</definedName>
    <definedName name="OSRRefT22_6x_0" localSheetId="60">'326'!$T$80</definedName>
    <definedName name="OSRRefT22_6x_0" localSheetId="52">'330'!$T$100</definedName>
    <definedName name="OSRRefT22_6x_0" localSheetId="58">'331'!$T$111</definedName>
    <definedName name="OSRRefT22_6x_0" localSheetId="61">'332'!$T$62:$T$63</definedName>
    <definedName name="OSRRefT22_6x_0" localSheetId="76">'405'!$T$47</definedName>
    <definedName name="OSRRefT22_6x_0" localSheetId="77">'406'!$T$47</definedName>
    <definedName name="OSRRefT22_6x_0" localSheetId="78">'411'!$T$47</definedName>
    <definedName name="OSRRefT22_6x_0" localSheetId="79">'412'!$T$47</definedName>
    <definedName name="OSRRefT22_6x_0" localSheetId="80">'413'!$T$46</definedName>
    <definedName name="OSRRefT22_6x_0" localSheetId="81">'414'!$T$45</definedName>
    <definedName name="OSRRefT22_6x_0" localSheetId="82">'415'!$T$48</definedName>
    <definedName name="OSRRefT22_6x_0" localSheetId="83">'418'!$T$49</definedName>
    <definedName name="OSRRefT22_6x_0" localSheetId="86">'424'!$T$39</definedName>
    <definedName name="OSRRefT22_6x_0" localSheetId="87">'425'!$T$47</definedName>
    <definedName name="OSRRefT22_6x_0" localSheetId="90">'430'!$T$40</definedName>
    <definedName name="OSRRefT22_6x_0" localSheetId="91">'433'!$T$50</definedName>
    <definedName name="OSRRefT22_6x_0" localSheetId="92">'435'!$T$40:$T$42</definedName>
    <definedName name="OSRRefT22_6x_0" localSheetId="93">'444'!$T$50</definedName>
    <definedName name="OSRRefT22_6x_0" localSheetId="94">'450'!$T$50</definedName>
    <definedName name="OSRRefT22_6x_0" localSheetId="75">'491'!$T$59</definedName>
    <definedName name="OSRRefT22_6x_0" localSheetId="89">'492'!$T$53</definedName>
    <definedName name="OSRRefT22_6x_0" localSheetId="96">'501'!$T$46</definedName>
    <definedName name="OSRRefT22_6x_0" localSheetId="39">'Div 2'!$T$48</definedName>
    <definedName name="OSRRefT22_6x_0" localSheetId="47">'Div 3'!$T$193:$T$194</definedName>
    <definedName name="OSRRefT22_6x_0" localSheetId="73">'Div 4'!$T$60</definedName>
    <definedName name="OSRRefT22_6x_0" localSheetId="95">'Div 5'!$T$46</definedName>
    <definedName name="OSRRefT22_6x_0" localSheetId="64">'Div 6'!$T$83</definedName>
    <definedName name="OSRRefT22_6x_0" localSheetId="2">Summary!$T$226:$T$227</definedName>
    <definedName name="OSRRefT22_7x_0" localSheetId="41">'201'!$T$43</definedName>
    <definedName name="OSRRefT22_7x_0" localSheetId="42">'202'!$T$45:$T$47</definedName>
    <definedName name="OSRRefT22_7x_0" localSheetId="43">'203'!$T$46</definedName>
    <definedName name="OSRRefT22_7x_0" localSheetId="44">'204'!$T$48:$T$49</definedName>
    <definedName name="OSRRefT22_7x_0" localSheetId="45">'205'!$T$43</definedName>
    <definedName name="OSRRefT22_7x_0" localSheetId="46">'206'!$T$44</definedName>
    <definedName name="OSRRefT22_7x_0" localSheetId="48">'300'!$T$191</definedName>
    <definedName name="OSRRefT22_7x_0" localSheetId="49">'300 &amp; 317'!$T$216</definedName>
    <definedName name="OSRRefT22_7x_0" localSheetId="50">'301'!$T$51</definedName>
    <definedName name="OSRRefT22_7x_0" localSheetId="51">'306'!$T$49</definedName>
    <definedName name="OSRRefT22_7x_0" localSheetId="53">'307'!$T$93:$T$94</definedName>
    <definedName name="OSRRefT22_7x_0" localSheetId="55">'308'!$T$90</definedName>
    <definedName name="OSRRefT22_7x_0" localSheetId="67">'309'!$T$49:$T$50</definedName>
    <definedName name="OSRRefT22_7x_0" localSheetId="66">'310'!$T$57</definedName>
    <definedName name="OSRRefT22_7x_0" localSheetId="74">'310 &amp; 491'!$T$67</definedName>
    <definedName name="OSRRefT22_7x_0" localSheetId="56">'311'!$T$89</definedName>
    <definedName name="OSRRefT22_7x_0" localSheetId="68">'313'!$T$52</definedName>
    <definedName name="OSRRefT22_7x_0" localSheetId="59">'315'!$T$107:$T$108</definedName>
    <definedName name="OSRRefT22_7x_0" localSheetId="62">'316'!$T$57</definedName>
    <definedName name="OSRRefT22_7x_0" localSheetId="65">'317'!$T$85</definedName>
    <definedName name="OSRRefT22_7x_0" localSheetId="63">'320'!$T$51:$T$52</definedName>
    <definedName name="OSRRefT22_7x_0" localSheetId="69">'321'!$T$51</definedName>
    <definedName name="OSRRefT22_7x_0" localSheetId="70">'322'!$T$48</definedName>
    <definedName name="OSRRefT22_7x_0" localSheetId="71">'325'!$T$50</definedName>
    <definedName name="OSRRefT22_7x_0" localSheetId="60">'326'!$T$82</definedName>
    <definedName name="OSRRefT22_7x_0" localSheetId="52">'330'!$T$102:$T$103</definedName>
    <definedName name="OSRRefT22_7x_0" localSheetId="58">'331'!$T$113:$T$114</definedName>
    <definedName name="OSRRefT22_7x_0" localSheetId="61">'332'!$T$65</definedName>
    <definedName name="OSRRefT22_7x_0" localSheetId="76">'405'!$T$49</definedName>
    <definedName name="OSRRefT22_7x_0" localSheetId="77">'406'!$T$49</definedName>
    <definedName name="OSRRefT22_7x_0" localSheetId="78">'411'!$T$49</definedName>
    <definedName name="OSRRefT22_7x_0" localSheetId="79">'412'!$T$49</definedName>
    <definedName name="OSRRefT22_7x_0" localSheetId="80">'413'!$T$48:$T$50</definedName>
    <definedName name="OSRRefT22_7x_0" localSheetId="81">'414'!$T$47</definedName>
    <definedName name="OSRRefT22_7x_0" localSheetId="82">'415'!$T$50</definedName>
    <definedName name="OSRRefT22_7x_0" localSheetId="83">'418'!$T$51</definedName>
    <definedName name="OSRRefT22_7x_0" localSheetId="86">'424'!$T$41</definedName>
    <definedName name="OSRRefT22_7x_0" localSheetId="87">'425'!$T$49</definedName>
    <definedName name="OSRRefT22_7x_0" localSheetId="90">'430'!$T$42</definedName>
    <definedName name="OSRRefT22_7x_0" localSheetId="91">'433'!$T$52</definedName>
    <definedName name="OSRRefT22_7x_0" localSheetId="92">'435'!$T$44</definedName>
    <definedName name="OSRRefT22_7x_0" localSheetId="93">'444'!$T$52</definedName>
    <definedName name="OSRRefT22_7x_0" localSheetId="94">'450'!$T$52</definedName>
    <definedName name="OSRRefT22_7x_0" localSheetId="75">'491'!$T$61</definedName>
    <definedName name="OSRRefT22_7x_0" localSheetId="89">'492'!$T$55</definedName>
    <definedName name="OSRRefT22_7x_0" localSheetId="96">'501'!$T$48</definedName>
    <definedName name="OSRRefT22_7x_0" localSheetId="39">'Div 2'!$T$50</definedName>
    <definedName name="OSRRefT22_7x_0" localSheetId="47">'Div 3'!$T$196</definedName>
    <definedName name="OSRRefT22_7x_0" localSheetId="73">'Div 4'!$T$62</definedName>
    <definedName name="OSRRefT22_7x_0" localSheetId="95">'Div 5'!$T$48</definedName>
    <definedName name="OSRRefT22_7x_0" localSheetId="64">'Div 6'!$T$85</definedName>
    <definedName name="OSRRefT22_7x_0" localSheetId="2">Summary!$T$229</definedName>
    <definedName name="OSRRefT22_8x_0" localSheetId="41">'201'!$T$45</definedName>
    <definedName name="OSRRefT22_8x_0" localSheetId="42">'202'!$T$49</definedName>
    <definedName name="OSRRefT22_8x_0" localSheetId="43">'203'!$T$48</definedName>
    <definedName name="OSRRefT22_8x_0" localSheetId="44">'204'!$T$51</definedName>
    <definedName name="OSRRefT22_8x_0" localSheetId="45">'205'!$T$45</definedName>
    <definedName name="OSRRefT22_8x_0" localSheetId="48">'300'!$T$193</definedName>
    <definedName name="OSRRefT22_8x_0" localSheetId="49">'300 &amp; 317'!$T$218</definedName>
    <definedName name="OSRRefT22_8x_0" localSheetId="50">'301'!$T$53</definedName>
    <definedName name="OSRRefT22_8x_0" localSheetId="51">'306'!$T$51</definedName>
    <definedName name="OSRRefT22_8x_0" localSheetId="53">'307'!$T$96:$T$97</definedName>
    <definedName name="OSRRefT22_8x_0" localSheetId="55">'308'!$T$92</definedName>
    <definedName name="OSRRefT22_8x_0" localSheetId="67">'309'!$T$52:$T$53</definedName>
    <definedName name="OSRRefT22_8x_0" localSheetId="66">'310'!$T$59</definedName>
    <definedName name="OSRRefT22_8x_0" localSheetId="74">'310 &amp; 491'!$T$69</definedName>
    <definedName name="OSRRefT22_8x_0" localSheetId="56">'311'!$T$91</definedName>
    <definedName name="OSRRefT22_8x_0" localSheetId="68">'313'!$T$54:$T$56</definedName>
    <definedName name="OSRRefT22_8x_0" localSheetId="59">'315'!$T$110</definedName>
    <definedName name="OSRRefT22_8x_0" localSheetId="62">'316'!$T$59:$T$64</definedName>
    <definedName name="OSRRefT22_8x_0" localSheetId="65">'317'!$T$87</definedName>
    <definedName name="OSRRefT22_8x_0" localSheetId="63">'320'!$T$54</definedName>
    <definedName name="OSRRefT22_8x_0" localSheetId="69">'321'!$T$53:$T$55</definedName>
    <definedName name="OSRRefT22_8x_0" localSheetId="70">'322'!$T$50:$T$51</definedName>
    <definedName name="OSRRefT22_8x_0" localSheetId="71">'325'!$T$52</definedName>
    <definedName name="OSRRefT22_8x_0" localSheetId="60">'326'!$T$84</definedName>
    <definedName name="OSRRefT22_8x_0" localSheetId="52">'330'!$T$105:$T$106</definedName>
    <definedName name="OSRRefT22_8x_0" localSheetId="58">'331'!$T$116</definedName>
    <definedName name="OSRRefT22_8x_0" localSheetId="61">'332'!$T$67</definedName>
    <definedName name="OSRRefT22_8x_0" localSheetId="76">'405'!$T$51</definedName>
    <definedName name="OSRRefT22_8x_0" localSheetId="77">'406'!$T$51:$T$53</definedName>
    <definedName name="OSRRefT22_8x_0" localSheetId="78">'411'!$T$51</definedName>
    <definedName name="OSRRefT22_8x_0" localSheetId="79">'412'!$T$51:$T$52</definedName>
    <definedName name="OSRRefT22_8x_0" localSheetId="80">'413'!$T$52:$T$53</definedName>
    <definedName name="OSRRefT22_8x_0" localSheetId="81">'414'!$T$49:$T$50</definedName>
    <definedName name="OSRRefT22_8x_0" localSheetId="82">'415'!$T$52</definedName>
    <definedName name="OSRRefT22_8x_0" localSheetId="83">'418'!$T$53:$T$54</definedName>
    <definedName name="OSRRefT22_8x_0" localSheetId="86">'424'!$T$43:$T$44</definedName>
    <definedName name="OSRRefT22_8x_0" localSheetId="87">'425'!$T$51</definedName>
    <definedName name="OSRRefT22_8x_0" localSheetId="91">'433'!$T$54</definedName>
    <definedName name="OSRRefT22_8x_0" localSheetId="93">'444'!$T$54</definedName>
    <definedName name="OSRRefT22_8x_0" localSheetId="94">'450'!$T$54</definedName>
    <definedName name="OSRRefT22_8x_0" localSheetId="75">'491'!$T$63</definedName>
    <definedName name="OSRRefT22_8x_0" localSheetId="89">'492'!$T$57</definedName>
    <definedName name="OSRRefT22_8x_0" localSheetId="96">'501'!$T$50:$T$52</definedName>
    <definedName name="OSRRefT22_8x_0" localSheetId="39">'Div 2'!$T$52</definedName>
    <definedName name="OSRRefT22_8x_0" localSheetId="47">'Div 3'!$T$198</definedName>
    <definedName name="OSRRefT22_8x_0" localSheetId="73">'Div 4'!$T$64</definedName>
    <definedName name="OSRRefT22_8x_0" localSheetId="95">'Div 5'!$T$50:$T$52</definedName>
    <definedName name="OSRRefT22_8x_0" localSheetId="64">'Div 6'!$T$87</definedName>
    <definedName name="OSRRefT22_8x_0" localSheetId="2">Summary!$T$231</definedName>
    <definedName name="OSRRefT22_9x_0" localSheetId="41">'201'!$T$47:$T$49</definedName>
    <definedName name="OSRRefT22_9x_0" localSheetId="42">'202'!$T$51</definedName>
    <definedName name="OSRRefT22_9x_0" localSheetId="43">'203'!$T$50:$T$51</definedName>
    <definedName name="OSRRefT22_9x_0" localSheetId="44">'204'!$T$53:$T$54</definedName>
    <definedName name="OSRRefT22_9x_0" localSheetId="48">'300'!$T$195</definedName>
    <definedName name="OSRRefT22_9x_0" localSheetId="49">'300 &amp; 317'!$T$220</definedName>
    <definedName name="OSRRefT22_9x_0" localSheetId="50">'301'!$T$55</definedName>
    <definedName name="OSRRefT22_9x_0" localSheetId="53">'307'!$T$99:$T$101</definedName>
    <definedName name="OSRRefT22_9x_0" localSheetId="55">'308'!$T$94:$T$95</definedName>
    <definedName name="OSRRefT22_9x_0" localSheetId="67">'309'!$T$55:$T$57</definedName>
    <definedName name="OSRRefT22_9x_0" localSheetId="66">'310'!$T$61</definedName>
    <definedName name="OSRRefT22_9x_0" localSheetId="74">'310 &amp; 491'!$T$71</definedName>
    <definedName name="OSRRefT22_9x_0" localSheetId="56">'311'!$T$93:$T$94</definedName>
    <definedName name="OSRRefT22_9x_0" localSheetId="68">'313'!$T$58</definedName>
    <definedName name="OSRRefT22_9x_0" localSheetId="59">'315'!$T$112:$T$115</definedName>
    <definedName name="OSRRefT22_9x_0" localSheetId="62">'316'!$T$66</definedName>
    <definedName name="OSRRefT22_9x_0" localSheetId="65">'317'!$T$89:$T$91</definedName>
    <definedName name="OSRRefT22_9x_0" localSheetId="69">'321'!$T$57:$T$60</definedName>
    <definedName name="OSRRefT22_9x_0" localSheetId="70">'322'!$T$53:$T$55</definedName>
    <definedName name="OSRRefT22_9x_0" localSheetId="71">'325'!$T$54</definedName>
    <definedName name="OSRRefT22_9x_0" localSheetId="60">'326'!$T$86</definedName>
    <definedName name="OSRRefT22_9x_0" localSheetId="52">'330'!$T$108</definedName>
    <definedName name="OSRRefT22_9x_0" localSheetId="58">'331'!$T$118</definedName>
    <definedName name="OSRRefT22_9x_0" localSheetId="61">'332'!$T$69:$T$70</definedName>
    <definedName name="OSRRefT22_9x_0" localSheetId="76">'405'!$T$53:$T$54</definedName>
    <definedName name="OSRRefT22_9x_0" localSheetId="77">'406'!$T$55</definedName>
    <definedName name="OSRRefT22_9x_0" localSheetId="78">'411'!$T$53</definedName>
    <definedName name="OSRRefT22_9x_0" localSheetId="79">'412'!$T$54:$T$55</definedName>
    <definedName name="OSRRefT22_9x_0" localSheetId="80">'413'!$T$55:$T$59</definedName>
    <definedName name="OSRRefT22_9x_0" localSheetId="81">'414'!$T$52</definedName>
    <definedName name="OSRRefT22_9x_0" localSheetId="82">'415'!$T$54</definedName>
    <definedName name="OSRRefT22_9x_0" localSheetId="83">'418'!$T$56:$T$58</definedName>
    <definedName name="OSRRefT22_9x_0" localSheetId="86">'424'!$T$46</definedName>
    <definedName name="OSRRefT22_9x_0" localSheetId="87">'425'!$T$53:$T$55</definedName>
    <definedName name="OSRRefT22_9x_0" localSheetId="91">'433'!$T$56</definedName>
    <definedName name="OSRRefT22_9x_0" localSheetId="93">'444'!$T$56</definedName>
    <definedName name="OSRRefT22_9x_0" localSheetId="94">'450'!$T$56</definedName>
    <definedName name="OSRRefT22_9x_0" localSheetId="75">'491'!$T$65</definedName>
    <definedName name="OSRRefT22_9x_0" localSheetId="89">'492'!$T$59</definedName>
    <definedName name="OSRRefT22_9x_0" localSheetId="96">'501'!$T$54:$T$56</definedName>
    <definedName name="OSRRefT22_9x_0" localSheetId="39">'Div 2'!$T$54:$T$55</definedName>
    <definedName name="OSRRefT22_9x_0" localSheetId="47">'Div 3'!$T$200</definedName>
    <definedName name="OSRRefT22_9x_0" localSheetId="73">'Div 4'!$T$66</definedName>
    <definedName name="OSRRefT22_9x_0" localSheetId="95">'Div 5'!$T$54:$T$56</definedName>
    <definedName name="OSRRefT22_9x_0" localSheetId="64">'Div 6'!$T$89:$T$91</definedName>
    <definedName name="OSRRefT22_9x_0" localSheetId="2">Summary!$T$233</definedName>
    <definedName name="OSRRefT22x_0" localSheetId="40">'200'!$T$20,'200'!$T$22,'200'!$T$24,'200'!$T$26:$T$27</definedName>
    <definedName name="OSRRefT22x_0" localSheetId="41">'201'!$T$20:$T$27,'201'!$T$29:$T$31,'201'!$T$33,'201'!$T$35,'201'!$T$37,'201'!$T$39,'201'!$T$41,'201'!$T$43,'201'!$T$45,'201'!$T$47:$T$49,'201'!$T$51:$T$53,'201'!$T$55,'201'!$T$57:$T$60,'201'!$T$62,'201'!$T$64,'201'!$T$66</definedName>
    <definedName name="OSRRefT22x_0" localSheetId="42">'202'!$T$20:$T$27,'202'!$T$29:$T$32,'202'!$T$34,'202'!$T$36,'202'!$T$38:$T$39,'202'!$T$41,'202'!$T$43,'202'!$T$45:$T$47,'202'!$T$49,'202'!$T$51,'202'!$T$53:$T$55,'202'!$T$57,'202'!$T$59,'202'!$T$61</definedName>
    <definedName name="OSRRefT22x_0" localSheetId="43">'203'!$T$20:$T$29,'203'!$T$31:$T$34,'203'!$T$36,'203'!$T$38,'203'!$T$40,'203'!$T$42,'203'!$T$44,'203'!$T$46,'203'!$T$48,'203'!$T$50:$T$51,'203'!$T$53:$T$54,'203'!$T$56,'203'!$T$58:$T$61,'203'!$T$63,'203'!$T$65,'203'!$T$67</definedName>
    <definedName name="OSRRefT22x_0" localSheetId="44">'204'!$T$20:$T$28,'204'!$T$30:$T$34,'204'!$T$36,'204'!$T$38,'204'!$T$40,'204'!$T$42:$T$44,'204'!$T$46,'204'!$T$48:$T$49,'204'!$T$51,'204'!$T$53:$T$54</definedName>
    <definedName name="OSRRefT22x_0" localSheetId="45">'205'!$T$20:$T$27,'205'!$T$29,'205'!$T$31,'205'!$T$33,'205'!$T$35:$T$36,'205'!$T$38,'205'!$T$40:$T$41,'205'!$T$43,'205'!$T$45</definedName>
    <definedName name="OSRRefT22x_0" localSheetId="46">'206'!$T$20:$T$26,'206'!$T$28:$T$31,'206'!$T$33,'206'!$T$35,'206'!$T$37,'206'!$T$39:$T$40,'206'!$T$42,'206'!$T$44</definedName>
    <definedName name="OSRRefT22x_0" localSheetId="48">'300'!$T$159:$T$168,'300'!$T$170:$T$176,'300'!$T$178,'300'!$T$180:$T$181,'300'!$T$183,'300'!$T$185:$T$186,'300'!$T$188:$T$189,'300'!$T$191,'300'!$T$193,'300'!$T$195,'300'!$T$197:$T$198,'300'!$T$200,'300'!$T$202,'300'!$T$204,'300'!$T$206,'300'!$T$208,'300'!$T$210:$T$213,'300'!$T$215:$T$217,'300'!$T$219:$T$222,'300'!$T$224:$T$225,'300'!$T$227:$T$233,'300'!$T$235:$T$236,'300'!$T$238,'300'!$T$240:$T$242,'300'!$T$244</definedName>
    <definedName name="OSRRefT22x_0" localSheetId="49">'300 &amp; 317'!$T$184:$T$193,'300 &amp; 317'!$T$195:$T$201,'300 &amp; 317'!$T$203,'300 &amp; 317'!$T$205:$T$206,'300 &amp; 317'!$T$208,'300 &amp; 317'!$T$210:$T$211,'300 &amp; 317'!$T$213:$T$214,'300 &amp; 317'!$T$216,'300 &amp; 317'!$T$218,'300 &amp; 317'!$T$220,'300 &amp; 317'!$T$222:$T$223,'300 &amp; 317'!$T$225,'300 &amp; 317'!$T$227,'300 &amp; 317'!$T$229,'300 &amp; 317'!$T$231,'300 &amp; 317'!$T$233,'300 &amp; 317'!$T$235:$T$238,'300 &amp; 317'!$T$240:$T$242,'300 &amp; 317'!$T$244:$T$247,'300 &amp; 317'!$T$249:$T$250,'300 &amp; 317'!$T$252:$T$258,'300 &amp; 317'!$T$260:$T$261,'300 &amp; 317'!$T$263,'300 &amp; 317'!$T$265:$T$267,'300 &amp; 317'!$T$269</definedName>
    <definedName name="OSRRefT22x_0" localSheetId="50">'301'!$T$20:$T$28,'301'!$T$30:$T$36,'301'!$T$38,'301'!$T$40:$T$41,'301'!$T$43,'301'!$T$45:$T$46,'301'!$T$48:$T$49,'301'!$T$51,'301'!$T$53,'301'!$T$55,'301'!$T$57,'301'!$T$59,'301'!$T$61,'301'!$T$63,'301'!$T$65,'301'!$T$67:$T$70,'301'!$T$72:$T$74,'301'!$T$76,'301'!$T$78:$T$83,'301'!$T$85,'301'!$T$87,'301'!$T$89:$T$90,'301'!$T$92</definedName>
    <definedName name="OSRRefT22x_0" localSheetId="51">'306'!$T$20:$T$28,'306'!$T$30:$T$35,'306'!$T$37,'306'!$T$39,'306'!$T$41,'306'!$T$43:$T$44,'306'!$T$46:$T$47,'306'!$T$49,'306'!$T$51</definedName>
    <definedName name="OSRRefT22x_0" localSheetId="53">'307'!$T$68:$T$75,'307'!$T$77:$T$80,'307'!$T$82,'307'!$T$84,'307'!$T$86:$T$87,'307'!$T$89,'307'!$T$91,'307'!$T$93:$T$94,'307'!$T$96:$T$97,'307'!$T$99:$T$101,'307'!$T$103,'307'!$T$105</definedName>
    <definedName name="OSRRefT22x_0" localSheetId="55">'308'!$T$61:$T$69,'308'!$T$71:$T$76,'308'!$T$78,'308'!$T$80:$T$81,'308'!$T$83,'308'!$T$85,'308'!$T$87:$T$88,'308'!$T$90,'308'!$T$92,'308'!$T$94:$T$95,'308'!$T$97,'308'!$T$99:$T$101,'308'!$T$103:$T$104,'308'!$T$106,'308'!$T$108</definedName>
    <definedName name="OSRRefT22x_0" localSheetId="67">'309'!$T$24:$T$31,'309'!$T$33:$T$37,'309'!$T$39,'309'!$T$41,'309'!$T$43,'309'!$T$45,'309'!$T$47,'309'!$T$49:$T$50,'309'!$T$52:$T$53,'309'!$T$55:$T$57,'309'!$T$59</definedName>
    <definedName name="OSRRefT22x_0" localSheetId="66">'310'!$T$30:$T$37,'310'!$T$39:$T$44,'310'!$T$46,'310'!$T$48,'310'!$T$50,'310'!$T$52:$T$53,'310'!$T$55,'310'!$T$57,'310'!$T$59,'310'!$T$61,'310'!$T$63,'310'!$T$65,'310'!$T$67,'310'!$T$69,'310'!$T$71:$T$73,'310'!$T$75,'310'!$T$77:$T$80,'310'!$T$82,'310'!$T$84:$T$90,'310'!$T$92,'310'!$T$94,'310'!$T$96</definedName>
    <definedName name="OSRRefT22x_0" localSheetId="74">'310 &amp; 491'!$T$37:$T$45,'310 &amp; 491'!$T$47:$T$53,'310 &amp; 491'!$T$55,'310 &amp; 491'!$T$57,'310 &amp; 491'!$T$59,'310 &amp; 491'!$T$61:$T$63,'310 &amp; 491'!$T$65,'310 &amp; 491'!$T$67,'310 &amp; 491'!$T$69,'310 &amp; 491'!$T$71,'310 &amp; 491'!$T$73:$T$74,'310 &amp; 491'!$T$76:$T$77,'310 &amp; 491'!$T$79,'310 &amp; 491'!$T$81,'310 &amp; 491'!$T$83,'310 &amp; 491'!$T$85,'310 &amp; 491'!$T$87:$T$89,'310 &amp; 491'!$T$91:$T$92,'310 &amp; 491'!$T$94:$T$98,'310 &amp; 491'!$T$100,'310 &amp; 491'!$T$102:$T$110,'310 &amp; 491'!$T$112,'310 &amp; 491'!$T$114,'310 &amp; 491'!$T$116:$T$118,'310 &amp; 491'!$T$120</definedName>
    <definedName name="OSRRefT22x_0" localSheetId="56">'311'!$T$60:$T$68,'311'!$T$70:$T$75,'311'!$T$77,'311'!$T$79:$T$80,'311'!$T$82,'311'!$T$84,'311'!$T$86:$T$87,'311'!$T$89,'311'!$T$91,'311'!$T$93:$T$94,'311'!$T$96,'311'!$T$98:$T$100,'311'!$T$102:$T$103,'311'!$T$105,'311'!$T$107</definedName>
    <definedName name="OSRRefT22x_0" localSheetId="68">'313'!$T$27:$T$34,'313'!$T$36:$T$40,'313'!$T$42,'313'!$T$44,'313'!$T$46,'313'!$T$48,'313'!$T$50,'313'!$T$52,'313'!$T$54:$T$56,'313'!$T$58,'313'!$T$60:$T$64,'313'!$T$66,'313'!$T$68</definedName>
    <definedName name="OSRRefT22x_0" localSheetId="54">'314'!$T$55:$T$61,'314'!$T$63:$T$64,'314'!$T$66,'314'!$T$68:$T$69,'314'!$T$71,'314'!$T$73</definedName>
    <definedName name="OSRRefT22x_0" localSheetId="59">'315'!$T$79:$T$86,'315'!$T$88:$T$93,'315'!$T$95,'315'!$T$97:$T$98,'315'!$T$100,'315'!$T$102:$T$103,'315'!$T$105,'315'!$T$107:$T$108,'315'!$T$110,'315'!$T$112:$T$115,'315'!$T$117,'315'!$T$119,'315'!$T$121</definedName>
    <definedName name="OSRRefT22x_0" localSheetId="62">'316'!$T$32:$T$39,'316'!$T$41:$T$43,'316'!$T$45,'316'!$T$47,'316'!$T$49,'316'!$T$51:$T$52,'316'!$T$54:$T$55,'316'!$T$57,'316'!$T$59:$T$64,'316'!$T$66,'316'!$T$68,'316'!$T$70</definedName>
    <definedName name="OSRRefT22x_0" localSheetId="65">'317'!$T$58:$T$66,'317'!$T$68:$T$72,'317'!$T$74,'317'!$T$76,'317'!$T$78,'317'!$T$80:$T$81,'317'!$T$83,'317'!$T$85,'317'!$T$87,'317'!$T$89:$T$91,'317'!$T$93,'317'!$T$95</definedName>
    <definedName name="OSRRefT22x_0" localSheetId="63">'320'!$T$28:$T$34,'320'!$T$36:$T$38,'320'!$T$40,'320'!$T$42,'320'!$T$44:$T$45,'320'!$T$47,'320'!$T$49,'320'!$T$51:$T$52,'320'!$T$54</definedName>
    <definedName name="OSRRefT22x_0" localSheetId="69">'321'!$T$24:$T$31,'321'!$T$33:$T$37,'321'!$T$39,'321'!$T$41,'321'!$T$43,'321'!$T$45,'321'!$T$47:$T$49,'321'!$T$51,'321'!$T$53:$T$55,'321'!$T$57:$T$60,'321'!$T$62,'321'!$T$64</definedName>
    <definedName name="OSRRefT22x_0" localSheetId="70">'322'!$T$24:$T$31,'322'!$T$33:$T$36,'322'!$T$38,'322'!$T$40,'322'!$T$42,'322'!$T$44,'322'!$T$46,'322'!$T$48,'322'!$T$50:$T$51,'322'!$T$53:$T$55,'322'!$T$57:$T$61,'322'!$T$63,'322'!$T$65</definedName>
    <definedName name="OSRRefT22x_0" localSheetId="71">'325'!$T$24:$T$31,'325'!$T$33:$T$37,'325'!$T$39,'325'!$T$41,'325'!$T$43,'325'!$T$45:$T$46,'325'!$T$48,'325'!$T$50,'325'!$T$52,'325'!$T$54,'325'!$T$56,'325'!$T$58:$T$60,'325'!$T$62:$T$64,'325'!$T$66,'325'!$T$68:$T$72,'325'!$T$74,'325'!$T$76</definedName>
    <definedName name="OSRRefT22x_0" localSheetId="60">'326'!$T$57:$T$64,'326'!$T$66:$T$70,'326'!$T$72,'326'!$T$74,'326'!$T$76,'326'!$T$78,'326'!$T$80,'326'!$T$82,'326'!$T$84,'326'!$T$86,'326'!$T$88,'326'!$T$90:$T$91,'326'!$T$93:$T$95,'326'!$T$97,'326'!$T$99:$T$101,'326'!$T$103,'326'!$T$105,'326'!$T$107</definedName>
    <definedName name="OSRRefT22x_0" localSheetId="72">'327'!$T$22,'327'!$T$24,'327'!$T$26</definedName>
    <definedName name="OSRRefT22x_0" localSheetId="52">'330'!$T$77:$T$84,'330'!$T$86:$T$89,'330'!$T$91,'330'!$T$93,'330'!$T$95:$T$96,'330'!$T$98,'330'!$T$100,'330'!$T$102:$T$103,'330'!$T$105:$T$106,'330'!$T$108,'330'!$T$110:$T$112,'330'!$T$114,'330'!$T$116</definedName>
    <definedName name="OSRRefT22x_0" localSheetId="58">'331'!$T$86:$T$93,'331'!$T$95:$T$100,'331'!$T$102,'331'!$T$104,'331'!$T$106,'331'!$T$108:$T$109,'331'!$T$111,'331'!$T$113:$T$114,'331'!$T$116,'331'!$T$118,'331'!$T$120,'331'!$T$122,'331'!$T$124:$T$125,'331'!$T$127:$T$128,'331'!$T$130:$T$132,'331'!$T$134,'331'!$T$136:$T$140,'331'!$T$142,'331'!$T$144,'331'!$T$146:$T$147,'331'!$T$149</definedName>
    <definedName name="OSRRefT22x_0" localSheetId="61">'332'!$T$40:$T$47,'332'!$T$49:$T$52,'332'!$T$54,'332'!$T$56,'332'!$T$58,'332'!$T$60,'332'!$T$62:$T$63,'332'!$T$65,'332'!$T$67,'332'!$T$69:$T$70,'332'!$T$72,'332'!$T$74:$T$79,'332'!$T$81,'332'!$T$83,'332'!$T$85</definedName>
    <definedName name="OSRRefT22x_0" localSheetId="76">'405'!$T$24:$T$31,'405'!$T$33:$T$36,'405'!$T$38,'405'!$T$40,'405'!$T$42,'405'!$T$44:$T$45,'405'!$T$47,'405'!$T$49,'405'!$T$51,'405'!$T$53:$T$54,'405'!$T$56,'405'!$T$58:$T$60,'405'!$T$62,'405'!$T$64:$T$70,'405'!$T$72,'405'!$T$74,'405'!$T$76</definedName>
    <definedName name="OSRRefT22x_0" localSheetId="77">'406'!$T$24:$T$31,'406'!$T$33:$T$37,'406'!$T$39,'406'!$T$41,'406'!$T$43,'406'!$T$45,'406'!$T$47,'406'!$T$49,'406'!$T$51:$T$53,'406'!$T$55,'406'!$T$57:$T$61,'406'!$T$63,'406'!$T$65</definedName>
    <definedName name="OSRRefT22x_0" localSheetId="78">'411'!$T$20:$T$28,'411'!$T$30:$T$35,'411'!$T$37,'411'!$T$39,'411'!$T$41:$T$43,'411'!$T$45,'411'!$T$47,'411'!$T$49,'411'!$T$51,'411'!$T$53,'411'!$T$55,'411'!$T$57,'411'!$T$59:$T$60,'411'!$T$62:$T$66,'411'!$T$68:$T$73,'411'!$T$75,'411'!$T$77,'411'!$T$79:$T$81,'411'!$T$83</definedName>
    <definedName name="OSRRefT22x_0" localSheetId="79">'412'!$T$23:$T$30,'412'!$T$32:$T$37,'412'!$T$39,'412'!$T$41,'412'!$T$43,'412'!$T$45,'412'!$T$47,'412'!$T$49,'412'!$T$51:$T$52,'412'!$T$54:$T$55,'412'!$T$57:$T$62,'412'!$T$64,'412'!$T$66</definedName>
    <definedName name="OSRRefT22x_0" localSheetId="80">'413'!$T$24:$T$31,'413'!$T$33:$T$36,'413'!$T$38,'413'!$T$40,'413'!$T$42,'413'!$T$44,'413'!$T$46,'413'!$T$48:$T$50,'413'!$T$52:$T$53,'413'!$T$55:$T$59,'413'!$T$61</definedName>
    <definedName name="OSRRefT22x_0" localSheetId="81">'414'!$T$24:$T$30,'414'!$T$32:$T$35,'414'!$T$37,'414'!$T$39,'414'!$T$41,'414'!$T$43,'414'!$T$45,'414'!$T$47,'414'!$T$49:$T$50,'414'!$T$52,'414'!$T$54,'414'!$T$56,'414'!$T$58:$T$64,'414'!$T$66,'414'!$T$68</definedName>
    <definedName name="OSRRefT22x_0" localSheetId="82">'415'!$T$24:$T$31,'415'!$T$33:$T$37,'415'!$T$39,'415'!$T$41,'415'!$T$43,'415'!$T$45:$T$46,'415'!$T$48,'415'!$T$50,'415'!$T$52,'415'!$T$54,'415'!$T$56,'415'!$T$58:$T$60,'415'!$T$62:$T$66,'415'!$T$68,'415'!$T$70:$T$76,'415'!$T$78,'415'!$T$80,'415'!$T$82</definedName>
    <definedName name="OSRRefT22x_0" localSheetId="83">'418'!$T$24:$T$31,'418'!$T$33:$T$38,'418'!$T$40,'418'!$T$42,'418'!$T$44,'418'!$T$46:$T$47,'418'!$T$49,'418'!$T$51,'418'!$T$53:$T$54,'418'!$T$56:$T$58,'418'!$T$60:$T$62,'418'!$T$64,'418'!$T$66:$T$71,'418'!$T$73,'418'!$T$75</definedName>
    <definedName name="OSRRefT22x_0" localSheetId="84">'420'!$T$22:$T$28,'420'!$T$30:$T$33,'420'!$T$35,'420'!$T$37</definedName>
    <definedName name="OSRRefT22x_0" localSheetId="85">'423'!$T$21:$T$28,'423'!$T$30,'423'!$T$32,'423'!$T$34,'423'!$T$36,'423'!$T$38</definedName>
    <definedName name="OSRRefT22x_0" localSheetId="86">'424'!$T$23:$T$24,'424'!$T$26:$T$29,'424'!$T$31,'424'!$T$33,'424'!$T$35,'424'!$T$37,'424'!$T$39,'424'!$T$41,'424'!$T$43:$T$44,'424'!$T$46,'424'!$T$48,'424'!$T$50:$T$52,'424'!$T$54</definedName>
    <definedName name="OSRRefT22x_0" localSheetId="87">'425'!$T$24:$T$31,'425'!$T$33:$T$37,'425'!$T$39,'425'!$T$41,'425'!$T$43,'425'!$T$45,'425'!$T$47,'425'!$T$49,'425'!$T$51,'425'!$T$53:$T$55,'425'!$T$57,'425'!$T$59:$T$60,'425'!$T$62:$T$67,'425'!$T$69,'425'!$T$71</definedName>
    <definedName name="OSRRefT22x_0" localSheetId="90">'430'!$T$20:$T$27,'430'!$T$29,'430'!$T$31,'430'!$T$33,'430'!$T$35:$T$36,'430'!$T$38,'430'!$T$40,'430'!$T$42</definedName>
    <definedName name="OSRRefT22x_0" localSheetId="91">'433'!$T$25:$T$33,'433'!$T$35:$T$40,'433'!$T$42,'433'!$T$44,'433'!$T$46,'433'!$T$48,'433'!$T$50,'433'!$T$52,'433'!$T$54,'433'!$T$56,'433'!$T$58,'433'!$T$60:$T$61,'433'!$T$63:$T$65,'433'!$T$67:$T$73,'433'!$T$75,'433'!$T$77,'433'!$T$79</definedName>
    <definedName name="OSRRefT22x_0" localSheetId="92">'435'!$T$25:$T$27,'435'!$T$29:$T$30,'435'!$T$32,'435'!$T$34,'435'!$T$36,'435'!$T$38,'435'!$T$40:$T$42,'435'!$T$44</definedName>
    <definedName name="OSRRefT22x_0" localSheetId="93">'444'!$T$25:$T$33,'444'!$T$35:$T$40,'444'!$T$42,'444'!$T$44,'444'!$T$46,'444'!$T$48,'444'!$T$50,'444'!$T$52,'444'!$T$54,'444'!$T$56,'444'!$T$58,'444'!$T$60:$T$61,'444'!$T$63:$T$65,'444'!$T$67:$T$75,'444'!$T$77,'444'!$T$79,'444'!$T$81</definedName>
    <definedName name="OSRRefT22x_0" localSheetId="94">'450'!$T$25:$T$33,'450'!$T$35:$T$40,'450'!$T$42,'450'!$T$44,'450'!$T$46,'450'!$T$48,'450'!$T$50,'450'!$T$52,'450'!$T$54,'450'!$T$56,'450'!$T$58,'450'!$T$60,'450'!$T$62,'450'!$T$64:$T$66,'450'!$T$68:$T$73,'450'!$T$75,'450'!$T$77,'450'!$T$79</definedName>
    <definedName name="OSRRefT22x_0" localSheetId="88">'455'!$T$20:$T$26,'455'!$T$28:$T$29</definedName>
    <definedName name="OSRRefT22x_0" localSheetId="75">'491'!$T$31:$T$39,'491'!$T$41:$T$47,'491'!$T$49,'491'!$T$51,'491'!$T$53,'491'!$T$55:$T$57,'491'!$T$59,'491'!$T$61,'491'!$T$63,'491'!$T$65,'491'!$T$67:$T$68,'491'!$T$70,'491'!$T$72,'491'!$T$74,'491'!$T$76,'491'!$T$78:$T$80,'491'!$T$82:$T$83,'491'!$T$85:$T$89,'491'!$T$91,'491'!$T$93:$T$101,'491'!$T$103,'491'!$T$105,'491'!$T$107:$T$109,'491'!$T$111</definedName>
    <definedName name="OSRRefT22x_0" localSheetId="89">'492'!$T$27:$T$35,'492'!$T$37:$T$43,'492'!$T$45,'492'!$T$47,'492'!$T$49,'492'!$T$51,'492'!$T$53,'492'!$T$55,'492'!$T$57,'492'!$T$59,'492'!$T$61,'492'!$T$63,'492'!$T$65:$T$67,'492'!$T$69:$T$71,'492'!$T$73:$T$81,'492'!$T$83,'492'!$T$85,'492'!$T$87</definedName>
    <definedName name="OSRRefT22x_0" localSheetId="96">'501'!$T$21:$T$29,'501'!$T$31:$T$35,'501'!$T$37,'501'!$T$39,'501'!$T$41,'501'!$T$43:$T$44,'501'!$T$46,'501'!$T$48,'501'!$T$50:$T$52,'501'!$T$54:$T$56,'501'!$T$58</definedName>
    <definedName name="OSRRefT22x_0" localSheetId="39">'Div 2'!$T$20:$T$30,'Div 2'!$T$32:$T$38,'Div 2'!$T$40,'Div 2'!$T$42,'Div 2'!$T$44,'Div 2'!$T$46,'Div 2'!$T$48,'Div 2'!$T$50,'Div 2'!$T$52,'Div 2'!$T$54:$T$55,'Div 2'!$T$57,'Div 2'!$T$59,'Div 2'!$T$61:$T$64,'Div 2'!$T$66:$T$68,'Div 2'!$T$70:$T$71,'Div 2'!$T$73,'Div 2'!$T$75:$T$79,'Div 2'!$T$81:$T$82,'Div 2'!$T$84,'Div 2'!$T$86:$T$87</definedName>
    <definedName name="OSRRefT22x_0" localSheetId="47">'Div 3'!$T$164:$T$173,'Div 3'!$T$175:$T$181,'Div 3'!$T$183,'Div 3'!$T$185:$T$186,'Div 3'!$T$188,'Div 3'!$T$190:$T$191,'Div 3'!$T$193:$T$194,'Div 3'!$T$196,'Div 3'!$T$198,'Div 3'!$T$200,'Div 3'!$T$202:$T$203,'Div 3'!$T$205,'Div 3'!$T$207,'Div 3'!$T$209,'Div 3'!$T$211,'Div 3'!$T$213,'Div 3'!$T$215,'Div 3'!$T$217:$T$220,'Div 3'!$T$222:$T$224,'Div 3'!$T$226:$T$230,'Div 3'!$T$232:$T$233,'Div 3'!$T$235:$T$241,'Div 3'!$T$243:$T$244,'Div 3'!$T$246,'Div 3'!$T$248:$T$250,'Div 3'!$T$252</definedName>
    <definedName name="OSRRefT22x_0" localSheetId="73">'Div 4'!$T$32:$T$40,'Div 4'!$T$42:$T$48,'Div 4'!$T$50,'Div 4'!$T$52,'Div 4'!$T$54,'Div 4'!$T$56:$T$58,'Div 4'!$T$60,'Div 4'!$T$62,'Div 4'!$T$64,'Div 4'!$T$66,'Div 4'!$T$68:$T$69,'Div 4'!$T$71,'Div 4'!$T$73,'Div 4'!$T$75,'Div 4'!$T$77,'Div 4'!$T$79,'Div 4'!$T$81:$T$83,'Div 4'!$T$85:$T$86,'Div 4'!$T$88:$T$92,'Div 4'!$T$94,'Div 4'!$T$96:$T$104,'Div 4'!$T$106,'Div 4'!$T$108,'Div 4'!$T$110:$T$112,'Div 4'!$T$114</definedName>
    <definedName name="OSRRefT22x_0" localSheetId="95">'Div 5'!$T$21:$T$29,'Div 5'!$T$31:$T$35,'Div 5'!$T$37,'Div 5'!$T$39,'Div 5'!$T$41,'Div 5'!$T$43:$T$44,'Div 5'!$T$46,'Div 5'!$T$48,'Div 5'!$T$50:$T$52,'Div 5'!$T$54:$T$56,'Div 5'!$T$58</definedName>
    <definedName name="OSRRefT22x_0" localSheetId="64">'Div 6'!$T$58:$T$66,'Div 6'!$T$68:$T$72,'Div 6'!$T$74,'Div 6'!$T$76,'Div 6'!$T$78,'Div 6'!$T$80:$T$81,'Div 6'!$T$83,'Div 6'!$T$85,'Div 6'!$T$87,'Div 6'!$T$89:$T$91,'Div 6'!$T$93,'Div 6'!$T$95</definedName>
    <definedName name="OSRRefT22x_0" localSheetId="2">Summary!$T$196:$T$205,Summary!$T$207:$T$213,Summary!$T$215,Summary!$T$217:$T$218,Summary!$T$220,Summary!$T$222:$T$224,Summary!$T$226:$T$227,Summary!$T$229,Summary!$T$231,Summary!$T$233,Summary!$T$235:$T$236,Summary!$T$238:$T$239,Summary!$T$241,Summary!$T$243,Summary!$T$245,Summary!$T$247,Summary!$T$249,Summary!$T$251,Summary!$T$253:$T$256,Summary!$T$258:$T$260,Summary!$T$262:$T$266,Summary!$T$268:$T$269,Summary!$T$271:$T$279,Summary!$T$281:$T$282,Summary!$T$284,Summary!$T$286:$T$288,Summary!$T$290</definedName>
    <definedName name="OSRRefT25x_0" localSheetId="48">'300'!$T$247:$T$254</definedName>
    <definedName name="OSRRefT25x_0" localSheetId="49">'300 &amp; 317'!$T$272:$T$281</definedName>
    <definedName name="OSRRefT25x_0" localSheetId="50">'301'!$T$95:$T$96</definedName>
    <definedName name="OSRRefT25x_0" localSheetId="55">'308'!$T$111:$T$113</definedName>
    <definedName name="OSRRefT25x_0" localSheetId="74">'310 &amp; 491'!$T$123:$T$125</definedName>
    <definedName name="OSRRefT25x_0" localSheetId="56">'311'!$T$110:$T$112</definedName>
    <definedName name="OSRRefT25x_0" localSheetId="59">'315'!$T$124:$T$125</definedName>
    <definedName name="OSRRefT25x_0" localSheetId="62">'316'!$T$73</definedName>
    <definedName name="OSRRefT25x_0" localSheetId="65">'317'!$T$98:$T$100</definedName>
    <definedName name="OSRRefT25x_0" localSheetId="63">'320'!$T$57:$T$61</definedName>
    <definedName name="OSRRefT25x_0" localSheetId="58">'331'!$T$152:$T$153</definedName>
    <definedName name="OSRRefT25x_0" localSheetId="61">'332'!$T$88:$T$93</definedName>
    <definedName name="OSRRefT25x_0" localSheetId="78">'411'!$T$86:$T$87</definedName>
    <definedName name="OSRRefT25x_0" localSheetId="80">'413'!$T$64</definedName>
    <definedName name="OSRRefT25x_0" localSheetId="83">'418'!$T$78</definedName>
    <definedName name="OSRRefT25x_0" localSheetId="85">'423'!$T$41</definedName>
    <definedName name="OSRRefT25x_0" localSheetId="86">'424'!$T$57</definedName>
    <definedName name="OSRRefT25x_0" localSheetId="87">'425'!$T$74</definedName>
    <definedName name="OSRRefT25x_0" localSheetId="88">'455'!$T$32:$T$33</definedName>
    <definedName name="OSRRefT25x_0" localSheetId="75">'491'!$T$114:$T$116</definedName>
    <definedName name="OSRRefT25x_0" localSheetId="96">'501'!$T$61</definedName>
    <definedName name="OSRRefT25x_0" localSheetId="47">'Div 3'!$T$255:$T$262</definedName>
    <definedName name="OSRRefT25x_0" localSheetId="73">'Div 4'!$T$117:$T$119</definedName>
    <definedName name="OSRRefT25x_0" localSheetId="95">'Div 5'!$T$61</definedName>
    <definedName name="OSRRefT25x_0" localSheetId="64">'Div 6'!$T$98:$T$100</definedName>
    <definedName name="OSRRefT25x_0" localSheetId="2">Summary!$T$293:$T$303</definedName>
    <definedName name="_xlnm.Print_Area" localSheetId="38">'100'!$A$1:$Z$34</definedName>
    <definedName name="_xlnm.Print_Area" localSheetId="40">'200'!$A$1:$Z$41</definedName>
    <definedName name="_xlnm.Print_Area" localSheetId="41">'201'!$A$1:$Z$80</definedName>
    <definedName name="_xlnm.Print_Area" localSheetId="42">'202'!$A$1:$Z$75</definedName>
    <definedName name="_xlnm.Print_Area" localSheetId="43">'203'!$A$1:$Z$81</definedName>
    <definedName name="_xlnm.Print_Area" localSheetId="44">'204'!$A$1:$Z$68</definedName>
    <definedName name="_xlnm.Print_Area" localSheetId="45">'205'!$A$1:$Z$59</definedName>
    <definedName name="_xlnm.Print_Area" localSheetId="46">'206'!$A$1:$Z$58</definedName>
    <definedName name="_xlnm.Print_Area" localSheetId="48">'300'!$A$1:$Z$266</definedName>
    <definedName name="_xlnm.Print_Area" localSheetId="49">'300 &amp; 317'!$A$1:$Z$293</definedName>
    <definedName name="_xlnm.Print_Area" localSheetId="50">'301'!$A$1:$Z$108</definedName>
    <definedName name="_xlnm.Print_Area" localSheetId="51">'306'!$A$1:$Z$65</definedName>
    <definedName name="_xlnm.Print_Area" localSheetId="53">'307'!$A$1:$Z$119</definedName>
    <definedName name="_xlnm.Print_Area" localSheetId="55">'308'!$A$1:$Z$125</definedName>
    <definedName name="_xlnm.Print_Area" localSheetId="67">'309'!$A$1:$Z$73</definedName>
    <definedName name="_xlnm.Print_Area" localSheetId="66">'310'!$A$1:$Z$110</definedName>
    <definedName name="_xlnm.Print_Area" localSheetId="74">'310 &amp; 491'!$A$1:$Z$137</definedName>
    <definedName name="_xlnm.Print_Area" localSheetId="56">'311'!$A$1:$Z$124</definedName>
    <definedName name="_xlnm.Print_Area" localSheetId="68">'313'!$A$1:$Z$82</definedName>
    <definedName name="_xlnm.Print_Area" localSheetId="54">'314'!$A$1:$Z$87</definedName>
    <definedName name="_xlnm.Print_Area" localSheetId="59">'315'!$A$1:$Z$137</definedName>
    <definedName name="_xlnm.Print_Area" localSheetId="62">'316'!$A$1:$Z$85</definedName>
    <definedName name="_xlnm.Print_Area" localSheetId="65">'317'!$A$1:$Z$112</definedName>
    <definedName name="_xlnm.Print_Area" localSheetId="63">'320'!$A$1:$Z$73</definedName>
    <definedName name="_xlnm.Print_Area" localSheetId="69">'321'!$A$1:$Z$78</definedName>
    <definedName name="_xlnm.Print_Area" localSheetId="70">'322'!$A$1:$Z$79</definedName>
    <definedName name="_xlnm.Print_Area" localSheetId="57">'324'!$A$1:$Z$37</definedName>
    <definedName name="_xlnm.Print_Area" localSheetId="71">'325'!$A$1:$Z$90</definedName>
    <definedName name="_xlnm.Print_Area" localSheetId="60">'326'!$A$1:$Z$121</definedName>
    <definedName name="_xlnm.Print_Area" localSheetId="72">'327'!$A$1:$Z$40</definedName>
    <definedName name="_xlnm.Print_Area" localSheetId="52">'330'!$A$1:$Z$130</definedName>
    <definedName name="_xlnm.Print_Area" localSheetId="58">'331'!$A$1:$Z$165</definedName>
    <definedName name="_xlnm.Print_Area" localSheetId="61">'332'!$A$1:$Z$105</definedName>
    <definedName name="_xlnm.Print_Area" localSheetId="76">'405'!$A$1:$Z$90</definedName>
    <definedName name="_xlnm.Print_Area" localSheetId="77">'406'!$A$1:$Z$79</definedName>
    <definedName name="_xlnm.Print_Area" localSheetId="78">'411'!$A$1:$Z$99</definedName>
    <definedName name="_xlnm.Print_Area" localSheetId="79">'412'!$A$1:$Z$80</definedName>
    <definedName name="_xlnm.Print_Area" localSheetId="80">'413'!$A$1:$Z$76</definedName>
    <definedName name="_xlnm.Print_Area" localSheetId="81">'414'!$A$1:$Z$82</definedName>
    <definedName name="_xlnm.Print_Area" localSheetId="82">'415'!$A$1:$Z$96</definedName>
    <definedName name="_xlnm.Print_Area" localSheetId="83">'418'!$A$1:$Z$90</definedName>
    <definedName name="_xlnm.Print_Area" localSheetId="84">'420'!$A$1:$Z$51</definedName>
    <definedName name="_xlnm.Print_Area" localSheetId="85">'423'!$A$1:$Z$53</definedName>
    <definedName name="_xlnm.Print_Area" localSheetId="86">'424'!$A$1:$Z$69</definedName>
    <definedName name="_xlnm.Print_Area" localSheetId="87">'425'!$A$1:$Z$86</definedName>
    <definedName name="_xlnm.Print_Area" localSheetId="90">'430'!$A$1:$Z$56</definedName>
    <definedName name="_xlnm.Print_Area" localSheetId="91">'433'!$A$1:$Z$93</definedName>
    <definedName name="_xlnm.Print_Area" localSheetId="92">'435'!$A$1:$Z$58</definedName>
    <definedName name="_xlnm.Print_Area" localSheetId="93">'444'!$A$1:$Z$95</definedName>
    <definedName name="_xlnm.Print_Area" localSheetId="94">'450'!$A$1:$Z$93</definedName>
    <definedName name="_xlnm.Print_Area" localSheetId="88">'455'!$A$1:$Z$45</definedName>
    <definedName name="_xlnm.Print_Area" localSheetId="75">'491'!$A$1:$Z$128</definedName>
    <definedName name="_xlnm.Print_Area" localSheetId="89">'492'!$A$1:$Z$101</definedName>
    <definedName name="_xlnm.Print_Area" localSheetId="96">'501'!$A$1:$Z$73</definedName>
    <definedName name="_xlnm.Print_Area" localSheetId="97">Dept!$A$1:$Z$39</definedName>
    <definedName name="_xlnm.Print_Area" localSheetId="5">'Div 1'!$A$1:$Z$34</definedName>
    <definedName name="_xlnm.Print_Area" localSheetId="39">'Div 2'!$A$1:$Z$101</definedName>
    <definedName name="_xlnm.Print_Area" localSheetId="47">'Div 3'!$A$1:$Z$274</definedName>
    <definedName name="_xlnm.Print_Area" localSheetId="73">'Div 4'!$A$1:$Z$131</definedName>
    <definedName name="_xlnm.Print_Area" localSheetId="95">'Div 5'!$A$1:$Z$73</definedName>
    <definedName name="_xlnm.Print_Area" localSheetId="64">'Div 6'!$A$1:$Z$112</definedName>
    <definedName name="_xlnm.Print_Area" localSheetId="14">'OSR_300 &amp; 317_1C00ID4'!$A$1:$Z$39</definedName>
    <definedName name="_xlnm.Print_Area" localSheetId="11">'OSR_300 (2)_7...54cb56fc_UFX0O2'!$A$1:$Z$39</definedName>
    <definedName name="_xlnm.Print_Area" localSheetId="15">'OSR_300 (2)_c...79cd3046_1TJM0H'!$A$1:$Z$39</definedName>
    <definedName name="_xlnm.Print_Area" localSheetId="17">'OSR_300 (2)_e...5d0da5bf_6BPGAO'!$A$1:$Z$39</definedName>
    <definedName name="_xlnm.Print_Area" localSheetId="12">OSR_300_IYZXI6!$A$1:$Z$39</definedName>
    <definedName name="_xlnm.Print_Area" localSheetId="23">'OSR_308 (2)_...47685838_1YQW4QY'!$A$1:$Z$39</definedName>
    <definedName name="_xlnm.Print_Area" localSheetId="20">OSR_308_UAWDAG!$A$1:$Z$39</definedName>
    <definedName name="_xlnm.Print_Area" localSheetId="28">'OSR_310 &amp; 491_1NGRCS9'!$A$1:$Z$39</definedName>
    <definedName name="_xlnm.Print_Area" localSheetId="19">'OSR_310 (2)_...6e684f08_1FLCNJG'!$A$1:$Z$39</definedName>
    <definedName name="_xlnm.Print_Area" localSheetId="27">'OSR_310 (2)_...8cac1423_1JTU33X'!$A$1:$Z$39</definedName>
    <definedName name="_xlnm.Print_Area" localSheetId="16">OSR_310_1CMTOSB!$A$1:$Z$39</definedName>
    <definedName name="_xlnm.Print_Area" localSheetId="21">'OSR_330 (2)_...8a14c83e_1NSH7XI'!$A$1:$Z$39</definedName>
    <definedName name="_xlnm.Print_Area" localSheetId="18">OSR_330_10VFP5Y!$A$1:$Z$39</definedName>
    <definedName name="_xlnm.Print_Area" localSheetId="25">'OSR_331 (2)_...7280af70_1P5SPLT'!$A$1:$Z$39</definedName>
    <definedName name="_xlnm.Print_Area" localSheetId="22">OSR_331_10VKQAJ!$A$1:$Z$39</definedName>
    <definedName name="_xlnm.Print_Area" localSheetId="24">OSR_332_6NDVBW!$A$1:$Z$39</definedName>
    <definedName name="_xlnm.Print_Area" localSheetId="29">'OSR_491 (2)_0...c51cc666_QIOT67'!$A$1:$Z$39</definedName>
    <definedName name="_xlnm.Print_Area" localSheetId="30">OSR_491_9Z9JH5!$A$1:$Z$39</definedName>
    <definedName name="_xlnm.Print_Area" localSheetId="35">'OSR_492 (2)_...cd97c6a6_13HYXEV'!$A$1:$Z$39</definedName>
    <definedName name="_xlnm.Print_Area" localSheetId="32">OSR_492_943FP1!$A$1:$Z$39</definedName>
    <definedName name="_xlnm.Print_Area" localSheetId="4">'OSR_Current ...69b7dd8c_1IEQKFK'!$A$1:$Z$39</definedName>
    <definedName name="_xlnm.Print_Area" localSheetId="98">OSR_Dept_Y0WUKY!$A$1:$Z$39</definedName>
    <definedName name="_xlnm.Print_Area" localSheetId="9">'OSR_Div 1 (2)...789fe994_2NV3KA'!$A$1:$Z$39</definedName>
    <definedName name="_xlnm.Print_Area" localSheetId="6">'OSR_Div 1_7H47HR'!$A$1:$Z$39</definedName>
    <definedName name="_xlnm.Print_Area" localSheetId="8">'OSR_Div 2_1PQ800A'!$A$1:$Z$39</definedName>
    <definedName name="_xlnm.Print_Area" localSheetId="7">'OSR_Div 3 (2)...4cb81c06_PBSMLS'!$A$1:$Z$39</definedName>
    <definedName name="_xlnm.Print_Area" localSheetId="13">'OSR_Div 3 (2)...b7db256a_40ITCB'!$A$1:$Z$39</definedName>
    <definedName name="_xlnm.Print_Area" localSheetId="10">'OSR_Div 3_18723PH'!$A$1:$Z$39</definedName>
    <definedName name="_xlnm.Print_Area" localSheetId="33">'OSR_Div 4 (2)...1a9a4454_CQFRNE'!$A$1:$Z$39</definedName>
    <definedName name="_xlnm.Print_Area" localSheetId="31">'OSR_Div 4 (2...2533da42_174R6QX'!$A$1:$Z$39</definedName>
    <definedName name="_xlnm.Print_Area" localSheetId="26">'OSR_Div 4_1740TMT'!$A$1:$Z$39</definedName>
    <definedName name="_xlnm.Print_Area" localSheetId="37">'OSR_Div 5 (2...09141158_1BG9FGV'!$A$1:$Z$39</definedName>
    <definedName name="_xlnm.Print_Area" localSheetId="34">'OSR_Div 5_16NAZO2'!$A$1:$Z$39</definedName>
    <definedName name="_xlnm.Print_Area" localSheetId="36">'OSR_Div 6_P37YY7'!$A$1:$Z$39</definedName>
    <definedName name="_xlnm.Print_Area" localSheetId="99">'OSR_Summary (...56e5d78f_5JEYZH'!$A$1:$Z$39</definedName>
    <definedName name="_xlnm.Print_Area" localSheetId="3">OSR_Summary_18VAVWG!$A$1:$Z$39</definedName>
    <definedName name="_xlnm.Print_Area" localSheetId="2">Summary!$A$1:$Z$317</definedName>
    <definedName name="_xlnm.Print_Titles" localSheetId="38">'100'!$A:$C,'100'!$1:$10</definedName>
    <definedName name="_xlnm.Print_Titles" localSheetId="40">'200'!$A:$C,'200'!$1:$10</definedName>
    <definedName name="_xlnm.Print_Titles" localSheetId="41">'201'!$A:$C,'201'!$1:$10</definedName>
    <definedName name="_xlnm.Print_Titles" localSheetId="42">'202'!$A:$C,'202'!$1:$10</definedName>
    <definedName name="_xlnm.Print_Titles" localSheetId="43">'203'!$A:$C,'203'!$1:$10</definedName>
    <definedName name="_xlnm.Print_Titles" localSheetId="44">'204'!$A:$C,'204'!$1:$10</definedName>
    <definedName name="_xlnm.Print_Titles" localSheetId="45">'205'!$A:$C,'205'!$1:$10</definedName>
    <definedName name="_xlnm.Print_Titles" localSheetId="46">'206'!$A:$C,'206'!$1:$10</definedName>
    <definedName name="_xlnm.Print_Titles" localSheetId="48">'300'!$A:$C,'300'!$1:$10</definedName>
    <definedName name="_xlnm.Print_Titles" localSheetId="49">'300 &amp; 317'!$A:$C,'300 &amp; 317'!$1:$10</definedName>
    <definedName name="_xlnm.Print_Titles" localSheetId="50">'301'!$A:$C,'301'!$1:$10</definedName>
    <definedName name="_xlnm.Print_Titles" localSheetId="51">'306'!$A:$C,'306'!$1:$10</definedName>
    <definedName name="_xlnm.Print_Titles" localSheetId="53">'307'!$A:$C,'307'!$1:$10</definedName>
    <definedName name="_xlnm.Print_Titles" localSheetId="55">'308'!$A:$C,'308'!$1:$10</definedName>
    <definedName name="_xlnm.Print_Titles" localSheetId="67">'309'!$A:$C,'309'!$1:$10</definedName>
    <definedName name="_xlnm.Print_Titles" localSheetId="66">'310'!$A:$C,'310'!$1:$10</definedName>
    <definedName name="_xlnm.Print_Titles" localSheetId="74">'310 &amp; 491'!$A:$C,'310 &amp; 491'!$1:$10</definedName>
    <definedName name="_xlnm.Print_Titles" localSheetId="56">'311'!$A:$C,'311'!$1:$10</definedName>
    <definedName name="_xlnm.Print_Titles" localSheetId="68">'313'!$A:$C,'313'!$1:$10</definedName>
    <definedName name="_xlnm.Print_Titles" localSheetId="54">'314'!$A:$C,'314'!$1:$10</definedName>
    <definedName name="_xlnm.Print_Titles" localSheetId="59">'315'!$A:$C,'315'!$1:$10</definedName>
    <definedName name="_xlnm.Print_Titles" localSheetId="62">'316'!$A:$C,'316'!$1:$10</definedName>
    <definedName name="_xlnm.Print_Titles" localSheetId="65">'317'!$A:$C,'317'!$1:$10</definedName>
    <definedName name="_xlnm.Print_Titles" localSheetId="63">'320'!$A:$C,'320'!$1:$10</definedName>
    <definedName name="_xlnm.Print_Titles" localSheetId="69">'321'!$A:$C,'321'!$1:$10</definedName>
    <definedName name="_xlnm.Print_Titles" localSheetId="70">'322'!$A:$C,'322'!$1:$10</definedName>
    <definedName name="_xlnm.Print_Titles" localSheetId="57">'324'!$A:$C,'324'!$1:$10</definedName>
    <definedName name="_xlnm.Print_Titles" localSheetId="71">'325'!$A:$C,'325'!$1:$10</definedName>
    <definedName name="_xlnm.Print_Titles" localSheetId="60">'326'!$A:$C,'326'!$1:$10</definedName>
    <definedName name="_xlnm.Print_Titles" localSheetId="72">'327'!$A:$C,'327'!$1:$10</definedName>
    <definedName name="_xlnm.Print_Titles" localSheetId="52">'330'!$A:$C,'330'!$1:$10</definedName>
    <definedName name="_xlnm.Print_Titles" localSheetId="58">'331'!$A:$C,'331'!$1:$10</definedName>
    <definedName name="_xlnm.Print_Titles" localSheetId="61">'332'!$A:$C,'332'!$1:$10</definedName>
    <definedName name="_xlnm.Print_Titles" localSheetId="76">'405'!$A:$C,'405'!$1:$10</definedName>
    <definedName name="_xlnm.Print_Titles" localSheetId="77">'406'!$A:$C,'406'!$1:$10</definedName>
    <definedName name="_xlnm.Print_Titles" localSheetId="78">'411'!$A:$C,'411'!$1:$10</definedName>
    <definedName name="_xlnm.Print_Titles" localSheetId="79">'412'!$A:$C,'412'!$1:$10</definedName>
    <definedName name="_xlnm.Print_Titles" localSheetId="80">'413'!$A:$C,'413'!$1:$10</definedName>
    <definedName name="_xlnm.Print_Titles" localSheetId="81">'414'!$A:$C,'414'!$1:$10</definedName>
    <definedName name="_xlnm.Print_Titles" localSheetId="82">'415'!$A:$C,'415'!$1:$10</definedName>
    <definedName name="_xlnm.Print_Titles" localSheetId="83">'418'!$A:$C,'418'!$1:$10</definedName>
    <definedName name="_xlnm.Print_Titles" localSheetId="84">'420'!$A:$C,'420'!$1:$10</definedName>
    <definedName name="_xlnm.Print_Titles" localSheetId="85">'423'!$A:$C,'423'!$1:$10</definedName>
    <definedName name="_xlnm.Print_Titles" localSheetId="86">'424'!$A:$C,'424'!$1:$10</definedName>
    <definedName name="_xlnm.Print_Titles" localSheetId="87">'425'!$A:$C,'425'!$1:$10</definedName>
    <definedName name="_xlnm.Print_Titles" localSheetId="90">'430'!$A:$C,'430'!$1:$10</definedName>
    <definedName name="_xlnm.Print_Titles" localSheetId="91">'433'!$A:$C,'433'!$1:$10</definedName>
    <definedName name="_xlnm.Print_Titles" localSheetId="92">'435'!$A:$C,'435'!$1:$10</definedName>
    <definedName name="_xlnm.Print_Titles" localSheetId="93">'444'!$A:$C,'444'!$1:$10</definedName>
    <definedName name="_xlnm.Print_Titles" localSheetId="94">'450'!$A:$C,'450'!$1:$10</definedName>
    <definedName name="_xlnm.Print_Titles" localSheetId="88">'455'!$A:$C,'455'!$1:$10</definedName>
    <definedName name="_xlnm.Print_Titles" localSheetId="75">'491'!$A:$C,'491'!$1:$10</definedName>
    <definedName name="_xlnm.Print_Titles" localSheetId="89">'492'!$A:$C,'492'!$1:$10</definedName>
    <definedName name="_xlnm.Print_Titles" localSheetId="96">'501'!$A:$C,'501'!$1:$10</definedName>
    <definedName name="_xlnm.Print_Titles" localSheetId="97">Dept!$A:$C,Dept!$1:$10</definedName>
    <definedName name="_xlnm.Print_Titles" localSheetId="5">'Div 1'!$A:$C,'Div 1'!$1:$10</definedName>
    <definedName name="_xlnm.Print_Titles" localSheetId="39">'Div 2'!$A:$C,'Div 2'!$1:$10</definedName>
    <definedName name="_xlnm.Print_Titles" localSheetId="47">'Div 3'!$A:$C,'Div 3'!$1:$10</definedName>
    <definedName name="_xlnm.Print_Titles" localSheetId="73">'Div 4'!$A:$C,'Div 4'!$1:$10</definedName>
    <definedName name="_xlnm.Print_Titles" localSheetId="95">'Div 5'!$A:$C,'Div 5'!$1:$10</definedName>
    <definedName name="_xlnm.Print_Titles" localSheetId="64">'Div 6'!$A:$C,'Div 6'!$1:$10</definedName>
    <definedName name="_xlnm.Print_Titles" localSheetId="14">'OSR_300 &amp; 317_1C00ID4'!$A:$C,'OSR_300 &amp; 317_1C00ID4'!$1:$10</definedName>
    <definedName name="_xlnm.Print_Titles" localSheetId="11">'OSR_300 (2)_7...54cb56fc_UFX0O2'!$A:$C,'OSR_300 (2)_7...54cb56fc_UFX0O2'!$1:$10</definedName>
    <definedName name="_xlnm.Print_Titles" localSheetId="15">'OSR_300 (2)_c...79cd3046_1TJM0H'!$A:$C,'OSR_300 (2)_c...79cd3046_1TJM0H'!$1:$10</definedName>
    <definedName name="_xlnm.Print_Titles" localSheetId="17">'OSR_300 (2)_e...5d0da5bf_6BPGAO'!$A:$C,'OSR_300 (2)_e...5d0da5bf_6BPGAO'!$1:$10</definedName>
    <definedName name="_xlnm.Print_Titles" localSheetId="12">OSR_300_IYZXI6!$A:$C,OSR_300_IYZXI6!$1:$10</definedName>
    <definedName name="_xlnm.Print_Titles" localSheetId="23">'OSR_308 (2)_...47685838_1YQW4QY'!$A:$C,'OSR_308 (2)_...47685838_1YQW4QY'!$1:$10</definedName>
    <definedName name="_xlnm.Print_Titles" localSheetId="20">OSR_308_UAWDAG!$A:$C,OSR_308_UAWDAG!$1:$10</definedName>
    <definedName name="_xlnm.Print_Titles" localSheetId="28">'OSR_310 &amp; 491_1NGRCS9'!$A:$C,'OSR_310 &amp; 491_1NGRCS9'!$1:$10</definedName>
    <definedName name="_xlnm.Print_Titles" localSheetId="19">'OSR_310 (2)_...6e684f08_1FLCNJG'!$A:$C,'OSR_310 (2)_...6e684f08_1FLCNJG'!$1:$10</definedName>
    <definedName name="_xlnm.Print_Titles" localSheetId="27">'OSR_310 (2)_...8cac1423_1JTU33X'!$A:$C,'OSR_310 (2)_...8cac1423_1JTU33X'!$1:$10</definedName>
    <definedName name="_xlnm.Print_Titles" localSheetId="16">OSR_310_1CMTOSB!$A:$C,OSR_310_1CMTOSB!$1:$10</definedName>
    <definedName name="_xlnm.Print_Titles" localSheetId="21">'OSR_330 (2)_...8a14c83e_1NSH7XI'!$A:$C,'OSR_330 (2)_...8a14c83e_1NSH7XI'!$1:$10</definedName>
    <definedName name="_xlnm.Print_Titles" localSheetId="18">OSR_330_10VFP5Y!$A:$C,OSR_330_10VFP5Y!$1:$10</definedName>
    <definedName name="_xlnm.Print_Titles" localSheetId="25">'OSR_331 (2)_...7280af70_1P5SPLT'!$A:$C,'OSR_331 (2)_...7280af70_1P5SPLT'!$1:$10</definedName>
    <definedName name="_xlnm.Print_Titles" localSheetId="22">OSR_331_10VKQAJ!$A:$C,OSR_331_10VKQAJ!$1:$10</definedName>
    <definedName name="_xlnm.Print_Titles" localSheetId="24">OSR_332_6NDVBW!$A:$C,OSR_332_6NDVBW!$1:$10</definedName>
    <definedName name="_xlnm.Print_Titles" localSheetId="29">'OSR_491 (2)_0...c51cc666_QIOT67'!$A:$C,'OSR_491 (2)_0...c51cc666_QIOT67'!$1:$10</definedName>
    <definedName name="_xlnm.Print_Titles" localSheetId="30">OSR_491_9Z9JH5!$A:$C,OSR_491_9Z9JH5!$1:$10</definedName>
    <definedName name="_xlnm.Print_Titles" localSheetId="35">'OSR_492 (2)_...cd97c6a6_13HYXEV'!$A:$C,'OSR_492 (2)_...cd97c6a6_13HYXEV'!$1:$10</definedName>
    <definedName name="_xlnm.Print_Titles" localSheetId="32">OSR_492_943FP1!$A:$C,OSR_492_943FP1!$1:$10</definedName>
    <definedName name="_xlnm.Print_Titles" localSheetId="4">'OSR_Current ...69b7dd8c_1IEQKFK'!$A:$C,'OSR_Current ...69b7dd8c_1IEQKFK'!$1:$10</definedName>
    <definedName name="_xlnm.Print_Titles" localSheetId="98">OSR_Dept_Y0WUKY!$A:$C,OSR_Dept_Y0WUKY!$1:$10</definedName>
    <definedName name="_xlnm.Print_Titles" localSheetId="9">'OSR_Div 1 (2)...789fe994_2NV3KA'!$A:$C,'OSR_Div 1 (2)...789fe994_2NV3KA'!$1:$10</definedName>
    <definedName name="_xlnm.Print_Titles" localSheetId="6">'OSR_Div 1_7H47HR'!$A:$C,'OSR_Div 1_7H47HR'!$1:$10</definedName>
    <definedName name="_xlnm.Print_Titles" localSheetId="8">'OSR_Div 2_1PQ800A'!$A:$C,'OSR_Div 2_1PQ800A'!$1:$10</definedName>
    <definedName name="_xlnm.Print_Titles" localSheetId="7">'OSR_Div 3 (2)...4cb81c06_PBSMLS'!$A:$C,'OSR_Div 3 (2)...4cb81c06_PBSMLS'!$1:$10</definedName>
    <definedName name="_xlnm.Print_Titles" localSheetId="13">'OSR_Div 3 (2)...b7db256a_40ITCB'!$A:$C,'OSR_Div 3 (2)...b7db256a_40ITCB'!$1:$10</definedName>
    <definedName name="_xlnm.Print_Titles" localSheetId="10">'OSR_Div 3_18723PH'!$A:$C,'OSR_Div 3_18723PH'!$1:$10</definedName>
    <definedName name="_xlnm.Print_Titles" localSheetId="33">'OSR_Div 4 (2)...1a9a4454_CQFRNE'!$A:$C,'OSR_Div 4 (2)...1a9a4454_CQFRNE'!$1:$10</definedName>
    <definedName name="_xlnm.Print_Titles" localSheetId="31">'OSR_Div 4 (2...2533da42_174R6QX'!$A:$C,'OSR_Div 4 (2...2533da42_174R6QX'!$1:$10</definedName>
    <definedName name="_xlnm.Print_Titles" localSheetId="26">'OSR_Div 4_1740TMT'!$A:$C,'OSR_Div 4_1740TMT'!$1:$10</definedName>
    <definedName name="_xlnm.Print_Titles" localSheetId="37">'OSR_Div 5 (2...09141158_1BG9FGV'!$A:$C,'OSR_Div 5 (2...09141158_1BG9FGV'!$1:$10</definedName>
    <definedName name="_xlnm.Print_Titles" localSheetId="34">'OSR_Div 5_16NAZO2'!$A:$C,'OSR_Div 5_16NAZO2'!$1:$10</definedName>
    <definedName name="_xlnm.Print_Titles" localSheetId="36">'OSR_Div 6_P37YY7'!$A:$C,'OSR_Div 6_P37YY7'!$1:$10</definedName>
    <definedName name="_xlnm.Print_Titles" localSheetId="99">'OSR_Summary (...56e5d78f_5JEYZH'!$A:$C,'OSR_Summary (...56e5d78f_5JEYZH'!$1:$10</definedName>
    <definedName name="_xlnm.Print_Titles" localSheetId="3">OSR_Summary_18VAVWG!$A:$C,OSR_Summary_18VAVWG!$1:$10</definedName>
    <definedName name="_xlnm.Print_Titles" localSheetId="2">Summary!$A:$C,Summary!$1:$10</definedName>
  </definedNames>
  <calcPr calcId="162913"/>
</workbook>
</file>

<file path=xl/calcChain.xml><?xml version="1.0" encoding="utf-8"?>
<calcChain xmlns="http://schemas.openxmlformats.org/spreadsheetml/2006/main">
  <c r="X65" i="109" l="1"/>
  <c r="Z65" i="109" s="1"/>
  <c r="R65" i="109"/>
  <c r="L65" i="109"/>
  <c r="N65" i="109" s="1"/>
  <c r="T61" i="109"/>
  <c r="Z61" i="109" s="1"/>
  <c r="P61" i="109"/>
  <c r="X61" i="109" s="1"/>
  <c r="L61" i="109"/>
  <c r="H61" i="109"/>
  <c r="H60" i="109" s="1"/>
  <c r="D61" i="109"/>
  <c r="B61" i="109"/>
  <c r="T60" i="109"/>
  <c r="D60" i="109"/>
  <c r="L60" i="109" s="1"/>
  <c r="N60" i="109" s="1"/>
  <c r="Z58" i="109"/>
  <c r="X58" i="109"/>
  <c r="N58" i="109"/>
  <c r="L58" i="109"/>
  <c r="B58" i="109"/>
  <c r="T57" i="109"/>
  <c r="P57" i="109"/>
  <c r="X57" i="109" s="1"/>
  <c r="H57" i="109"/>
  <c r="D57" i="109"/>
  <c r="B57" i="109"/>
  <c r="X56" i="109"/>
  <c r="Z56" i="109" s="1"/>
  <c r="N56" i="109"/>
  <c r="L56" i="109"/>
  <c r="B56" i="109"/>
  <c r="X55" i="109"/>
  <c r="Z55" i="109" s="1"/>
  <c r="N55" i="109"/>
  <c r="L55" i="109"/>
  <c r="B55" i="109"/>
  <c r="Z54" i="109"/>
  <c r="X54" i="109"/>
  <c r="N54" i="109"/>
  <c r="L54" i="109"/>
  <c r="B54" i="109"/>
  <c r="T53" i="109"/>
  <c r="Z53" i="109" s="1"/>
  <c r="P53" i="109"/>
  <c r="X53" i="109" s="1"/>
  <c r="H53" i="109"/>
  <c r="D53" i="109"/>
  <c r="L53" i="109" s="1"/>
  <c r="N53" i="109" s="1"/>
  <c r="B53" i="109"/>
  <c r="Z52" i="109"/>
  <c r="X52" i="109"/>
  <c r="N52" i="109"/>
  <c r="L52" i="109"/>
  <c r="J52" i="109"/>
  <c r="B52" i="109"/>
  <c r="Z51" i="109"/>
  <c r="X51" i="109"/>
  <c r="N51" i="109"/>
  <c r="L51" i="109"/>
  <c r="B51" i="109"/>
  <c r="Z50" i="109"/>
  <c r="X50" i="109"/>
  <c r="N50" i="109"/>
  <c r="L50" i="109"/>
  <c r="B50" i="109"/>
  <c r="X49" i="109"/>
  <c r="T49" i="109"/>
  <c r="P49" i="109"/>
  <c r="N49" i="109"/>
  <c r="H49" i="109"/>
  <c r="D49" i="109"/>
  <c r="L49" i="109" s="1"/>
  <c r="B49" i="109"/>
  <c r="Z48" i="109"/>
  <c r="X48" i="109"/>
  <c r="V48" i="109"/>
  <c r="N48" i="109"/>
  <c r="L48" i="109"/>
  <c r="B48" i="109"/>
  <c r="T47" i="109"/>
  <c r="P47" i="109"/>
  <c r="X47" i="109" s="1"/>
  <c r="H47" i="109"/>
  <c r="D47" i="109"/>
  <c r="L47" i="109" s="1"/>
  <c r="B47" i="109"/>
  <c r="Z46" i="109"/>
  <c r="X46" i="109"/>
  <c r="V46" i="109"/>
  <c r="N46" i="109"/>
  <c r="L46" i="109"/>
  <c r="B46" i="109"/>
  <c r="T45" i="109"/>
  <c r="P45" i="109"/>
  <c r="X45" i="109" s="1"/>
  <c r="H45" i="109"/>
  <c r="D45" i="109"/>
  <c r="B45" i="109"/>
  <c r="Z44" i="109"/>
  <c r="X44" i="109"/>
  <c r="N44" i="109"/>
  <c r="L44" i="109"/>
  <c r="B44" i="109"/>
  <c r="Z43" i="109"/>
  <c r="X43" i="109"/>
  <c r="N43" i="109"/>
  <c r="L43" i="109"/>
  <c r="B43" i="109"/>
  <c r="Z42" i="109"/>
  <c r="T42" i="109"/>
  <c r="P42" i="109"/>
  <c r="X42" i="109" s="1"/>
  <c r="N42" i="109"/>
  <c r="L42" i="109"/>
  <c r="J42" i="109"/>
  <c r="H42" i="109"/>
  <c r="F42" i="109"/>
  <c r="D42" i="109"/>
  <c r="B42" i="109"/>
  <c r="X41" i="109"/>
  <c r="Z41" i="109" s="1"/>
  <c r="N41" i="109"/>
  <c r="L41" i="109"/>
  <c r="B41" i="109"/>
  <c r="Z40" i="109"/>
  <c r="X40" i="109"/>
  <c r="V40" i="109"/>
  <c r="T40" i="109"/>
  <c r="P40" i="109"/>
  <c r="H40" i="109"/>
  <c r="N40" i="109" s="1"/>
  <c r="D40" i="109"/>
  <c r="L40" i="109" s="1"/>
  <c r="B40" i="109"/>
  <c r="X39" i="109"/>
  <c r="Z39" i="109" s="1"/>
  <c r="L39" i="109"/>
  <c r="N39" i="109" s="1"/>
  <c r="B39" i="109"/>
  <c r="T38" i="109"/>
  <c r="X38" i="109" s="1"/>
  <c r="Z38" i="109" s="1"/>
  <c r="P38" i="109"/>
  <c r="H38" i="109"/>
  <c r="D38" i="109"/>
  <c r="L38" i="109" s="1"/>
  <c r="N38" i="109" s="1"/>
  <c r="B38" i="109"/>
  <c r="X37" i="109"/>
  <c r="Z37" i="109" s="1"/>
  <c r="L37" i="109"/>
  <c r="N37" i="109" s="1"/>
  <c r="B37" i="109"/>
  <c r="Z36" i="109"/>
  <c r="X36" i="109"/>
  <c r="T36" i="109"/>
  <c r="P36" i="109"/>
  <c r="N36" i="109"/>
  <c r="H36" i="109"/>
  <c r="D36" i="109"/>
  <c r="L36" i="109" s="1"/>
  <c r="B36" i="109"/>
  <c r="Z35" i="109"/>
  <c r="X35" i="109"/>
  <c r="L35" i="109"/>
  <c r="N35" i="109" s="1"/>
  <c r="B35" i="109"/>
  <c r="Z34" i="109"/>
  <c r="X34" i="109"/>
  <c r="N34" i="109"/>
  <c r="L34" i="109"/>
  <c r="B34" i="109"/>
  <c r="X33" i="109"/>
  <c r="Z33" i="109" s="1"/>
  <c r="L33" i="109"/>
  <c r="N33" i="109" s="1"/>
  <c r="J33" i="109"/>
  <c r="B33" i="109"/>
  <c r="Z32" i="109"/>
  <c r="X32" i="109"/>
  <c r="N32" i="109"/>
  <c r="L32" i="109"/>
  <c r="B32" i="109"/>
  <c r="Z31" i="109"/>
  <c r="X31" i="109"/>
  <c r="N31" i="109"/>
  <c r="L31" i="109"/>
  <c r="B31" i="109"/>
  <c r="T30" i="109"/>
  <c r="P30" i="109"/>
  <c r="N30" i="109"/>
  <c r="L30" i="109"/>
  <c r="J30" i="109"/>
  <c r="H30" i="109"/>
  <c r="D30" i="109"/>
  <c r="B30" i="109"/>
  <c r="X29" i="109"/>
  <c r="Z29" i="109" s="1"/>
  <c r="L29" i="109"/>
  <c r="N29" i="109" s="1"/>
  <c r="B29" i="109"/>
  <c r="Z28" i="109"/>
  <c r="X28" i="109"/>
  <c r="N28" i="109"/>
  <c r="L28" i="109"/>
  <c r="B28" i="109"/>
  <c r="X27" i="109"/>
  <c r="Z27" i="109" s="1"/>
  <c r="L27" i="109"/>
  <c r="N27" i="109" s="1"/>
  <c r="B27" i="109"/>
  <c r="Z26" i="109"/>
  <c r="X26" i="109"/>
  <c r="N26" i="109"/>
  <c r="L26" i="109"/>
  <c r="B26" i="109"/>
  <c r="X25" i="109"/>
  <c r="Z25" i="109" s="1"/>
  <c r="L25" i="109"/>
  <c r="N25" i="109" s="1"/>
  <c r="B25" i="109"/>
  <c r="Z24" i="109"/>
  <c r="X24" i="109"/>
  <c r="L24" i="109"/>
  <c r="N24" i="109" s="1"/>
  <c r="B24" i="109"/>
  <c r="X23" i="109"/>
  <c r="Z23" i="109" s="1"/>
  <c r="L23" i="109"/>
  <c r="N23" i="109" s="1"/>
  <c r="B23" i="109"/>
  <c r="Z22" i="109"/>
  <c r="X22" i="109"/>
  <c r="N22" i="109"/>
  <c r="L22" i="109"/>
  <c r="B22" i="109"/>
  <c r="X21" i="109"/>
  <c r="Z21" i="109" s="1"/>
  <c r="L21" i="109"/>
  <c r="N21" i="109" s="1"/>
  <c r="B21" i="109"/>
  <c r="T20" i="109"/>
  <c r="P20" i="109"/>
  <c r="X20" i="109" s="1"/>
  <c r="Z20" i="109" s="1"/>
  <c r="N20" i="109"/>
  <c r="H20" i="109"/>
  <c r="L20" i="109" s="1"/>
  <c r="D20" i="109"/>
  <c r="B20" i="109"/>
  <c r="T19" i="109"/>
  <c r="P19" i="109"/>
  <c r="X19" i="109" s="1"/>
  <c r="H19" i="109"/>
  <c r="D19" i="109"/>
  <c r="P17" i="109"/>
  <c r="H17" i="109"/>
  <c r="T15" i="109"/>
  <c r="Z15" i="109" s="1"/>
  <c r="P15" i="109"/>
  <c r="X15" i="109" s="1"/>
  <c r="L15" i="109"/>
  <c r="H15" i="109"/>
  <c r="N15" i="109" s="1"/>
  <c r="D15" i="109"/>
  <c r="T13" i="109"/>
  <c r="P13" i="109"/>
  <c r="P12" i="109" s="1"/>
  <c r="R31" i="109" s="1"/>
  <c r="H13" i="109"/>
  <c r="D13" i="109"/>
  <c r="L13" i="109" s="1"/>
  <c r="N13" i="109" s="1"/>
  <c r="B13" i="109"/>
  <c r="T12" i="109"/>
  <c r="V54" i="109" s="1"/>
  <c r="H12" i="109"/>
  <c r="D12" i="109"/>
  <c r="D6" i="109"/>
  <c r="D4" i="109"/>
  <c r="V42" i="108"/>
  <c r="J42" i="108"/>
  <c r="V39" i="108"/>
  <c r="R39" i="108"/>
  <c r="J39" i="108"/>
  <c r="Z37" i="108"/>
  <c r="X37" i="108"/>
  <c r="N37" i="108"/>
  <c r="L37" i="108"/>
  <c r="J37" i="108"/>
  <c r="V35" i="108"/>
  <c r="R35" i="108"/>
  <c r="V33" i="108"/>
  <c r="T33" i="108"/>
  <c r="P33" i="108"/>
  <c r="X33" i="108" s="1"/>
  <c r="Z33" i="108" s="1"/>
  <c r="N33" i="108"/>
  <c r="L33" i="108"/>
  <c r="J33" i="108"/>
  <c r="H33" i="108"/>
  <c r="D33" i="108"/>
  <c r="B33" i="108"/>
  <c r="X32" i="108"/>
  <c r="Z32" i="108" s="1"/>
  <c r="V32" i="108"/>
  <c r="T32" i="108"/>
  <c r="R32" i="108"/>
  <c r="P32" i="108"/>
  <c r="H32" i="108"/>
  <c r="D32" i="108"/>
  <c r="B32" i="108"/>
  <c r="T31" i="108"/>
  <c r="R31" i="108"/>
  <c r="J31" i="108"/>
  <c r="D31" i="108"/>
  <c r="Z29" i="108"/>
  <c r="X29" i="108"/>
  <c r="R29" i="108"/>
  <c r="N29" i="108"/>
  <c r="L29" i="108"/>
  <c r="J29" i="108"/>
  <c r="B29" i="108"/>
  <c r="X28" i="108"/>
  <c r="Z28" i="108" s="1"/>
  <c r="V28" i="108"/>
  <c r="L28" i="108"/>
  <c r="N28" i="108" s="1"/>
  <c r="J28" i="108"/>
  <c r="B28" i="108"/>
  <c r="Z27" i="108"/>
  <c r="T27" i="108"/>
  <c r="R27" i="108"/>
  <c r="P27" i="108"/>
  <c r="X27" i="108" s="1"/>
  <c r="J27" i="108"/>
  <c r="H27" i="108"/>
  <c r="D27" i="108"/>
  <c r="L27" i="108" s="1"/>
  <c r="N27" i="108" s="1"/>
  <c r="B27" i="108"/>
  <c r="X26" i="108"/>
  <c r="Z26" i="108" s="1"/>
  <c r="N26" i="108"/>
  <c r="L26" i="108"/>
  <c r="B26" i="108"/>
  <c r="X25" i="108"/>
  <c r="Z25" i="108" s="1"/>
  <c r="N25" i="108"/>
  <c r="L25" i="108"/>
  <c r="J25" i="108"/>
  <c r="B25" i="108"/>
  <c r="Z24" i="108"/>
  <c r="X24" i="108"/>
  <c r="V24" i="108"/>
  <c r="L24" i="108"/>
  <c r="N24" i="108" s="1"/>
  <c r="B24" i="108"/>
  <c r="X23" i="108"/>
  <c r="Z23" i="108" s="1"/>
  <c r="R23" i="108"/>
  <c r="N23" i="108"/>
  <c r="L23" i="108"/>
  <c r="J23" i="108"/>
  <c r="B23" i="108"/>
  <c r="X22" i="108"/>
  <c r="Z22" i="108" s="1"/>
  <c r="L22" i="108"/>
  <c r="N22" i="108" s="1"/>
  <c r="F22" i="108"/>
  <c r="B22" i="108"/>
  <c r="X21" i="108"/>
  <c r="Z21" i="108" s="1"/>
  <c r="L21" i="108"/>
  <c r="N21" i="108" s="1"/>
  <c r="J21" i="108"/>
  <c r="B21" i="108"/>
  <c r="Z20" i="108"/>
  <c r="X20" i="108"/>
  <c r="V20" i="108"/>
  <c r="R20" i="108"/>
  <c r="L20" i="108"/>
  <c r="N20" i="108" s="1"/>
  <c r="B20" i="108"/>
  <c r="T19" i="108"/>
  <c r="X19" i="108" s="1"/>
  <c r="Z19" i="108" s="1"/>
  <c r="R19" i="108"/>
  <c r="P19" i="108"/>
  <c r="N19" i="108"/>
  <c r="L19" i="108"/>
  <c r="H19" i="108"/>
  <c r="D19" i="108"/>
  <c r="B19" i="108"/>
  <c r="V18" i="108"/>
  <c r="T18" i="108"/>
  <c r="R18" i="108"/>
  <c r="P18" i="108"/>
  <c r="H18" i="108"/>
  <c r="D18" i="108"/>
  <c r="L18" i="108" s="1"/>
  <c r="Z16" i="108"/>
  <c r="T16" i="108"/>
  <c r="T35" i="108" s="1"/>
  <c r="R16" i="108"/>
  <c r="Z14" i="108"/>
  <c r="T14" i="108"/>
  <c r="R14" i="108"/>
  <c r="P14" i="108"/>
  <c r="N14" i="108"/>
  <c r="L14" i="108"/>
  <c r="J14" i="108"/>
  <c r="H14" i="108"/>
  <c r="D14" i="108"/>
  <c r="Z12" i="108"/>
  <c r="X12" i="108"/>
  <c r="T12" i="108"/>
  <c r="V26" i="108" s="1"/>
  <c r="P12" i="108"/>
  <c r="R26" i="108" s="1"/>
  <c r="N12" i="108"/>
  <c r="H12" i="108"/>
  <c r="D12" i="108"/>
  <c r="D6" i="108"/>
  <c r="D4" i="108"/>
  <c r="Z85" i="107"/>
  <c r="X85" i="107"/>
  <c r="N85" i="107"/>
  <c r="L85" i="107"/>
  <c r="Z81" i="107"/>
  <c r="X81" i="107"/>
  <c r="T81" i="107"/>
  <c r="P81" i="107"/>
  <c r="N81" i="107"/>
  <c r="L81" i="107"/>
  <c r="H81" i="107"/>
  <c r="D81" i="107"/>
  <c r="X79" i="107"/>
  <c r="Z79" i="107" s="1"/>
  <c r="N79" i="107"/>
  <c r="L79" i="107"/>
  <c r="B79" i="107"/>
  <c r="T78" i="107"/>
  <c r="P78" i="107"/>
  <c r="X78" i="107" s="1"/>
  <c r="L78" i="107"/>
  <c r="H78" i="107"/>
  <c r="N78" i="107" s="1"/>
  <c r="D78" i="107"/>
  <c r="B78" i="107"/>
  <c r="X77" i="107"/>
  <c r="Z77" i="107" s="1"/>
  <c r="N77" i="107"/>
  <c r="L77" i="107"/>
  <c r="B77" i="107"/>
  <c r="Z76" i="107"/>
  <c r="T76" i="107"/>
  <c r="X76" i="107" s="1"/>
  <c r="R76" i="107"/>
  <c r="P76" i="107"/>
  <c r="H76" i="107"/>
  <c r="L76" i="107" s="1"/>
  <c r="N76" i="107" s="1"/>
  <c r="D76" i="107"/>
  <c r="B76" i="107"/>
  <c r="Z75" i="107"/>
  <c r="X75" i="107"/>
  <c r="L75" i="107"/>
  <c r="N75" i="107" s="1"/>
  <c r="B75" i="107"/>
  <c r="X74" i="107"/>
  <c r="V74" i="107"/>
  <c r="T74" i="107"/>
  <c r="Z74" i="107" s="1"/>
  <c r="P74" i="107"/>
  <c r="H74" i="107"/>
  <c r="D74" i="107"/>
  <c r="L74" i="107" s="1"/>
  <c r="N74" i="107" s="1"/>
  <c r="B74" i="107"/>
  <c r="X73" i="107"/>
  <c r="Z73" i="107" s="1"/>
  <c r="N73" i="107"/>
  <c r="L73" i="107"/>
  <c r="B73" i="107"/>
  <c r="X72" i="107"/>
  <c r="Z72" i="107" s="1"/>
  <c r="N72" i="107"/>
  <c r="L72" i="107"/>
  <c r="B72" i="107"/>
  <c r="X71" i="107"/>
  <c r="Z71" i="107" s="1"/>
  <c r="N71" i="107"/>
  <c r="L71" i="107"/>
  <c r="B71" i="107"/>
  <c r="X70" i="107"/>
  <c r="Z70" i="107" s="1"/>
  <c r="N70" i="107"/>
  <c r="L70" i="107"/>
  <c r="B70" i="107"/>
  <c r="X69" i="107"/>
  <c r="Z69" i="107" s="1"/>
  <c r="L69" i="107"/>
  <c r="N69" i="107" s="1"/>
  <c r="B69" i="107"/>
  <c r="X68" i="107"/>
  <c r="Z68" i="107" s="1"/>
  <c r="N68" i="107"/>
  <c r="L68" i="107"/>
  <c r="B68" i="107"/>
  <c r="X67" i="107"/>
  <c r="Z67" i="107" s="1"/>
  <c r="V67" i="107"/>
  <c r="T67" i="107"/>
  <c r="P67" i="107"/>
  <c r="H67" i="107"/>
  <c r="D67" i="107"/>
  <c r="L67" i="107" s="1"/>
  <c r="N67" i="107" s="1"/>
  <c r="B67" i="107"/>
  <c r="X66" i="107"/>
  <c r="Z66" i="107" s="1"/>
  <c r="L66" i="107"/>
  <c r="N66" i="107" s="1"/>
  <c r="B66" i="107"/>
  <c r="X65" i="107"/>
  <c r="Z65" i="107" s="1"/>
  <c r="N65" i="107"/>
  <c r="L65" i="107"/>
  <c r="B65" i="107"/>
  <c r="Z64" i="107"/>
  <c r="X64" i="107"/>
  <c r="N64" i="107"/>
  <c r="L64" i="107"/>
  <c r="B64" i="107"/>
  <c r="Z63" i="107"/>
  <c r="T63" i="107"/>
  <c r="X63" i="107" s="1"/>
  <c r="P63" i="107"/>
  <c r="L63" i="107"/>
  <c r="H63" i="107"/>
  <c r="D63" i="107"/>
  <c r="B63" i="107"/>
  <c r="X62" i="107"/>
  <c r="Z62" i="107" s="1"/>
  <c r="V62" i="107"/>
  <c r="L62" i="107"/>
  <c r="N62" i="107" s="1"/>
  <c r="B62" i="107"/>
  <c r="T61" i="107"/>
  <c r="P61" i="107"/>
  <c r="X61" i="107" s="1"/>
  <c r="Z61" i="107" s="1"/>
  <c r="H61" i="107"/>
  <c r="D61" i="107"/>
  <c r="L61" i="107" s="1"/>
  <c r="B61" i="107"/>
  <c r="X60" i="107"/>
  <c r="Z60" i="107" s="1"/>
  <c r="N60" i="107"/>
  <c r="L60" i="107"/>
  <c r="B60" i="107"/>
  <c r="X59" i="107"/>
  <c r="Z59" i="107" s="1"/>
  <c r="T59" i="107"/>
  <c r="R59" i="107"/>
  <c r="P59" i="107"/>
  <c r="H59" i="107"/>
  <c r="D59" i="107"/>
  <c r="L59" i="107" s="1"/>
  <c r="N59" i="107" s="1"/>
  <c r="B59" i="107"/>
  <c r="Z58" i="107"/>
  <c r="X58" i="107"/>
  <c r="L58" i="107"/>
  <c r="N58" i="107" s="1"/>
  <c r="B58" i="107"/>
  <c r="X57" i="107"/>
  <c r="T57" i="107"/>
  <c r="P57" i="107"/>
  <c r="H57" i="107"/>
  <c r="D57" i="107"/>
  <c r="B57" i="107"/>
  <c r="Z56" i="107"/>
  <c r="X56" i="107"/>
  <c r="N56" i="107"/>
  <c r="L56" i="107"/>
  <c r="B56" i="107"/>
  <c r="T55" i="107"/>
  <c r="P55" i="107"/>
  <c r="N55" i="107"/>
  <c r="H55" i="107"/>
  <c r="D55" i="107"/>
  <c r="L55" i="107" s="1"/>
  <c r="B55" i="107"/>
  <c r="X54" i="107"/>
  <c r="Z54" i="107" s="1"/>
  <c r="N54" i="107"/>
  <c r="L54" i="107"/>
  <c r="B54" i="107"/>
  <c r="T53" i="107"/>
  <c r="P53" i="107"/>
  <c r="X53" i="107" s="1"/>
  <c r="Z53" i="107" s="1"/>
  <c r="N53" i="107"/>
  <c r="L53" i="107"/>
  <c r="H53" i="107"/>
  <c r="D53" i="107"/>
  <c r="B53" i="107"/>
  <c r="Z52" i="107"/>
  <c r="X52" i="107"/>
  <c r="N52" i="107"/>
  <c r="L52" i="107"/>
  <c r="B52" i="107"/>
  <c r="Z51" i="107"/>
  <c r="T51" i="107"/>
  <c r="X51" i="107" s="1"/>
  <c r="P51" i="107"/>
  <c r="L51" i="107"/>
  <c r="H51" i="107"/>
  <c r="N51" i="107" s="1"/>
  <c r="D51" i="107"/>
  <c r="B51" i="107"/>
  <c r="X50" i="107"/>
  <c r="Z50" i="107" s="1"/>
  <c r="V50" i="107"/>
  <c r="L50" i="107"/>
  <c r="N50" i="107" s="1"/>
  <c r="B50" i="107"/>
  <c r="T49" i="107"/>
  <c r="P49" i="107"/>
  <c r="X49" i="107" s="1"/>
  <c r="Z49" i="107" s="1"/>
  <c r="H49" i="107"/>
  <c r="D49" i="107"/>
  <c r="L49" i="107" s="1"/>
  <c r="B49" i="107"/>
  <c r="Z48" i="107"/>
  <c r="X48" i="107"/>
  <c r="N48" i="107"/>
  <c r="L48" i="107"/>
  <c r="B48" i="107"/>
  <c r="Z47" i="107"/>
  <c r="X47" i="107"/>
  <c r="V47" i="107"/>
  <c r="T47" i="107"/>
  <c r="P47" i="107"/>
  <c r="N47" i="107"/>
  <c r="L47" i="107"/>
  <c r="H47" i="107"/>
  <c r="D47" i="107"/>
  <c r="B47" i="107"/>
  <c r="Z46" i="107"/>
  <c r="X46" i="107"/>
  <c r="L46" i="107"/>
  <c r="N46" i="107" s="1"/>
  <c r="B46" i="107"/>
  <c r="X45" i="107"/>
  <c r="T45" i="107"/>
  <c r="R45" i="107"/>
  <c r="P45" i="107"/>
  <c r="H45" i="107"/>
  <c r="L45" i="107" s="1"/>
  <c r="D45" i="107"/>
  <c r="B45" i="107"/>
  <c r="Z44" i="107"/>
  <c r="X44" i="107"/>
  <c r="R44" i="107"/>
  <c r="N44" i="107"/>
  <c r="L44" i="107"/>
  <c r="B44" i="107"/>
  <c r="T43" i="107"/>
  <c r="P43" i="107"/>
  <c r="X43" i="107" s="1"/>
  <c r="N43" i="107"/>
  <c r="H43" i="107"/>
  <c r="D43" i="107"/>
  <c r="L43" i="107" s="1"/>
  <c r="B43" i="107"/>
  <c r="X42" i="107"/>
  <c r="Z42" i="107" s="1"/>
  <c r="V42" i="107"/>
  <c r="N42" i="107"/>
  <c r="L42" i="107"/>
  <c r="B42" i="107"/>
  <c r="X41" i="107"/>
  <c r="Z41" i="107" s="1"/>
  <c r="T41" i="107"/>
  <c r="P41" i="107"/>
  <c r="L41" i="107"/>
  <c r="N41" i="107" s="1"/>
  <c r="H41" i="107"/>
  <c r="D41" i="107"/>
  <c r="B41" i="107"/>
  <c r="Z40" i="107"/>
  <c r="X40" i="107"/>
  <c r="N40" i="107"/>
  <c r="L40" i="107"/>
  <c r="B40" i="107"/>
  <c r="Z39" i="107"/>
  <c r="X39" i="107"/>
  <c r="V39" i="107"/>
  <c r="R39" i="107"/>
  <c r="N39" i="107"/>
  <c r="L39" i="107"/>
  <c r="B39" i="107"/>
  <c r="X38" i="107"/>
  <c r="Z38" i="107" s="1"/>
  <c r="L38" i="107"/>
  <c r="N38" i="107" s="1"/>
  <c r="B38" i="107"/>
  <c r="X37" i="107"/>
  <c r="Z37" i="107" s="1"/>
  <c r="R37" i="107"/>
  <c r="N37" i="107"/>
  <c r="L37" i="107"/>
  <c r="B37" i="107"/>
  <c r="Z36" i="107"/>
  <c r="X36" i="107"/>
  <c r="N36" i="107"/>
  <c r="L36" i="107"/>
  <c r="B36" i="107"/>
  <c r="Z35" i="107"/>
  <c r="X35" i="107"/>
  <c r="N35" i="107"/>
  <c r="L35" i="107"/>
  <c r="B35" i="107"/>
  <c r="T34" i="107"/>
  <c r="P34" i="107"/>
  <c r="X34" i="107" s="1"/>
  <c r="N34" i="107"/>
  <c r="L34" i="107"/>
  <c r="H34" i="107"/>
  <c r="D34" i="107"/>
  <c r="B34" i="107"/>
  <c r="Z33" i="107"/>
  <c r="X33" i="107"/>
  <c r="N33" i="107"/>
  <c r="L33" i="107"/>
  <c r="B33" i="107"/>
  <c r="Z32" i="107"/>
  <c r="X32" i="107"/>
  <c r="L32" i="107"/>
  <c r="N32" i="107" s="1"/>
  <c r="B32" i="107"/>
  <c r="Z31" i="107"/>
  <c r="X31" i="107"/>
  <c r="R31" i="107"/>
  <c r="L31" i="107"/>
  <c r="N31" i="107" s="1"/>
  <c r="B31" i="107"/>
  <c r="X30" i="107"/>
  <c r="Z30" i="107" s="1"/>
  <c r="L30" i="107"/>
  <c r="N30" i="107" s="1"/>
  <c r="B30" i="107"/>
  <c r="Z29" i="107"/>
  <c r="X29" i="107"/>
  <c r="N29" i="107"/>
  <c r="L29" i="107"/>
  <c r="B29" i="107"/>
  <c r="Z28" i="107"/>
  <c r="X28" i="107"/>
  <c r="L28" i="107"/>
  <c r="N28" i="107" s="1"/>
  <c r="B28" i="107"/>
  <c r="Z27" i="107"/>
  <c r="X27" i="107"/>
  <c r="R27" i="107"/>
  <c r="L27" i="107"/>
  <c r="N27" i="107" s="1"/>
  <c r="B27" i="107"/>
  <c r="X26" i="107"/>
  <c r="Z26" i="107" s="1"/>
  <c r="L26" i="107"/>
  <c r="N26" i="107" s="1"/>
  <c r="B26" i="107"/>
  <c r="Z25" i="107"/>
  <c r="X25" i="107"/>
  <c r="N25" i="107"/>
  <c r="L25" i="107"/>
  <c r="B25" i="107"/>
  <c r="Z24" i="107"/>
  <c r="T24" i="107"/>
  <c r="P24" i="107"/>
  <c r="X24" i="107" s="1"/>
  <c r="L24" i="107"/>
  <c r="H24" i="107"/>
  <c r="N24" i="107" s="1"/>
  <c r="D24" i="107"/>
  <c r="B24" i="107"/>
  <c r="T23" i="107"/>
  <c r="R23" i="107"/>
  <c r="P23" i="107"/>
  <c r="X23" i="107" s="1"/>
  <c r="Z23" i="107" s="1"/>
  <c r="H23" i="107"/>
  <c r="D23" i="107"/>
  <c r="L23" i="107" s="1"/>
  <c r="N23" i="107" s="1"/>
  <c r="X19" i="107"/>
  <c r="Z19" i="107" s="1"/>
  <c r="N19" i="107"/>
  <c r="L19" i="107"/>
  <c r="B19" i="107"/>
  <c r="X18" i="107"/>
  <c r="Z18" i="107" s="1"/>
  <c r="N18" i="107"/>
  <c r="L18" i="107"/>
  <c r="B18" i="107"/>
  <c r="T17" i="107"/>
  <c r="P17" i="107"/>
  <c r="X17" i="107" s="1"/>
  <c r="Z17" i="107" s="1"/>
  <c r="L17" i="107"/>
  <c r="N17" i="107" s="1"/>
  <c r="H17" i="107"/>
  <c r="D17" i="107"/>
  <c r="X15" i="107"/>
  <c r="Z15" i="107" s="1"/>
  <c r="T15" i="107"/>
  <c r="P15" i="107"/>
  <c r="H15" i="107"/>
  <c r="D15" i="107"/>
  <c r="L15" i="107" s="1"/>
  <c r="N15" i="107" s="1"/>
  <c r="B15" i="107"/>
  <c r="X14" i="107"/>
  <c r="T14" i="107"/>
  <c r="P14" i="107"/>
  <c r="P12" i="107" s="1"/>
  <c r="R78" i="107" s="1"/>
  <c r="N14" i="107"/>
  <c r="L14" i="107"/>
  <c r="H14" i="107"/>
  <c r="D14" i="107"/>
  <c r="B14" i="107"/>
  <c r="T13" i="107"/>
  <c r="P13" i="107"/>
  <c r="H13" i="107"/>
  <c r="D13" i="107"/>
  <c r="B13" i="107"/>
  <c r="T12" i="107"/>
  <c r="V70" i="107" s="1"/>
  <c r="D12" i="107"/>
  <c r="D6" i="107"/>
  <c r="D4" i="107"/>
  <c r="X87" i="105"/>
  <c r="Z87" i="105" s="1"/>
  <c r="L87" i="105"/>
  <c r="N87" i="105" s="1"/>
  <c r="T83" i="105"/>
  <c r="Z83" i="105" s="1"/>
  <c r="P83" i="105"/>
  <c r="X83" i="105" s="1"/>
  <c r="H83" i="105"/>
  <c r="N83" i="105" s="1"/>
  <c r="D83" i="105"/>
  <c r="L83" i="105" s="1"/>
  <c r="X81" i="105"/>
  <c r="Z81" i="105" s="1"/>
  <c r="N81" i="105"/>
  <c r="L81" i="105"/>
  <c r="B81" i="105"/>
  <c r="T80" i="105"/>
  <c r="P80" i="105"/>
  <c r="X80" i="105" s="1"/>
  <c r="Z80" i="105" s="1"/>
  <c r="L80" i="105"/>
  <c r="N80" i="105" s="1"/>
  <c r="H80" i="105"/>
  <c r="D80" i="105"/>
  <c r="B80" i="105"/>
  <c r="X79" i="105"/>
  <c r="Z79" i="105" s="1"/>
  <c r="N79" i="105"/>
  <c r="L79" i="105"/>
  <c r="B79" i="105"/>
  <c r="T78" i="105"/>
  <c r="X78" i="105" s="1"/>
  <c r="P78" i="105"/>
  <c r="L78" i="105"/>
  <c r="H78" i="105"/>
  <c r="N78" i="105" s="1"/>
  <c r="D78" i="105"/>
  <c r="B78" i="105"/>
  <c r="X77" i="105"/>
  <c r="Z77" i="105" s="1"/>
  <c r="L77" i="105"/>
  <c r="N77" i="105" s="1"/>
  <c r="B77" i="105"/>
  <c r="T76" i="105"/>
  <c r="P76" i="105"/>
  <c r="X76" i="105" s="1"/>
  <c r="H76" i="105"/>
  <c r="N76" i="105" s="1"/>
  <c r="D76" i="105"/>
  <c r="L76" i="105" s="1"/>
  <c r="B76" i="105"/>
  <c r="X75" i="105"/>
  <c r="Z75" i="105" s="1"/>
  <c r="N75" i="105"/>
  <c r="L75" i="105"/>
  <c r="B75" i="105"/>
  <c r="X74" i="105"/>
  <c r="Z74" i="105" s="1"/>
  <c r="N74" i="105"/>
  <c r="L74" i="105"/>
  <c r="B74" i="105"/>
  <c r="X73" i="105"/>
  <c r="Z73" i="105" s="1"/>
  <c r="N73" i="105"/>
  <c r="L73" i="105"/>
  <c r="B73" i="105"/>
  <c r="X72" i="105"/>
  <c r="Z72" i="105" s="1"/>
  <c r="L72" i="105"/>
  <c r="N72" i="105" s="1"/>
  <c r="B72" i="105"/>
  <c r="X71" i="105"/>
  <c r="Z71" i="105" s="1"/>
  <c r="L71" i="105"/>
  <c r="N71" i="105" s="1"/>
  <c r="B71" i="105"/>
  <c r="X70" i="105"/>
  <c r="Z70" i="105" s="1"/>
  <c r="N70" i="105"/>
  <c r="L70" i="105"/>
  <c r="B70" i="105"/>
  <c r="X69" i="105"/>
  <c r="Z69" i="105" s="1"/>
  <c r="L69" i="105"/>
  <c r="N69" i="105" s="1"/>
  <c r="B69" i="105"/>
  <c r="Z68" i="105"/>
  <c r="X68" i="105"/>
  <c r="N68" i="105"/>
  <c r="L68" i="105"/>
  <c r="B68" i="105"/>
  <c r="X67" i="105"/>
  <c r="Z67" i="105" s="1"/>
  <c r="L67" i="105"/>
  <c r="N67" i="105" s="1"/>
  <c r="B67" i="105"/>
  <c r="X66" i="105"/>
  <c r="Z66" i="105" s="1"/>
  <c r="T66" i="105"/>
  <c r="P66" i="105"/>
  <c r="L66" i="105"/>
  <c r="N66" i="105" s="1"/>
  <c r="H66" i="105"/>
  <c r="D66" i="105"/>
  <c r="B66" i="105"/>
  <c r="Z65" i="105"/>
  <c r="X65" i="105"/>
  <c r="N65" i="105"/>
  <c r="L65" i="105"/>
  <c r="B65" i="105"/>
  <c r="X64" i="105"/>
  <c r="Z64" i="105" s="1"/>
  <c r="N64" i="105"/>
  <c r="L64" i="105"/>
  <c r="B64" i="105"/>
  <c r="X63" i="105"/>
  <c r="Z63" i="105" s="1"/>
  <c r="N63" i="105"/>
  <c r="L63" i="105"/>
  <c r="B63" i="105"/>
  <c r="T62" i="105"/>
  <c r="Z62" i="105" s="1"/>
  <c r="P62" i="105"/>
  <c r="X62" i="105" s="1"/>
  <c r="L62" i="105"/>
  <c r="N62" i="105" s="1"/>
  <c r="H62" i="105"/>
  <c r="D62" i="105"/>
  <c r="B62" i="105"/>
  <c r="X61" i="105"/>
  <c r="Z61" i="105" s="1"/>
  <c r="N61" i="105"/>
  <c r="L61" i="105"/>
  <c r="B61" i="105"/>
  <c r="X60" i="105"/>
  <c r="Z60" i="105" s="1"/>
  <c r="N60" i="105"/>
  <c r="L60" i="105"/>
  <c r="B60" i="105"/>
  <c r="X59" i="105"/>
  <c r="Z59" i="105" s="1"/>
  <c r="T59" i="105"/>
  <c r="P59" i="105"/>
  <c r="L59" i="105"/>
  <c r="N59" i="105" s="1"/>
  <c r="H59" i="105"/>
  <c r="D59" i="105"/>
  <c r="B59" i="105"/>
  <c r="Z58" i="105"/>
  <c r="X58" i="105"/>
  <c r="L58" i="105"/>
  <c r="N58" i="105" s="1"/>
  <c r="B58" i="105"/>
  <c r="T57" i="105"/>
  <c r="P57" i="105"/>
  <c r="H57" i="105"/>
  <c r="D57" i="105"/>
  <c r="B57" i="105"/>
  <c r="X56" i="105"/>
  <c r="Z56" i="105" s="1"/>
  <c r="L56" i="105"/>
  <c r="N56" i="105" s="1"/>
  <c r="B56" i="105"/>
  <c r="T55" i="105"/>
  <c r="P55" i="105"/>
  <c r="X55" i="105" s="1"/>
  <c r="H55" i="105"/>
  <c r="D55" i="105"/>
  <c r="L55" i="105" s="1"/>
  <c r="B55" i="105"/>
  <c r="X54" i="105"/>
  <c r="Z54" i="105" s="1"/>
  <c r="N54" i="105"/>
  <c r="L54" i="105"/>
  <c r="B54" i="105"/>
  <c r="X53" i="105"/>
  <c r="Z53" i="105" s="1"/>
  <c r="T53" i="105"/>
  <c r="P53" i="105"/>
  <c r="L53" i="105"/>
  <c r="N53" i="105" s="1"/>
  <c r="H53" i="105"/>
  <c r="D53" i="105"/>
  <c r="B53" i="105"/>
  <c r="Z52" i="105"/>
  <c r="X52" i="105"/>
  <c r="L52" i="105"/>
  <c r="N52" i="105" s="1"/>
  <c r="B52" i="105"/>
  <c r="T51" i="105"/>
  <c r="P51" i="105"/>
  <c r="X51" i="105" s="1"/>
  <c r="H51" i="105"/>
  <c r="D51" i="105"/>
  <c r="B51" i="105"/>
  <c r="X50" i="105"/>
  <c r="Z50" i="105" s="1"/>
  <c r="L50" i="105"/>
  <c r="N50" i="105" s="1"/>
  <c r="B50" i="105"/>
  <c r="T49" i="105"/>
  <c r="P49" i="105"/>
  <c r="X49" i="105" s="1"/>
  <c r="H49" i="105"/>
  <c r="D49" i="105"/>
  <c r="L49" i="105" s="1"/>
  <c r="B49" i="105"/>
  <c r="Z48" i="105"/>
  <c r="X48" i="105"/>
  <c r="N48" i="105"/>
  <c r="L48" i="105"/>
  <c r="B48" i="105"/>
  <c r="Z47" i="105"/>
  <c r="X47" i="105"/>
  <c r="T47" i="105"/>
  <c r="P47" i="105"/>
  <c r="N47" i="105"/>
  <c r="L47" i="105"/>
  <c r="H47" i="105"/>
  <c r="D47" i="105"/>
  <c r="B47" i="105"/>
  <c r="Z46" i="105"/>
  <c r="X46" i="105"/>
  <c r="L46" i="105"/>
  <c r="N46" i="105" s="1"/>
  <c r="B46" i="105"/>
  <c r="T45" i="105"/>
  <c r="P45" i="105"/>
  <c r="H45" i="105"/>
  <c r="D45" i="105"/>
  <c r="B45" i="105"/>
  <c r="X44" i="105"/>
  <c r="Z44" i="105" s="1"/>
  <c r="N44" i="105"/>
  <c r="L44" i="105"/>
  <c r="B44" i="105"/>
  <c r="T43" i="105"/>
  <c r="P43" i="105"/>
  <c r="X43" i="105" s="1"/>
  <c r="H43" i="105"/>
  <c r="D43" i="105"/>
  <c r="L43" i="105" s="1"/>
  <c r="B43" i="105"/>
  <c r="X42" i="105"/>
  <c r="Z42" i="105" s="1"/>
  <c r="N42" i="105"/>
  <c r="L42" i="105"/>
  <c r="B42" i="105"/>
  <c r="X41" i="105"/>
  <c r="Z41" i="105" s="1"/>
  <c r="T41" i="105"/>
  <c r="P41" i="105"/>
  <c r="L41" i="105"/>
  <c r="N41" i="105" s="1"/>
  <c r="H41" i="105"/>
  <c r="D41" i="105"/>
  <c r="B41" i="105"/>
  <c r="Z40" i="105"/>
  <c r="X40" i="105"/>
  <c r="L40" i="105"/>
  <c r="N40" i="105" s="1"/>
  <c r="B40" i="105"/>
  <c r="Z39" i="105"/>
  <c r="X39" i="105"/>
  <c r="L39" i="105"/>
  <c r="N39" i="105" s="1"/>
  <c r="B39" i="105"/>
  <c r="Z38" i="105"/>
  <c r="X38" i="105"/>
  <c r="L38" i="105"/>
  <c r="N38" i="105" s="1"/>
  <c r="B38" i="105"/>
  <c r="Z37" i="105"/>
  <c r="X37" i="105"/>
  <c r="L37" i="105"/>
  <c r="N37" i="105" s="1"/>
  <c r="B37" i="105"/>
  <c r="Z36" i="105"/>
  <c r="X36" i="105"/>
  <c r="L36" i="105"/>
  <c r="N36" i="105" s="1"/>
  <c r="B36" i="105"/>
  <c r="Z35" i="105"/>
  <c r="X35" i="105"/>
  <c r="L35" i="105"/>
  <c r="N35" i="105" s="1"/>
  <c r="B35" i="105"/>
  <c r="T34" i="105"/>
  <c r="P34" i="105"/>
  <c r="X34" i="105" s="1"/>
  <c r="Z34" i="105" s="1"/>
  <c r="N34" i="105"/>
  <c r="H34" i="105"/>
  <c r="D34" i="105"/>
  <c r="L34" i="105" s="1"/>
  <c r="B34" i="105"/>
  <c r="X33" i="105"/>
  <c r="Z33" i="105" s="1"/>
  <c r="L33" i="105"/>
  <c r="N33" i="105" s="1"/>
  <c r="B33" i="105"/>
  <c r="X32" i="105"/>
  <c r="Z32" i="105" s="1"/>
  <c r="N32" i="105"/>
  <c r="L32" i="105"/>
  <c r="B32" i="105"/>
  <c r="X31" i="105"/>
  <c r="Z31" i="105" s="1"/>
  <c r="L31" i="105"/>
  <c r="N31" i="105" s="1"/>
  <c r="B31" i="105"/>
  <c r="X30" i="105"/>
  <c r="Z30" i="105" s="1"/>
  <c r="L30" i="105"/>
  <c r="N30" i="105" s="1"/>
  <c r="B30" i="105"/>
  <c r="X29" i="105"/>
  <c r="Z29" i="105" s="1"/>
  <c r="N29" i="105"/>
  <c r="L29" i="105"/>
  <c r="B29" i="105"/>
  <c r="X28" i="105"/>
  <c r="Z28" i="105" s="1"/>
  <c r="N28" i="105"/>
  <c r="L28" i="105"/>
  <c r="B28" i="105"/>
  <c r="X27" i="105"/>
  <c r="Z27" i="105" s="1"/>
  <c r="L27" i="105"/>
  <c r="N27" i="105" s="1"/>
  <c r="B27" i="105"/>
  <c r="X26" i="105"/>
  <c r="Z26" i="105" s="1"/>
  <c r="L26" i="105"/>
  <c r="N26" i="105" s="1"/>
  <c r="B26" i="105"/>
  <c r="X25" i="105"/>
  <c r="Z25" i="105" s="1"/>
  <c r="N25" i="105"/>
  <c r="L25" i="105"/>
  <c r="B25" i="105"/>
  <c r="X24" i="105"/>
  <c r="Z24" i="105" s="1"/>
  <c r="V24" i="105"/>
  <c r="T24" i="105"/>
  <c r="P24" i="105"/>
  <c r="H24" i="105"/>
  <c r="D24" i="105"/>
  <c r="L24" i="105" s="1"/>
  <c r="B24" i="105"/>
  <c r="T23" i="105"/>
  <c r="P23" i="105"/>
  <c r="X23" i="105" s="1"/>
  <c r="L23" i="105"/>
  <c r="N23" i="105" s="1"/>
  <c r="H23" i="105"/>
  <c r="D23" i="105"/>
  <c r="X19" i="105"/>
  <c r="Z19" i="105" s="1"/>
  <c r="N19" i="105"/>
  <c r="L19" i="105"/>
  <c r="B19" i="105"/>
  <c r="X18" i="105"/>
  <c r="Z18" i="105" s="1"/>
  <c r="N18" i="105"/>
  <c r="L18" i="105"/>
  <c r="B18" i="105"/>
  <c r="T17" i="105"/>
  <c r="P17" i="105"/>
  <c r="X17" i="105" s="1"/>
  <c r="Z17" i="105" s="1"/>
  <c r="H17" i="105"/>
  <c r="D17" i="105"/>
  <c r="X15" i="105"/>
  <c r="Z15" i="105" s="1"/>
  <c r="T15" i="105"/>
  <c r="P15" i="105"/>
  <c r="H15" i="105"/>
  <c r="D15" i="105"/>
  <c r="L15" i="105" s="1"/>
  <c r="B15" i="105"/>
  <c r="T14" i="105"/>
  <c r="P14" i="105"/>
  <c r="X14" i="105" s="1"/>
  <c r="Z14" i="105" s="1"/>
  <c r="N14" i="105"/>
  <c r="H14" i="105"/>
  <c r="D14" i="105"/>
  <c r="L14" i="105" s="1"/>
  <c r="B14" i="105"/>
  <c r="T13" i="105"/>
  <c r="P13" i="105"/>
  <c r="X13" i="105" s="1"/>
  <c r="Z13" i="105" s="1"/>
  <c r="H13" i="105"/>
  <c r="D13" i="105"/>
  <c r="B13" i="105"/>
  <c r="T12" i="105"/>
  <c r="P12" i="105"/>
  <c r="D6" i="105"/>
  <c r="D4" i="105"/>
  <c r="Z50" i="104"/>
  <c r="X50" i="104"/>
  <c r="L50" i="104"/>
  <c r="N50" i="104" s="1"/>
  <c r="T46" i="104"/>
  <c r="X46" i="104" s="1"/>
  <c r="P46" i="104"/>
  <c r="L46" i="104"/>
  <c r="H46" i="104"/>
  <c r="N46" i="104" s="1"/>
  <c r="D46" i="104"/>
  <c r="Z44" i="104"/>
  <c r="X44" i="104"/>
  <c r="N44" i="104"/>
  <c r="L44" i="104"/>
  <c r="B44" i="104"/>
  <c r="Z43" i="104"/>
  <c r="T43" i="104"/>
  <c r="X43" i="104" s="1"/>
  <c r="P43" i="104"/>
  <c r="H43" i="104"/>
  <c r="D43" i="104"/>
  <c r="L43" i="104" s="1"/>
  <c r="N43" i="104" s="1"/>
  <c r="B43" i="104"/>
  <c r="Z42" i="104"/>
  <c r="X42" i="104"/>
  <c r="N42" i="104"/>
  <c r="L42" i="104"/>
  <c r="B42" i="104"/>
  <c r="X41" i="104"/>
  <c r="Z41" i="104" s="1"/>
  <c r="L41" i="104"/>
  <c r="N41" i="104" s="1"/>
  <c r="B41" i="104"/>
  <c r="Z40" i="104"/>
  <c r="X40" i="104"/>
  <c r="N40" i="104"/>
  <c r="L40" i="104"/>
  <c r="B40" i="104"/>
  <c r="T39" i="104"/>
  <c r="P39" i="104"/>
  <c r="H39" i="104"/>
  <c r="D39" i="104"/>
  <c r="B39" i="104"/>
  <c r="X38" i="104"/>
  <c r="Z38" i="104" s="1"/>
  <c r="L38" i="104"/>
  <c r="N38" i="104" s="1"/>
  <c r="B38" i="104"/>
  <c r="T37" i="104"/>
  <c r="R37" i="104"/>
  <c r="P37" i="104"/>
  <c r="X37" i="104" s="1"/>
  <c r="H37" i="104"/>
  <c r="D37" i="104"/>
  <c r="L37" i="104" s="1"/>
  <c r="B37" i="104"/>
  <c r="Z36" i="104"/>
  <c r="X36" i="104"/>
  <c r="N36" i="104"/>
  <c r="L36" i="104"/>
  <c r="F36" i="104"/>
  <c r="B36" i="104"/>
  <c r="T35" i="104"/>
  <c r="P35" i="104"/>
  <c r="H35" i="104"/>
  <c r="D35" i="104"/>
  <c r="L35" i="104" s="1"/>
  <c r="N35" i="104" s="1"/>
  <c r="B35" i="104"/>
  <c r="Z34" i="104"/>
  <c r="X34" i="104"/>
  <c r="L34" i="104"/>
  <c r="N34" i="104" s="1"/>
  <c r="B34" i="104"/>
  <c r="T33" i="104"/>
  <c r="P33" i="104"/>
  <c r="X33" i="104" s="1"/>
  <c r="Z33" i="104" s="1"/>
  <c r="H33" i="104"/>
  <c r="D33" i="104"/>
  <c r="B33" i="104"/>
  <c r="X32" i="104"/>
  <c r="Z32" i="104" s="1"/>
  <c r="N32" i="104"/>
  <c r="L32" i="104"/>
  <c r="B32" i="104"/>
  <c r="T31" i="104"/>
  <c r="P31" i="104"/>
  <c r="H31" i="104"/>
  <c r="D31" i="104"/>
  <c r="L31" i="104" s="1"/>
  <c r="B31" i="104"/>
  <c r="X30" i="104"/>
  <c r="Z30" i="104" s="1"/>
  <c r="R30" i="104"/>
  <c r="N30" i="104"/>
  <c r="L30" i="104"/>
  <c r="B30" i="104"/>
  <c r="Z29" i="104"/>
  <c r="X29" i="104"/>
  <c r="L29" i="104"/>
  <c r="N29" i="104" s="1"/>
  <c r="B29" i="104"/>
  <c r="Z28" i="104"/>
  <c r="T28" i="104"/>
  <c r="X28" i="104" s="1"/>
  <c r="P28" i="104"/>
  <c r="N28" i="104"/>
  <c r="L28" i="104"/>
  <c r="H28" i="104"/>
  <c r="D28" i="104"/>
  <c r="B28" i="104"/>
  <c r="Z27" i="104"/>
  <c r="X27" i="104"/>
  <c r="L27" i="104"/>
  <c r="N27" i="104" s="1"/>
  <c r="B27" i="104"/>
  <c r="Z26" i="104"/>
  <c r="X26" i="104"/>
  <c r="L26" i="104"/>
  <c r="N26" i="104" s="1"/>
  <c r="B26" i="104"/>
  <c r="X25" i="104"/>
  <c r="Z25" i="104" s="1"/>
  <c r="L25" i="104"/>
  <c r="N25" i="104" s="1"/>
  <c r="B25" i="104"/>
  <c r="T24" i="104"/>
  <c r="Z24" i="104" s="1"/>
  <c r="P24" i="104"/>
  <c r="X24" i="104" s="1"/>
  <c r="N24" i="104"/>
  <c r="H24" i="104"/>
  <c r="D24" i="104"/>
  <c r="L24" i="104" s="1"/>
  <c r="B24" i="104"/>
  <c r="T23" i="104"/>
  <c r="P23" i="104"/>
  <c r="H23" i="104"/>
  <c r="D23" i="104"/>
  <c r="F21" i="104"/>
  <c r="D21" i="104"/>
  <c r="X19" i="104"/>
  <c r="Z19" i="104" s="1"/>
  <c r="N19" i="104"/>
  <c r="L19" i="104"/>
  <c r="B19" i="104"/>
  <c r="X18" i="104"/>
  <c r="Z18" i="104" s="1"/>
  <c r="N18" i="104"/>
  <c r="L18" i="104"/>
  <c r="B18" i="104"/>
  <c r="T17" i="104"/>
  <c r="P17" i="104"/>
  <c r="H17" i="104"/>
  <c r="F17" i="104"/>
  <c r="D17" i="104"/>
  <c r="T15" i="104"/>
  <c r="P15" i="104"/>
  <c r="X15" i="104" s="1"/>
  <c r="L15" i="104"/>
  <c r="N15" i="104" s="1"/>
  <c r="H15" i="104"/>
  <c r="D15" i="104"/>
  <c r="B15" i="104"/>
  <c r="T14" i="104"/>
  <c r="P14" i="104"/>
  <c r="H14" i="104"/>
  <c r="D14" i="104"/>
  <c r="L14" i="104" s="1"/>
  <c r="B14" i="104"/>
  <c r="T13" i="104"/>
  <c r="P13" i="104"/>
  <c r="P12" i="104" s="1"/>
  <c r="R46" i="104" s="1"/>
  <c r="L13" i="104"/>
  <c r="N13" i="104" s="1"/>
  <c r="H13" i="104"/>
  <c r="D13" i="104"/>
  <c r="B13" i="104"/>
  <c r="D12" i="104"/>
  <c r="F44" i="104" s="1"/>
  <c r="D6" i="104"/>
  <c r="D4" i="104"/>
  <c r="X85" i="103"/>
  <c r="Z85" i="103" s="1"/>
  <c r="N85" i="103"/>
  <c r="L85" i="103"/>
  <c r="Z81" i="103"/>
  <c r="T81" i="103"/>
  <c r="P81" i="103"/>
  <c r="X81" i="103" s="1"/>
  <c r="N81" i="103"/>
  <c r="L81" i="103"/>
  <c r="H81" i="103"/>
  <c r="D81" i="103"/>
  <c r="Z79" i="103"/>
  <c r="X79" i="103"/>
  <c r="N79" i="103"/>
  <c r="L79" i="103"/>
  <c r="B79" i="103"/>
  <c r="T78" i="103"/>
  <c r="P78" i="103"/>
  <c r="H78" i="103"/>
  <c r="N78" i="103" s="1"/>
  <c r="D78" i="103"/>
  <c r="L78" i="103" s="1"/>
  <c r="B78" i="103"/>
  <c r="Z77" i="103"/>
  <c r="X77" i="103"/>
  <c r="V77" i="103"/>
  <c r="N77" i="103"/>
  <c r="L77" i="103"/>
  <c r="B77" i="103"/>
  <c r="T76" i="103"/>
  <c r="P76" i="103"/>
  <c r="X76" i="103" s="1"/>
  <c r="N76" i="103"/>
  <c r="H76" i="103"/>
  <c r="D76" i="103"/>
  <c r="L76" i="103" s="1"/>
  <c r="B76" i="103"/>
  <c r="Z75" i="103"/>
  <c r="X75" i="103"/>
  <c r="L75" i="103"/>
  <c r="N75" i="103" s="1"/>
  <c r="B75" i="103"/>
  <c r="T74" i="103"/>
  <c r="Z74" i="103" s="1"/>
  <c r="P74" i="103"/>
  <c r="X74" i="103" s="1"/>
  <c r="H74" i="103"/>
  <c r="D74" i="103"/>
  <c r="L74" i="103" s="1"/>
  <c r="B74" i="103"/>
  <c r="Z73" i="103"/>
  <c r="X73" i="103"/>
  <c r="N73" i="103"/>
  <c r="L73" i="103"/>
  <c r="B73" i="103"/>
  <c r="X72" i="103"/>
  <c r="Z72" i="103" s="1"/>
  <c r="N72" i="103"/>
  <c r="L72" i="103"/>
  <c r="B72" i="103"/>
  <c r="Z71" i="103"/>
  <c r="X71" i="103"/>
  <c r="L71" i="103"/>
  <c r="N71" i="103" s="1"/>
  <c r="B71" i="103"/>
  <c r="X70" i="103"/>
  <c r="Z70" i="103" s="1"/>
  <c r="L70" i="103"/>
  <c r="N70" i="103" s="1"/>
  <c r="B70" i="103"/>
  <c r="X69" i="103"/>
  <c r="Z69" i="103" s="1"/>
  <c r="L69" i="103"/>
  <c r="N69" i="103" s="1"/>
  <c r="B69" i="103"/>
  <c r="X68" i="103"/>
  <c r="Z68" i="103" s="1"/>
  <c r="N68" i="103"/>
  <c r="L68" i="103"/>
  <c r="B68" i="103"/>
  <c r="Z67" i="103"/>
  <c r="X67" i="103"/>
  <c r="N67" i="103"/>
  <c r="L67" i="103"/>
  <c r="B67" i="103"/>
  <c r="T66" i="103"/>
  <c r="P66" i="103"/>
  <c r="X66" i="103" s="1"/>
  <c r="L66" i="103"/>
  <c r="N66" i="103" s="1"/>
  <c r="H66" i="103"/>
  <c r="D66" i="103"/>
  <c r="B66" i="103"/>
  <c r="X65" i="103"/>
  <c r="Z65" i="103" s="1"/>
  <c r="N65" i="103"/>
  <c r="L65" i="103"/>
  <c r="B65" i="103"/>
  <c r="X64" i="103"/>
  <c r="Z64" i="103" s="1"/>
  <c r="N64" i="103"/>
  <c r="L64" i="103"/>
  <c r="B64" i="103"/>
  <c r="X63" i="103"/>
  <c r="Z63" i="103" s="1"/>
  <c r="L63" i="103"/>
  <c r="N63" i="103" s="1"/>
  <c r="B63" i="103"/>
  <c r="T62" i="103"/>
  <c r="P62" i="103"/>
  <c r="H62" i="103"/>
  <c r="D62" i="103"/>
  <c r="L62" i="103" s="1"/>
  <c r="B62" i="103"/>
  <c r="Z61" i="103"/>
  <c r="X61" i="103"/>
  <c r="L61" i="103"/>
  <c r="N61" i="103" s="1"/>
  <c r="B61" i="103"/>
  <c r="Z60" i="103"/>
  <c r="X60" i="103"/>
  <c r="L60" i="103"/>
  <c r="N60" i="103" s="1"/>
  <c r="B60" i="103"/>
  <c r="T59" i="103"/>
  <c r="P59" i="103"/>
  <c r="H59" i="103"/>
  <c r="D59" i="103"/>
  <c r="B59" i="103"/>
  <c r="X58" i="103"/>
  <c r="Z58" i="103" s="1"/>
  <c r="L58" i="103"/>
  <c r="N58" i="103" s="1"/>
  <c r="B58" i="103"/>
  <c r="T57" i="103"/>
  <c r="P57" i="103"/>
  <c r="X57" i="103" s="1"/>
  <c r="H57" i="103"/>
  <c r="N57" i="103" s="1"/>
  <c r="D57" i="103"/>
  <c r="L57" i="103" s="1"/>
  <c r="B57" i="103"/>
  <c r="Z56" i="103"/>
  <c r="X56" i="103"/>
  <c r="N56" i="103"/>
  <c r="L56" i="103"/>
  <c r="B56" i="103"/>
  <c r="Z55" i="103"/>
  <c r="X55" i="103"/>
  <c r="T55" i="103"/>
  <c r="P55" i="103"/>
  <c r="N55" i="103"/>
  <c r="H55" i="103"/>
  <c r="D55" i="103"/>
  <c r="L55" i="103" s="1"/>
  <c r="B55" i="103"/>
  <c r="Z54" i="103"/>
  <c r="X54" i="103"/>
  <c r="L54" i="103"/>
  <c r="N54" i="103" s="1"/>
  <c r="B54" i="103"/>
  <c r="T53" i="103"/>
  <c r="P53" i="103"/>
  <c r="H53" i="103"/>
  <c r="D53" i="103"/>
  <c r="B53" i="103"/>
  <c r="X52" i="103"/>
  <c r="Z52" i="103" s="1"/>
  <c r="N52" i="103"/>
  <c r="L52" i="103"/>
  <c r="B52" i="103"/>
  <c r="T51" i="103"/>
  <c r="P51" i="103"/>
  <c r="X51" i="103" s="1"/>
  <c r="H51" i="103"/>
  <c r="N51" i="103" s="1"/>
  <c r="D51" i="103"/>
  <c r="L51" i="103" s="1"/>
  <c r="B51" i="103"/>
  <c r="X50" i="103"/>
  <c r="Z50" i="103" s="1"/>
  <c r="N50" i="103"/>
  <c r="L50" i="103"/>
  <c r="B50" i="103"/>
  <c r="T49" i="103"/>
  <c r="P49" i="103"/>
  <c r="X49" i="103" s="1"/>
  <c r="Z49" i="103" s="1"/>
  <c r="N49" i="103"/>
  <c r="L49" i="103"/>
  <c r="H49" i="103"/>
  <c r="D49" i="103"/>
  <c r="B49" i="103"/>
  <c r="Z48" i="103"/>
  <c r="X48" i="103"/>
  <c r="N48" i="103"/>
  <c r="L48" i="103"/>
  <c r="B48" i="103"/>
  <c r="T47" i="103"/>
  <c r="Z47" i="103" s="1"/>
  <c r="P47" i="103"/>
  <c r="H47" i="103"/>
  <c r="D47" i="103"/>
  <c r="B47" i="103"/>
  <c r="X46" i="103"/>
  <c r="Z46" i="103" s="1"/>
  <c r="L46" i="103"/>
  <c r="N46" i="103" s="1"/>
  <c r="F46" i="103"/>
  <c r="B46" i="103"/>
  <c r="T45" i="103"/>
  <c r="Z45" i="103" s="1"/>
  <c r="P45" i="103"/>
  <c r="X45" i="103" s="1"/>
  <c r="H45" i="103"/>
  <c r="D45" i="103"/>
  <c r="L45" i="103" s="1"/>
  <c r="B45" i="103"/>
  <c r="Z44" i="103"/>
  <c r="X44" i="103"/>
  <c r="N44" i="103"/>
  <c r="L44" i="103"/>
  <c r="B44" i="103"/>
  <c r="X43" i="103"/>
  <c r="Z43" i="103" s="1"/>
  <c r="T43" i="103"/>
  <c r="P43" i="103"/>
  <c r="N43" i="103"/>
  <c r="H43" i="103"/>
  <c r="D43" i="103"/>
  <c r="L43" i="103" s="1"/>
  <c r="B43" i="103"/>
  <c r="Z42" i="103"/>
  <c r="X42" i="103"/>
  <c r="L42" i="103"/>
  <c r="N42" i="103" s="1"/>
  <c r="B42" i="103"/>
  <c r="T41" i="103"/>
  <c r="P41" i="103"/>
  <c r="H41" i="103"/>
  <c r="D41" i="103"/>
  <c r="B41" i="103"/>
  <c r="X40" i="103"/>
  <c r="Z40" i="103" s="1"/>
  <c r="N40" i="103"/>
  <c r="L40" i="103"/>
  <c r="B40" i="103"/>
  <c r="Z39" i="103"/>
  <c r="X39" i="103"/>
  <c r="N39" i="103"/>
  <c r="L39" i="103"/>
  <c r="B39" i="103"/>
  <c r="X38" i="103"/>
  <c r="Z38" i="103" s="1"/>
  <c r="L38" i="103"/>
  <c r="N38" i="103" s="1"/>
  <c r="B38" i="103"/>
  <c r="X37" i="103"/>
  <c r="Z37" i="103" s="1"/>
  <c r="L37" i="103"/>
  <c r="N37" i="103" s="1"/>
  <c r="B37" i="103"/>
  <c r="X36" i="103"/>
  <c r="Z36" i="103" s="1"/>
  <c r="V36" i="103"/>
  <c r="N36" i="103"/>
  <c r="L36" i="103"/>
  <c r="B36" i="103"/>
  <c r="Z35" i="103"/>
  <c r="X35" i="103"/>
  <c r="L35" i="103"/>
  <c r="N35" i="103" s="1"/>
  <c r="B35" i="103"/>
  <c r="T34" i="103"/>
  <c r="P34" i="103"/>
  <c r="X34" i="103" s="1"/>
  <c r="L34" i="103"/>
  <c r="N34" i="103" s="1"/>
  <c r="J34" i="103"/>
  <c r="H34" i="103"/>
  <c r="D34" i="103"/>
  <c r="B34" i="103"/>
  <c r="X33" i="103"/>
  <c r="Z33" i="103" s="1"/>
  <c r="N33" i="103"/>
  <c r="L33" i="103"/>
  <c r="J33" i="103"/>
  <c r="B33" i="103"/>
  <c r="Z32" i="103"/>
  <c r="X32" i="103"/>
  <c r="N32" i="103"/>
  <c r="L32" i="103"/>
  <c r="B32" i="103"/>
  <c r="X31" i="103"/>
  <c r="Z31" i="103" s="1"/>
  <c r="L31" i="103"/>
  <c r="N31" i="103" s="1"/>
  <c r="B31" i="103"/>
  <c r="X30" i="103"/>
  <c r="Z30" i="103" s="1"/>
  <c r="N30" i="103"/>
  <c r="L30" i="103"/>
  <c r="B30" i="103"/>
  <c r="X29" i="103"/>
  <c r="Z29" i="103" s="1"/>
  <c r="N29" i="103"/>
  <c r="L29" i="103"/>
  <c r="B29" i="103"/>
  <c r="X28" i="103"/>
  <c r="Z28" i="103" s="1"/>
  <c r="N28" i="103"/>
  <c r="L28" i="103"/>
  <c r="B28" i="103"/>
  <c r="X27" i="103"/>
  <c r="Z27" i="103" s="1"/>
  <c r="L27" i="103"/>
  <c r="N27" i="103" s="1"/>
  <c r="B27" i="103"/>
  <c r="X26" i="103"/>
  <c r="Z26" i="103" s="1"/>
  <c r="N26" i="103"/>
  <c r="L26" i="103"/>
  <c r="B26" i="103"/>
  <c r="X25" i="103"/>
  <c r="Z25" i="103" s="1"/>
  <c r="N25" i="103"/>
  <c r="L25" i="103"/>
  <c r="F25" i="103"/>
  <c r="B25" i="103"/>
  <c r="T24" i="103"/>
  <c r="Z24" i="103" s="1"/>
  <c r="P24" i="103"/>
  <c r="X24" i="103" s="1"/>
  <c r="H24" i="103"/>
  <c r="D24" i="103"/>
  <c r="B24" i="103"/>
  <c r="T23" i="103"/>
  <c r="P23" i="103"/>
  <c r="H23" i="103"/>
  <c r="D23" i="103"/>
  <c r="X19" i="103"/>
  <c r="Z19" i="103" s="1"/>
  <c r="N19" i="103"/>
  <c r="L19" i="103"/>
  <c r="B19" i="103"/>
  <c r="Z18" i="103"/>
  <c r="X18" i="103"/>
  <c r="N18" i="103"/>
  <c r="L18" i="103"/>
  <c r="J18" i="103"/>
  <c r="B18" i="103"/>
  <c r="T17" i="103"/>
  <c r="P17" i="103"/>
  <c r="H17" i="103"/>
  <c r="D17" i="103"/>
  <c r="L17" i="103" s="1"/>
  <c r="T15" i="103"/>
  <c r="P15" i="103"/>
  <c r="H15" i="103"/>
  <c r="D15" i="103"/>
  <c r="L15" i="103" s="1"/>
  <c r="B15" i="103"/>
  <c r="Z14" i="103"/>
  <c r="T14" i="103"/>
  <c r="T12" i="103" s="1"/>
  <c r="P14" i="103"/>
  <c r="X14" i="103" s="1"/>
  <c r="H14" i="103"/>
  <c r="D14" i="103"/>
  <c r="B14" i="103"/>
  <c r="T13" i="103"/>
  <c r="P13" i="103"/>
  <c r="H13" i="103"/>
  <c r="D13" i="103"/>
  <c r="D12" i="103" s="1"/>
  <c r="B13" i="103"/>
  <c r="H12" i="103"/>
  <c r="D6" i="103"/>
  <c r="D4" i="103"/>
  <c r="V53" i="102"/>
  <c r="J53" i="102"/>
  <c r="V50" i="102"/>
  <c r="J50" i="102"/>
  <c r="Z48" i="102"/>
  <c r="X48" i="102"/>
  <c r="V48" i="102"/>
  <c r="N48" i="102"/>
  <c r="L48" i="102"/>
  <c r="T44" i="102"/>
  <c r="Z44" i="102" s="1"/>
  <c r="P44" i="102"/>
  <c r="N44" i="102"/>
  <c r="H44" i="102"/>
  <c r="D44" i="102"/>
  <c r="L44" i="102" s="1"/>
  <c r="Z42" i="102"/>
  <c r="X42" i="102"/>
  <c r="L42" i="102"/>
  <c r="N42" i="102" s="1"/>
  <c r="J42" i="102"/>
  <c r="B42" i="102"/>
  <c r="T41" i="102"/>
  <c r="P41" i="102"/>
  <c r="X41" i="102" s="1"/>
  <c r="J41" i="102"/>
  <c r="H41" i="102"/>
  <c r="L41" i="102" s="1"/>
  <c r="D41" i="102"/>
  <c r="B41" i="102"/>
  <c r="X40" i="102"/>
  <c r="Z40" i="102" s="1"/>
  <c r="V40" i="102"/>
  <c r="N40" i="102"/>
  <c r="L40" i="102"/>
  <c r="B40" i="102"/>
  <c r="T39" i="102"/>
  <c r="Z39" i="102" s="1"/>
  <c r="P39" i="102"/>
  <c r="X39" i="102" s="1"/>
  <c r="J39" i="102"/>
  <c r="H39" i="102"/>
  <c r="N39" i="102" s="1"/>
  <c r="D39" i="102"/>
  <c r="L39" i="102" s="1"/>
  <c r="B39" i="102"/>
  <c r="Z38" i="102"/>
  <c r="X38" i="102"/>
  <c r="N38" i="102"/>
  <c r="L38" i="102"/>
  <c r="B38" i="102"/>
  <c r="Z37" i="102"/>
  <c r="X37" i="102"/>
  <c r="T37" i="102"/>
  <c r="P37" i="102"/>
  <c r="L37" i="102"/>
  <c r="H37" i="102"/>
  <c r="N37" i="102" s="1"/>
  <c r="D37" i="102"/>
  <c r="B37" i="102"/>
  <c r="Z36" i="102"/>
  <c r="X36" i="102"/>
  <c r="N36" i="102"/>
  <c r="L36" i="102"/>
  <c r="J36" i="102"/>
  <c r="B36" i="102"/>
  <c r="Z35" i="102"/>
  <c r="X35" i="102"/>
  <c r="V35" i="102"/>
  <c r="N35" i="102"/>
  <c r="L35" i="102"/>
  <c r="B35" i="102"/>
  <c r="T34" i="102"/>
  <c r="P34" i="102"/>
  <c r="H34" i="102"/>
  <c r="D34" i="102"/>
  <c r="L34" i="102" s="1"/>
  <c r="N34" i="102" s="1"/>
  <c r="B34" i="102"/>
  <c r="X33" i="102"/>
  <c r="Z33" i="102" s="1"/>
  <c r="V33" i="102"/>
  <c r="N33" i="102"/>
  <c r="L33" i="102"/>
  <c r="B33" i="102"/>
  <c r="V32" i="102"/>
  <c r="T32" i="102"/>
  <c r="P32" i="102"/>
  <c r="X32" i="102" s="1"/>
  <c r="Z32" i="102" s="1"/>
  <c r="N32" i="102"/>
  <c r="L32" i="102"/>
  <c r="J32" i="102"/>
  <c r="H32" i="102"/>
  <c r="D32" i="102"/>
  <c r="B32" i="102"/>
  <c r="X31" i="102"/>
  <c r="Z31" i="102" s="1"/>
  <c r="N31" i="102"/>
  <c r="L31" i="102"/>
  <c r="J31" i="102"/>
  <c r="F31" i="102"/>
  <c r="B31" i="102"/>
  <c r="T30" i="102"/>
  <c r="R30" i="102"/>
  <c r="P30" i="102"/>
  <c r="X30" i="102" s="1"/>
  <c r="L30" i="102"/>
  <c r="J30" i="102"/>
  <c r="H30" i="102"/>
  <c r="N30" i="102" s="1"/>
  <c r="D30" i="102"/>
  <c r="B30" i="102"/>
  <c r="X29" i="102"/>
  <c r="Z29" i="102" s="1"/>
  <c r="R29" i="102"/>
  <c r="L29" i="102"/>
  <c r="N29" i="102" s="1"/>
  <c r="J29" i="102"/>
  <c r="B29" i="102"/>
  <c r="Z28" i="102"/>
  <c r="T28" i="102"/>
  <c r="P28" i="102"/>
  <c r="X28" i="102" s="1"/>
  <c r="H28" i="102"/>
  <c r="N28" i="102" s="1"/>
  <c r="D28" i="102"/>
  <c r="L28" i="102" s="1"/>
  <c r="B28" i="102"/>
  <c r="X27" i="102"/>
  <c r="Z27" i="102" s="1"/>
  <c r="L27" i="102"/>
  <c r="N27" i="102" s="1"/>
  <c r="B27" i="102"/>
  <c r="X26" i="102"/>
  <c r="Z26" i="102" s="1"/>
  <c r="V26" i="102"/>
  <c r="N26" i="102"/>
  <c r="L26" i="102"/>
  <c r="B26" i="102"/>
  <c r="X25" i="102"/>
  <c r="Z25" i="102" s="1"/>
  <c r="V25" i="102"/>
  <c r="R25" i="102"/>
  <c r="N25" i="102"/>
  <c r="L25" i="102"/>
  <c r="B25" i="102"/>
  <c r="X24" i="102"/>
  <c r="Z24" i="102" s="1"/>
  <c r="V24" i="102"/>
  <c r="L24" i="102"/>
  <c r="N24" i="102" s="1"/>
  <c r="J24" i="102"/>
  <c r="B24" i="102"/>
  <c r="X23" i="102"/>
  <c r="Z23" i="102" s="1"/>
  <c r="L23" i="102"/>
  <c r="N23" i="102" s="1"/>
  <c r="B23" i="102"/>
  <c r="Z22" i="102"/>
  <c r="X22" i="102"/>
  <c r="V22" i="102"/>
  <c r="N22" i="102"/>
  <c r="L22" i="102"/>
  <c r="B22" i="102"/>
  <c r="X21" i="102"/>
  <c r="Z21" i="102" s="1"/>
  <c r="V21" i="102"/>
  <c r="R21" i="102"/>
  <c r="L21" i="102"/>
  <c r="N21" i="102" s="1"/>
  <c r="B21" i="102"/>
  <c r="X20" i="102"/>
  <c r="Z20" i="102" s="1"/>
  <c r="V20" i="102"/>
  <c r="L20" i="102"/>
  <c r="N20" i="102" s="1"/>
  <c r="J20" i="102"/>
  <c r="F20" i="102"/>
  <c r="B20" i="102"/>
  <c r="T19" i="102"/>
  <c r="P19" i="102"/>
  <c r="X19" i="102" s="1"/>
  <c r="J19" i="102"/>
  <c r="H19" i="102"/>
  <c r="D19" i="102"/>
  <c r="L19" i="102" s="1"/>
  <c r="B19" i="102"/>
  <c r="T18" i="102"/>
  <c r="R18" i="102"/>
  <c r="P18" i="102"/>
  <c r="X18" i="102" s="1"/>
  <c r="J18" i="102"/>
  <c r="H18" i="102"/>
  <c r="L18" i="102" s="1"/>
  <c r="D18" i="102"/>
  <c r="R16" i="102"/>
  <c r="J16" i="102"/>
  <c r="T14" i="102"/>
  <c r="Z14" i="102" s="1"/>
  <c r="R14" i="102"/>
  <c r="P14" i="102"/>
  <c r="X14" i="102" s="1"/>
  <c r="J14" i="102"/>
  <c r="H14" i="102"/>
  <c r="N14" i="102" s="1"/>
  <c r="D14" i="102"/>
  <c r="T12" i="102"/>
  <c r="V37" i="102" s="1"/>
  <c r="P12" i="102"/>
  <c r="N12" i="102"/>
  <c r="H12" i="102"/>
  <c r="J33" i="102" s="1"/>
  <c r="D12" i="102"/>
  <c r="D6" i="102"/>
  <c r="D4" i="102"/>
  <c r="Z78" i="101"/>
  <c r="X78" i="101"/>
  <c r="L78" i="101"/>
  <c r="N78" i="101" s="1"/>
  <c r="X74" i="101"/>
  <c r="T74" i="101"/>
  <c r="P74" i="101"/>
  <c r="P73" i="101" s="1"/>
  <c r="H74" i="101"/>
  <c r="D74" i="101"/>
  <c r="B74" i="101"/>
  <c r="T73" i="101"/>
  <c r="D73" i="101"/>
  <c r="Z71" i="101"/>
  <c r="X71" i="101"/>
  <c r="L71" i="101"/>
  <c r="N71" i="101" s="1"/>
  <c r="B71" i="101"/>
  <c r="T70" i="101"/>
  <c r="P70" i="101"/>
  <c r="H70" i="101"/>
  <c r="D70" i="101"/>
  <c r="L70" i="101" s="1"/>
  <c r="N70" i="101" s="1"/>
  <c r="B70" i="101"/>
  <c r="X69" i="101"/>
  <c r="Z69" i="101" s="1"/>
  <c r="L69" i="101"/>
  <c r="N69" i="101" s="1"/>
  <c r="B69" i="101"/>
  <c r="T68" i="101"/>
  <c r="Z68" i="101" s="1"/>
  <c r="R68" i="101"/>
  <c r="P68" i="101"/>
  <c r="X68" i="101" s="1"/>
  <c r="H68" i="101"/>
  <c r="N68" i="101" s="1"/>
  <c r="D68" i="101"/>
  <c r="L68" i="101" s="1"/>
  <c r="B68" i="101"/>
  <c r="X67" i="101"/>
  <c r="Z67" i="101" s="1"/>
  <c r="R67" i="101"/>
  <c r="N67" i="101"/>
  <c r="L67" i="101"/>
  <c r="B67" i="101"/>
  <c r="X66" i="101"/>
  <c r="Z66" i="101" s="1"/>
  <c r="L66" i="101"/>
  <c r="N66" i="101" s="1"/>
  <c r="B66" i="101"/>
  <c r="X65" i="101"/>
  <c r="Z65" i="101" s="1"/>
  <c r="N65" i="101"/>
  <c r="L65" i="101"/>
  <c r="B65" i="101"/>
  <c r="X64" i="101"/>
  <c r="Z64" i="101" s="1"/>
  <c r="N64" i="101"/>
  <c r="L64" i="101"/>
  <c r="B64" i="101"/>
  <c r="X63" i="101"/>
  <c r="Z63" i="101" s="1"/>
  <c r="N63" i="101"/>
  <c r="L63" i="101"/>
  <c r="B63" i="101"/>
  <c r="X62" i="101"/>
  <c r="Z62" i="101" s="1"/>
  <c r="L62" i="101"/>
  <c r="N62" i="101" s="1"/>
  <c r="B62" i="101"/>
  <c r="T61" i="101"/>
  <c r="Z61" i="101" s="1"/>
  <c r="R61" i="101"/>
  <c r="P61" i="101"/>
  <c r="X61" i="101" s="1"/>
  <c r="H61" i="101"/>
  <c r="D61" i="101"/>
  <c r="B61" i="101"/>
  <c r="Z60" i="101"/>
  <c r="X60" i="101"/>
  <c r="N60" i="101"/>
  <c r="L60" i="101"/>
  <c r="B60" i="101"/>
  <c r="Z59" i="101"/>
  <c r="X59" i="101"/>
  <c r="L59" i="101"/>
  <c r="N59" i="101" s="1"/>
  <c r="B59" i="101"/>
  <c r="T58" i="101"/>
  <c r="P58" i="101"/>
  <c r="H58" i="101"/>
  <c r="D58" i="101"/>
  <c r="B58" i="101"/>
  <c r="X57" i="101"/>
  <c r="Z57" i="101" s="1"/>
  <c r="V57" i="101"/>
  <c r="L57" i="101"/>
  <c r="N57" i="101" s="1"/>
  <c r="B57" i="101"/>
  <c r="T56" i="101"/>
  <c r="P56" i="101"/>
  <c r="X56" i="101" s="1"/>
  <c r="H56" i="101"/>
  <c r="N56" i="101" s="1"/>
  <c r="D56" i="101"/>
  <c r="L56" i="101" s="1"/>
  <c r="B56" i="101"/>
  <c r="X55" i="101"/>
  <c r="Z55" i="101" s="1"/>
  <c r="N55" i="101"/>
  <c r="L55" i="101"/>
  <c r="B55" i="101"/>
  <c r="Z54" i="101"/>
  <c r="X54" i="101"/>
  <c r="N54" i="101"/>
  <c r="L54" i="101"/>
  <c r="B54" i="101"/>
  <c r="X53" i="101"/>
  <c r="Z53" i="101" s="1"/>
  <c r="N53" i="101"/>
  <c r="L53" i="101"/>
  <c r="B53" i="101"/>
  <c r="X52" i="101"/>
  <c r="Z52" i="101" s="1"/>
  <c r="T52" i="101"/>
  <c r="P52" i="101"/>
  <c r="L52" i="101"/>
  <c r="N52" i="101" s="1"/>
  <c r="H52" i="101"/>
  <c r="D52" i="101"/>
  <c r="B52" i="101"/>
  <c r="Z51" i="101"/>
  <c r="X51" i="101"/>
  <c r="L51" i="101"/>
  <c r="N51" i="101" s="1"/>
  <c r="B51" i="101"/>
  <c r="T50" i="101"/>
  <c r="P50" i="101"/>
  <c r="H50" i="101"/>
  <c r="D50" i="101"/>
  <c r="B50" i="101"/>
  <c r="X49" i="101"/>
  <c r="Z49" i="101" s="1"/>
  <c r="N49" i="101"/>
  <c r="L49" i="101"/>
  <c r="B49" i="101"/>
  <c r="T48" i="101"/>
  <c r="Z48" i="101" s="1"/>
  <c r="P48" i="101"/>
  <c r="X48" i="101" s="1"/>
  <c r="H48" i="101"/>
  <c r="N48" i="101" s="1"/>
  <c r="D48" i="101"/>
  <c r="L48" i="101" s="1"/>
  <c r="B48" i="101"/>
  <c r="X47" i="101"/>
  <c r="Z47" i="101" s="1"/>
  <c r="N47" i="101"/>
  <c r="L47" i="101"/>
  <c r="B47" i="101"/>
  <c r="X46" i="101"/>
  <c r="Z46" i="101" s="1"/>
  <c r="T46" i="101"/>
  <c r="P46" i="101"/>
  <c r="N46" i="101"/>
  <c r="L46" i="101"/>
  <c r="H46" i="101"/>
  <c r="D46" i="101"/>
  <c r="B46" i="101"/>
  <c r="Z45" i="101"/>
  <c r="X45" i="101"/>
  <c r="L45" i="101"/>
  <c r="N45" i="101" s="1"/>
  <c r="B45" i="101"/>
  <c r="T44" i="101"/>
  <c r="P44" i="101"/>
  <c r="H44" i="101"/>
  <c r="D44" i="101"/>
  <c r="B44" i="101"/>
  <c r="X43" i="101"/>
  <c r="Z43" i="101" s="1"/>
  <c r="L43" i="101"/>
  <c r="N43" i="101" s="1"/>
  <c r="B43" i="101"/>
  <c r="T42" i="101"/>
  <c r="Z42" i="101" s="1"/>
  <c r="P42" i="101"/>
  <c r="X42" i="101" s="1"/>
  <c r="H42" i="101"/>
  <c r="N42" i="101" s="1"/>
  <c r="D42" i="101"/>
  <c r="L42" i="101" s="1"/>
  <c r="B42" i="101"/>
  <c r="X41" i="101"/>
  <c r="Z41" i="101" s="1"/>
  <c r="N41" i="101"/>
  <c r="L41" i="101"/>
  <c r="B41" i="101"/>
  <c r="X40" i="101"/>
  <c r="Z40" i="101" s="1"/>
  <c r="T40" i="101"/>
  <c r="P40" i="101"/>
  <c r="L40" i="101"/>
  <c r="N40" i="101" s="1"/>
  <c r="H40" i="101"/>
  <c r="D40" i="101"/>
  <c r="B40" i="101"/>
  <c r="Z39" i="101"/>
  <c r="X39" i="101"/>
  <c r="L39" i="101"/>
  <c r="N39" i="101" s="1"/>
  <c r="B39" i="101"/>
  <c r="X38" i="101"/>
  <c r="V38" i="101"/>
  <c r="T38" i="101"/>
  <c r="P38" i="101"/>
  <c r="H38" i="101"/>
  <c r="D38" i="101"/>
  <c r="B38" i="101"/>
  <c r="Z37" i="101"/>
  <c r="X37" i="101"/>
  <c r="L37" i="101"/>
  <c r="N37" i="101" s="1"/>
  <c r="B37" i="101"/>
  <c r="Z36" i="101"/>
  <c r="X36" i="101"/>
  <c r="N36" i="101"/>
  <c r="L36" i="101"/>
  <c r="B36" i="101"/>
  <c r="X35" i="101"/>
  <c r="Z35" i="101" s="1"/>
  <c r="V35" i="101"/>
  <c r="N35" i="101"/>
  <c r="L35" i="101"/>
  <c r="B35" i="101"/>
  <c r="Z34" i="101"/>
  <c r="X34" i="101"/>
  <c r="L34" i="101"/>
  <c r="N34" i="101" s="1"/>
  <c r="B34" i="101"/>
  <c r="X33" i="101"/>
  <c r="Z33" i="101" s="1"/>
  <c r="L33" i="101"/>
  <c r="N33" i="101" s="1"/>
  <c r="B33" i="101"/>
  <c r="T32" i="101"/>
  <c r="P32" i="101"/>
  <c r="X32" i="101" s="1"/>
  <c r="H32" i="101"/>
  <c r="N32" i="101" s="1"/>
  <c r="D32" i="101"/>
  <c r="L32" i="101" s="1"/>
  <c r="B32" i="101"/>
  <c r="X31" i="101"/>
  <c r="Z31" i="101" s="1"/>
  <c r="R31" i="101"/>
  <c r="N31" i="101"/>
  <c r="L31" i="101"/>
  <c r="B31" i="101"/>
  <c r="X30" i="101"/>
  <c r="Z30" i="101" s="1"/>
  <c r="L30" i="101"/>
  <c r="N30" i="101" s="1"/>
  <c r="F30" i="101"/>
  <c r="B30" i="101"/>
  <c r="X29" i="101"/>
  <c r="Z29" i="101" s="1"/>
  <c r="N29" i="101"/>
  <c r="L29" i="101"/>
  <c r="B29" i="101"/>
  <c r="Z28" i="101"/>
  <c r="X28" i="101"/>
  <c r="L28" i="101"/>
  <c r="N28" i="101" s="1"/>
  <c r="B28" i="101"/>
  <c r="X27" i="101"/>
  <c r="Z27" i="101" s="1"/>
  <c r="V27" i="101"/>
  <c r="R27" i="101"/>
  <c r="N27" i="101"/>
  <c r="L27" i="101"/>
  <c r="B27" i="101"/>
  <c r="X26" i="101"/>
  <c r="Z26" i="101" s="1"/>
  <c r="L26" i="101"/>
  <c r="N26" i="101" s="1"/>
  <c r="F26" i="101"/>
  <c r="B26" i="101"/>
  <c r="X25" i="101"/>
  <c r="Z25" i="101" s="1"/>
  <c r="N25" i="101"/>
  <c r="L25" i="101"/>
  <c r="B25" i="101"/>
  <c r="Z24" i="101"/>
  <c r="X24" i="101"/>
  <c r="L24" i="101"/>
  <c r="N24" i="101" s="1"/>
  <c r="F24" i="101"/>
  <c r="B24" i="101"/>
  <c r="T23" i="101"/>
  <c r="P23" i="101"/>
  <c r="H23" i="101"/>
  <c r="N23" i="101" s="1"/>
  <c r="F23" i="101"/>
  <c r="D23" i="101"/>
  <c r="L23" i="101" s="1"/>
  <c r="B23" i="101"/>
  <c r="T22" i="101"/>
  <c r="P22" i="101"/>
  <c r="H22" i="101"/>
  <c r="D22" i="101"/>
  <c r="X18" i="101"/>
  <c r="Z18" i="101" s="1"/>
  <c r="L18" i="101"/>
  <c r="N18" i="101" s="1"/>
  <c r="B18" i="101"/>
  <c r="Z17" i="101"/>
  <c r="X17" i="101"/>
  <c r="N17" i="101"/>
  <c r="L17" i="101"/>
  <c r="B17" i="101"/>
  <c r="T16" i="101"/>
  <c r="P16" i="101"/>
  <c r="L16" i="101"/>
  <c r="H16" i="101"/>
  <c r="D16" i="101"/>
  <c r="T14" i="101"/>
  <c r="Z14" i="101" s="1"/>
  <c r="P14" i="101"/>
  <c r="X14" i="101" s="1"/>
  <c r="H14" i="101"/>
  <c r="D14" i="101"/>
  <c r="L14" i="101" s="1"/>
  <c r="N14" i="101" s="1"/>
  <c r="B14" i="101"/>
  <c r="T13" i="101"/>
  <c r="X13" i="101" s="1"/>
  <c r="Z13" i="101" s="1"/>
  <c r="P13" i="101"/>
  <c r="H13" i="101"/>
  <c r="D13" i="101"/>
  <c r="D12" i="101" s="1"/>
  <c r="B13" i="101"/>
  <c r="T12" i="101"/>
  <c r="V33" i="101" s="1"/>
  <c r="P12" i="101"/>
  <c r="R76" i="101" s="1"/>
  <c r="D6" i="101"/>
  <c r="D4" i="101"/>
  <c r="Z61" i="100"/>
  <c r="X61" i="100"/>
  <c r="L61" i="100"/>
  <c r="N61" i="100" s="1"/>
  <c r="T57" i="100"/>
  <c r="P57" i="100"/>
  <c r="X57" i="100" s="1"/>
  <c r="L57" i="100"/>
  <c r="H57" i="100"/>
  <c r="D57" i="100"/>
  <c r="D56" i="100" s="1"/>
  <c r="B57" i="100"/>
  <c r="P56" i="100"/>
  <c r="X54" i="100"/>
  <c r="Z54" i="100" s="1"/>
  <c r="L54" i="100"/>
  <c r="N54" i="100" s="1"/>
  <c r="B54" i="100"/>
  <c r="T53" i="100"/>
  <c r="P53" i="100"/>
  <c r="X53" i="100" s="1"/>
  <c r="H53" i="100"/>
  <c r="D53" i="100"/>
  <c r="B53" i="100"/>
  <c r="Z52" i="100"/>
  <c r="X52" i="100"/>
  <c r="N52" i="100"/>
  <c r="L52" i="100"/>
  <c r="B52" i="100"/>
  <c r="Z51" i="100"/>
  <c r="X51" i="100"/>
  <c r="L51" i="100"/>
  <c r="N51" i="100" s="1"/>
  <c r="B51" i="100"/>
  <c r="X50" i="100"/>
  <c r="Z50" i="100" s="1"/>
  <c r="N50" i="100"/>
  <c r="L50" i="100"/>
  <c r="B50" i="100"/>
  <c r="X49" i="100"/>
  <c r="Z49" i="100" s="1"/>
  <c r="T49" i="100"/>
  <c r="P49" i="100"/>
  <c r="L49" i="100"/>
  <c r="N49" i="100" s="1"/>
  <c r="H49" i="100"/>
  <c r="D49" i="100"/>
  <c r="B49" i="100"/>
  <c r="Z48" i="100"/>
  <c r="X48" i="100"/>
  <c r="L48" i="100"/>
  <c r="N48" i="100" s="1"/>
  <c r="B48" i="100"/>
  <c r="T47" i="100"/>
  <c r="P47" i="100"/>
  <c r="X47" i="100" s="1"/>
  <c r="L47" i="100"/>
  <c r="H47" i="100"/>
  <c r="D47" i="100"/>
  <c r="B47" i="100"/>
  <c r="X46" i="100"/>
  <c r="Z46" i="100" s="1"/>
  <c r="V46" i="100"/>
  <c r="N46" i="100"/>
  <c r="L46" i="100"/>
  <c r="B46" i="100"/>
  <c r="T45" i="100"/>
  <c r="P45" i="100"/>
  <c r="X45" i="100" s="1"/>
  <c r="H45" i="100"/>
  <c r="N45" i="100" s="1"/>
  <c r="D45" i="100"/>
  <c r="B45" i="100"/>
  <c r="X44" i="100"/>
  <c r="Z44" i="100" s="1"/>
  <c r="N44" i="100"/>
  <c r="L44" i="100"/>
  <c r="B44" i="100"/>
  <c r="X43" i="100"/>
  <c r="Z43" i="100" s="1"/>
  <c r="N43" i="100"/>
  <c r="L43" i="100"/>
  <c r="B43" i="100"/>
  <c r="T42" i="100"/>
  <c r="R42" i="100"/>
  <c r="P42" i="100"/>
  <c r="H42" i="100"/>
  <c r="N42" i="100" s="1"/>
  <c r="D42" i="100"/>
  <c r="L42" i="100" s="1"/>
  <c r="B42" i="100"/>
  <c r="X41" i="100"/>
  <c r="Z41" i="100" s="1"/>
  <c r="V41" i="100"/>
  <c r="L41" i="100"/>
  <c r="N41" i="100" s="1"/>
  <c r="B41" i="100"/>
  <c r="X40" i="100"/>
  <c r="Z40" i="100" s="1"/>
  <c r="T40" i="100"/>
  <c r="P40" i="100"/>
  <c r="H40" i="100"/>
  <c r="D40" i="100"/>
  <c r="L40" i="100" s="1"/>
  <c r="N40" i="100" s="1"/>
  <c r="B40" i="100"/>
  <c r="Z39" i="100"/>
  <c r="X39" i="100"/>
  <c r="N39" i="100"/>
  <c r="L39" i="100"/>
  <c r="B39" i="100"/>
  <c r="T38" i="100"/>
  <c r="P38" i="100"/>
  <c r="N38" i="100"/>
  <c r="L38" i="100"/>
  <c r="H38" i="100"/>
  <c r="D38" i="100"/>
  <c r="B38" i="100"/>
  <c r="Z37" i="100"/>
  <c r="X37" i="100"/>
  <c r="V37" i="100"/>
  <c r="N37" i="100"/>
  <c r="L37" i="100"/>
  <c r="B37" i="100"/>
  <c r="T36" i="100"/>
  <c r="Z36" i="100" s="1"/>
  <c r="P36" i="100"/>
  <c r="X36" i="100" s="1"/>
  <c r="H36" i="100"/>
  <c r="D36" i="100"/>
  <c r="B36" i="100"/>
  <c r="X35" i="100"/>
  <c r="Z35" i="100" s="1"/>
  <c r="N35" i="100"/>
  <c r="L35" i="100"/>
  <c r="B35" i="100"/>
  <c r="Z34" i="100"/>
  <c r="T34" i="100"/>
  <c r="P34" i="100"/>
  <c r="X34" i="100" s="1"/>
  <c r="N34" i="100"/>
  <c r="L34" i="100"/>
  <c r="H34" i="100"/>
  <c r="D34" i="100"/>
  <c r="B34" i="100"/>
  <c r="X33" i="100"/>
  <c r="Z33" i="100" s="1"/>
  <c r="N33" i="100"/>
  <c r="L33" i="100"/>
  <c r="B33" i="100"/>
  <c r="X32" i="100"/>
  <c r="Z32" i="100" s="1"/>
  <c r="V32" i="100"/>
  <c r="T32" i="100"/>
  <c r="P32" i="100"/>
  <c r="H32" i="100"/>
  <c r="D32" i="100"/>
  <c r="B32" i="100"/>
  <c r="Z31" i="100"/>
  <c r="X31" i="100"/>
  <c r="N31" i="100"/>
  <c r="L31" i="100"/>
  <c r="B31" i="100"/>
  <c r="T30" i="100"/>
  <c r="P30" i="100"/>
  <c r="H30" i="100"/>
  <c r="N30" i="100" s="1"/>
  <c r="D30" i="100"/>
  <c r="L30" i="100" s="1"/>
  <c r="B30" i="100"/>
  <c r="X29" i="100"/>
  <c r="Z29" i="100" s="1"/>
  <c r="R29" i="100"/>
  <c r="N29" i="100"/>
  <c r="L29" i="100"/>
  <c r="B29" i="100"/>
  <c r="X28" i="100"/>
  <c r="Z28" i="100" s="1"/>
  <c r="L28" i="100"/>
  <c r="N28" i="100" s="1"/>
  <c r="B28" i="100"/>
  <c r="Z27" i="100"/>
  <c r="X27" i="100"/>
  <c r="R27" i="100"/>
  <c r="N27" i="100"/>
  <c r="L27" i="100"/>
  <c r="B27" i="100"/>
  <c r="Z26" i="100"/>
  <c r="X26" i="100"/>
  <c r="L26" i="100"/>
  <c r="N26" i="100" s="1"/>
  <c r="B26" i="100"/>
  <c r="T25" i="100"/>
  <c r="P25" i="100"/>
  <c r="H25" i="100"/>
  <c r="D25" i="100"/>
  <c r="B25" i="100"/>
  <c r="Z24" i="100"/>
  <c r="X24" i="100"/>
  <c r="L24" i="100"/>
  <c r="N24" i="100" s="1"/>
  <c r="B24" i="100"/>
  <c r="Z23" i="100"/>
  <c r="X23" i="100"/>
  <c r="R23" i="100"/>
  <c r="L23" i="100"/>
  <c r="N23" i="100" s="1"/>
  <c r="B23" i="100"/>
  <c r="X22" i="100"/>
  <c r="T22" i="100"/>
  <c r="P22" i="100"/>
  <c r="L22" i="100"/>
  <c r="N22" i="100" s="1"/>
  <c r="H22" i="100"/>
  <c r="D22" i="100"/>
  <c r="B22" i="100"/>
  <c r="T21" i="100"/>
  <c r="P21" i="100"/>
  <c r="X21" i="100" s="1"/>
  <c r="L21" i="100"/>
  <c r="N21" i="100" s="1"/>
  <c r="H21" i="100"/>
  <c r="D21" i="100"/>
  <c r="X17" i="100"/>
  <c r="Z17" i="100" s="1"/>
  <c r="N17" i="100"/>
  <c r="L17" i="100"/>
  <c r="B17" i="100"/>
  <c r="Z16" i="100"/>
  <c r="X16" i="100"/>
  <c r="R16" i="100"/>
  <c r="N16" i="100"/>
  <c r="L16" i="100"/>
  <c r="B16" i="100"/>
  <c r="T15" i="100"/>
  <c r="P15" i="100"/>
  <c r="N15" i="100"/>
  <c r="L15" i="100"/>
  <c r="H15" i="100"/>
  <c r="D15" i="100"/>
  <c r="Z13" i="100"/>
  <c r="X13" i="100"/>
  <c r="T13" i="100"/>
  <c r="P13" i="100"/>
  <c r="H13" i="100"/>
  <c r="D13" i="100"/>
  <c r="B13" i="100"/>
  <c r="T12" i="100"/>
  <c r="P12" i="100"/>
  <c r="R66" i="100" s="1"/>
  <c r="D6" i="100"/>
  <c r="D4" i="100"/>
  <c r="R47" i="99"/>
  <c r="Z45" i="99"/>
  <c r="X45" i="99"/>
  <c r="N45" i="99"/>
  <c r="L45" i="99"/>
  <c r="T41" i="99"/>
  <c r="Z41" i="99" s="1"/>
  <c r="P41" i="99"/>
  <c r="X41" i="99" s="1"/>
  <c r="N41" i="99"/>
  <c r="H41" i="99"/>
  <c r="L41" i="99" s="1"/>
  <c r="D41" i="99"/>
  <c r="B41" i="99"/>
  <c r="X40" i="99"/>
  <c r="T40" i="99"/>
  <c r="P40" i="99"/>
  <c r="J40" i="99"/>
  <c r="D40" i="99"/>
  <c r="X38" i="99"/>
  <c r="Z38" i="99" s="1"/>
  <c r="V38" i="99"/>
  <c r="R38" i="99"/>
  <c r="L38" i="99"/>
  <c r="N38" i="99" s="1"/>
  <c r="B38" i="99"/>
  <c r="V37" i="99"/>
  <c r="T37" i="99"/>
  <c r="P37" i="99"/>
  <c r="L37" i="99"/>
  <c r="N37" i="99" s="1"/>
  <c r="J37" i="99"/>
  <c r="H37" i="99"/>
  <c r="D37" i="99"/>
  <c r="B37" i="99"/>
  <c r="X36" i="99"/>
  <c r="Z36" i="99" s="1"/>
  <c r="V36" i="99"/>
  <c r="N36" i="99"/>
  <c r="L36" i="99"/>
  <c r="F36" i="99"/>
  <c r="B36" i="99"/>
  <c r="T35" i="99"/>
  <c r="P35" i="99"/>
  <c r="X35" i="99" s="1"/>
  <c r="Z35" i="99" s="1"/>
  <c r="N35" i="99"/>
  <c r="H35" i="99"/>
  <c r="F35" i="99"/>
  <c r="D35" i="99"/>
  <c r="L35" i="99" s="1"/>
  <c r="B35" i="99"/>
  <c r="Z34" i="99"/>
  <c r="X34" i="99"/>
  <c r="L34" i="99"/>
  <c r="N34" i="99" s="1"/>
  <c r="B34" i="99"/>
  <c r="X33" i="99"/>
  <c r="Z33" i="99" s="1"/>
  <c r="V33" i="99"/>
  <c r="T33" i="99"/>
  <c r="R33" i="99"/>
  <c r="P33" i="99"/>
  <c r="N33" i="99"/>
  <c r="L33" i="99"/>
  <c r="J33" i="99"/>
  <c r="H33" i="99"/>
  <c r="D33" i="99"/>
  <c r="B33" i="99"/>
  <c r="Z32" i="99"/>
  <c r="X32" i="99"/>
  <c r="R32" i="99"/>
  <c r="N32" i="99"/>
  <c r="L32" i="99"/>
  <c r="F32" i="99"/>
  <c r="B32" i="99"/>
  <c r="T31" i="99"/>
  <c r="R31" i="99"/>
  <c r="P31" i="99"/>
  <c r="N31" i="99"/>
  <c r="H31" i="99"/>
  <c r="F31" i="99"/>
  <c r="D31" i="99"/>
  <c r="L31" i="99" s="1"/>
  <c r="B31" i="99"/>
  <c r="X30" i="99"/>
  <c r="Z30" i="99" s="1"/>
  <c r="V30" i="99"/>
  <c r="R30" i="99"/>
  <c r="L30" i="99"/>
  <c r="N30" i="99" s="1"/>
  <c r="B30" i="99"/>
  <c r="T29" i="99"/>
  <c r="P29" i="99"/>
  <c r="X29" i="99" s="1"/>
  <c r="Z29" i="99" s="1"/>
  <c r="N29" i="99"/>
  <c r="H29" i="99"/>
  <c r="D29" i="99"/>
  <c r="L29" i="99" s="1"/>
  <c r="B29" i="99"/>
  <c r="X28" i="99"/>
  <c r="Z28" i="99" s="1"/>
  <c r="L28" i="99"/>
  <c r="N28" i="99" s="1"/>
  <c r="B28" i="99"/>
  <c r="Z27" i="99"/>
  <c r="X27" i="99"/>
  <c r="V27" i="99"/>
  <c r="N27" i="99"/>
  <c r="L27" i="99"/>
  <c r="F27" i="99"/>
  <c r="B27" i="99"/>
  <c r="X26" i="99"/>
  <c r="Z26" i="99" s="1"/>
  <c r="R26" i="99"/>
  <c r="L26" i="99"/>
  <c r="N26" i="99" s="1"/>
  <c r="B26" i="99"/>
  <c r="X25" i="99"/>
  <c r="Z25" i="99" s="1"/>
  <c r="V25" i="99"/>
  <c r="N25" i="99"/>
  <c r="L25" i="99"/>
  <c r="B25" i="99"/>
  <c r="X24" i="99"/>
  <c r="Z24" i="99" s="1"/>
  <c r="N24" i="99"/>
  <c r="L24" i="99"/>
  <c r="B24" i="99"/>
  <c r="Z23" i="99"/>
  <c r="X23" i="99"/>
  <c r="V23" i="99"/>
  <c r="N23" i="99"/>
  <c r="L23" i="99"/>
  <c r="F23" i="99"/>
  <c r="B23" i="99"/>
  <c r="X22" i="99"/>
  <c r="Z22" i="99" s="1"/>
  <c r="R22" i="99"/>
  <c r="L22" i="99"/>
  <c r="N22" i="99" s="1"/>
  <c r="B22" i="99"/>
  <c r="X21" i="99"/>
  <c r="Z21" i="99" s="1"/>
  <c r="V21" i="99"/>
  <c r="N21" i="99"/>
  <c r="L21" i="99"/>
  <c r="B21" i="99"/>
  <c r="T20" i="99"/>
  <c r="R20" i="99"/>
  <c r="P20" i="99"/>
  <c r="X20" i="99" s="1"/>
  <c r="Z20" i="99" s="1"/>
  <c r="H20" i="99"/>
  <c r="D20" i="99"/>
  <c r="L20" i="99" s="1"/>
  <c r="B20" i="99"/>
  <c r="T19" i="99"/>
  <c r="R19" i="99"/>
  <c r="P19" i="99"/>
  <c r="H19" i="99"/>
  <c r="F19" i="99"/>
  <c r="D19" i="99"/>
  <c r="T17" i="99"/>
  <c r="R17" i="99"/>
  <c r="F17" i="99"/>
  <c r="Z15" i="99"/>
  <c r="X15" i="99"/>
  <c r="R15" i="99"/>
  <c r="N15" i="99"/>
  <c r="L15" i="99"/>
  <c r="B15" i="99"/>
  <c r="X14" i="99"/>
  <c r="Z14" i="99" s="1"/>
  <c r="T14" i="99"/>
  <c r="P14" i="99"/>
  <c r="N14" i="99"/>
  <c r="L14" i="99"/>
  <c r="H14" i="99"/>
  <c r="D14" i="99"/>
  <c r="Z12" i="99"/>
  <c r="X12" i="99"/>
  <c r="T12" i="99"/>
  <c r="V34" i="99" s="1"/>
  <c r="P12" i="99"/>
  <c r="R45" i="99" s="1"/>
  <c r="H12" i="99"/>
  <c r="D12" i="99"/>
  <c r="F43" i="99" s="1"/>
  <c r="D6" i="99"/>
  <c r="D4" i="99"/>
  <c r="X43" i="98"/>
  <c r="Z43" i="98" s="1"/>
  <c r="L43" i="98"/>
  <c r="N43" i="98" s="1"/>
  <c r="Z39" i="98"/>
  <c r="X39" i="98"/>
  <c r="T39" i="98"/>
  <c r="P39" i="98"/>
  <c r="N39" i="98"/>
  <c r="L39" i="98"/>
  <c r="H39" i="98"/>
  <c r="D39" i="98"/>
  <c r="X37" i="98"/>
  <c r="Z37" i="98" s="1"/>
  <c r="L37" i="98"/>
  <c r="N37" i="98" s="1"/>
  <c r="B37" i="98"/>
  <c r="T36" i="98"/>
  <c r="P36" i="98"/>
  <c r="X36" i="98" s="1"/>
  <c r="H36" i="98"/>
  <c r="F36" i="98"/>
  <c r="D36" i="98"/>
  <c r="L36" i="98" s="1"/>
  <c r="N36" i="98" s="1"/>
  <c r="B36" i="98"/>
  <c r="Z35" i="98"/>
  <c r="X35" i="98"/>
  <c r="N35" i="98"/>
  <c r="L35" i="98"/>
  <c r="B35" i="98"/>
  <c r="T34" i="98"/>
  <c r="P34" i="98"/>
  <c r="X34" i="98" s="1"/>
  <c r="Z34" i="98" s="1"/>
  <c r="N34" i="98"/>
  <c r="H34" i="98"/>
  <c r="D34" i="98"/>
  <c r="L34" i="98" s="1"/>
  <c r="B34" i="98"/>
  <c r="Z33" i="98"/>
  <c r="X33" i="98"/>
  <c r="L33" i="98"/>
  <c r="N33" i="98" s="1"/>
  <c r="B33" i="98"/>
  <c r="Z32" i="98"/>
  <c r="X32" i="98"/>
  <c r="N32" i="98"/>
  <c r="L32" i="98"/>
  <c r="B32" i="98"/>
  <c r="X31" i="98"/>
  <c r="Z31" i="98" s="1"/>
  <c r="L31" i="98"/>
  <c r="N31" i="98" s="1"/>
  <c r="B31" i="98"/>
  <c r="X30" i="98"/>
  <c r="Z30" i="98" s="1"/>
  <c r="N30" i="98"/>
  <c r="L30" i="98"/>
  <c r="B30" i="98"/>
  <c r="T29" i="98"/>
  <c r="P29" i="98"/>
  <c r="X29" i="98" s="1"/>
  <c r="Z29" i="98" s="1"/>
  <c r="H29" i="98"/>
  <c r="D29" i="98"/>
  <c r="L29" i="98" s="1"/>
  <c r="B29" i="98"/>
  <c r="Z28" i="98"/>
  <c r="X28" i="98"/>
  <c r="N28" i="98"/>
  <c r="L28" i="98"/>
  <c r="B28" i="98"/>
  <c r="X27" i="98"/>
  <c r="Z27" i="98" s="1"/>
  <c r="N27" i="98"/>
  <c r="L27" i="98"/>
  <c r="B27" i="98"/>
  <c r="Z26" i="98"/>
  <c r="X26" i="98"/>
  <c r="N26" i="98"/>
  <c r="L26" i="98"/>
  <c r="B26" i="98"/>
  <c r="Z25" i="98"/>
  <c r="X25" i="98"/>
  <c r="L25" i="98"/>
  <c r="N25" i="98" s="1"/>
  <c r="B25" i="98"/>
  <c r="Z24" i="98"/>
  <c r="X24" i="98"/>
  <c r="N24" i="98"/>
  <c r="L24" i="98"/>
  <c r="B24" i="98"/>
  <c r="X23" i="98"/>
  <c r="Z23" i="98" s="1"/>
  <c r="N23" i="98"/>
  <c r="L23" i="98"/>
  <c r="B23" i="98"/>
  <c r="Z22" i="98"/>
  <c r="X22" i="98"/>
  <c r="N22" i="98"/>
  <c r="L22" i="98"/>
  <c r="B22" i="98"/>
  <c r="X21" i="98"/>
  <c r="Z21" i="98" s="1"/>
  <c r="T21" i="98"/>
  <c r="P21" i="98"/>
  <c r="L21" i="98"/>
  <c r="N21" i="98" s="1"/>
  <c r="H21" i="98"/>
  <c r="D21" i="98"/>
  <c r="B21" i="98"/>
  <c r="T20" i="98"/>
  <c r="P20" i="98"/>
  <c r="X20" i="98" s="1"/>
  <c r="H20" i="98"/>
  <c r="D20" i="98"/>
  <c r="Z16" i="98"/>
  <c r="T16" i="98"/>
  <c r="P16" i="98"/>
  <c r="X16" i="98" s="1"/>
  <c r="N16" i="98"/>
  <c r="H16" i="98"/>
  <c r="D16" i="98"/>
  <c r="L16" i="98" s="1"/>
  <c r="T14" i="98"/>
  <c r="P14" i="98"/>
  <c r="X14" i="98" s="1"/>
  <c r="Z14" i="98" s="1"/>
  <c r="H14" i="98"/>
  <c r="D14" i="98"/>
  <c r="B14" i="98"/>
  <c r="T13" i="98"/>
  <c r="P13" i="98"/>
  <c r="H13" i="98"/>
  <c r="D13" i="98"/>
  <c r="D12" i="98" s="1"/>
  <c r="B13" i="98"/>
  <c r="D6" i="98"/>
  <c r="D4" i="98"/>
  <c r="Z82" i="97"/>
  <c r="X82" i="97"/>
  <c r="N82" i="97"/>
  <c r="L82" i="97"/>
  <c r="F82" i="97"/>
  <c r="Z78" i="97"/>
  <c r="T78" i="97"/>
  <c r="P78" i="97"/>
  <c r="X78" i="97" s="1"/>
  <c r="N78" i="97"/>
  <c r="H78" i="97"/>
  <c r="H77" i="97" s="1"/>
  <c r="N77" i="97" s="1"/>
  <c r="D78" i="97"/>
  <c r="L78" i="97" s="1"/>
  <c r="B78" i="97"/>
  <c r="T77" i="97"/>
  <c r="Z77" i="97" s="1"/>
  <c r="P77" i="97"/>
  <c r="X77" i="97" s="1"/>
  <c r="X75" i="97"/>
  <c r="Z75" i="97" s="1"/>
  <c r="L75" i="97"/>
  <c r="N75" i="97" s="1"/>
  <c r="B75" i="97"/>
  <c r="X74" i="97"/>
  <c r="T74" i="97"/>
  <c r="P74" i="97"/>
  <c r="N74" i="97"/>
  <c r="L74" i="97"/>
  <c r="H74" i="97"/>
  <c r="D74" i="97"/>
  <c r="B74" i="97"/>
  <c r="X73" i="97"/>
  <c r="Z73" i="97" s="1"/>
  <c r="L73" i="97"/>
  <c r="N73" i="97" s="1"/>
  <c r="B73" i="97"/>
  <c r="T72" i="97"/>
  <c r="P72" i="97"/>
  <c r="H72" i="97"/>
  <c r="N72" i="97" s="1"/>
  <c r="D72" i="97"/>
  <c r="L72" i="97" s="1"/>
  <c r="B72" i="97"/>
  <c r="Z71" i="97"/>
  <c r="X71" i="97"/>
  <c r="N71" i="97"/>
  <c r="L71" i="97"/>
  <c r="F71" i="97"/>
  <c r="B71" i="97"/>
  <c r="Z70" i="97"/>
  <c r="X70" i="97"/>
  <c r="N70" i="97"/>
  <c r="L70" i="97"/>
  <c r="B70" i="97"/>
  <c r="X69" i="97"/>
  <c r="Z69" i="97" s="1"/>
  <c r="N69" i="97"/>
  <c r="L69" i="97"/>
  <c r="B69" i="97"/>
  <c r="Z68" i="97"/>
  <c r="X68" i="97"/>
  <c r="L68" i="97"/>
  <c r="N68" i="97" s="1"/>
  <c r="B68" i="97"/>
  <c r="Z67" i="97"/>
  <c r="X67" i="97"/>
  <c r="R67" i="97"/>
  <c r="N67" i="97"/>
  <c r="L67" i="97"/>
  <c r="B67" i="97"/>
  <c r="Z66" i="97"/>
  <c r="X66" i="97"/>
  <c r="N66" i="97"/>
  <c r="L66" i="97"/>
  <c r="B66" i="97"/>
  <c r="T65" i="97"/>
  <c r="P65" i="97"/>
  <c r="H65" i="97"/>
  <c r="D65" i="97"/>
  <c r="L65" i="97" s="1"/>
  <c r="B65" i="97"/>
  <c r="Z64" i="97"/>
  <c r="X64" i="97"/>
  <c r="N64" i="97"/>
  <c r="L64" i="97"/>
  <c r="F64" i="97"/>
  <c r="B64" i="97"/>
  <c r="T63" i="97"/>
  <c r="P63" i="97"/>
  <c r="X63" i="97" s="1"/>
  <c r="H63" i="97"/>
  <c r="D63" i="97"/>
  <c r="L63" i="97" s="1"/>
  <c r="N63" i="97" s="1"/>
  <c r="B63" i="97"/>
  <c r="Z62" i="97"/>
  <c r="X62" i="97"/>
  <c r="R62" i="97"/>
  <c r="N62" i="97"/>
  <c r="L62" i="97"/>
  <c r="B62" i="97"/>
  <c r="X61" i="97"/>
  <c r="Z61" i="97" s="1"/>
  <c r="N61" i="97"/>
  <c r="L61" i="97"/>
  <c r="B61" i="97"/>
  <c r="Z60" i="97"/>
  <c r="X60" i="97"/>
  <c r="N60" i="97"/>
  <c r="L60" i="97"/>
  <c r="B60" i="97"/>
  <c r="X59" i="97"/>
  <c r="Z59" i="97" s="1"/>
  <c r="T59" i="97"/>
  <c r="P59" i="97"/>
  <c r="L59" i="97"/>
  <c r="N59" i="97" s="1"/>
  <c r="H59" i="97"/>
  <c r="D59" i="97"/>
  <c r="B59" i="97"/>
  <c r="Z58" i="97"/>
  <c r="X58" i="97"/>
  <c r="L58" i="97"/>
  <c r="N58" i="97" s="1"/>
  <c r="B58" i="97"/>
  <c r="X57" i="97"/>
  <c r="Z57" i="97" s="1"/>
  <c r="R57" i="97"/>
  <c r="L57" i="97"/>
  <c r="N57" i="97" s="1"/>
  <c r="B57" i="97"/>
  <c r="Z56" i="97"/>
  <c r="X56" i="97"/>
  <c r="N56" i="97"/>
  <c r="L56" i="97"/>
  <c r="B56" i="97"/>
  <c r="T55" i="97"/>
  <c r="P55" i="97"/>
  <c r="X55" i="97" s="1"/>
  <c r="L55" i="97"/>
  <c r="H55" i="97"/>
  <c r="D55" i="97"/>
  <c r="B55" i="97"/>
  <c r="X54" i="97"/>
  <c r="Z54" i="97" s="1"/>
  <c r="N54" i="97"/>
  <c r="L54" i="97"/>
  <c r="B54" i="97"/>
  <c r="X53" i="97"/>
  <c r="Z53" i="97" s="1"/>
  <c r="L53" i="97"/>
  <c r="N53" i="97" s="1"/>
  <c r="B53" i="97"/>
  <c r="X52" i="97"/>
  <c r="Z52" i="97" s="1"/>
  <c r="T52" i="97"/>
  <c r="P52" i="97"/>
  <c r="L52" i="97"/>
  <c r="N52" i="97" s="1"/>
  <c r="J52" i="97"/>
  <c r="H52" i="97"/>
  <c r="D52" i="97"/>
  <c r="B52" i="97"/>
  <c r="X51" i="97"/>
  <c r="Z51" i="97" s="1"/>
  <c r="L51" i="97"/>
  <c r="N51" i="97" s="1"/>
  <c r="B51" i="97"/>
  <c r="T50" i="97"/>
  <c r="P50" i="97"/>
  <c r="H50" i="97"/>
  <c r="D50" i="97"/>
  <c r="B50" i="97"/>
  <c r="X49" i="97"/>
  <c r="Z49" i="97" s="1"/>
  <c r="N49" i="97"/>
  <c r="L49" i="97"/>
  <c r="B49" i="97"/>
  <c r="T48" i="97"/>
  <c r="P48" i="97"/>
  <c r="X48" i="97" s="1"/>
  <c r="Z48" i="97" s="1"/>
  <c r="N48" i="97"/>
  <c r="H48" i="97"/>
  <c r="D48" i="97"/>
  <c r="L48" i="97" s="1"/>
  <c r="B48" i="97"/>
  <c r="X47" i="97"/>
  <c r="Z47" i="97" s="1"/>
  <c r="R47" i="97"/>
  <c r="N47" i="97"/>
  <c r="L47" i="97"/>
  <c r="B47" i="97"/>
  <c r="X46" i="97"/>
  <c r="Z46" i="97" s="1"/>
  <c r="N46" i="97"/>
  <c r="L46" i="97"/>
  <c r="B46" i="97"/>
  <c r="T45" i="97"/>
  <c r="R45" i="97"/>
  <c r="P45" i="97"/>
  <c r="X45" i="97" s="1"/>
  <c r="Z45" i="97" s="1"/>
  <c r="H45" i="97"/>
  <c r="D45" i="97"/>
  <c r="L45" i="97" s="1"/>
  <c r="B45" i="97"/>
  <c r="Z44" i="97"/>
  <c r="X44" i="97"/>
  <c r="N44" i="97"/>
  <c r="L44" i="97"/>
  <c r="B44" i="97"/>
  <c r="X43" i="97"/>
  <c r="Z43" i="97" s="1"/>
  <c r="T43" i="97"/>
  <c r="P43" i="97"/>
  <c r="L43" i="97"/>
  <c r="N43" i="97" s="1"/>
  <c r="H43" i="97"/>
  <c r="D43" i="97"/>
  <c r="B43" i="97"/>
  <c r="Z42" i="97"/>
  <c r="X42" i="97"/>
  <c r="L42" i="97"/>
  <c r="N42" i="97" s="1"/>
  <c r="B42" i="97"/>
  <c r="T41" i="97"/>
  <c r="P41" i="97"/>
  <c r="X41" i="97" s="1"/>
  <c r="H41" i="97"/>
  <c r="D41" i="97"/>
  <c r="L41" i="97" s="1"/>
  <c r="B41" i="97"/>
  <c r="Z40" i="97"/>
  <c r="X40" i="97"/>
  <c r="N40" i="97"/>
  <c r="L40" i="97"/>
  <c r="B40" i="97"/>
  <c r="T39" i="97"/>
  <c r="P39" i="97"/>
  <c r="X39" i="97" s="1"/>
  <c r="L39" i="97"/>
  <c r="N39" i="97" s="1"/>
  <c r="H39" i="97"/>
  <c r="D39" i="97"/>
  <c r="B39" i="97"/>
  <c r="Z38" i="97"/>
  <c r="X38" i="97"/>
  <c r="N38" i="97"/>
  <c r="L38" i="97"/>
  <c r="B38" i="97"/>
  <c r="X37" i="97"/>
  <c r="Z37" i="97" s="1"/>
  <c r="N37" i="97"/>
  <c r="L37" i="97"/>
  <c r="B37" i="97"/>
  <c r="Z36" i="97"/>
  <c r="X36" i="97"/>
  <c r="N36" i="97"/>
  <c r="L36" i="97"/>
  <c r="B36" i="97"/>
  <c r="X35" i="97"/>
  <c r="Z35" i="97" s="1"/>
  <c r="L35" i="97"/>
  <c r="N35" i="97" s="1"/>
  <c r="B35" i="97"/>
  <c r="Z34" i="97"/>
  <c r="X34" i="97"/>
  <c r="L34" i="97"/>
  <c r="N34" i="97" s="1"/>
  <c r="B34" i="97"/>
  <c r="X33" i="97"/>
  <c r="Z33" i="97" s="1"/>
  <c r="L33" i="97"/>
  <c r="N33" i="97" s="1"/>
  <c r="B33" i="97"/>
  <c r="T32" i="97"/>
  <c r="P32" i="97"/>
  <c r="H32" i="97"/>
  <c r="D32" i="97"/>
  <c r="B32" i="97"/>
  <c r="X31" i="97"/>
  <c r="Z31" i="97" s="1"/>
  <c r="L31" i="97"/>
  <c r="N31" i="97" s="1"/>
  <c r="B31" i="97"/>
  <c r="X30" i="97"/>
  <c r="Z30" i="97" s="1"/>
  <c r="L30" i="97"/>
  <c r="N30" i="97" s="1"/>
  <c r="B30" i="97"/>
  <c r="X29" i="97"/>
  <c r="Z29" i="97" s="1"/>
  <c r="N29" i="97"/>
  <c r="L29" i="97"/>
  <c r="B29" i="97"/>
  <c r="Z28" i="97"/>
  <c r="X28" i="97"/>
  <c r="L28" i="97"/>
  <c r="N28" i="97" s="1"/>
  <c r="B28" i="97"/>
  <c r="X27" i="97"/>
  <c r="Z27" i="97" s="1"/>
  <c r="R27" i="97"/>
  <c r="L27" i="97"/>
  <c r="N27" i="97" s="1"/>
  <c r="B27" i="97"/>
  <c r="X26" i="97"/>
  <c r="Z26" i="97" s="1"/>
  <c r="N26" i="97"/>
  <c r="L26" i="97"/>
  <c r="B26" i="97"/>
  <c r="Z25" i="97"/>
  <c r="X25" i="97"/>
  <c r="N25" i="97"/>
  <c r="L25" i="97"/>
  <c r="B25" i="97"/>
  <c r="X24" i="97"/>
  <c r="Z24" i="97" s="1"/>
  <c r="L24" i="97"/>
  <c r="N24" i="97" s="1"/>
  <c r="B24" i="97"/>
  <c r="T23" i="97"/>
  <c r="R23" i="97"/>
  <c r="P23" i="97"/>
  <c r="H23" i="97"/>
  <c r="N23" i="97" s="1"/>
  <c r="D23" i="97"/>
  <c r="L23" i="97" s="1"/>
  <c r="B23" i="97"/>
  <c r="T22" i="97"/>
  <c r="P22" i="97"/>
  <c r="H22" i="97"/>
  <c r="D22" i="97"/>
  <c r="X18" i="97"/>
  <c r="Z18" i="97" s="1"/>
  <c r="R18" i="97"/>
  <c r="L18" i="97"/>
  <c r="N18" i="97" s="1"/>
  <c r="B18" i="97"/>
  <c r="Z17" i="97"/>
  <c r="X17" i="97"/>
  <c r="L17" i="97"/>
  <c r="N17" i="97" s="1"/>
  <c r="J17" i="97"/>
  <c r="B17" i="97"/>
  <c r="T16" i="97"/>
  <c r="P16" i="97"/>
  <c r="X16" i="97" s="1"/>
  <c r="H16" i="97"/>
  <c r="D16" i="97"/>
  <c r="T14" i="97"/>
  <c r="P14" i="97"/>
  <c r="X14" i="97" s="1"/>
  <c r="H14" i="97"/>
  <c r="D14" i="97"/>
  <c r="D12" i="97" s="1"/>
  <c r="F32" i="97" s="1"/>
  <c r="B14" i="97"/>
  <c r="Z13" i="97"/>
  <c r="T13" i="97"/>
  <c r="X13" i="97" s="1"/>
  <c r="P13" i="97"/>
  <c r="H13" i="97"/>
  <c r="H12" i="97" s="1"/>
  <c r="D13" i="97"/>
  <c r="B13" i="97"/>
  <c r="T12" i="97"/>
  <c r="P12" i="97"/>
  <c r="D6" i="97"/>
  <c r="D4" i="97"/>
  <c r="X88" i="95"/>
  <c r="Z88" i="95" s="1"/>
  <c r="L88" i="95"/>
  <c r="N88" i="95" s="1"/>
  <c r="T84" i="95"/>
  <c r="P84" i="95"/>
  <c r="H84" i="95"/>
  <c r="N84" i="95" s="1"/>
  <c r="D84" i="95"/>
  <c r="L84" i="95" s="1"/>
  <c r="X82" i="95"/>
  <c r="Z82" i="95" s="1"/>
  <c r="L82" i="95"/>
  <c r="N82" i="95" s="1"/>
  <c r="B82" i="95"/>
  <c r="T81" i="95"/>
  <c r="P81" i="95"/>
  <c r="X81" i="95" s="1"/>
  <c r="Z81" i="95" s="1"/>
  <c r="H81" i="95"/>
  <c r="D81" i="95"/>
  <c r="L81" i="95" s="1"/>
  <c r="N81" i="95" s="1"/>
  <c r="B81" i="95"/>
  <c r="X80" i="95"/>
  <c r="Z80" i="95" s="1"/>
  <c r="N80" i="95"/>
  <c r="L80" i="95"/>
  <c r="B80" i="95"/>
  <c r="T79" i="95"/>
  <c r="P79" i="95"/>
  <c r="X79" i="95" s="1"/>
  <c r="Z79" i="95" s="1"/>
  <c r="L79" i="95"/>
  <c r="N79" i="95" s="1"/>
  <c r="H79" i="95"/>
  <c r="D79" i="95"/>
  <c r="B79" i="95"/>
  <c r="X78" i="95"/>
  <c r="Z78" i="95" s="1"/>
  <c r="L78" i="95"/>
  <c r="N78" i="95" s="1"/>
  <c r="B78" i="95"/>
  <c r="T77" i="95"/>
  <c r="P77" i="95"/>
  <c r="X77" i="95" s="1"/>
  <c r="Z77" i="95" s="1"/>
  <c r="H77" i="95"/>
  <c r="F77" i="95"/>
  <c r="D77" i="95"/>
  <c r="B77" i="95"/>
  <c r="X76" i="95"/>
  <c r="Z76" i="95" s="1"/>
  <c r="N76" i="95"/>
  <c r="L76" i="95"/>
  <c r="B76" i="95"/>
  <c r="Z75" i="95"/>
  <c r="X75" i="95"/>
  <c r="L75" i="95"/>
  <c r="N75" i="95" s="1"/>
  <c r="B75" i="95"/>
  <c r="X74" i="95"/>
  <c r="Z74" i="95" s="1"/>
  <c r="L74" i="95"/>
  <c r="N74" i="95" s="1"/>
  <c r="B74" i="95"/>
  <c r="Z73" i="95"/>
  <c r="X73" i="95"/>
  <c r="L73" i="95"/>
  <c r="N73" i="95" s="1"/>
  <c r="B73" i="95"/>
  <c r="X72" i="95"/>
  <c r="Z72" i="95" s="1"/>
  <c r="L72" i="95"/>
  <c r="N72" i="95" s="1"/>
  <c r="B72" i="95"/>
  <c r="Z71" i="95"/>
  <c r="X71" i="95"/>
  <c r="N71" i="95"/>
  <c r="L71" i="95"/>
  <c r="B71" i="95"/>
  <c r="Z70" i="95"/>
  <c r="X70" i="95"/>
  <c r="N70" i="95"/>
  <c r="L70" i="95"/>
  <c r="B70" i="95"/>
  <c r="T69" i="95"/>
  <c r="P69" i="95"/>
  <c r="X69" i="95" s="1"/>
  <c r="Z69" i="95" s="1"/>
  <c r="H69" i="95"/>
  <c r="D69" i="95"/>
  <c r="L69" i="95" s="1"/>
  <c r="N69" i="95" s="1"/>
  <c r="B69" i="95"/>
  <c r="X68" i="95"/>
  <c r="Z68" i="95" s="1"/>
  <c r="N68" i="95"/>
  <c r="L68" i="95"/>
  <c r="B68" i="95"/>
  <c r="T67" i="95"/>
  <c r="P67" i="95"/>
  <c r="X67" i="95" s="1"/>
  <c r="Z67" i="95" s="1"/>
  <c r="L67" i="95"/>
  <c r="N67" i="95" s="1"/>
  <c r="H67" i="95"/>
  <c r="D67" i="95"/>
  <c r="B67" i="95"/>
  <c r="X66" i="95"/>
  <c r="Z66" i="95" s="1"/>
  <c r="L66" i="95"/>
  <c r="N66" i="95" s="1"/>
  <c r="B66" i="95"/>
  <c r="Z65" i="95"/>
  <c r="X65" i="95"/>
  <c r="N65" i="95"/>
  <c r="L65" i="95"/>
  <c r="B65" i="95"/>
  <c r="X64" i="95"/>
  <c r="Z64" i="95" s="1"/>
  <c r="L64" i="95"/>
  <c r="N64" i="95" s="1"/>
  <c r="B64" i="95"/>
  <c r="Z63" i="95"/>
  <c r="X63" i="95"/>
  <c r="N63" i="95"/>
  <c r="L63" i="95"/>
  <c r="B63" i="95"/>
  <c r="X62" i="95"/>
  <c r="Z62" i="95" s="1"/>
  <c r="L62" i="95"/>
  <c r="N62" i="95" s="1"/>
  <c r="B62" i="95"/>
  <c r="T61" i="95"/>
  <c r="P61" i="95"/>
  <c r="X61" i="95" s="1"/>
  <c r="Z61" i="95" s="1"/>
  <c r="H61" i="95"/>
  <c r="D61" i="95"/>
  <c r="B61" i="95"/>
  <c r="X60" i="95"/>
  <c r="Z60" i="95" s="1"/>
  <c r="L60" i="95"/>
  <c r="N60" i="95" s="1"/>
  <c r="B60" i="95"/>
  <c r="Z59" i="95"/>
  <c r="X59" i="95"/>
  <c r="L59" i="95"/>
  <c r="N59" i="95" s="1"/>
  <c r="B59" i="95"/>
  <c r="X58" i="95"/>
  <c r="Z58" i="95" s="1"/>
  <c r="N58" i="95"/>
  <c r="L58" i="95"/>
  <c r="B58" i="95"/>
  <c r="T57" i="95"/>
  <c r="P57" i="95"/>
  <c r="X57" i="95" s="1"/>
  <c r="Z57" i="95" s="1"/>
  <c r="H57" i="95"/>
  <c r="D57" i="95"/>
  <c r="L57" i="95" s="1"/>
  <c r="N57" i="95" s="1"/>
  <c r="B57" i="95"/>
  <c r="X56" i="95"/>
  <c r="Z56" i="95" s="1"/>
  <c r="L56" i="95"/>
  <c r="N56" i="95" s="1"/>
  <c r="B56" i="95"/>
  <c r="X55" i="95"/>
  <c r="Z55" i="95" s="1"/>
  <c r="T55" i="95"/>
  <c r="P55" i="95"/>
  <c r="L55" i="95"/>
  <c r="N55" i="95" s="1"/>
  <c r="H55" i="95"/>
  <c r="D55" i="95"/>
  <c r="B55" i="95"/>
  <c r="X54" i="95"/>
  <c r="Z54" i="95" s="1"/>
  <c r="L54" i="95"/>
  <c r="N54" i="95" s="1"/>
  <c r="B54" i="95"/>
  <c r="T53" i="95"/>
  <c r="Z53" i="95" s="1"/>
  <c r="P53" i="95"/>
  <c r="X53" i="95" s="1"/>
  <c r="H53" i="95"/>
  <c r="D53" i="95"/>
  <c r="B53" i="95"/>
  <c r="X52" i="95"/>
  <c r="Z52" i="95" s="1"/>
  <c r="N52" i="95"/>
  <c r="L52" i="95"/>
  <c r="B52" i="95"/>
  <c r="T51" i="95"/>
  <c r="P51" i="95"/>
  <c r="X51" i="95" s="1"/>
  <c r="Z51" i="95" s="1"/>
  <c r="N51" i="95"/>
  <c r="H51" i="95"/>
  <c r="D51" i="95"/>
  <c r="L51" i="95" s="1"/>
  <c r="B51" i="95"/>
  <c r="X50" i="95"/>
  <c r="Z50" i="95" s="1"/>
  <c r="L50" i="95"/>
  <c r="N50" i="95" s="1"/>
  <c r="B50" i="95"/>
  <c r="X49" i="95"/>
  <c r="Z49" i="95" s="1"/>
  <c r="T49" i="95"/>
  <c r="P49" i="95"/>
  <c r="H49" i="95"/>
  <c r="D49" i="95"/>
  <c r="L49" i="95" s="1"/>
  <c r="N49" i="95" s="1"/>
  <c r="B49" i="95"/>
  <c r="X48" i="95"/>
  <c r="Z48" i="95" s="1"/>
  <c r="L48" i="95"/>
  <c r="N48" i="95" s="1"/>
  <c r="B48" i="95"/>
  <c r="T47" i="95"/>
  <c r="P47" i="95"/>
  <c r="H47" i="95"/>
  <c r="D47" i="95"/>
  <c r="L47" i="95" s="1"/>
  <c r="B47" i="95"/>
  <c r="X46" i="95"/>
  <c r="Z46" i="95" s="1"/>
  <c r="L46" i="95"/>
  <c r="N46" i="95" s="1"/>
  <c r="B46" i="95"/>
  <c r="Z45" i="95"/>
  <c r="X45" i="95"/>
  <c r="L45" i="95"/>
  <c r="N45" i="95" s="1"/>
  <c r="B45" i="95"/>
  <c r="T44" i="95"/>
  <c r="P44" i="95"/>
  <c r="X44" i="95" s="1"/>
  <c r="H44" i="95"/>
  <c r="D44" i="95"/>
  <c r="B44" i="95"/>
  <c r="X43" i="95"/>
  <c r="Z43" i="95" s="1"/>
  <c r="N43" i="95"/>
  <c r="L43" i="95"/>
  <c r="B43" i="95"/>
  <c r="T42" i="95"/>
  <c r="P42" i="95"/>
  <c r="X42" i="95" s="1"/>
  <c r="H42" i="95"/>
  <c r="N42" i="95" s="1"/>
  <c r="D42" i="95"/>
  <c r="L42" i="95" s="1"/>
  <c r="B42" i="95"/>
  <c r="Z41" i="95"/>
  <c r="X41" i="95"/>
  <c r="N41" i="95"/>
  <c r="L41" i="95"/>
  <c r="B41" i="95"/>
  <c r="X40" i="95"/>
  <c r="Z40" i="95" s="1"/>
  <c r="T40" i="95"/>
  <c r="P40" i="95"/>
  <c r="L40" i="95"/>
  <c r="H40" i="95"/>
  <c r="N40" i="95" s="1"/>
  <c r="D40" i="95"/>
  <c r="B40" i="95"/>
  <c r="Z39" i="95"/>
  <c r="X39" i="95"/>
  <c r="L39" i="95"/>
  <c r="N39" i="95" s="1"/>
  <c r="B39" i="95"/>
  <c r="T38" i="95"/>
  <c r="P38" i="95"/>
  <c r="H38" i="95"/>
  <c r="D38" i="95"/>
  <c r="L38" i="95" s="1"/>
  <c r="B38" i="95"/>
  <c r="X37" i="95"/>
  <c r="Z37" i="95" s="1"/>
  <c r="N37" i="95"/>
  <c r="L37" i="95"/>
  <c r="B37" i="95"/>
  <c r="X36" i="95"/>
  <c r="Z36" i="95" s="1"/>
  <c r="N36" i="95"/>
  <c r="L36" i="95"/>
  <c r="B36" i="95"/>
  <c r="X35" i="95"/>
  <c r="Z35" i="95" s="1"/>
  <c r="N35" i="95"/>
  <c r="L35" i="95"/>
  <c r="B35" i="95"/>
  <c r="X34" i="95"/>
  <c r="Z34" i="95" s="1"/>
  <c r="L34" i="95"/>
  <c r="N34" i="95" s="1"/>
  <c r="F34" i="95"/>
  <c r="B34" i="95"/>
  <c r="Z33" i="95"/>
  <c r="X33" i="95"/>
  <c r="N33" i="95"/>
  <c r="L33" i="95"/>
  <c r="B33" i="95"/>
  <c r="T32" i="95"/>
  <c r="P32" i="95"/>
  <c r="X32" i="95" s="1"/>
  <c r="H32" i="95"/>
  <c r="D32" i="95"/>
  <c r="L32" i="95" s="1"/>
  <c r="B32" i="95"/>
  <c r="Z31" i="95"/>
  <c r="X31" i="95"/>
  <c r="N31" i="95"/>
  <c r="L31" i="95"/>
  <c r="B31" i="95"/>
  <c r="X30" i="95"/>
  <c r="Z30" i="95" s="1"/>
  <c r="L30" i="95"/>
  <c r="N30" i="95" s="1"/>
  <c r="F30" i="95"/>
  <c r="B30" i="95"/>
  <c r="Z29" i="95"/>
  <c r="X29" i="95"/>
  <c r="N29" i="95"/>
  <c r="L29" i="95"/>
  <c r="B29" i="95"/>
  <c r="X28" i="95"/>
  <c r="Z28" i="95" s="1"/>
  <c r="L28" i="95"/>
  <c r="N28" i="95" s="1"/>
  <c r="F28" i="95"/>
  <c r="B28" i="95"/>
  <c r="Z27" i="95"/>
  <c r="X27" i="95"/>
  <c r="N27" i="95"/>
  <c r="L27" i="95"/>
  <c r="B27" i="95"/>
  <c r="X26" i="95"/>
  <c r="Z26" i="95" s="1"/>
  <c r="N26" i="95"/>
  <c r="L26" i="95"/>
  <c r="B26" i="95"/>
  <c r="Z25" i="95"/>
  <c r="X25" i="95"/>
  <c r="N25" i="95"/>
  <c r="L25" i="95"/>
  <c r="F25" i="95"/>
  <c r="B25" i="95"/>
  <c r="X24" i="95"/>
  <c r="Z24" i="95" s="1"/>
  <c r="L24" i="95"/>
  <c r="N24" i="95" s="1"/>
  <c r="B24" i="95"/>
  <c r="T23" i="95"/>
  <c r="P23" i="95"/>
  <c r="H23" i="95"/>
  <c r="F23" i="95"/>
  <c r="D23" i="95"/>
  <c r="L23" i="95" s="1"/>
  <c r="N23" i="95" s="1"/>
  <c r="B23" i="95"/>
  <c r="T22" i="95"/>
  <c r="P22" i="95"/>
  <c r="H22" i="95"/>
  <c r="D22" i="95"/>
  <c r="L22" i="95" s="1"/>
  <c r="D20" i="95"/>
  <c r="X18" i="95"/>
  <c r="Z18" i="95" s="1"/>
  <c r="L18" i="95"/>
  <c r="N18" i="95" s="1"/>
  <c r="B18" i="95"/>
  <c r="Z17" i="95"/>
  <c r="X17" i="95"/>
  <c r="L17" i="95"/>
  <c r="N17" i="95" s="1"/>
  <c r="B17" i="95"/>
  <c r="T16" i="95"/>
  <c r="P16" i="95"/>
  <c r="L16" i="95"/>
  <c r="N16" i="95" s="1"/>
  <c r="H16" i="95"/>
  <c r="D16" i="95"/>
  <c r="T14" i="95"/>
  <c r="P14" i="95"/>
  <c r="X14" i="95" s="1"/>
  <c r="N14" i="95"/>
  <c r="L14" i="95"/>
  <c r="H14" i="95"/>
  <c r="D14" i="95"/>
  <c r="B14" i="95"/>
  <c r="T13" i="95"/>
  <c r="X13" i="95" s="1"/>
  <c r="P13" i="95"/>
  <c r="H13" i="95"/>
  <c r="D13" i="95"/>
  <c r="D12" i="95" s="1"/>
  <c r="F54" i="95" s="1"/>
  <c r="B13" i="95"/>
  <c r="D6" i="95"/>
  <c r="D4" i="95"/>
  <c r="X74" i="94"/>
  <c r="Z74" i="94" s="1"/>
  <c r="N74" i="94"/>
  <c r="L74" i="94"/>
  <c r="T70" i="94"/>
  <c r="Z70" i="94" s="1"/>
  <c r="P70" i="94"/>
  <c r="X70" i="94" s="1"/>
  <c r="N70" i="94"/>
  <c r="L70" i="94"/>
  <c r="H70" i="94"/>
  <c r="D70" i="94"/>
  <c r="X68" i="94"/>
  <c r="Z68" i="94" s="1"/>
  <c r="N68" i="94"/>
  <c r="L68" i="94"/>
  <c r="B68" i="94"/>
  <c r="Z67" i="94"/>
  <c r="T67" i="94"/>
  <c r="P67" i="94"/>
  <c r="X67" i="94" s="1"/>
  <c r="N67" i="94"/>
  <c r="H67" i="94"/>
  <c r="D67" i="94"/>
  <c r="L67" i="94" s="1"/>
  <c r="B67" i="94"/>
  <c r="X66" i="94"/>
  <c r="Z66" i="94" s="1"/>
  <c r="N66" i="94"/>
  <c r="L66" i="94"/>
  <c r="B66" i="94"/>
  <c r="X65" i="94"/>
  <c r="Z65" i="94" s="1"/>
  <c r="T65" i="94"/>
  <c r="P65" i="94"/>
  <c r="H65" i="94"/>
  <c r="N65" i="94" s="1"/>
  <c r="D65" i="94"/>
  <c r="L65" i="94" s="1"/>
  <c r="B65" i="94"/>
  <c r="X64" i="94"/>
  <c r="Z64" i="94" s="1"/>
  <c r="L64" i="94"/>
  <c r="N64" i="94" s="1"/>
  <c r="B64" i="94"/>
  <c r="X63" i="94"/>
  <c r="Z63" i="94" s="1"/>
  <c r="N63" i="94"/>
  <c r="L63" i="94"/>
  <c r="B63" i="94"/>
  <c r="X62" i="94"/>
  <c r="Z62" i="94" s="1"/>
  <c r="L62" i="94"/>
  <c r="N62" i="94" s="1"/>
  <c r="B62" i="94"/>
  <c r="Z61" i="94"/>
  <c r="X61" i="94"/>
  <c r="N61" i="94"/>
  <c r="L61" i="94"/>
  <c r="B61" i="94"/>
  <c r="Z60" i="94"/>
  <c r="X60" i="94"/>
  <c r="L60" i="94"/>
  <c r="N60" i="94" s="1"/>
  <c r="B60" i="94"/>
  <c r="Z59" i="94"/>
  <c r="X59" i="94"/>
  <c r="N59" i="94"/>
  <c r="L59" i="94"/>
  <c r="B59" i="94"/>
  <c r="X58" i="94"/>
  <c r="Z58" i="94" s="1"/>
  <c r="N58" i="94"/>
  <c r="L58" i="94"/>
  <c r="B58" i="94"/>
  <c r="Z57" i="94"/>
  <c r="T57" i="94"/>
  <c r="P57" i="94"/>
  <c r="X57" i="94" s="1"/>
  <c r="L57" i="94"/>
  <c r="N57" i="94" s="1"/>
  <c r="H57" i="94"/>
  <c r="D57" i="94"/>
  <c r="B57" i="94"/>
  <c r="X56" i="94"/>
  <c r="Z56" i="94" s="1"/>
  <c r="N56" i="94"/>
  <c r="L56" i="94"/>
  <c r="B56" i="94"/>
  <c r="T55" i="94"/>
  <c r="P55" i="94"/>
  <c r="X55" i="94" s="1"/>
  <c r="Z55" i="94" s="1"/>
  <c r="H55" i="94"/>
  <c r="N55" i="94" s="1"/>
  <c r="D55" i="94"/>
  <c r="L55" i="94" s="1"/>
  <c r="B55" i="94"/>
  <c r="X54" i="94"/>
  <c r="Z54" i="94" s="1"/>
  <c r="L54" i="94"/>
  <c r="N54" i="94" s="1"/>
  <c r="B54" i="94"/>
  <c r="X53" i="94"/>
  <c r="Z53" i="94" s="1"/>
  <c r="T53" i="94"/>
  <c r="P53" i="94"/>
  <c r="H53" i="94"/>
  <c r="N53" i="94" s="1"/>
  <c r="D53" i="94"/>
  <c r="L53" i="94" s="1"/>
  <c r="B53" i="94"/>
  <c r="X52" i="94"/>
  <c r="Z52" i="94" s="1"/>
  <c r="L52" i="94"/>
  <c r="N52" i="94" s="1"/>
  <c r="B52" i="94"/>
  <c r="X51" i="94"/>
  <c r="Z51" i="94" s="1"/>
  <c r="T51" i="94"/>
  <c r="P51" i="94"/>
  <c r="H51" i="94"/>
  <c r="D51" i="94"/>
  <c r="B51" i="94"/>
  <c r="X50" i="94"/>
  <c r="Z50" i="94" s="1"/>
  <c r="L50" i="94"/>
  <c r="N50" i="94" s="1"/>
  <c r="B50" i="94"/>
  <c r="Z49" i="94"/>
  <c r="X49" i="94"/>
  <c r="L49" i="94"/>
  <c r="N49" i="94" s="1"/>
  <c r="B49" i="94"/>
  <c r="T48" i="94"/>
  <c r="P48" i="94"/>
  <c r="H48" i="94"/>
  <c r="N48" i="94" s="1"/>
  <c r="D48" i="94"/>
  <c r="L48" i="94" s="1"/>
  <c r="B48" i="94"/>
  <c r="X47" i="94"/>
  <c r="Z47" i="94" s="1"/>
  <c r="L47" i="94"/>
  <c r="N47" i="94" s="1"/>
  <c r="B47" i="94"/>
  <c r="T46" i="94"/>
  <c r="P46" i="94"/>
  <c r="X46" i="94" s="1"/>
  <c r="H46" i="94"/>
  <c r="D46" i="94"/>
  <c r="L46" i="94" s="1"/>
  <c r="N46" i="94" s="1"/>
  <c r="B46" i="94"/>
  <c r="Z45" i="94"/>
  <c r="X45" i="94"/>
  <c r="N45" i="94"/>
  <c r="L45" i="94"/>
  <c r="B45" i="94"/>
  <c r="X44" i="94"/>
  <c r="Z44" i="94" s="1"/>
  <c r="T44" i="94"/>
  <c r="P44" i="94"/>
  <c r="L44" i="94"/>
  <c r="N44" i="94" s="1"/>
  <c r="H44" i="94"/>
  <c r="D44" i="94"/>
  <c r="B44" i="94"/>
  <c r="Z43" i="94"/>
  <c r="X43" i="94"/>
  <c r="L43" i="94"/>
  <c r="N43" i="94" s="1"/>
  <c r="B43" i="94"/>
  <c r="T42" i="94"/>
  <c r="P42" i="94"/>
  <c r="X42" i="94" s="1"/>
  <c r="H42" i="94"/>
  <c r="D42" i="94"/>
  <c r="B42" i="94"/>
  <c r="X41" i="94"/>
  <c r="Z41" i="94" s="1"/>
  <c r="N41" i="94"/>
  <c r="L41" i="94"/>
  <c r="B41" i="94"/>
  <c r="T40" i="94"/>
  <c r="P40" i="94"/>
  <c r="X40" i="94" s="1"/>
  <c r="Z40" i="94" s="1"/>
  <c r="H40" i="94"/>
  <c r="D40" i="94"/>
  <c r="L40" i="94" s="1"/>
  <c r="B40" i="94"/>
  <c r="X39" i="94"/>
  <c r="Z39" i="94" s="1"/>
  <c r="N39" i="94"/>
  <c r="L39" i="94"/>
  <c r="B39" i="94"/>
  <c r="X38" i="94"/>
  <c r="Z38" i="94" s="1"/>
  <c r="T38" i="94"/>
  <c r="P38" i="94"/>
  <c r="L38" i="94"/>
  <c r="N38" i="94" s="1"/>
  <c r="H38" i="94"/>
  <c r="D38" i="94"/>
  <c r="B38" i="94"/>
  <c r="X37" i="94"/>
  <c r="Z37" i="94" s="1"/>
  <c r="L37" i="94"/>
  <c r="N37" i="94" s="1"/>
  <c r="B37" i="94"/>
  <c r="T36" i="94"/>
  <c r="P36" i="94"/>
  <c r="H36" i="94"/>
  <c r="D36" i="94"/>
  <c r="L36" i="94" s="1"/>
  <c r="B36" i="94"/>
  <c r="X35" i="94"/>
  <c r="Z35" i="94" s="1"/>
  <c r="V35" i="94"/>
  <c r="L35" i="94"/>
  <c r="N35" i="94" s="1"/>
  <c r="B35" i="94"/>
  <c r="X34" i="94"/>
  <c r="Z34" i="94" s="1"/>
  <c r="N34" i="94"/>
  <c r="L34" i="94"/>
  <c r="B34" i="94"/>
  <c r="X33" i="94"/>
  <c r="Z33" i="94" s="1"/>
  <c r="N33" i="94"/>
  <c r="L33" i="94"/>
  <c r="B33" i="94"/>
  <c r="Z32" i="94"/>
  <c r="X32" i="94"/>
  <c r="L32" i="94"/>
  <c r="N32" i="94" s="1"/>
  <c r="B32" i="94"/>
  <c r="T31" i="94"/>
  <c r="P31" i="94"/>
  <c r="L31" i="94"/>
  <c r="H31" i="94"/>
  <c r="N31" i="94" s="1"/>
  <c r="D31" i="94"/>
  <c r="B31" i="94"/>
  <c r="X30" i="94"/>
  <c r="Z30" i="94" s="1"/>
  <c r="N30" i="94"/>
  <c r="L30" i="94"/>
  <c r="B30" i="94"/>
  <c r="X29" i="94"/>
  <c r="Z29" i="94" s="1"/>
  <c r="N29" i="94"/>
  <c r="L29" i="94"/>
  <c r="B29" i="94"/>
  <c r="X28" i="94"/>
  <c r="Z28" i="94" s="1"/>
  <c r="L28" i="94"/>
  <c r="N28" i="94" s="1"/>
  <c r="B28" i="94"/>
  <c r="X27" i="94"/>
  <c r="Z27" i="94" s="1"/>
  <c r="N27" i="94"/>
  <c r="L27" i="94"/>
  <c r="B27" i="94"/>
  <c r="X26" i="94"/>
  <c r="Z26" i="94" s="1"/>
  <c r="N26" i="94"/>
  <c r="L26" i="94"/>
  <c r="B26" i="94"/>
  <c r="X25" i="94"/>
  <c r="Z25" i="94" s="1"/>
  <c r="L25" i="94"/>
  <c r="N25" i="94" s="1"/>
  <c r="B25" i="94"/>
  <c r="X24" i="94"/>
  <c r="Z24" i="94" s="1"/>
  <c r="L24" i="94"/>
  <c r="N24" i="94" s="1"/>
  <c r="B24" i="94"/>
  <c r="T23" i="94"/>
  <c r="Z23" i="94" s="1"/>
  <c r="P23" i="94"/>
  <c r="X23" i="94" s="1"/>
  <c r="H23" i="94"/>
  <c r="D23" i="94"/>
  <c r="L23" i="94" s="1"/>
  <c r="B23" i="94"/>
  <c r="T22" i="94"/>
  <c r="P22" i="94"/>
  <c r="X22" i="94" s="1"/>
  <c r="H22" i="94"/>
  <c r="D22" i="94"/>
  <c r="Z18" i="94"/>
  <c r="X18" i="94"/>
  <c r="L18" i="94"/>
  <c r="N18" i="94" s="1"/>
  <c r="B18" i="94"/>
  <c r="X17" i="94"/>
  <c r="Z17" i="94" s="1"/>
  <c r="L17" i="94"/>
  <c r="N17" i="94" s="1"/>
  <c r="B17" i="94"/>
  <c r="T16" i="94"/>
  <c r="P16" i="94"/>
  <c r="H16" i="94"/>
  <c r="D16" i="94"/>
  <c r="L16" i="94" s="1"/>
  <c r="T14" i="94"/>
  <c r="T12" i="94" s="1"/>
  <c r="P14" i="94"/>
  <c r="X14" i="94" s="1"/>
  <c r="N14" i="94"/>
  <c r="L14" i="94"/>
  <c r="H14" i="94"/>
  <c r="D14" i="94"/>
  <c r="B14" i="94"/>
  <c r="T13" i="94"/>
  <c r="P13" i="94"/>
  <c r="X13" i="94" s="1"/>
  <c r="Z13" i="94" s="1"/>
  <c r="H13" i="94"/>
  <c r="D13" i="94"/>
  <c r="B13" i="94"/>
  <c r="P12" i="94"/>
  <c r="D6" i="94"/>
  <c r="D4" i="94"/>
  <c r="Z68" i="93"/>
  <c r="X68" i="93"/>
  <c r="L68" i="93"/>
  <c r="N68" i="93" s="1"/>
  <c r="T64" i="93"/>
  <c r="P64" i="93"/>
  <c r="P63" i="93" s="1"/>
  <c r="X63" i="93" s="1"/>
  <c r="H64" i="93"/>
  <c r="D64" i="93"/>
  <c r="L64" i="93" s="1"/>
  <c r="B64" i="93"/>
  <c r="V63" i="93"/>
  <c r="T63" i="93"/>
  <c r="X61" i="93"/>
  <c r="Z61" i="93" s="1"/>
  <c r="N61" i="93"/>
  <c r="L61" i="93"/>
  <c r="B61" i="93"/>
  <c r="T60" i="93"/>
  <c r="Z60" i="93" s="1"/>
  <c r="R60" i="93"/>
  <c r="P60" i="93"/>
  <c r="X60" i="93" s="1"/>
  <c r="N60" i="93"/>
  <c r="H60" i="93"/>
  <c r="D60" i="93"/>
  <c r="L60" i="93" s="1"/>
  <c r="B60" i="93"/>
  <c r="Z59" i="93"/>
  <c r="X59" i="93"/>
  <c r="N59" i="93"/>
  <c r="L59" i="93"/>
  <c r="B59" i="93"/>
  <c r="X58" i="93"/>
  <c r="Z58" i="93" s="1"/>
  <c r="L58" i="93"/>
  <c r="N58" i="93" s="1"/>
  <c r="B58" i="93"/>
  <c r="Z57" i="93"/>
  <c r="X57" i="93"/>
  <c r="N57" i="93"/>
  <c r="L57" i="93"/>
  <c r="B57" i="93"/>
  <c r="X56" i="93"/>
  <c r="Z56" i="93" s="1"/>
  <c r="V56" i="93"/>
  <c r="L56" i="93"/>
  <c r="N56" i="93" s="1"/>
  <c r="F56" i="93"/>
  <c r="B56" i="93"/>
  <c r="Z55" i="93"/>
  <c r="X55" i="93"/>
  <c r="N55" i="93"/>
  <c r="L55" i="93"/>
  <c r="B55" i="93"/>
  <c r="X54" i="93"/>
  <c r="Z54" i="93" s="1"/>
  <c r="T54" i="93"/>
  <c r="P54" i="93"/>
  <c r="L54" i="93"/>
  <c r="N54" i="93" s="1"/>
  <c r="H54" i="93"/>
  <c r="D54" i="93"/>
  <c r="B54" i="93"/>
  <c r="Z53" i="93"/>
  <c r="X53" i="93"/>
  <c r="L53" i="93"/>
  <c r="N53" i="93" s="1"/>
  <c r="B53" i="93"/>
  <c r="Z52" i="93"/>
  <c r="X52" i="93"/>
  <c r="N52" i="93"/>
  <c r="L52" i="93"/>
  <c r="B52" i="93"/>
  <c r="X51" i="93"/>
  <c r="Z51" i="93" s="1"/>
  <c r="T51" i="93"/>
  <c r="P51" i="93"/>
  <c r="N51" i="93"/>
  <c r="H51" i="93"/>
  <c r="D51" i="93"/>
  <c r="L51" i="93" s="1"/>
  <c r="B51" i="93"/>
  <c r="Z50" i="93"/>
  <c r="X50" i="93"/>
  <c r="L50" i="93"/>
  <c r="N50" i="93" s="1"/>
  <c r="B50" i="93"/>
  <c r="X49" i="93"/>
  <c r="Z49" i="93" s="1"/>
  <c r="N49" i="93"/>
  <c r="L49" i="93"/>
  <c r="B49" i="93"/>
  <c r="X48" i="93"/>
  <c r="Z48" i="93" s="1"/>
  <c r="N48" i="93"/>
  <c r="L48" i="93"/>
  <c r="B48" i="93"/>
  <c r="X47" i="93"/>
  <c r="T47" i="93"/>
  <c r="Z47" i="93" s="1"/>
  <c r="P47" i="93"/>
  <c r="H47" i="93"/>
  <c r="D47" i="93"/>
  <c r="B47" i="93"/>
  <c r="X46" i="93"/>
  <c r="Z46" i="93" s="1"/>
  <c r="L46" i="93"/>
  <c r="N46" i="93" s="1"/>
  <c r="B46" i="93"/>
  <c r="T45" i="93"/>
  <c r="P45" i="93"/>
  <c r="X45" i="93" s="1"/>
  <c r="H45" i="93"/>
  <c r="F45" i="93"/>
  <c r="D45" i="93"/>
  <c r="B45" i="93"/>
  <c r="X44" i="93"/>
  <c r="Z44" i="93" s="1"/>
  <c r="L44" i="93"/>
  <c r="N44" i="93" s="1"/>
  <c r="B44" i="93"/>
  <c r="X43" i="93"/>
  <c r="Z43" i="93" s="1"/>
  <c r="T43" i="93"/>
  <c r="P43" i="93"/>
  <c r="N43" i="93"/>
  <c r="H43" i="93"/>
  <c r="D43" i="93"/>
  <c r="L43" i="93" s="1"/>
  <c r="B43" i="93"/>
  <c r="Z42" i="93"/>
  <c r="X42" i="93"/>
  <c r="L42" i="93"/>
  <c r="N42" i="93" s="1"/>
  <c r="B42" i="93"/>
  <c r="T41" i="93"/>
  <c r="P41" i="93"/>
  <c r="L41" i="93"/>
  <c r="H41" i="93"/>
  <c r="N41" i="93" s="1"/>
  <c r="D41" i="93"/>
  <c r="B41" i="93"/>
  <c r="Z40" i="93"/>
  <c r="X40" i="93"/>
  <c r="L40" i="93"/>
  <c r="N40" i="93" s="1"/>
  <c r="B40" i="93"/>
  <c r="T39" i="93"/>
  <c r="P39" i="93"/>
  <c r="X39" i="93" s="1"/>
  <c r="H39" i="93"/>
  <c r="F39" i="93"/>
  <c r="D39" i="93"/>
  <c r="L39" i="93" s="1"/>
  <c r="B39" i="93"/>
  <c r="X38" i="93"/>
  <c r="Z38" i="93" s="1"/>
  <c r="N38" i="93"/>
  <c r="L38" i="93"/>
  <c r="B38" i="93"/>
  <c r="Z37" i="93"/>
  <c r="T37" i="93"/>
  <c r="P37" i="93"/>
  <c r="X37" i="93" s="1"/>
  <c r="N37" i="93"/>
  <c r="L37" i="93"/>
  <c r="H37" i="93"/>
  <c r="D37" i="93"/>
  <c r="B37" i="93"/>
  <c r="X36" i="93"/>
  <c r="Z36" i="93" s="1"/>
  <c r="L36" i="93"/>
  <c r="N36" i="93" s="1"/>
  <c r="B36" i="93"/>
  <c r="X35" i="93"/>
  <c r="Z35" i="93" s="1"/>
  <c r="N35" i="93"/>
  <c r="L35" i="93"/>
  <c r="B35" i="93"/>
  <c r="Z34" i="93"/>
  <c r="X34" i="93"/>
  <c r="L34" i="93"/>
  <c r="N34" i="93" s="1"/>
  <c r="B34" i="93"/>
  <c r="X33" i="93"/>
  <c r="Z33" i="93" s="1"/>
  <c r="R33" i="93"/>
  <c r="N33" i="93"/>
  <c r="L33" i="93"/>
  <c r="B33" i="93"/>
  <c r="T32" i="93"/>
  <c r="Z32" i="93" s="1"/>
  <c r="P32" i="93"/>
  <c r="X32" i="93" s="1"/>
  <c r="H32" i="93"/>
  <c r="D32" i="93"/>
  <c r="L32" i="93" s="1"/>
  <c r="N32" i="93" s="1"/>
  <c r="B32" i="93"/>
  <c r="X31" i="93"/>
  <c r="Z31" i="93" s="1"/>
  <c r="R31" i="93"/>
  <c r="L31" i="93"/>
  <c r="N31" i="93" s="1"/>
  <c r="B31" i="93"/>
  <c r="X30" i="93"/>
  <c r="Z30" i="93" s="1"/>
  <c r="N30" i="93"/>
  <c r="L30" i="93"/>
  <c r="B30" i="93"/>
  <c r="Z29" i="93"/>
  <c r="X29" i="93"/>
  <c r="N29" i="93"/>
  <c r="L29" i="93"/>
  <c r="B29" i="93"/>
  <c r="Z28" i="93"/>
  <c r="X28" i="93"/>
  <c r="N28" i="93"/>
  <c r="L28" i="93"/>
  <c r="B28" i="93"/>
  <c r="X27" i="93"/>
  <c r="Z27" i="93" s="1"/>
  <c r="N27" i="93"/>
  <c r="L27" i="93"/>
  <c r="B27" i="93"/>
  <c r="X26" i="93"/>
  <c r="Z26" i="93" s="1"/>
  <c r="L26" i="93"/>
  <c r="N26" i="93" s="1"/>
  <c r="B26" i="93"/>
  <c r="Z25" i="93"/>
  <c r="X25" i="93"/>
  <c r="N25" i="93"/>
  <c r="L25" i="93"/>
  <c r="B25" i="93"/>
  <c r="X24" i="93"/>
  <c r="Z24" i="93" s="1"/>
  <c r="N24" i="93"/>
  <c r="L24" i="93"/>
  <c r="B24" i="93"/>
  <c r="T23" i="93"/>
  <c r="P23" i="93"/>
  <c r="X23" i="93" s="1"/>
  <c r="H23" i="93"/>
  <c r="N23" i="93" s="1"/>
  <c r="F23" i="93"/>
  <c r="D23" i="93"/>
  <c r="L23" i="93" s="1"/>
  <c r="B23" i="93"/>
  <c r="T22" i="93"/>
  <c r="P22" i="93"/>
  <c r="H22" i="93"/>
  <c r="D22" i="93"/>
  <c r="L22" i="93" s="1"/>
  <c r="X18" i="93"/>
  <c r="Z18" i="93" s="1"/>
  <c r="V18" i="93"/>
  <c r="N18" i="93"/>
  <c r="L18" i="93"/>
  <c r="B18" i="93"/>
  <c r="Z17" i="93"/>
  <c r="X17" i="93"/>
  <c r="L17" i="93"/>
  <c r="N17" i="93" s="1"/>
  <c r="F17" i="93"/>
  <c r="B17" i="93"/>
  <c r="T16" i="93"/>
  <c r="P16" i="93"/>
  <c r="H16" i="93"/>
  <c r="D16" i="93"/>
  <c r="T14" i="93"/>
  <c r="P14" i="93"/>
  <c r="X14" i="93" s="1"/>
  <c r="L14" i="93"/>
  <c r="N14" i="93" s="1"/>
  <c r="H14" i="93"/>
  <c r="D14" i="93"/>
  <c r="B14" i="93"/>
  <c r="Z13" i="93"/>
  <c r="X13" i="93"/>
  <c r="T13" i="93"/>
  <c r="P13" i="93"/>
  <c r="L13" i="93"/>
  <c r="H13" i="93"/>
  <c r="D13" i="93"/>
  <c r="D12" i="93" s="1"/>
  <c r="F70" i="93" s="1"/>
  <c r="B13" i="93"/>
  <c r="T12" i="93"/>
  <c r="V33" i="93" s="1"/>
  <c r="P12" i="93"/>
  <c r="D6" i="93"/>
  <c r="D4" i="93"/>
  <c r="X72" i="92"/>
  <c r="Z72" i="92" s="1"/>
  <c r="N72" i="92"/>
  <c r="L72" i="92"/>
  <c r="T68" i="92"/>
  <c r="Z68" i="92" s="1"/>
  <c r="P68" i="92"/>
  <c r="X68" i="92" s="1"/>
  <c r="H68" i="92"/>
  <c r="N68" i="92" s="1"/>
  <c r="D68" i="92"/>
  <c r="Z66" i="92"/>
  <c r="X66" i="92"/>
  <c r="N66" i="92"/>
  <c r="L66" i="92"/>
  <c r="B66" i="92"/>
  <c r="T65" i="92"/>
  <c r="P65" i="92"/>
  <c r="X65" i="92" s="1"/>
  <c r="Z65" i="92" s="1"/>
  <c r="N65" i="92"/>
  <c r="H65" i="92"/>
  <c r="D65" i="92"/>
  <c r="L65" i="92" s="1"/>
  <c r="B65" i="92"/>
  <c r="X64" i="92"/>
  <c r="Z64" i="92" s="1"/>
  <c r="L64" i="92"/>
  <c r="N64" i="92" s="1"/>
  <c r="B64" i="92"/>
  <c r="X63" i="92"/>
  <c r="T63" i="92"/>
  <c r="P63" i="92"/>
  <c r="L63" i="92"/>
  <c r="H63" i="92"/>
  <c r="N63" i="92" s="1"/>
  <c r="D63" i="92"/>
  <c r="B63" i="92"/>
  <c r="Z62" i="92"/>
  <c r="X62" i="92"/>
  <c r="N62" i="92"/>
  <c r="L62" i="92"/>
  <c r="B62" i="92"/>
  <c r="Z61" i="92"/>
  <c r="X61" i="92"/>
  <c r="N61" i="92"/>
  <c r="L61" i="92"/>
  <c r="B61" i="92"/>
  <c r="Z60" i="92"/>
  <c r="X60" i="92"/>
  <c r="L60" i="92"/>
  <c r="N60" i="92" s="1"/>
  <c r="B60" i="92"/>
  <c r="Z59" i="92"/>
  <c r="X59" i="92"/>
  <c r="N59" i="92"/>
  <c r="L59" i="92"/>
  <c r="B59" i="92"/>
  <c r="Z58" i="92"/>
  <c r="X58" i="92"/>
  <c r="N58" i="92"/>
  <c r="L58" i="92"/>
  <c r="B58" i="92"/>
  <c r="Z57" i="92"/>
  <c r="X57" i="92"/>
  <c r="N57" i="92"/>
  <c r="L57" i="92"/>
  <c r="B57" i="92"/>
  <c r="V56" i="92"/>
  <c r="T56" i="92"/>
  <c r="X56" i="92" s="1"/>
  <c r="Z56" i="92" s="1"/>
  <c r="P56" i="92"/>
  <c r="H56" i="92"/>
  <c r="D56" i="92"/>
  <c r="B56" i="92"/>
  <c r="X55" i="92"/>
  <c r="Z55" i="92" s="1"/>
  <c r="N55" i="92"/>
  <c r="L55" i="92"/>
  <c r="B55" i="92"/>
  <c r="X54" i="92"/>
  <c r="Z54" i="92" s="1"/>
  <c r="N54" i="92"/>
  <c r="L54" i="92"/>
  <c r="B54" i="92"/>
  <c r="Z53" i="92"/>
  <c r="X53" i="92"/>
  <c r="T53" i="92"/>
  <c r="P53" i="92"/>
  <c r="H53" i="92"/>
  <c r="D53" i="92"/>
  <c r="L53" i="92" s="1"/>
  <c r="N53" i="92" s="1"/>
  <c r="B53" i="92"/>
  <c r="Z52" i="92"/>
  <c r="X52" i="92"/>
  <c r="N52" i="92"/>
  <c r="L52" i="92"/>
  <c r="B52" i="92"/>
  <c r="X51" i="92"/>
  <c r="Z51" i="92" s="1"/>
  <c r="R51" i="92"/>
  <c r="N51" i="92"/>
  <c r="L51" i="92"/>
  <c r="B51" i="92"/>
  <c r="T50" i="92"/>
  <c r="P50" i="92"/>
  <c r="X50" i="92" s="1"/>
  <c r="L50" i="92"/>
  <c r="N50" i="92" s="1"/>
  <c r="H50" i="92"/>
  <c r="D50" i="92"/>
  <c r="B50" i="92"/>
  <c r="X49" i="92"/>
  <c r="Z49" i="92" s="1"/>
  <c r="N49" i="92"/>
  <c r="L49" i="92"/>
  <c r="B49" i="92"/>
  <c r="X48" i="92"/>
  <c r="T48" i="92"/>
  <c r="Z48" i="92" s="1"/>
  <c r="P48" i="92"/>
  <c r="H48" i="92"/>
  <c r="N48" i="92" s="1"/>
  <c r="D48" i="92"/>
  <c r="L48" i="92" s="1"/>
  <c r="B48" i="92"/>
  <c r="X47" i="92"/>
  <c r="Z47" i="92" s="1"/>
  <c r="L47" i="92"/>
  <c r="N47" i="92" s="1"/>
  <c r="B47" i="92"/>
  <c r="T46" i="92"/>
  <c r="P46" i="92"/>
  <c r="X46" i="92" s="1"/>
  <c r="L46" i="92"/>
  <c r="N46" i="92" s="1"/>
  <c r="H46" i="92"/>
  <c r="D46" i="92"/>
  <c r="B46" i="92"/>
  <c r="X45" i="92"/>
  <c r="Z45" i="92" s="1"/>
  <c r="V45" i="92"/>
  <c r="N45" i="92"/>
  <c r="L45" i="92"/>
  <c r="B45" i="92"/>
  <c r="T44" i="92"/>
  <c r="Z44" i="92" s="1"/>
  <c r="P44" i="92"/>
  <c r="X44" i="92" s="1"/>
  <c r="L44" i="92"/>
  <c r="H44" i="92"/>
  <c r="N44" i="92" s="1"/>
  <c r="D44" i="92"/>
  <c r="B44" i="92"/>
  <c r="Z43" i="92"/>
  <c r="X43" i="92"/>
  <c r="N43" i="92"/>
  <c r="L43" i="92"/>
  <c r="B43" i="92"/>
  <c r="T42" i="92"/>
  <c r="P42" i="92"/>
  <c r="X42" i="92" s="1"/>
  <c r="H42" i="92"/>
  <c r="D42" i="92"/>
  <c r="B42" i="92"/>
  <c r="Z41" i="92"/>
  <c r="X41" i="92"/>
  <c r="L41" i="92"/>
  <c r="N41" i="92" s="1"/>
  <c r="B41" i="92"/>
  <c r="X40" i="92"/>
  <c r="Z40" i="92" s="1"/>
  <c r="T40" i="92"/>
  <c r="P40" i="92"/>
  <c r="H40" i="92"/>
  <c r="D40" i="92"/>
  <c r="L40" i="92" s="1"/>
  <c r="B40" i="92"/>
  <c r="Z39" i="92"/>
  <c r="X39" i="92"/>
  <c r="N39" i="92"/>
  <c r="L39" i="92"/>
  <c r="B39" i="92"/>
  <c r="X38" i="92"/>
  <c r="T38" i="92"/>
  <c r="Z38" i="92" s="1"/>
  <c r="P38" i="92"/>
  <c r="H38" i="92"/>
  <c r="D38" i="92"/>
  <c r="L38" i="92" s="1"/>
  <c r="B38" i="92"/>
  <c r="Z37" i="92"/>
  <c r="X37" i="92"/>
  <c r="N37" i="92"/>
  <c r="L37" i="92"/>
  <c r="B37" i="92"/>
  <c r="X36" i="92"/>
  <c r="Z36" i="92" s="1"/>
  <c r="R36" i="92"/>
  <c r="L36" i="92"/>
  <c r="N36" i="92" s="1"/>
  <c r="B36" i="92"/>
  <c r="Z35" i="92"/>
  <c r="X35" i="92"/>
  <c r="N35" i="92"/>
  <c r="L35" i="92"/>
  <c r="B35" i="92"/>
  <c r="X34" i="92"/>
  <c r="Z34" i="92" s="1"/>
  <c r="L34" i="92"/>
  <c r="N34" i="92" s="1"/>
  <c r="B34" i="92"/>
  <c r="Z33" i="92"/>
  <c r="X33" i="92"/>
  <c r="N33" i="92"/>
  <c r="L33" i="92"/>
  <c r="B33" i="92"/>
  <c r="X32" i="92"/>
  <c r="Z32" i="92" s="1"/>
  <c r="R32" i="92"/>
  <c r="L32" i="92"/>
  <c r="N32" i="92" s="1"/>
  <c r="B32" i="92"/>
  <c r="T31" i="92"/>
  <c r="R31" i="92"/>
  <c r="P31" i="92"/>
  <c r="N31" i="92"/>
  <c r="L31" i="92"/>
  <c r="H31" i="92"/>
  <c r="D31" i="92"/>
  <c r="B31" i="92"/>
  <c r="X30" i="92"/>
  <c r="Z30" i="92" s="1"/>
  <c r="R30" i="92"/>
  <c r="L30" i="92"/>
  <c r="N30" i="92" s="1"/>
  <c r="B30" i="92"/>
  <c r="Z29" i="92"/>
  <c r="X29" i="92"/>
  <c r="N29" i="92"/>
  <c r="L29" i="92"/>
  <c r="B29" i="92"/>
  <c r="X28" i="92"/>
  <c r="Z28" i="92" s="1"/>
  <c r="L28" i="92"/>
  <c r="N28" i="92" s="1"/>
  <c r="B28" i="92"/>
  <c r="Z27" i="92"/>
  <c r="X27" i="92"/>
  <c r="V27" i="92"/>
  <c r="N27" i="92"/>
  <c r="L27" i="92"/>
  <c r="B27" i="92"/>
  <c r="X26" i="92"/>
  <c r="Z26" i="92" s="1"/>
  <c r="R26" i="92"/>
  <c r="L26" i="92"/>
  <c r="N26" i="92" s="1"/>
  <c r="B26" i="92"/>
  <c r="Z25" i="92"/>
  <c r="X25" i="92"/>
  <c r="N25" i="92"/>
  <c r="L25" i="92"/>
  <c r="B25" i="92"/>
  <c r="X24" i="92"/>
  <c r="Z24" i="92" s="1"/>
  <c r="L24" i="92"/>
  <c r="N24" i="92" s="1"/>
  <c r="B24" i="92"/>
  <c r="Z23" i="92"/>
  <c r="X23" i="92"/>
  <c r="V23" i="92"/>
  <c r="N23" i="92"/>
  <c r="L23" i="92"/>
  <c r="B23" i="92"/>
  <c r="T22" i="92"/>
  <c r="P22" i="92"/>
  <c r="X22" i="92" s="1"/>
  <c r="L22" i="92"/>
  <c r="N22" i="92" s="1"/>
  <c r="H22" i="92"/>
  <c r="D22" i="92"/>
  <c r="B22" i="92"/>
  <c r="T21" i="92"/>
  <c r="X21" i="92" s="1"/>
  <c r="Z21" i="92" s="1"/>
  <c r="R21" i="92"/>
  <c r="P21" i="92"/>
  <c r="H21" i="92"/>
  <c r="D21" i="92"/>
  <c r="R19" i="92"/>
  <c r="X17" i="92"/>
  <c r="Z17" i="92" s="1"/>
  <c r="V17" i="92"/>
  <c r="N17" i="92"/>
  <c r="L17" i="92"/>
  <c r="B17" i="92"/>
  <c r="T16" i="92"/>
  <c r="P16" i="92"/>
  <c r="X16" i="92" s="1"/>
  <c r="L16" i="92"/>
  <c r="H16" i="92"/>
  <c r="D16" i="92"/>
  <c r="T14" i="92"/>
  <c r="P14" i="92"/>
  <c r="X14" i="92" s="1"/>
  <c r="H14" i="92"/>
  <c r="D14" i="92"/>
  <c r="L14" i="92" s="1"/>
  <c r="N14" i="92" s="1"/>
  <c r="B14" i="92"/>
  <c r="T13" i="92"/>
  <c r="P13" i="92"/>
  <c r="X13" i="92" s="1"/>
  <c r="Z13" i="92" s="1"/>
  <c r="H13" i="92"/>
  <c r="H12" i="92" s="1"/>
  <c r="D13" i="92"/>
  <c r="D12" i="92" s="1"/>
  <c r="B13" i="92"/>
  <c r="X12" i="92"/>
  <c r="T12" i="92"/>
  <c r="V63" i="92" s="1"/>
  <c r="P12" i="92"/>
  <c r="R62" i="92" s="1"/>
  <c r="D6" i="92"/>
  <c r="D4" i="92"/>
  <c r="Z91" i="91"/>
  <c r="X91" i="91"/>
  <c r="N91" i="91"/>
  <c r="L91" i="91"/>
  <c r="T87" i="91"/>
  <c r="P87" i="91"/>
  <c r="X87" i="91" s="1"/>
  <c r="L87" i="91"/>
  <c r="H87" i="91"/>
  <c r="N87" i="91" s="1"/>
  <c r="D87" i="91"/>
  <c r="B87" i="91"/>
  <c r="T86" i="91"/>
  <c r="P86" i="91"/>
  <c r="N86" i="91"/>
  <c r="L86" i="91"/>
  <c r="H86" i="91"/>
  <c r="D86" i="91"/>
  <c r="B86" i="91"/>
  <c r="T85" i="91"/>
  <c r="P85" i="91"/>
  <c r="X85" i="91" s="1"/>
  <c r="D85" i="91"/>
  <c r="X83" i="91"/>
  <c r="Z83" i="91" s="1"/>
  <c r="L83" i="91"/>
  <c r="N83" i="91" s="1"/>
  <c r="B83" i="91"/>
  <c r="T82" i="91"/>
  <c r="Z82" i="91" s="1"/>
  <c r="P82" i="91"/>
  <c r="X82" i="91" s="1"/>
  <c r="J82" i="91"/>
  <c r="H82" i="91"/>
  <c r="D82" i="91"/>
  <c r="L82" i="91" s="1"/>
  <c r="N82" i="91" s="1"/>
  <c r="B82" i="91"/>
  <c r="X81" i="91"/>
  <c r="Z81" i="91" s="1"/>
  <c r="N81" i="91"/>
  <c r="L81" i="91"/>
  <c r="F81" i="91"/>
  <c r="B81" i="91"/>
  <c r="Z80" i="91"/>
  <c r="X80" i="91"/>
  <c r="N80" i="91"/>
  <c r="L80" i="91"/>
  <c r="B80" i="91"/>
  <c r="X79" i="91"/>
  <c r="Z79" i="91" s="1"/>
  <c r="N79" i="91"/>
  <c r="L79" i="91"/>
  <c r="B79" i="91"/>
  <c r="Z78" i="91"/>
  <c r="X78" i="91"/>
  <c r="T78" i="91"/>
  <c r="P78" i="91"/>
  <c r="N78" i="91"/>
  <c r="H78" i="91"/>
  <c r="D78" i="91"/>
  <c r="L78" i="91" s="1"/>
  <c r="B78" i="91"/>
  <c r="X77" i="91"/>
  <c r="Z77" i="91" s="1"/>
  <c r="N77" i="91"/>
  <c r="L77" i="91"/>
  <c r="B77" i="91"/>
  <c r="T76" i="91"/>
  <c r="P76" i="91"/>
  <c r="N76" i="91"/>
  <c r="L76" i="91"/>
  <c r="H76" i="91"/>
  <c r="D76" i="91"/>
  <c r="B76" i="91"/>
  <c r="X75" i="91"/>
  <c r="Z75" i="91" s="1"/>
  <c r="L75" i="91"/>
  <c r="N75" i="91" s="1"/>
  <c r="B75" i="91"/>
  <c r="T74" i="91"/>
  <c r="P74" i="91"/>
  <c r="X74" i="91" s="1"/>
  <c r="J74" i="91"/>
  <c r="H74" i="91"/>
  <c r="D74" i="91"/>
  <c r="L74" i="91" s="1"/>
  <c r="N74" i="91" s="1"/>
  <c r="B74" i="91"/>
  <c r="X73" i="91"/>
  <c r="Z73" i="91" s="1"/>
  <c r="N73" i="91"/>
  <c r="L73" i="91"/>
  <c r="F73" i="91"/>
  <c r="B73" i="91"/>
  <c r="Z72" i="91"/>
  <c r="X72" i="91"/>
  <c r="N72" i="91"/>
  <c r="L72" i="91"/>
  <c r="B72" i="91"/>
  <c r="X71" i="91"/>
  <c r="Z71" i="91" s="1"/>
  <c r="N71" i="91"/>
  <c r="L71" i="91"/>
  <c r="B71" i="91"/>
  <c r="Z70" i="91"/>
  <c r="X70" i="91"/>
  <c r="N70" i="91"/>
  <c r="L70" i="91"/>
  <c r="B70" i="91"/>
  <c r="Z69" i="91"/>
  <c r="X69" i="91"/>
  <c r="N69" i="91"/>
  <c r="L69" i="91"/>
  <c r="F69" i="91"/>
  <c r="B69" i="91"/>
  <c r="Z68" i="91"/>
  <c r="X68" i="91"/>
  <c r="N68" i="91"/>
  <c r="L68" i="91"/>
  <c r="B68" i="91"/>
  <c r="X67" i="91"/>
  <c r="T67" i="91"/>
  <c r="Z67" i="91" s="1"/>
  <c r="P67" i="91"/>
  <c r="H67" i="91"/>
  <c r="D67" i="91"/>
  <c r="L67" i="91" s="1"/>
  <c r="B67" i="91"/>
  <c r="Z66" i="91"/>
  <c r="X66" i="91"/>
  <c r="L66" i="91"/>
  <c r="N66" i="91" s="1"/>
  <c r="B66" i="91"/>
  <c r="X65" i="91"/>
  <c r="Z65" i="91" s="1"/>
  <c r="L65" i="91"/>
  <c r="N65" i="91" s="1"/>
  <c r="B65" i="91"/>
  <c r="Z64" i="91"/>
  <c r="X64" i="91"/>
  <c r="N64" i="91"/>
  <c r="L64" i="91"/>
  <c r="J64" i="91"/>
  <c r="B64" i="91"/>
  <c r="Z63" i="91"/>
  <c r="X63" i="91"/>
  <c r="N63" i="91"/>
  <c r="L63" i="91"/>
  <c r="F63" i="91"/>
  <c r="B63" i="91"/>
  <c r="Z62" i="91"/>
  <c r="X62" i="91"/>
  <c r="L62" i="91"/>
  <c r="N62" i="91" s="1"/>
  <c r="B62" i="91"/>
  <c r="X61" i="91"/>
  <c r="T61" i="91"/>
  <c r="P61" i="91"/>
  <c r="H61" i="91"/>
  <c r="D61" i="91"/>
  <c r="L61" i="91" s="1"/>
  <c r="B61" i="91"/>
  <c r="Z60" i="91"/>
  <c r="X60" i="91"/>
  <c r="N60" i="91"/>
  <c r="L60" i="91"/>
  <c r="B60" i="91"/>
  <c r="X59" i="91"/>
  <c r="Z59" i="91" s="1"/>
  <c r="L59" i="91"/>
  <c r="N59" i="91" s="1"/>
  <c r="B59" i="91"/>
  <c r="T58" i="91"/>
  <c r="P58" i="91"/>
  <c r="X58" i="91" s="1"/>
  <c r="N58" i="91"/>
  <c r="J58" i="91"/>
  <c r="H58" i="91"/>
  <c r="D58" i="91"/>
  <c r="L58" i="91" s="1"/>
  <c r="B58" i="91"/>
  <c r="X57" i="91"/>
  <c r="Z57" i="91" s="1"/>
  <c r="N57" i="91"/>
  <c r="L57" i="91"/>
  <c r="F57" i="91"/>
  <c r="B57" i="91"/>
  <c r="T56" i="91"/>
  <c r="P56" i="91"/>
  <c r="X56" i="91" s="1"/>
  <c r="Z56" i="91" s="1"/>
  <c r="N56" i="91"/>
  <c r="L56" i="91"/>
  <c r="J56" i="91"/>
  <c r="H56" i="91"/>
  <c r="F56" i="91"/>
  <c r="D56" i="91"/>
  <c r="B56" i="91"/>
  <c r="Z55" i="91"/>
  <c r="X55" i="91"/>
  <c r="L55" i="91"/>
  <c r="N55" i="91" s="1"/>
  <c r="F55" i="91"/>
  <c r="B55" i="91"/>
  <c r="Z54" i="91"/>
  <c r="X54" i="91"/>
  <c r="T54" i="91"/>
  <c r="P54" i="91"/>
  <c r="H54" i="91"/>
  <c r="L54" i="91" s="1"/>
  <c r="N54" i="91" s="1"/>
  <c r="F54" i="91"/>
  <c r="D54" i="91"/>
  <c r="B54" i="91"/>
  <c r="X53" i="91"/>
  <c r="Z53" i="91" s="1"/>
  <c r="L53" i="91"/>
  <c r="N53" i="91" s="1"/>
  <c r="B53" i="91"/>
  <c r="T52" i="91"/>
  <c r="P52" i="91"/>
  <c r="X52" i="91" s="1"/>
  <c r="Z52" i="91" s="1"/>
  <c r="H52" i="91"/>
  <c r="D52" i="91"/>
  <c r="L52" i="91" s="1"/>
  <c r="B52" i="91"/>
  <c r="Z51" i="91"/>
  <c r="X51" i="91"/>
  <c r="N51" i="91"/>
  <c r="L51" i="91"/>
  <c r="B51" i="91"/>
  <c r="Z50" i="91"/>
  <c r="X50" i="91"/>
  <c r="T50" i="91"/>
  <c r="P50" i="91"/>
  <c r="N50" i="91"/>
  <c r="H50" i="91"/>
  <c r="D50" i="91"/>
  <c r="L50" i="91" s="1"/>
  <c r="B50" i="91"/>
  <c r="X49" i="91"/>
  <c r="Z49" i="91" s="1"/>
  <c r="L49" i="91"/>
  <c r="N49" i="91" s="1"/>
  <c r="B49" i="91"/>
  <c r="T48" i="91"/>
  <c r="P48" i="91"/>
  <c r="N48" i="91"/>
  <c r="L48" i="91"/>
  <c r="H48" i="91"/>
  <c r="D48" i="91"/>
  <c r="B48" i="91"/>
  <c r="X47" i="91"/>
  <c r="Z47" i="91" s="1"/>
  <c r="N47" i="91"/>
  <c r="L47" i="91"/>
  <c r="B47" i="91"/>
  <c r="T46" i="91"/>
  <c r="Z46" i="91" s="1"/>
  <c r="P46" i="91"/>
  <c r="X46" i="91" s="1"/>
  <c r="N46" i="91"/>
  <c r="J46" i="91"/>
  <c r="H46" i="91"/>
  <c r="D46" i="91"/>
  <c r="L46" i="91" s="1"/>
  <c r="B46" i="91"/>
  <c r="X45" i="91"/>
  <c r="Z45" i="91" s="1"/>
  <c r="L45" i="91"/>
  <c r="N45" i="91" s="1"/>
  <c r="F45" i="91"/>
  <c r="B45" i="91"/>
  <c r="T44" i="91"/>
  <c r="P44" i="91"/>
  <c r="X44" i="91" s="1"/>
  <c r="Z44" i="91" s="1"/>
  <c r="N44" i="91"/>
  <c r="L44" i="91"/>
  <c r="J44" i="91"/>
  <c r="H44" i="91"/>
  <c r="F44" i="91"/>
  <c r="D44" i="91"/>
  <c r="B44" i="91"/>
  <c r="Z43" i="91"/>
  <c r="X43" i="91"/>
  <c r="L43" i="91"/>
  <c r="N43" i="91" s="1"/>
  <c r="F43" i="91"/>
  <c r="B43" i="91"/>
  <c r="Z42" i="91"/>
  <c r="X42" i="91"/>
  <c r="L42" i="91"/>
  <c r="N42" i="91" s="1"/>
  <c r="B42" i="91"/>
  <c r="X41" i="91"/>
  <c r="Z41" i="91" s="1"/>
  <c r="L41" i="91"/>
  <c r="N41" i="91" s="1"/>
  <c r="B41" i="91"/>
  <c r="T40" i="91"/>
  <c r="P40" i="91"/>
  <c r="N40" i="91"/>
  <c r="L40" i="91"/>
  <c r="H40" i="91"/>
  <c r="D40" i="91"/>
  <c r="B40" i="91"/>
  <c r="Z39" i="91"/>
  <c r="X39" i="91"/>
  <c r="N39" i="91"/>
  <c r="L39" i="91"/>
  <c r="B39" i="91"/>
  <c r="T38" i="91"/>
  <c r="Z38" i="91" s="1"/>
  <c r="P38" i="91"/>
  <c r="X38" i="91" s="1"/>
  <c r="N38" i="91"/>
  <c r="J38" i="91"/>
  <c r="H38" i="91"/>
  <c r="D38" i="91"/>
  <c r="L38" i="91" s="1"/>
  <c r="B38" i="91"/>
  <c r="X37" i="91"/>
  <c r="Z37" i="91" s="1"/>
  <c r="L37" i="91"/>
  <c r="N37" i="91" s="1"/>
  <c r="F37" i="91"/>
  <c r="B37" i="91"/>
  <c r="Z36" i="91"/>
  <c r="X36" i="91"/>
  <c r="T36" i="91"/>
  <c r="P36" i="91"/>
  <c r="N36" i="91"/>
  <c r="L36" i="91"/>
  <c r="J36" i="91"/>
  <c r="H36" i="91"/>
  <c r="F36" i="91"/>
  <c r="D36" i="91"/>
  <c r="B36" i="91"/>
  <c r="Z35" i="91"/>
  <c r="X35" i="91"/>
  <c r="L35" i="91"/>
  <c r="N35" i="91" s="1"/>
  <c r="F35" i="91"/>
  <c r="B35" i="91"/>
  <c r="Z34" i="91"/>
  <c r="X34" i="91"/>
  <c r="N34" i="91"/>
  <c r="L34" i="91"/>
  <c r="B34" i="91"/>
  <c r="X33" i="91"/>
  <c r="Z33" i="91" s="1"/>
  <c r="L33" i="91"/>
  <c r="N33" i="91" s="1"/>
  <c r="B33" i="91"/>
  <c r="Z32" i="91"/>
  <c r="X32" i="91"/>
  <c r="N32" i="91"/>
  <c r="L32" i="91"/>
  <c r="J32" i="91"/>
  <c r="B32" i="91"/>
  <c r="Z31" i="91"/>
  <c r="X31" i="91"/>
  <c r="L31" i="91"/>
  <c r="N31" i="91" s="1"/>
  <c r="F31" i="91"/>
  <c r="B31" i="91"/>
  <c r="Z30" i="91"/>
  <c r="X30" i="91"/>
  <c r="L30" i="91"/>
  <c r="N30" i="91" s="1"/>
  <c r="B30" i="91"/>
  <c r="X29" i="91"/>
  <c r="T29" i="91"/>
  <c r="P29" i="91"/>
  <c r="H29" i="91"/>
  <c r="N29" i="91" s="1"/>
  <c r="D29" i="91"/>
  <c r="L29" i="91" s="1"/>
  <c r="B29" i="91"/>
  <c r="Z28" i="91"/>
  <c r="X28" i="91"/>
  <c r="N28" i="91"/>
  <c r="L28" i="91"/>
  <c r="B28" i="91"/>
  <c r="X27" i="91"/>
  <c r="Z27" i="91" s="1"/>
  <c r="L27" i="91"/>
  <c r="N27" i="91" s="1"/>
  <c r="B27" i="91"/>
  <c r="X26" i="91"/>
  <c r="Z26" i="91" s="1"/>
  <c r="N26" i="91"/>
  <c r="L26" i="91"/>
  <c r="J26" i="91"/>
  <c r="B26" i="91"/>
  <c r="X25" i="91"/>
  <c r="Z25" i="91" s="1"/>
  <c r="L25" i="91"/>
  <c r="N25" i="91" s="1"/>
  <c r="B25" i="91"/>
  <c r="Z24" i="91"/>
  <c r="X24" i="91"/>
  <c r="V24" i="91"/>
  <c r="N24" i="91"/>
  <c r="L24" i="91"/>
  <c r="B24" i="91"/>
  <c r="X23" i="91"/>
  <c r="Z23" i="91" s="1"/>
  <c r="L23" i="91"/>
  <c r="N23" i="91" s="1"/>
  <c r="B23" i="91"/>
  <c r="X22" i="91"/>
  <c r="Z22" i="91" s="1"/>
  <c r="N22" i="91"/>
  <c r="L22" i="91"/>
  <c r="J22" i="91"/>
  <c r="B22" i="91"/>
  <c r="X21" i="91"/>
  <c r="Z21" i="91" s="1"/>
  <c r="L21" i="91"/>
  <c r="N21" i="91" s="1"/>
  <c r="F21" i="91"/>
  <c r="B21" i="91"/>
  <c r="Z20" i="91"/>
  <c r="X20" i="91"/>
  <c r="N20" i="91"/>
  <c r="L20" i="91"/>
  <c r="B20" i="91"/>
  <c r="T19" i="91"/>
  <c r="P19" i="91"/>
  <c r="X19" i="91" s="1"/>
  <c r="H19" i="91"/>
  <c r="D19" i="91"/>
  <c r="L19" i="91" s="1"/>
  <c r="N19" i="91" s="1"/>
  <c r="B19" i="91"/>
  <c r="T18" i="91"/>
  <c r="P18" i="91"/>
  <c r="H18" i="91"/>
  <c r="F18" i="91"/>
  <c r="D18" i="91"/>
  <c r="L18" i="91" s="1"/>
  <c r="T16" i="91"/>
  <c r="F16" i="91"/>
  <c r="T14" i="91"/>
  <c r="Z14" i="91" s="1"/>
  <c r="P14" i="91"/>
  <c r="H14" i="91"/>
  <c r="N14" i="91" s="1"/>
  <c r="F14" i="91"/>
  <c r="D14" i="91"/>
  <c r="L14" i="91" s="1"/>
  <c r="T12" i="91"/>
  <c r="P12" i="91"/>
  <c r="N12" i="91"/>
  <c r="L12" i="91"/>
  <c r="H12" i="91"/>
  <c r="J81" i="91" s="1"/>
  <c r="D12" i="91"/>
  <c r="F26" i="91" s="1"/>
  <c r="D6" i="91"/>
  <c r="D4" i="91"/>
  <c r="X71" i="88"/>
  <c r="Z71" i="88" s="1"/>
  <c r="L71" i="88"/>
  <c r="N71" i="88" s="1"/>
  <c r="T67" i="88"/>
  <c r="Z67" i="88" s="1"/>
  <c r="P67" i="88"/>
  <c r="X67" i="88" s="1"/>
  <c r="N67" i="88"/>
  <c r="H67" i="88"/>
  <c r="D67" i="88"/>
  <c r="L67" i="88" s="1"/>
  <c r="X65" i="88"/>
  <c r="Z65" i="88" s="1"/>
  <c r="N65" i="88"/>
  <c r="L65" i="88"/>
  <c r="B65" i="88"/>
  <c r="X64" i="88"/>
  <c r="T64" i="88"/>
  <c r="Z64" i="88" s="1"/>
  <c r="P64" i="88"/>
  <c r="H64" i="88"/>
  <c r="N64" i="88" s="1"/>
  <c r="D64" i="88"/>
  <c r="B64" i="88"/>
  <c r="X63" i="88"/>
  <c r="Z63" i="88" s="1"/>
  <c r="L63" i="88"/>
  <c r="N63" i="88" s="1"/>
  <c r="B63" i="88"/>
  <c r="T62" i="88"/>
  <c r="P62" i="88"/>
  <c r="X62" i="88" s="1"/>
  <c r="H62" i="88"/>
  <c r="N62" i="88" s="1"/>
  <c r="D62" i="88"/>
  <c r="L62" i="88" s="1"/>
  <c r="B62" i="88"/>
  <c r="X61" i="88"/>
  <c r="Z61" i="88" s="1"/>
  <c r="N61" i="88"/>
  <c r="L61" i="88"/>
  <c r="B61" i="88"/>
  <c r="Z60" i="88"/>
  <c r="X60" i="88"/>
  <c r="N60" i="88"/>
  <c r="L60" i="88"/>
  <c r="B60" i="88"/>
  <c r="X59" i="88"/>
  <c r="Z59" i="88" s="1"/>
  <c r="N59" i="88"/>
  <c r="L59" i="88"/>
  <c r="B59" i="88"/>
  <c r="Z58" i="88"/>
  <c r="X58" i="88"/>
  <c r="L58" i="88"/>
  <c r="N58" i="88" s="1"/>
  <c r="B58" i="88"/>
  <c r="X57" i="88"/>
  <c r="Z57" i="88" s="1"/>
  <c r="L57" i="88"/>
  <c r="N57" i="88" s="1"/>
  <c r="B57" i="88"/>
  <c r="Z56" i="88"/>
  <c r="X56" i="88"/>
  <c r="T56" i="88"/>
  <c r="P56" i="88"/>
  <c r="H56" i="88"/>
  <c r="D56" i="88"/>
  <c r="L56" i="88" s="1"/>
  <c r="N56" i="88" s="1"/>
  <c r="B56" i="88"/>
  <c r="Z55" i="88"/>
  <c r="X55" i="88"/>
  <c r="N55" i="88"/>
  <c r="L55" i="88"/>
  <c r="B55" i="88"/>
  <c r="T54" i="88"/>
  <c r="P54" i="88"/>
  <c r="L54" i="88"/>
  <c r="H54" i="88"/>
  <c r="N54" i="88" s="1"/>
  <c r="D54" i="88"/>
  <c r="B54" i="88"/>
  <c r="X53" i="88"/>
  <c r="Z53" i="88" s="1"/>
  <c r="L53" i="88"/>
  <c r="N53" i="88" s="1"/>
  <c r="B53" i="88"/>
  <c r="Z52" i="88"/>
  <c r="X52" i="88"/>
  <c r="N52" i="88"/>
  <c r="L52" i="88"/>
  <c r="B52" i="88"/>
  <c r="Z51" i="88"/>
  <c r="X51" i="88"/>
  <c r="N51" i="88"/>
  <c r="L51" i="88"/>
  <c r="B51" i="88"/>
  <c r="T50" i="88"/>
  <c r="P50" i="88"/>
  <c r="X50" i="88" s="1"/>
  <c r="H50" i="88"/>
  <c r="N50" i="88" s="1"/>
  <c r="D50" i="88"/>
  <c r="L50" i="88" s="1"/>
  <c r="B50" i="88"/>
  <c r="X49" i="88"/>
  <c r="Z49" i="88" s="1"/>
  <c r="N49" i="88"/>
  <c r="L49" i="88"/>
  <c r="B49" i="88"/>
  <c r="Z48" i="88"/>
  <c r="X48" i="88"/>
  <c r="T48" i="88"/>
  <c r="P48" i="88"/>
  <c r="N48" i="88"/>
  <c r="H48" i="88"/>
  <c r="D48" i="88"/>
  <c r="L48" i="88" s="1"/>
  <c r="B48" i="88"/>
  <c r="Z47" i="88"/>
  <c r="X47" i="88"/>
  <c r="N47" i="88"/>
  <c r="L47" i="88"/>
  <c r="B47" i="88"/>
  <c r="T46" i="88"/>
  <c r="P46" i="88"/>
  <c r="L46" i="88"/>
  <c r="H46" i="88"/>
  <c r="N46" i="88" s="1"/>
  <c r="D46" i="88"/>
  <c r="B46" i="88"/>
  <c r="X45" i="88"/>
  <c r="Z45" i="88" s="1"/>
  <c r="L45" i="88"/>
  <c r="N45" i="88" s="1"/>
  <c r="B45" i="88"/>
  <c r="T44" i="88"/>
  <c r="Z44" i="88" s="1"/>
  <c r="P44" i="88"/>
  <c r="X44" i="88" s="1"/>
  <c r="H44" i="88"/>
  <c r="D44" i="88"/>
  <c r="L44" i="88" s="1"/>
  <c r="B44" i="88"/>
  <c r="X43" i="88"/>
  <c r="Z43" i="88" s="1"/>
  <c r="N43" i="88"/>
  <c r="L43" i="88"/>
  <c r="B43" i="88"/>
  <c r="T42" i="88"/>
  <c r="P42" i="88"/>
  <c r="X42" i="88" s="1"/>
  <c r="Z42" i="88" s="1"/>
  <c r="N42" i="88"/>
  <c r="L42" i="88"/>
  <c r="H42" i="88"/>
  <c r="D42" i="88"/>
  <c r="B42" i="88"/>
  <c r="Z41" i="88"/>
  <c r="X41" i="88"/>
  <c r="L41" i="88"/>
  <c r="N41" i="88" s="1"/>
  <c r="B41" i="88"/>
  <c r="X40" i="88"/>
  <c r="T40" i="88"/>
  <c r="Z40" i="88" s="1"/>
  <c r="P40" i="88"/>
  <c r="J40" i="88"/>
  <c r="H40" i="88"/>
  <c r="D40" i="88"/>
  <c r="B40" i="88"/>
  <c r="Z39" i="88"/>
  <c r="X39" i="88"/>
  <c r="L39" i="88"/>
  <c r="N39" i="88" s="1"/>
  <c r="B39" i="88"/>
  <c r="T38" i="88"/>
  <c r="Z38" i="88" s="1"/>
  <c r="P38" i="88"/>
  <c r="X38" i="88" s="1"/>
  <c r="H38" i="88"/>
  <c r="N38" i="88" s="1"/>
  <c r="D38" i="88"/>
  <c r="L38" i="88" s="1"/>
  <c r="B38" i="88"/>
  <c r="X37" i="88"/>
  <c r="Z37" i="88" s="1"/>
  <c r="N37" i="88"/>
  <c r="L37" i="88"/>
  <c r="B37" i="88"/>
  <c r="Z36" i="88"/>
  <c r="X36" i="88"/>
  <c r="L36" i="88"/>
  <c r="N36" i="88" s="1"/>
  <c r="B36" i="88"/>
  <c r="X35" i="88"/>
  <c r="Z35" i="88" s="1"/>
  <c r="N35" i="88"/>
  <c r="L35" i="88"/>
  <c r="B35" i="88"/>
  <c r="Z34" i="88"/>
  <c r="X34" i="88"/>
  <c r="L34" i="88"/>
  <c r="N34" i="88" s="1"/>
  <c r="B34" i="88"/>
  <c r="X33" i="88"/>
  <c r="Z33" i="88" s="1"/>
  <c r="N33" i="88"/>
  <c r="L33" i="88"/>
  <c r="B33" i="88"/>
  <c r="Z32" i="88"/>
  <c r="X32" i="88"/>
  <c r="T32" i="88"/>
  <c r="P32" i="88"/>
  <c r="H32" i="88"/>
  <c r="D32" i="88"/>
  <c r="L32" i="88" s="1"/>
  <c r="N32" i="88" s="1"/>
  <c r="B32" i="88"/>
  <c r="Z31" i="88"/>
  <c r="X31" i="88"/>
  <c r="N31" i="88"/>
  <c r="L31" i="88"/>
  <c r="B31" i="88"/>
  <c r="X30" i="88"/>
  <c r="Z30" i="88" s="1"/>
  <c r="N30" i="88"/>
  <c r="L30" i="88"/>
  <c r="B30" i="88"/>
  <c r="Z29" i="88"/>
  <c r="X29" i="88"/>
  <c r="L29" i="88"/>
  <c r="N29" i="88" s="1"/>
  <c r="B29" i="88"/>
  <c r="X28" i="88"/>
  <c r="Z28" i="88" s="1"/>
  <c r="N28" i="88"/>
  <c r="L28" i="88"/>
  <c r="B28" i="88"/>
  <c r="Z27" i="88"/>
  <c r="X27" i="88"/>
  <c r="N27" i="88"/>
  <c r="L27" i="88"/>
  <c r="B27" i="88"/>
  <c r="X26" i="88"/>
  <c r="Z26" i="88" s="1"/>
  <c r="N26" i="88"/>
  <c r="L26" i="88"/>
  <c r="B26" i="88"/>
  <c r="X25" i="88"/>
  <c r="Z25" i="88" s="1"/>
  <c r="L25" i="88"/>
  <c r="N25" i="88" s="1"/>
  <c r="B25" i="88"/>
  <c r="X24" i="88"/>
  <c r="Z24" i="88" s="1"/>
  <c r="N24" i="88"/>
  <c r="L24" i="88"/>
  <c r="B24" i="88"/>
  <c r="T23" i="88"/>
  <c r="P23" i="88"/>
  <c r="X23" i="88" s="1"/>
  <c r="Z23" i="88" s="1"/>
  <c r="H23" i="88"/>
  <c r="N23" i="88" s="1"/>
  <c r="D23" i="88"/>
  <c r="L23" i="88" s="1"/>
  <c r="B23" i="88"/>
  <c r="T22" i="88"/>
  <c r="P22" i="88"/>
  <c r="H22" i="88"/>
  <c r="D22" i="88"/>
  <c r="Z18" i="88"/>
  <c r="X18" i="88"/>
  <c r="L18" i="88"/>
  <c r="N18" i="88" s="1"/>
  <c r="B18" i="88"/>
  <c r="X17" i="88"/>
  <c r="Z17" i="88" s="1"/>
  <c r="V17" i="88"/>
  <c r="L17" i="88"/>
  <c r="N17" i="88" s="1"/>
  <c r="B17" i="88"/>
  <c r="T16" i="88"/>
  <c r="Z16" i="88" s="1"/>
  <c r="R16" i="88"/>
  <c r="P16" i="88"/>
  <c r="X16" i="88" s="1"/>
  <c r="H16" i="88"/>
  <c r="D16" i="88"/>
  <c r="L16" i="88" s="1"/>
  <c r="T14" i="88"/>
  <c r="P14" i="88"/>
  <c r="P12" i="88" s="1"/>
  <c r="R44" i="88" s="1"/>
  <c r="N14" i="88"/>
  <c r="L14" i="88"/>
  <c r="H14" i="88"/>
  <c r="D14" i="88"/>
  <c r="B14" i="88"/>
  <c r="T13" i="88"/>
  <c r="T12" i="88" s="1"/>
  <c r="P13" i="88"/>
  <c r="H13" i="88"/>
  <c r="H12" i="88" s="1"/>
  <c r="J64" i="88" s="1"/>
  <c r="D13" i="88"/>
  <c r="B13" i="88"/>
  <c r="D6" i="88"/>
  <c r="D4" i="88"/>
  <c r="Z82" i="87"/>
  <c r="X82" i="87"/>
  <c r="L82" i="87"/>
  <c r="N82" i="87" s="1"/>
  <c r="T78" i="87"/>
  <c r="Z78" i="87" s="1"/>
  <c r="P78" i="87"/>
  <c r="X78" i="87" s="1"/>
  <c r="H78" i="87"/>
  <c r="N78" i="87" s="1"/>
  <c r="D78" i="87"/>
  <c r="L78" i="87" s="1"/>
  <c r="Z76" i="87"/>
  <c r="X76" i="87"/>
  <c r="N76" i="87"/>
  <c r="L76" i="87"/>
  <c r="B76" i="87"/>
  <c r="T75" i="87"/>
  <c r="P75" i="87"/>
  <c r="X75" i="87" s="1"/>
  <c r="Z75" i="87" s="1"/>
  <c r="L75" i="87"/>
  <c r="N75" i="87" s="1"/>
  <c r="H75" i="87"/>
  <c r="D75" i="87"/>
  <c r="B75" i="87"/>
  <c r="X74" i="87"/>
  <c r="Z74" i="87" s="1"/>
  <c r="N74" i="87"/>
  <c r="L74" i="87"/>
  <c r="F74" i="87"/>
  <c r="B74" i="87"/>
  <c r="T73" i="87"/>
  <c r="P73" i="87"/>
  <c r="H73" i="87"/>
  <c r="D73" i="87"/>
  <c r="B73" i="87"/>
  <c r="X72" i="87"/>
  <c r="Z72" i="87" s="1"/>
  <c r="N72" i="87"/>
  <c r="L72" i="87"/>
  <c r="B72" i="87"/>
  <c r="Z71" i="87"/>
  <c r="T71" i="87"/>
  <c r="P71" i="87"/>
  <c r="X71" i="87" s="1"/>
  <c r="H71" i="87"/>
  <c r="D71" i="87"/>
  <c r="L71" i="87" s="1"/>
  <c r="N71" i="87" s="1"/>
  <c r="B71" i="87"/>
  <c r="Z70" i="87"/>
  <c r="X70" i="87"/>
  <c r="L70" i="87"/>
  <c r="N70" i="87" s="1"/>
  <c r="B70" i="87"/>
  <c r="X69" i="87"/>
  <c r="Z69" i="87" s="1"/>
  <c r="V69" i="87"/>
  <c r="L69" i="87"/>
  <c r="N69" i="87" s="1"/>
  <c r="B69" i="87"/>
  <c r="Z68" i="87"/>
  <c r="X68" i="87"/>
  <c r="L68" i="87"/>
  <c r="N68" i="87" s="1"/>
  <c r="B68" i="87"/>
  <c r="Z67" i="87"/>
  <c r="X67" i="87"/>
  <c r="L67" i="87"/>
  <c r="N67" i="87" s="1"/>
  <c r="B67" i="87"/>
  <c r="Z66" i="87"/>
  <c r="X66" i="87"/>
  <c r="L66" i="87"/>
  <c r="N66" i="87" s="1"/>
  <c r="B66" i="87"/>
  <c r="X65" i="87"/>
  <c r="Z65" i="87" s="1"/>
  <c r="L65" i="87"/>
  <c r="N65" i="87" s="1"/>
  <c r="B65" i="87"/>
  <c r="Z64" i="87"/>
  <c r="X64" i="87"/>
  <c r="N64" i="87"/>
  <c r="L64" i="87"/>
  <c r="B64" i="87"/>
  <c r="T63" i="87"/>
  <c r="P63" i="87"/>
  <c r="X63" i="87" s="1"/>
  <c r="Z63" i="87" s="1"/>
  <c r="L63" i="87"/>
  <c r="N63" i="87" s="1"/>
  <c r="H63" i="87"/>
  <c r="D63" i="87"/>
  <c r="B63" i="87"/>
  <c r="X62" i="87"/>
  <c r="Z62" i="87" s="1"/>
  <c r="N62" i="87"/>
  <c r="L62" i="87"/>
  <c r="F62" i="87"/>
  <c r="B62" i="87"/>
  <c r="X61" i="87"/>
  <c r="T61" i="87"/>
  <c r="Z61" i="87" s="1"/>
  <c r="P61" i="87"/>
  <c r="H61" i="87"/>
  <c r="D61" i="87"/>
  <c r="B61" i="87"/>
  <c r="X60" i="87"/>
  <c r="Z60" i="87" s="1"/>
  <c r="N60" i="87"/>
  <c r="L60" i="87"/>
  <c r="B60" i="87"/>
  <c r="Z59" i="87"/>
  <c r="X59" i="87"/>
  <c r="N59" i="87"/>
  <c r="L59" i="87"/>
  <c r="B59" i="87"/>
  <c r="X58" i="87"/>
  <c r="Z58" i="87" s="1"/>
  <c r="N58" i="87"/>
  <c r="L58" i="87"/>
  <c r="B58" i="87"/>
  <c r="T57" i="87"/>
  <c r="P57" i="87"/>
  <c r="X57" i="87" s="1"/>
  <c r="Z57" i="87" s="1"/>
  <c r="H57" i="87"/>
  <c r="D57" i="87"/>
  <c r="L57" i="87" s="1"/>
  <c r="N57" i="87" s="1"/>
  <c r="B57" i="87"/>
  <c r="Z56" i="87"/>
  <c r="X56" i="87"/>
  <c r="N56" i="87"/>
  <c r="L56" i="87"/>
  <c r="B56" i="87"/>
  <c r="T55" i="87"/>
  <c r="P55" i="87"/>
  <c r="X55" i="87" s="1"/>
  <c r="Z55" i="87" s="1"/>
  <c r="L55" i="87"/>
  <c r="N55" i="87" s="1"/>
  <c r="H55" i="87"/>
  <c r="D55" i="87"/>
  <c r="B55" i="87"/>
  <c r="X54" i="87"/>
  <c r="Z54" i="87" s="1"/>
  <c r="L54" i="87"/>
  <c r="N54" i="87" s="1"/>
  <c r="B54" i="87"/>
  <c r="X53" i="87"/>
  <c r="Z53" i="87" s="1"/>
  <c r="N53" i="87"/>
  <c r="L53" i="87"/>
  <c r="B53" i="87"/>
  <c r="X52" i="87"/>
  <c r="Z52" i="87" s="1"/>
  <c r="T52" i="87"/>
  <c r="P52" i="87"/>
  <c r="H52" i="87"/>
  <c r="D52" i="87"/>
  <c r="L52" i="87" s="1"/>
  <c r="N52" i="87" s="1"/>
  <c r="B52" i="87"/>
  <c r="Z51" i="87"/>
  <c r="X51" i="87"/>
  <c r="N51" i="87"/>
  <c r="L51" i="87"/>
  <c r="B51" i="87"/>
  <c r="T50" i="87"/>
  <c r="P50" i="87"/>
  <c r="L50" i="87"/>
  <c r="H50" i="87"/>
  <c r="N50" i="87" s="1"/>
  <c r="D50" i="87"/>
  <c r="B50" i="87"/>
  <c r="X49" i="87"/>
  <c r="Z49" i="87" s="1"/>
  <c r="V49" i="87"/>
  <c r="L49" i="87"/>
  <c r="N49" i="87" s="1"/>
  <c r="B49" i="87"/>
  <c r="T48" i="87"/>
  <c r="P48" i="87"/>
  <c r="X48" i="87" s="1"/>
  <c r="H48" i="87"/>
  <c r="N48" i="87" s="1"/>
  <c r="D48" i="87"/>
  <c r="L48" i="87" s="1"/>
  <c r="B48" i="87"/>
  <c r="X47" i="87"/>
  <c r="Z47" i="87" s="1"/>
  <c r="N47" i="87"/>
  <c r="L47" i="87"/>
  <c r="B47" i="87"/>
  <c r="T46" i="87"/>
  <c r="P46" i="87"/>
  <c r="X46" i="87" s="1"/>
  <c r="Z46" i="87" s="1"/>
  <c r="L46" i="87"/>
  <c r="N46" i="87" s="1"/>
  <c r="H46" i="87"/>
  <c r="D46" i="87"/>
  <c r="B46" i="87"/>
  <c r="Z45" i="87"/>
  <c r="X45" i="87"/>
  <c r="L45" i="87"/>
  <c r="N45" i="87" s="1"/>
  <c r="B45" i="87"/>
  <c r="X44" i="87"/>
  <c r="Z44" i="87" s="1"/>
  <c r="N44" i="87"/>
  <c r="L44" i="87"/>
  <c r="B44" i="87"/>
  <c r="Z43" i="87"/>
  <c r="T43" i="87"/>
  <c r="P43" i="87"/>
  <c r="X43" i="87" s="1"/>
  <c r="H43" i="87"/>
  <c r="D43" i="87"/>
  <c r="L43" i="87" s="1"/>
  <c r="N43" i="87" s="1"/>
  <c r="B43" i="87"/>
  <c r="Z42" i="87"/>
  <c r="X42" i="87"/>
  <c r="L42" i="87"/>
  <c r="N42" i="87" s="1"/>
  <c r="B42" i="87"/>
  <c r="X41" i="87"/>
  <c r="Z41" i="87" s="1"/>
  <c r="V41" i="87"/>
  <c r="T41" i="87"/>
  <c r="P41" i="87"/>
  <c r="H41" i="87"/>
  <c r="D41" i="87"/>
  <c r="L41" i="87" s="1"/>
  <c r="N41" i="87" s="1"/>
  <c r="B41" i="87"/>
  <c r="X40" i="87"/>
  <c r="Z40" i="87" s="1"/>
  <c r="L40" i="87"/>
  <c r="N40" i="87" s="1"/>
  <c r="B40" i="87"/>
  <c r="T39" i="87"/>
  <c r="P39" i="87"/>
  <c r="L39" i="87"/>
  <c r="H39" i="87"/>
  <c r="N39" i="87" s="1"/>
  <c r="D39" i="87"/>
  <c r="B39" i="87"/>
  <c r="X38" i="87"/>
  <c r="Z38" i="87" s="1"/>
  <c r="V38" i="87"/>
  <c r="N38" i="87"/>
  <c r="L38" i="87"/>
  <c r="B38" i="87"/>
  <c r="T37" i="87"/>
  <c r="P37" i="87"/>
  <c r="X37" i="87" s="1"/>
  <c r="Z37" i="87" s="1"/>
  <c r="H37" i="87"/>
  <c r="D37" i="87"/>
  <c r="L37" i="87" s="1"/>
  <c r="N37" i="87" s="1"/>
  <c r="B37" i="87"/>
  <c r="Z36" i="87"/>
  <c r="X36" i="87"/>
  <c r="N36" i="87"/>
  <c r="L36" i="87"/>
  <c r="B36" i="87"/>
  <c r="Z35" i="87"/>
  <c r="X35" i="87"/>
  <c r="L35" i="87"/>
  <c r="N35" i="87" s="1"/>
  <c r="F35" i="87"/>
  <c r="B35" i="87"/>
  <c r="Z34" i="87"/>
  <c r="X34" i="87"/>
  <c r="N34" i="87"/>
  <c r="L34" i="87"/>
  <c r="B34" i="87"/>
  <c r="Z33" i="87"/>
  <c r="X33" i="87"/>
  <c r="V33" i="87"/>
  <c r="L33" i="87"/>
  <c r="N33" i="87" s="1"/>
  <c r="B33" i="87"/>
  <c r="T32" i="87"/>
  <c r="P32" i="87"/>
  <c r="X32" i="87" s="1"/>
  <c r="H32" i="87"/>
  <c r="D32" i="87"/>
  <c r="B32" i="87"/>
  <c r="X31" i="87"/>
  <c r="Z31" i="87" s="1"/>
  <c r="V31" i="87"/>
  <c r="N31" i="87"/>
  <c r="L31" i="87"/>
  <c r="B31" i="87"/>
  <c r="X30" i="87"/>
  <c r="Z30" i="87" s="1"/>
  <c r="L30" i="87"/>
  <c r="N30" i="87" s="1"/>
  <c r="B30" i="87"/>
  <c r="X29" i="87"/>
  <c r="Z29" i="87" s="1"/>
  <c r="V29" i="87"/>
  <c r="N29" i="87"/>
  <c r="L29" i="87"/>
  <c r="B29" i="87"/>
  <c r="Z28" i="87"/>
  <c r="X28" i="87"/>
  <c r="L28" i="87"/>
  <c r="N28" i="87" s="1"/>
  <c r="B28" i="87"/>
  <c r="X27" i="87"/>
  <c r="Z27" i="87" s="1"/>
  <c r="V27" i="87"/>
  <c r="N27" i="87"/>
  <c r="L27" i="87"/>
  <c r="B27" i="87"/>
  <c r="X26" i="87"/>
  <c r="Z26" i="87" s="1"/>
  <c r="L26" i="87"/>
  <c r="N26" i="87" s="1"/>
  <c r="B26" i="87"/>
  <c r="X25" i="87"/>
  <c r="Z25" i="87" s="1"/>
  <c r="V25" i="87"/>
  <c r="N25" i="87"/>
  <c r="L25" i="87"/>
  <c r="B25" i="87"/>
  <c r="Z24" i="87"/>
  <c r="X24" i="87"/>
  <c r="L24" i="87"/>
  <c r="N24" i="87" s="1"/>
  <c r="B24" i="87"/>
  <c r="V23" i="87"/>
  <c r="T23" i="87"/>
  <c r="P23" i="87"/>
  <c r="L23" i="87"/>
  <c r="H23" i="87"/>
  <c r="N23" i="87" s="1"/>
  <c r="D23" i="87"/>
  <c r="B23" i="87"/>
  <c r="T22" i="87"/>
  <c r="P22" i="87"/>
  <c r="H22" i="87"/>
  <c r="D22" i="87"/>
  <c r="X18" i="87"/>
  <c r="Z18" i="87" s="1"/>
  <c r="V18" i="87"/>
  <c r="N18" i="87"/>
  <c r="L18" i="87"/>
  <c r="B18" i="87"/>
  <c r="Z17" i="87"/>
  <c r="X17" i="87"/>
  <c r="L17" i="87"/>
  <c r="N17" i="87" s="1"/>
  <c r="B17" i="87"/>
  <c r="T16" i="87"/>
  <c r="P16" i="87"/>
  <c r="H16" i="87"/>
  <c r="D16" i="87"/>
  <c r="X14" i="87"/>
  <c r="Z14" i="87" s="1"/>
  <c r="T14" i="87"/>
  <c r="P14" i="87"/>
  <c r="H14" i="87"/>
  <c r="N14" i="87" s="1"/>
  <c r="D14" i="87"/>
  <c r="L14" i="87" s="1"/>
  <c r="B14" i="87"/>
  <c r="Z13" i="87"/>
  <c r="T13" i="87"/>
  <c r="P13" i="87"/>
  <c r="X13" i="87" s="1"/>
  <c r="H13" i="87"/>
  <c r="D13" i="87"/>
  <c r="B13" i="87"/>
  <c r="T12" i="87"/>
  <c r="P12" i="87"/>
  <c r="R47" i="87" s="1"/>
  <c r="D12" i="87"/>
  <c r="F67" i="87" s="1"/>
  <c r="D6" i="87"/>
  <c r="D4" i="87"/>
  <c r="X32" i="85"/>
  <c r="Z32" i="85" s="1"/>
  <c r="R32" i="85"/>
  <c r="L32" i="85"/>
  <c r="N32" i="85" s="1"/>
  <c r="T28" i="85"/>
  <c r="Z28" i="85" s="1"/>
  <c r="P28" i="85"/>
  <c r="J28" i="85"/>
  <c r="H28" i="85"/>
  <c r="N28" i="85" s="1"/>
  <c r="D28" i="85"/>
  <c r="L28" i="85" s="1"/>
  <c r="X26" i="85"/>
  <c r="Z26" i="85" s="1"/>
  <c r="L26" i="85"/>
  <c r="N26" i="85" s="1"/>
  <c r="B26" i="85"/>
  <c r="T25" i="85"/>
  <c r="P25" i="85"/>
  <c r="X25" i="85" s="1"/>
  <c r="H25" i="85"/>
  <c r="D25" i="85"/>
  <c r="B25" i="85"/>
  <c r="Z24" i="85"/>
  <c r="X24" i="85"/>
  <c r="N24" i="85"/>
  <c r="L24" i="85"/>
  <c r="B24" i="85"/>
  <c r="T23" i="85"/>
  <c r="P23" i="85"/>
  <c r="X23" i="85" s="1"/>
  <c r="L23" i="85"/>
  <c r="N23" i="85" s="1"/>
  <c r="H23" i="85"/>
  <c r="D23" i="85"/>
  <c r="B23" i="85"/>
  <c r="X22" i="85"/>
  <c r="Z22" i="85" s="1"/>
  <c r="L22" i="85"/>
  <c r="N22" i="85" s="1"/>
  <c r="J22" i="85"/>
  <c r="B22" i="85"/>
  <c r="T21" i="85"/>
  <c r="P21" i="85"/>
  <c r="X21" i="85" s="1"/>
  <c r="Z21" i="85" s="1"/>
  <c r="H21" i="85"/>
  <c r="D21" i="85"/>
  <c r="B21" i="85"/>
  <c r="T20" i="85"/>
  <c r="P20" i="85"/>
  <c r="X20" i="85" s="1"/>
  <c r="Z20" i="85" s="1"/>
  <c r="H20" i="85"/>
  <c r="J20" i="85" s="1"/>
  <c r="D20" i="85"/>
  <c r="L20" i="85" s="1"/>
  <c r="N20" i="85" s="1"/>
  <c r="Z16" i="85"/>
  <c r="X16" i="85"/>
  <c r="N16" i="85"/>
  <c r="L16" i="85"/>
  <c r="J16" i="85"/>
  <c r="B16" i="85"/>
  <c r="T15" i="85"/>
  <c r="P15" i="85"/>
  <c r="H15" i="85"/>
  <c r="N15" i="85" s="1"/>
  <c r="D15" i="85"/>
  <c r="L15" i="85" s="1"/>
  <c r="T13" i="85"/>
  <c r="P13" i="85"/>
  <c r="P12" i="85" s="1"/>
  <c r="H13" i="85"/>
  <c r="D13" i="85"/>
  <c r="D12" i="85" s="1"/>
  <c r="B13" i="85"/>
  <c r="T12" i="85"/>
  <c r="H12" i="85"/>
  <c r="J32" i="85" s="1"/>
  <c r="D6" i="85"/>
  <c r="D4" i="85"/>
  <c r="Z113" i="84"/>
  <c r="X113" i="84"/>
  <c r="N113" i="84"/>
  <c r="L113" i="84"/>
  <c r="Z109" i="84"/>
  <c r="T109" i="84"/>
  <c r="P109" i="84"/>
  <c r="X109" i="84" s="1"/>
  <c r="N109" i="84"/>
  <c r="L109" i="84"/>
  <c r="H109" i="84"/>
  <c r="D109" i="84"/>
  <c r="Z107" i="84"/>
  <c r="X107" i="84"/>
  <c r="N107" i="84"/>
  <c r="L107" i="84"/>
  <c r="B107" i="84"/>
  <c r="T106" i="84"/>
  <c r="P106" i="84"/>
  <c r="H106" i="84"/>
  <c r="D106" i="84"/>
  <c r="L106" i="84" s="1"/>
  <c r="B106" i="84"/>
  <c r="X105" i="84"/>
  <c r="Z105" i="84" s="1"/>
  <c r="L105" i="84"/>
  <c r="N105" i="84" s="1"/>
  <c r="B105" i="84"/>
  <c r="X104" i="84"/>
  <c r="Z104" i="84" s="1"/>
  <c r="T104" i="84"/>
  <c r="P104" i="84"/>
  <c r="H104" i="84"/>
  <c r="N104" i="84" s="1"/>
  <c r="D104" i="84"/>
  <c r="L104" i="84" s="1"/>
  <c r="B104" i="84"/>
  <c r="Z103" i="84"/>
  <c r="X103" i="84"/>
  <c r="N103" i="84"/>
  <c r="L103" i="84"/>
  <c r="B103" i="84"/>
  <c r="T102" i="84"/>
  <c r="P102" i="84"/>
  <c r="H102" i="84"/>
  <c r="D102" i="84"/>
  <c r="L102" i="84" s="1"/>
  <c r="N102" i="84" s="1"/>
  <c r="B102" i="84"/>
  <c r="X101" i="84"/>
  <c r="Z101" i="84" s="1"/>
  <c r="L101" i="84"/>
  <c r="N101" i="84" s="1"/>
  <c r="B101" i="84"/>
  <c r="X100" i="84"/>
  <c r="Z100" i="84" s="1"/>
  <c r="L100" i="84"/>
  <c r="N100" i="84" s="1"/>
  <c r="B100" i="84"/>
  <c r="Z99" i="84"/>
  <c r="X99" i="84"/>
  <c r="N99" i="84"/>
  <c r="L99" i="84"/>
  <c r="B99" i="84"/>
  <c r="T98" i="84"/>
  <c r="P98" i="84"/>
  <c r="H98" i="84"/>
  <c r="D98" i="84"/>
  <c r="L98" i="84" s="1"/>
  <c r="B98" i="84"/>
  <c r="X97" i="84"/>
  <c r="Z97" i="84" s="1"/>
  <c r="L97" i="84"/>
  <c r="N97" i="84" s="1"/>
  <c r="B97" i="84"/>
  <c r="X96" i="84"/>
  <c r="Z96" i="84" s="1"/>
  <c r="T96" i="84"/>
  <c r="P96" i="84"/>
  <c r="H96" i="84"/>
  <c r="N96" i="84" s="1"/>
  <c r="D96" i="84"/>
  <c r="L96" i="84" s="1"/>
  <c r="B96" i="84"/>
  <c r="Z95" i="84"/>
  <c r="X95" i="84"/>
  <c r="N95" i="84"/>
  <c r="L95" i="84"/>
  <c r="B95" i="84"/>
  <c r="X94" i="84"/>
  <c r="Z94" i="84" s="1"/>
  <c r="N94" i="84"/>
  <c r="L94" i="84"/>
  <c r="B94" i="84"/>
  <c r="X93" i="84"/>
  <c r="Z93" i="84" s="1"/>
  <c r="N93" i="84"/>
  <c r="L93" i="84"/>
  <c r="J93" i="84"/>
  <c r="B93" i="84"/>
  <c r="T92" i="84"/>
  <c r="P92" i="84"/>
  <c r="X92" i="84" s="1"/>
  <c r="Z92" i="84" s="1"/>
  <c r="H92" i="84"/>
  <c r="D92" i="84"/>
  <c r="B92" i="84"/>
  <c r="Z91" i="84"/>
  <c r="X91" i="84"/>
  <c r="N91" i="84"/>
  <c r="L91" i="84"/>
  <c r="B91" i="84"/>
  <c r="Z90" i="84"/>
  <c r="X90" i="84"/>
  <c r="N90" i="84"/>
  <c r="L90" i="84"/>
  <c r="B90" i="84"/>
  <c r="X89" i="84"/>
  <c r="Z89" i="84" s="1"/>
  <c r="T89" i="84"/>
  <c r="P89" i="84"/>
  <c r="H89" i="84"/>
  <c r="D89" i="84"/>
  <c r="L89" i="84" s="1"/>
  <c r="N89" i="84" s="1"/>
  <c r="B89" i="84"/>
  <c r="X88" i="84"/>
  <c r="Z88" i="84" s="1"/>
  <c r="L88" i="84"/>
  <c r="N88" i="84" s="1"/>
  <c r="B88" i="84"/>
  <c r="T87" i="84"/>
  <c r="X87" i="84" s="1"/>
  <c r="Z87" i="84" s="1"/>
  <c r="P87" i="84"/>
  <c r="H87" i="84"/>
  <c r="D87" i="84"/>
  <c r="B87" i="84"/>
  <c r="X86" i="84"/>
  <c r="Z86" i="84" s="1"/>
  <c r="N86" i="84"/>
  <c r="L86" i="84"/>
  <c r="B86" i="84"/>
  <c r="T85" i="84"/>
  <c r="Z85" i="84" s="1"/>
  <c r="P85" i="84"/>
  <c r="X85" i="84" s="1"/>
  <c r="N85" i="84"/>
  <c r="H85" i="84"/>
  <c r="D85" i="84"/>
  <c r="L85" i="84" s="1"/>
  <c r="B85" i="84"/>
  <c r="X84" i="84"/>
  <c r="Z84" i="84" s="1"/>
  <c r="L84" i="84"/>
  <c r="N84" i="84" s="1"/>
  <c r="B84" i="84"/>
  <c r="T83" i="84"/>
  <c r="P83" i="84"/>
  <c r="X83" i="84" s="1"/>
  <c r="Z83" i="84" s="1"/>
  <c r="L83" i="84"/>
  <c r="N83" i="84" s="1"/>
  <c r="J83" i="84"/>
  <c r="H83" i="84"/>
  <c r="D83" i="84"/>
  <c r="B83" i="84"/>
  <c r="Z82" i="84"/>
  <c r="X82" i="84"/>
  <c r="L82" i="84"/>
  <c r="N82" i="84" s="1"/>
  <c r="B82" i="84"/>
  <c r="T81" i="84"/>
  <c r="P81" i="84"/>
  <c r="H81" i="84"/>
  <c r="L81" i="84" s="1"/>
  <c r="N81" i="84" s="1"/>
  <c r="D81" i="84"/>
  <c r="B81" i="84"/>
  <c r="X80" i="84"/>
  <c r="Z80" i="84" s="1"/>
  <c r="N80" i="84"/>
  <c r="L80" i="84"/>
  <c r="B80" i="84"/>
  <c r="T79" i="84"/>
  <c r="P79" i="84"/>
  <c r="X79" i="84" s="1"/>
  <c r="Z79" i="84" s="1"/>
  <c r="H79" i="84"/>
  <c r="N79" i="84" s="1"/>
  <c r="D79" i="84"/>
  <c r="L79" i="84" s="1"/>
  <c r="B79" i="84"/>
  <c r="Z78" i="84"/>
  <c r="X78" i="84"/>
  <c r="N78" i="84"/>
  <c r="L78" i="84"/>
  <c r="B78" i="84"/>
  <c r="X77" i="84"/>
  <c r="Z77" i="84" s="1"/>
  <c r="T77" i="84"/>
  <c r="P77" i="84"/>
  <c r="H77" i="84"/>
  <c r="D77" i="84"/>
  <c r="L77" i="84" s="1"/>
  <c r="N77" i="84" s="1"/>
  <c r="B77" i="84"/>
  <c r="X76" i="84"/>
  <c r="Z76" i="84" s="1"/>
  <c r="L76" i="84"/>
  <c r="N76" i="84" s="1"/>
  <c r="B76" i="84"/>
  <c r="T75" i="84"/>
  <c r="X75" i="84" s="1"/>
  <c r="Z75" i="84" s="1"/>
  <c r="P75" i="84"/>
  <c r="H75" i="84"/>
  <c r="D75" i="84"/>
  <c r="B75" i="84"/>
  <c r="X74" i="84"/>
  <c r="Z74" i="84" s="1"/>
  <c r="N74" i="84"/>
  <c r="L74" i="84"/>
  <c r="B74" i="84"/>
  <c r="T73" i="84"/>
  <c r="Z73" i="84" s="1"/>
  <c r="P73" i="84"/>
  <c r="X73" i="84" s="1"/>
  <c r="N73" i="84"/>
  <c r="H73" i="84"/>
  <c r="D73" i="84"/>
  <c r="L73" i="84" s="1"/>
  <c r="B73" i="84"/>
  <c r="X72" i="84"/>
  <c r="Z72" i="84" s="1"/>
  <c r="L72" i="84"/>
  <c r="N72" i="84" s="1"/>
  <c r="B72" i="84"/>
  <c r="T71" i="84"/>
  <c r="P71" i="84"/>
  <c r="X71" i="84" s="1"/>
  <c r="Z71" i="84" s="1"/>
  <c r="L71" i="84"/>
  <c r="N71" i="84" s="1"/>
  <c r="H71" i="84"/>
  <c r="D71" i="84"/>
  <c r="B71" i="84"/>
  <c r="Z70" i="84"/>
  <c r="X70" i="84"/>
  <c r="N70" i="84"/>
  <c r="L70" i="84"/>
  <c r="B70" i="84"/>
  <c r="X69" i="84"/>
  <c r="Z69" i="84" s="1"/>
  <c r="L69" i="84"/>
  <c r="N69" i="84" s="1"/>
  <c r="B69" i="84"/>
  <c r="X68" i="84"/>
  <c r="Z68" i="84" s="1"/>
  <c r="L68" i="84"/>
  <c r="N68" i="84" s="1"/>
  <c r="B68" i="84"/>
  <c r="Z67" i="84"/>
  <c r="X67" i="84"/>
  <c r="N67" i="84"/>
  <c r="L67" i="84"/>
  <c r="B67" i="84"/>
  <c r="Z66" i="84"/>
  <c r="X66" i="84"/>
  <c r="L66" i="84"/>
  <c r="N66" i="84" s="1"/>
  <c r="B66" i="84"/>
  <c r="T65" i="84"/>
  <c r="P65" i="84"/>
  <c r="H65" i="84"/>
  <c r="L65" i="84" s="1"/>
  <c r="N65" i="84" s="1"/>
  <c r="D65" i="84"/>
  <c r="B65" i="84"/>
  <c r="X64" i="84"/>
  <c r="Z64" i="84" s="1"/>
  <c r="L64" i="84"/>
  <c r="N64" i="84" s="1"/>
  <c r="B64" i="84"/>
  <c r="Z63" i="84"/>
  <c r="X63" i="84"/>
  <c r="L63" i="84"/>
  <c r="N63" i="84" s="1"/>
  <c r="B63" i="84"/>
  <c r="X62" i="84"/>
  <c r="Z62" i="84" s="1"/>
  <c r="N62" i="84"/>
  <c r="L62" i="84"/>
  <c r="B62" i="84"/>
  <c r="X61" i="84"/>
  <c r="Z61" i="84" s="1"/>
  <c r="L61" i="84"/>
  <c r="N61" i="84" s="1"/>
  <c r="B61" i="84"/>
  <c r="X60" i="84"/>
  <c r="Z60" i="84" s="1"/>
  <c r="L60" i="84"/>
  <c r="N60" i="84" s="1"/>
  <c r="B60" i="84"/>
  <c r="Z59" i="84"/>
  <c r="X59" i="84"/>
  <c r="L59" i="84"/>
  <c r="N59" i="84" s="1"/>
  <c r="B59" i="84"/>
  <c r="X58" i="84"/>
  <c r="Z58" i="84" s="1"/>
  <c r="N58" i="84"/>
  <c r="L58" i="84"/>
  <c r="B58" i="84"/>
  <c r="X57" i="84"/>
  <c r="Z57" i="84" s="1"/>
  <c r="L57" i="84"/>
  <c r="N57" i="84" s="1"/>
  <c r="B57" i="84"/>
  <c r="T56" i="84"/>
  <c r="P56" i="84"/>
  <c r="X56" i="84" s="1"/>
  <c r="Z56" i="84" s="1"/>
  <c r="H56" i="84"/>
  <c r="D56" i="84"/>
  <c r="B56" i="84"/>
  <c r="T55" i="84"/>
  <c r="P55" i="84"/>
  <c r="X55" i="84" s="1"/>
  <c r="L55" i="84"/>
  <c r="N55" i="84" s="1"/>
  <c r="H55" i="84"/>
  <c r="D55" i="84"/>
  <c r="X51" i="84"/>
  <c r="Z51" i="84" s="1"/>
  <c r="N51" i="84"/>
  <c r="L51" i="84"/>
  <c r="B51" i="84"/>
  <c r="Z50" i="84"/>
  <c r="X50" i="84"/>
  <c r="N50" i="84"/>
  <c r="L50" i="84"/>
  <c r="B50" i="84"/>
  <c r="X49" i="84"/>
  <c r="Z49" i="84" s="1"/>
  <c r="N49" i="84"/>
  <c r="L49" i="84"/>
  <c r="B49" i="84"/>
  <c r="X48" i="84"/>
  <c r="Z48" i="84" s="1"/>
  <c r="L48" i="84"/>
  <c r="N48" i="84" s="1"/>
  <c r="B48" i="84"/>
  <c r="X47" i="84"/>
  <c r="Z47" i="84" s="1"/>
  <c r="N47" i="84"/>
  <c r="L47" i="84"/>
  <c r="B47" i="84"/>
  <c r="Z46" i="84"/>
  <c r="X46" i="84"/>
  <c r="N46" i="84"/>
  <c r="L46" i="84"/>
  <c r="B46" i="84"/>
  <c r="X45" i="84"/>
  <c r="Z45" i="84" s="1"/>
  <c r="L45" i="84"/>
  <c r="N45" i="84" s="1"/>
  <c r="B45" i="84"/>
  <c r="X44" i="84"/>
  <c r="Z44" i="84" s="1"/>
  <c r="L44" i="84"/>
  <c r="N44" i="84" s="1"/>
  <c r="B44" i="84"/>
  <c r="X43" i="84"/>
  <c r="Z43" i="84" s="1"/>
  <c r="N43" i="84"/>
  <c r="L43" i="84"/>
  <c r="B43" i="84"/>
  <c r="Z42" i="84"/>
  <c r="X42" i="84"/>
  <c r="N42" i="84"/>
  <c r="L42" i="84"/>
  <c r="B42" i="84"/>
  <c r="X41" i="84"/>
  <c r="Z41" i="84" s="1"/>
  <c r="N41" i="84"/>
  <c r="L41" i="84"/>
  <c r="B41" i="84"/>
  <c r="X40" i="84"/>
  <c r="Z40" i="84" s="1"/>
  <c r="L40" i="84"/>
  <c r="N40" i="84" s="1"/>
  <c r="B40" i="84"/>
  <c r="X39" i="84"/>
  <c r="Z39" i="84" s="1"/>
  <c r="N39" i="84"/>
  <c r="L39" i="84"/>
  <c r="B39" i="84"/>
  <c r="T38" i="84"/>
  <c r="P38" i="84"/>
  <c r="X38" i="84" s="1"/>
  <c r="Z38" i="84" s="1"/>
  <c r="H38" i="84"/>
  <c r="N38" i="84" s="1"/>
  <c r="D38" i="84"/>
  <c r="L38" i="84" s="1"/>
  <c r="T36" i="84"/>
  <c r="Z36" i="84" s="1"/>
  <c r="P36" i="84"/>
  <c r="X36" i="84" s="1"/>
  <c r="N36" i="84"/>
  <c r="H36" i="84"/>
  <c r="D36" i="84"/>
  <c r="L36" i="84" s="1"/>
  <c r="B36" i="84"/>
  <c r="T35" i="84"/>
  <c r="P35" i="84"/>
  <c r="L35" i="84"/>
  <c r="H35" i="84"/>
  <c r="N35" i="84" s="1"/>
  <c r="D35" i="84"/>
  <c r="B35" i="84"/>
  <c r="X34" i="84"/>
  <c r="T34" i="84"/>
  <c r="P34" i="84"/>
  <c r="N34" i="84"/>
  <c r="L34" i="84"/>
  <c r="H34" i="84"/>
  <c r="D34" i="84"/>
  <c r="B34" i="84"/>
  <c r="X33" i="84"/>
  <c r="Z33" i="84" s="1"/>
  <c r="T33" i="84"/>
  <c r="P33" i="84"/>
  <c r="H33" i="84"/>
  <c r="D33" i="84"/>
  <c r="L33" i="84" s="1"/>
  <c r="N33" i="84" s="1"/>
  <c r="B33" i="84"/>
  <c r="T32" i="84"/>
  <c r="P32" i="84"/>
  <c r="X32" i="84" s="1"/>
  <c r="H32" i="84"/>
  <c r="D32" i="84"/>
  <c r="L32" i="84" s="1"/>
  <c r="N32" i="84" s="1"/>
  <c r="B32" i="84"/>
  <c r="T31" i="84"/>
  <c r="P31" i="84"/>
  <c r="L31" i="84"/>
  <c r="H31" i="84"/>
  <c r="N31" i="84" s="1"/>
  <c r="D31" i="84"/>
  <c r="B31" i="84"/>
  <c r="X30" i="84"/>
  <c r="T30" i="84"/>
  <c r="Z30" i="84" s="1"/>
  <c r="P30" i="84"/>
  <c r="N30" i="84"/>
  <c r="L30" i="84"/>
  <c r="H30" i="84"/>
  <c r="D30" i="84"/>
  <c r="B30" i="84"/>
  <c r="X29" i="84"/>
  <c r="Z29" i="84" s="1"/>
  <c r="T29" i="84"/>
  <c r="P29" i="84"/>
  <c r="N29" i="84"/>
  <c r="H29" i="84"/>
  <c r="D29" i="84"/>
  <c r="L29" i="84" s="1"/>
  <c r="B29" i="84"/>
  <c r="T28" i="84"/>
  <c r="Z28" i="84" s="1"/>
  <c r="P28" i="84"/>
  <c r="X28" i="84" s="1"/>
  <c r="N28" i="84"/>
  <c r="H28" i="84"/>
  <c r="D28" i="84"/>
  <c r="L28" i="84" s="1"/>
  <c r="B28" i="84"/>
  <c r="T27" i="84"/>
  <c r="P27" i="84"/>
  <c r="L27" i="84"/>
  <c r="H27" i="84"/>
  <c r="N27" i="84" s="1"/>
  <c r="D27" i="84"/>
  <c r="B27" i="84"/>
  <c r="X26" i="84"/>
  <c r="T26" i="84"/>
  <c r="Z26" i="84" s="1"/>
  <c r="P26" i="84"/>
  <c r="N26" i="84"/>
  <c r="L26" i="84"/>
  <c r="H26" i="84"/>
  <c r="D26" i="84"/>
  <c r="B26" i="84"/>
  <c r="X25" i="84"/>
  <c r="Z25" i="84" s="1"/>
  <c r="T25" i="84"/>
  <c r="P25" i="84"/>
  <c r="N25" i="84"/>
  <c r="H25" i="84"/>
  <c r="D25" i="84"/>
  <c r="L25" i="84" s="1"/>
  <c r="B25" i="84"/>
  <c r="T24" i="84"/>
  <c r="Z24" i="84" s="1"/>
  <c r="P24" i="84"/>
  <c r="X24" i="84" s="1"/>
  <c r="N24" i="84"/>
  <c r="H24" i="84"/>
  <c r="D24" i="84"/>
  <c r="L24" i="84" s="1"/>
  <c r="B24" i="84"/>
  <c r="T23" i="84"/>
  <c r="P23" i="84"/>
  <c r="L23" i="84"/>
  <c r="H23" i="84"/>
  <c r="N23" i="84" s="1"/>
  <c r="D23" i="84"/>
  <c r="B23" i="84"/>
  <c r="X22" i="84"/>
  <c r="T22" i="84"/>
  <c r="Z22" i="84" s="1"/>
  <c r="P22" i="84"/>
  <c r="N22" i="84"/>
  <c r="L22" i="84"/>
  <c r="H22" i="84"/>
  <c r="D22" i="84"/>
  <c r="B22" i="84"/>
  <c r="X21" i="84"/>
  <c r="Z21" i="84" s="1"/>
  <c r="T21" i="84"/>
  <c r="P21" i="84"/>
  <c r="N21" i="84"/>
  <c r="L21" i="84"/>
  <c r="H21" i="84"/>
  <c r="D21" i="84"/>
  <c r="B21" i="84"/>
  <c r="T20" i="84"/>
  <c r="Z20" i="84" s="1"/>
  <c r="P20" i="84"/>
  <c r="X20" i="84" s="1"/>
  <c r="H20" i="84"/>
  <c r="D20" i="84"/>
  <c r="L20" i="84" s="1"/>
  <c r="N20" i="84" s="1"/>
  <c r="B20" i="84"/>
  <c r="T19" i="84"/>
  <c r="P19" i="84"/>
  <c r="L19" i="84"/>
  <c r="H19" i="84"/>
  <c r="N19" i="84" s="1"/>
  <c r="D19" i="84"/>
  <c r="B19" i="84"/>
  <c r="X18" i="84"/>
  <c r="T18" i="84"/>
  <c r="Z18" i="84" s="1"/>
  <c r="P18" i="84"/>
  <c r="L18" i="84"/>
  <c r="N18" i="84" s="1"/>
  <c r="H18" i="84"/>
  <c r="D18" i="84"/>
  <c r="B18" i="84"/>
  <c r="X17" i="84"/>
  <c r="T17" i="84"/>
  <c r="Z17" i="84" s="1"/>
  <c r="P17" i="84"/>
  <c r="N17" i="84"/>
  <c r="L17" i="84"/>
  <c r="H17" i="84"/>
  <c r="D17" i="84"/>
  <c r="B17" i="84"/>
  <c r="T16" i="84"/>
  <c r="Z16" i="84" s="1"/>
  <c r="P16" i="84"/>
  <c r="X16" i="84" s="1"/>
  <c r="H16" i="84"/>
  <c r="D16" i="84"/>
  <c r="L16" i="84" s="1"/>
  <c r="N16" i="84" s="1"/>
  <c r="B16" i="84"/>
  <c r="T15" i="84"/>
  <c r="P15" i="84"/>
  <c r="L15" i="84"/>
  <c r="H15" i="84"/>
  <c r="N15" i="84" s="1"/>
  <c r="D15" i="84"/>
  <c r="B15" i="84"/>
  <c r="X14" i="84"/>
  <c r="T14" i="84"/>
  <c r="P14" i="84"/>
  <c r="L14" i="84"/>
  <c r="N14" i="84" s="1"/>
  <c r="H14" i="84"/>
  <c r="D14" i="84"/>
  <c r="B14" i="84"/>
  <c r="X13" i="84"/>
  <c r="T13" i="84"/>
  <c r="Z13" i="84" s="1"/>
  <c r="P13" i="84"/>
  <c r="P12" i="84" s="1"/>
  <c r="R75" i="84" s="1"/>
  <c r="N13" i="84"/>
  <c r="L13" i="84"/>
  <c r="H13" i="84"/>
  <c r="H12" i="84" s="1"/>
  <c r="J109" i="84" s="1"/>
  <c r="D13" i="84"/>
  <c r="B13" i="84"/>
  <c r="D6" i="84"/>
  <c r="D4" i="84"/>
  <c r="X82" i="83"/>
  <c r="Z82" i="83" s="1"/>
  <c r="N82" i="83"/>
  <c r="L82" i="83"/>
  <c r="X78" i="83"/>
  <c r="T78" i="83"/>
  <c r="Z78" i="83" s="1"/>
  <c r="P78" i="83"/>
  <c r="N78" i="83"/>
  <c r="H78" i="83"/>
  <c r="D78" i="83"/>
  <c r="L78" i="83" s="1"/>
  <c r="X76" i="83"/>
  <c r="Z76" i="83" s="1"/>
  <c r="L76" i="83"/>
  <c r="N76" i="83" s="1"/>
  <c r="B76" i="83"/>
  <c r="T75" i="83"/>
  <c r="Z75" i="83" s="1"/>
  <c r="P75" i="83"/>
  <c r="X75" i="83" s="1"/>
  <c r="H75" i="83"/>
  <c r="D75" i="83"/>
  <c r="L75" i="83" s="1"/>
  <c r="N75" i="83" s="1"/>
  <c r="B75" i="83"/>
  <c r="Z74" i="83"/>
  <c r="X74" i="83"/>
  <c r="N74" i="83"/>
  <c r="L74" i="83"/>
  <c r="B74" i="83"/>
  <c r="X73" i="83"/>
  <c r="T73" i="83"/>
  <c r="Z73" i="83" s="1"/>
  <c r="P73" i="83"/>
  <c r="N73" i="83"/>
  <c r="L73" i="83"/>
  <c r="H73" i="83"/>
  <c r="D73" i="83"/>
  <c r="B73" i="83"/>
  <c r="Z72" i="83"/>
  <c r="X72" i="83"/>
  <c r="L72" i="83"/>
  <c r="N72" i="83" s="1"/>
  <c r="B72" i="83"/>
  <c r="Z71" i="83"/>
  <c r="X71" i="83"/>
  <c r="L71" i="83"/>
  <c r="N71" i="83" s="1"/>
  <c r="B71" i="83"/>
  <c r="Z70" i="83"/>
  <c r="X70" i="83"/>
  <c r="N70" i="83"/>
  <c r="L70" i="83"/>
  <c r="B70" i="83"/>
  <c r="X69" i="83"/>
  <c r="Z69" i="83" s="1"/>
  <c r="L69" i="83"/>
  <c r="N69" i="83" s="1"/>
  <c r="B69" i="83"/>
  <c r="Z68" i="83"/>
  <c r="X68" i="83"/>
  <c r="N68" i="83"/>
  <c r="L68" i="83"/>
  <c r="B68" i="83"/>
  <c r="T67" i="83"/>
  <c r="P67" i="83"/>
  <c r="X67" i="83" s="1"/>
  <c r="Z67" i="83" s="1"/>
  <c r="H67" i="83"/>
  <c r="D67" i="83"/>
  <c r="L67" i="83" s="1"/>
  <c r="B67" i="83"/>
  <c r="Z66" i="83"/>
  <c r="X66" i="83"/>
  <c r="N66" i="83"/>
  <c r="L66" i="83"/>
  <c r="B66" i="83"/>
  <c r="X65" i="83"/>
  <c r="Z65" i="83" s="1"/>
  <c r="T65" i="83"/>
  <c r="P65" i="83"/>
  <c r="H65" i="83"/>
  <c r="D65" i="83"/>
  <c r="L65" i="83" s="1"/>
  <c r="B65" i="83"/>
  <c r="X64" i="83"/>
  <c r="Z64" i="83" s="1"/>
  <c r="N64" i="83"/>
  <c r="L64" i="83"/>
  <c r="B64" i="83"/>
  <c r="Z63" i="83"/>
  <c r="X63" i="83"/>
  <c r="N63" i="83"/>
  <c r="L63" i="83"/>
  <c r="B63" i="83"/>
  <c r="Z62" i="83"/>
  <c r="X62" i="83"/>
  <c r="N62" i="83"/>
  <c r="L62" i="83"/>
  <c r="B62" i="83"/>
  <c r="X61" i="83"/>
  <c r="T61" i="83"/>
  <c r="Z61" i="83" s="1"/>
  <c r="P61" i="83"/>
  <c r="N61" i="83"/>
  <c r="L61" i="83"/>
  <c r="H61" i="83"/>
  <c r="D61" i="83"/>
  <c r="B61" i="83"/>
  <c r="Z60" i="83"/>
  <c r="X60" i="83"/>
  <c r="N60" i="83"/>
  <c r="L60" i="83"/>
  <c r="B60" i="83"/>
  <c r="Z59" i="83"/>
  <c r="X59" i="83"/>
  <c r="L59" i="83"/>
  <c r="N59" i="83" s="1"/>
  <c r="B59" i="83"/>
  <c r="Z58" i="83"/>
  <c r="X58" i="83"/>
  <c r="N58" i="83"/>
  <c r="L58" i="83"/>
  <c r="B58" i="83"/>
  <c r="T57" i="83"/>
  <c r="P57" i="83"/>
  <c r="N57" i="83"/>
  <c r="H57" i="83"/>
  <c r="D57" i="83"/>
  <c r="L57" i="83" s="1"/>
  <c r="B57" i="83"/>
  <c r="X56" i="83"/>
  <c r="Z56" i="83" s="1"/>
  <c r="N56" i="83"/>
  <c r="L56" i="83"/>
  <c r="B56" i="83"/>
  <c r="T55" i="83"/>
  <c r="Z55" i="83" s="1"/>
  <c r="P55" i="83"/>
  <c r="X55" i="83" s="1"/>
  <c r="L55" i="83"/>
  <c r="N55" i="83" s="1"/>
  <c r="H55" i="83"/>
  <c r="D55" i="83"/>
  <c r="B55" i="83"/>
  <c r="Z54" i="83"/>
  <c r="X54" i="83"/>
  <c r="N54" i="83"/>
  <c r="L54" i="83"/>
  <c r="B54" i="83"/>
  <c r="X53" i="83"/>
  <c r="T53" i="83"/>
  <c r="Z53" i="83" s="1"/>
  <c r="P53" i="83"/>
  <c r="H53" i="83"/>
  <c r="D53" i="83"/>
  <c r="B53" i="83"/>
  <c r="Z52" i="83"/>
  <c r="X52" i="83"/>
  <c r="L52" i="83"/>
  <c r="N52" i="83" s="1"/>
  <c r="B52" i="83"/>
  <c r="Z51" i="83"/>
  <c r="T51" i="83"/>
  <c r="P51" i="83"/>
  <c r="X51" i="83" s="1"/>
  <c r="H51" i="83"/>
  <c r="D51" i="83"/>
  <c r="B51" i="83"/>
  <c r="Z50" i="83"/>
  <c r="X50" i="83"/>
  <c r="N50" i="83"/>
  <c r="L50" i="83"/>
  <c r="B50" i="83"/>
  <c r="X49" i="83"/>
  <c r="Z49" i="83" s="1"/>
  <c r="T49" i="83"/>
  <c r="P49" i="83"/>
  <c r="H49" i="83"/>
  <c r="D49" i="83"/>
  <c r="L49" i="83" s="1"/>
  <c r="B49" i="83"/>
  <c r="X48" i="83"/>
  <c r="Z48" i="83" s="1"/>
  <c r="N48" i="83"/>
  <c r="L48" i="83"/>
  <c r="B48" i="83"/>
  <c r="T47" i="83"/>
  <c r="P47" i="83"/>
  <c r="L47" i="83"/>
  <c r="H47" i="83"/>
  <c r="D47" i="83"/>
  <c r="B47" i="83"/>
  <c r="Z46" i="83"/>
  <c r="X46" i="83"/>
  <c r="N46" i="83"/>
  <c r="L46" i="83"/>
  <c r="B46" i="83"/>
  <c r="X45" i="83"/>
  <c r="Z45" i="83" s="1"/>
  <c r="L45" i="83"/>
  <c r="N45" i="83" s="1"/>
  <c r="B45" i="83"/>
  <c r="T44" i="83"/>
  <c r="P44" i="83"/>
  <c r="X44" i="83" s="1"/>
  <c r="Z44" i="83" s="1"/>
  <c r="H44" i="83"/>
  <c r="L44" i="83" s="1"/>
  <c r="D44" i="83"/>
  <c r="B44" i="83"/>
  <c r="X43" i="83"/>
  <c r="Z43" i="83" s="1"/>
  <c r="N43" i="83"/>
  <c r="L43" i="83"/>
  <c r="B43" i="83"/>
  <c r="Z42" i="83"/>
  <c r="X42" i="83"/>
  <c r="T42" i="83"/>
  <c r="P42" i="83"/>
  <c r="H42" i="83"/>
  <c r="D42" i="83"/>
  <c r="L42" i="83" s="1"/>
  <c r="B42" i="83"/>
  <c r="X41" i="83"/>
  <c r="Z41" i="83" s="1"/>
  <c r="L41" i="83"/>
  <c r="N41" i="83" s="1"/>
  <c r="B41" i="83"/>
  <c r="X40" i="83"/>
  <c r="Z40" i="83" s="1"/>
  <c r="T40" i="83"/>
  <c r="P40" i="83"/>
  <c r="H40" i="83"/>
  <c r="D40" i="83"/>
  <c r="B40" i="83"/>
  <c r="Z39" i="83"/>
  <c r="X39" i="83"/>
  <c r="L39" i="83"/>
  <c r="N39" i="83" s="1"/>
  <c r="B39" i="83"/>
  <c r="T38" i="83"/>
  <c r="X38" i="83" s="1"/>
  <c r="P38" i="83"/>
  <c r="N38" i="83"/>
  <c r="H38" i="83"/>
  <c r="D38" i="83"/>
  <c r="L38" i="83" s="1"/>
  <c r="B38" i="83"/>
  <c r="X37" i="83"/>
  <c r="Z37" i="83" s="1"/>
  <c r="L37" i="83"/>
  <c r="N37" i="83" s="1"/>
  <c r="B37" i="83"/>
  <c r="X36" i="83"/>
  <c r="Z36" i="83" s="1"/>
  <c r="N36" i="83"/>
  <c r="L36" i="83"/>
  <c r="B36" i="83"/>
  <c r="X35" i="83"/>
  <c r="Z35" i="83" s="1"/>
  <c r="L35" i="83"/>
  <c r="N35" i="83" s="1"/>
  <c r="B35" i="83"/>
  <c r="Z34" i="83"/>
  <c r="X34" i="83"/>
  <c r="N34" i="83"/>
  <c r="L34" i="83"/>
  <c r="B34" i="83"/>
  <c r="X33" i="83"/>
  <c r="Z33" i="83" s="1"/>
  <c r="L33" i="83"/>
  <c r="N33" i="83" s="1"/>
  <c r="B33" i="83"/>
  <c r="T32" i="83"/>
  <c r="P32" i="83"/>
  <c r="X32" i="83" s="1"/>
  <c r="H32" i="83"/>
  <c r="D32" i="83"/>
  <c r="L32" i="83" s="1"/>
  <c r="N32" i="83" s="1"/>
  <c r="B32" i="83"/>
  <c r="X31" i="83"/>
  <c r="Z31" i="83" s="1"/>
  <c r="N31" i="83"/>
  <c r="L31" i="83"/>
  <c r="B31" i="83"/>
  <c r="Z30" i="83"/>
  <c r="X30" i="83"/>
  <c r="L30" i="83"/>
  <c r="N30" i="83" s="1"/>
  <c r="B30" i="83"/>
  <c r="X29" i="83"/>
  <c r="Z29" i="83" s="1"/>
  <c r="L29" i="83"/>
  <c r="N29" i="83" s="1"/>
  <c r="B29" i="83"/>
  <c r="X28" i="83"/>
  <c r="Z28" i="83" s="1"/>
  <c r="N28" i="83"/>
  <c r="L28" i="83"/>
  <c r="B28" i="83"/>
  <c r="X27" i="83"/>
  <c r="Z27" i="83" s="1"/>
  <c r="N27" i="83"/>
  <c r="L27" i="83"/>
  <c r="B27" i="83"/>
  <c r="Z26" i="83"/>
  <c r="X26" i="83"/>
  <c r="L26" i="83"/>
  <c r="N26" i="83" s="1"/>
  <c r="B26" i="83"/>
  <c r="X25" i="83"/>
  <c r="Z25" i="83" s="1"/>
  <c r="L25" i="83"/>
  <c r="N25" i="83" s="1"/>
  <c r="B25" i="83"/>
  <c r="Z24" i="83"/>
  <c r="X24" i="83"/>
  <c r="N24" i="83"/>
  <c r="L24" i="83"/>
  <c r="B24" i="83"/>
  <c r="T23" i="83"/>
  <c r="P23" i="83"/>
  <c r="L23" i="83"/>
  <c r="H23" i="83"/>
  <c r="D23" i="83"/>
  <c r="B23" i="83"/>
  <c r="T22" i="83"/>
  <c r="P22" i="83"/>
  <c r="H22" i="83"/>
  <c r="N22" i="83" s="1"/>
  <c r="D22" i="83"/>
  <c r="L22" i="83" s="1"/>
  <c r="X18" i="83"/>
  <c r="Z18" i="83" s="1"/>
  <c r="L18" i="83"/>
  <c r="N18" i="83" s="1"/>
  <c r="B18" i="83"/>
  <c r="X17" i="83"/>
  <c r="Z17" i="83" s="1"/>
  <c r="L17" i="83"/>
  <c r="N17" i="83" s="1"/>
  <c r="B17" i="83"/>
  <c r="T16" i="83"/>
  <c r="Z16" i="83" s="1"/>
  <c r="P16" i="83"/>
  <c r="X16" i="83" s="1"/>
  <c r="J16" i="83"/>
  <c r="H16" i="83"/>
  <c r="D16" i="83"/>
  <c r="L16" i="83" s="1"/>
  <c r="N16" i="83" s="1"/>
  <c r="T14" i="83"/>
  <c r="P14" i="83"/>
  <c r="X14" i="83" s="1"/>
  <c r="Z14" i="83" s="1"/>
  <c r="H14" i="83"/>
  <c r="H12" i="83" s="1"/>
  <c r="J25" i="83" s="1"/>
  <c r="D14" i="83"/>
  <c r="L14" i="83" s="1"/>
  <c r="B14" i="83"/>
  <c r="T13" i="83"/>
  <c r="P13" i="83"/>
  <c r="X13" i="83" s="1"/>
  <c r="Z13" i="83" s="1"/>
  <c r="H13" i="83"/>
  <c r="D13" i="83"/>
  <c r="B13" i="83"/>
  <c r="T12" i="83"/>
  <c r="V23" i="83" s="1"/>
  <c r="D6" i="83"/>
  <c r="D4" i="83"/>
  <c r="Z29" i="82"/>
  <c r="X29" i="82"/>
  <c r="L29" i="82"/>
  <c r="N29" i="82" s="1"/>
  <c r="Z25" i="82"/>
  <c r="T25" i="82"/>
  <c r="P25" i="82"/>
  <c r="X25" i="82" s="1"/>
  <c r="H25" i="82"/>
  <c r="N25" i="82" s="1"/>
  <c r="D25" i="82"/>
  <c r="Z23" i="82"/>
  <c r="T23" i="82"/>
  <c r="P23" i="82"/>
  <c r="X23" i="82" s="1"/>
  <c r="H23" i="82"/>
  <c r="N23" i="82" s="1"/>
  <c r="D23" i="82"/>
  <c r="Z19" i="82"/>
  <c r="X19" i="82"/>
  <c r="N19" i="82"/>
  <c r="L19" i="82"/>
  <c r="B19" i="82"/>
  <c r="X18" i="82"/>
  <c r="Z18" i="82" s="1"/>
  <c r="L18" i="82"/>
  <c r="N18" i="82" s="1"/>
  <c r="B18" i="82"/>
  <c r="T17" i="82"/>
  <c r="T21" i="82" s="1"/>
  <c r="T27" i="82" s="1"/>
  <c r="T31" i="82" s="1"/>
  <c r="P17" i="82"/>
  <c r="N17" i="82"/>
  <c r="H17" i="82"/>
  <c r="D17" i="82"/>
  <c r="L17" i="82" s="1"/>
  <c r="T15" i="82"/>
  <c r="P15" i="82"/>
  <c r="X15" i="82" s="1"/>
  <c r="Z15" i="82" s="1"/>
  <c r="H15" i="82"/>
  <c r="D15" i="82"/>
  <c r="B15" i="82"/>
  <c r="Z14" i="82"/>
  <c r="X14" i="82"/>
  <c r="T14" i="82"/>
  <c r="P14" i="82"/>
  <c r="H14" i="82"/>
  <c r="N14" i="82" s="1"/>
  <c r="D14" i="82"/>
  <c r="L14" i="82" s="1"/>
  <c r="B14" i="82"/>
  <c r="Z13" i="82"/>
  <c r="T13" i="82"/>
  <c r="P13" i="82"/>
  <c r="X13" i="82" s="1"/>
  <c r="H13" i="82"/>
  <c r="D13" i="82"/>
  <c r="D12" i="82" s="1"/>
  <c r="B13" i="82"/>
  <c r="T12" i="82"/>
  <c r="V27" i="82" s="1"/>
  <c r="P12" i="82"/>
  <c r="D6" i="82"/>
  <c r="D4" i="82"/>
  <c r="X71" i="80"/>
  <c r="Z71" i="80" s="1"/>
  <c r="L71" i="80"/>
  <c r="N71" i="80" s="1"/>
  <c r="T67" i="80"/>
  <c r="P67" i="80"/>
  <c r="N67" i="80"/>
  <c r="H67" i="80"/>
  <c r="L67" i="80" s="1"/>
  <c r="D67" i="80"/>
  <c r="X65" i="80"/>
  <c r="Z65" i="80" s="1"/>
  <c r="L65" i="80"/>
  <c r="N65" i="80" s="1"/>
  <c r="B65" i="80"/>
  <c r="T64" i="80"/>
  <c r="Z64" i="80" s="1"/>
  <c r="P64" i="80"/>
  <c r="X64" i="80" s="1"/>
  <c r="H64" i="80"/>
  <c r="D64" i="80"/>
  <c r="L64" i="80" s="1"/>
  <c r="N64" i="80" s="1"/>
  <c r="B64" i="80"/>
  <c r="Z63" i="80"/>
  <c r="X63" i="80"/>
  <c r="L63" i="80"/>
  <c r="N63" i="80" s="1"/>
  <c r="B63" i="80"/>
  <c r="T62" i="80"/>
  <c r="P62" i="80"/>
  <c r="X62" i="80" s="1"/>
  <c r="J62" i="80"/>
  <c r="H62" i="80"/>
  <c r="D62" i="80"/>
  <c r="L62" i="80" s="1"/>
  <c r="N62" i="80" s="1"/>
  <c r="B62" i="80"/>
  <c r="Z61" i="80"/>
  <c r="X61" i="80"/>
  <c r="L61" i="80"/>
  <c r="N61" i="80" s="1"/>
  <c r="F61" i="80"/>
  <c r="B61" i="80"/>
  <c r="X60" i="80"/>
  <c r="Z60" i="80" s="1"/>
  <c r="L60" i="80"/>
  <c r="N60" i="80" s="1"/>
  <c r="B60" i="80"/>
  <c r="X59" i="80"/>
  <c r="Z59" i="80" s="1"/>
  <c r="N59" i="80"/>
  <c r="L59" i="80"/>
  <c r="B59" i="80"/>
  <c r="X58" i="80"/>
  <c r="Z58" i="80" s="1"/>
  <c r="N58" i="80"/>
  <c r="L58" i="80"/>
  <c r="B58" i="80"/>
  <c r="Z57" i="80"/>
  <c r="X57" i="80"/>
  <c r="N57" i="80"/>
  <c r="L57" i="80"/>
  <c r="F57" i="80"/>
  <c r="B57" i="80"/>
  <c r="X56" i="80"/>
  <c r="T56" i="80"/>
  <c r="Z56" i="80" s="1"/>
  <c r="P56" i="80"/>
  <c r="L56" i="80"/>
  <c r="H56" i="80"/>
  <c r="N56" i="80" s="1"/>
  <c r="F56" i="80"/>
  <c r="D56" i="80"/>
  <c r="B56" i="80"/>
  <c r="Z55" i="80"/>
  <c r="X55" i="80"/>
  <c r="N55" i="80"/>
  <c r="L55" i="80"/>
  <c r="B55" i="80"/>
  <c r="Z54" i="80"/>
  <c r="X54" i="80"/>
  <c r="L54" i="80"/>
  <c r="N54" i="80" s="1"/>
  <c r="B54" i="80"/>
  <c r="X53" i="80"/>
  <c r="Z53" i="80" s="1"/>
  <c r="L53" i="80"/>
  <c r="N53" i="80" s="1"/>
  <c r="B53" i="80"/>
  <c r="T52" i="80"/>
  <c r="Z52" i="80" s="1"/>
  <c r="P52" i="80"/>
  <c r="X52" i="80" s="1"/>
  <c r="H52" i="80"/>
  <c r="D52" i="80"/>
  <c r="L52" i="80" s="1"/>
  <c r="N52" i="80" s="1"/>
  <c r="B52" i="80"/>
  <c r="Z51" i="80"/>
  <c r="X51" i="80"/>
  <c r="L51" i="80"/>
  <c r="N51" i="80" s="1"/>
  <c r="B51" i="80"/>
  <c r="X50" i="80"/>
  <c r="Z50" i="80" s="1"/>
  <c r="L50" i="80"/>
  <c r="N50" i="80" s="1"/>
  <c r="B50" i="80"/>
  <c r="T49" i="80"/>
  <c r="Z49" i="80" s="1"/>
  <c r="P49" i="80"/>
  <c r="X49" i="80" s="1"/>
  <c r="H49" i="80"/>
  <c r="D49" i="80"/>
  <c r="L49" i="80" s="1"/>
  <c r="B49" i="80"/>
  <c r="X48" i="80"/>
  <c r="Z48" i="80" s="1"/>
  <c r="L48" i="80"/>
  <c r="N48" i="80" s="1"/>
  <c r="B48" i="80"/>
  <c r="X47" i="80"/>
  <c r="Z47" i="80" s="1"/>
  <c r="T47" i="80"/>
  <c r="P47" i="80"/>
  <c r="H47" i="80"/>
  <c r="D47" i="80"/>
  <c r="L47" i="80" s="1"/>
  <c r="N47" i="80" s="1"/>
  <c r="B47" i="80"/>
  <c r="Z46" i="80"/>
  <c r="X46" i="80"/>
  <c r="L46" i="80"/>
  <c r="N46" i="80" s="1"/>
  <c r="B46" i="80"/>
  <c r="T45" i="80"/>
  <c r="P45" i="80"/>
  <c r="H45" i="80"/>
  <c r="L45" i="80" s="1"/>
  <c r="N45" i="80" s="1"/>
  <c r="D45" i="80"/>
  <c r="B45" i="80"/>
  <c r="Z44" i="80"/>
  <c r="X44" i="80"/>
  <c r="L44" i="80"/>
  <c r="N44" i="80" s="1"/>
  <c r="B44" i="80"/>
  <c r="T43" i="80"/>
  <c r="P43" i="80"/>
  <c r="X43" i="80" s="1"/>
  <c r="H43" i="80"/>
  <c r="D43" i="80"/>
  <c r="L43" i="80" s="1"/>
  <c r="B43" i="80"/>
  <c r="X42" i="80"/>
  <c r="Z42" i="80" s="1"/>
  <c r="N42" i="80"/>
  <c r="L42" i="80"/>
  <c r="B42" i="80"/>
  <c r="T41" i="80"/>
  <c r="P41" i="80"/>
  <c r="X41" i="80" s="1"/>
  <c r="Z41" i="80" s="1"/>
  <c r="L41" i="80"/>
  <c r="N41" i="80" s="1"/>
  <c r="H41" i="80"/>
  <c r="D41" i="80"/>
  <c r="B41" i="80"/>
  <c r="X40" i="80"/>
  <c r="Z40" i="80" s="1"/>
  <c r="N40" i="80"/>
  <c r="L40" i="80"/>
  <c r="J40" i="80"/>
  <c r="B40" i="80"/>
  <c r="T39" i="80"/>
  <c r="X39" i="80" s="1"/>
  <c r="Z39" i="80" s="1"/>
  <c r="P39" i="80"/>
  <c r="H39" i="80"/>
  <c r="D39" i="80"/>
  <c r="B39" i="80"/>
  <c r="X38" i="80"/>
  <c r="Z38" i="80" s="1"/>
  <c r="L38" i="80"/>
  <c r="N38" i="80" s="1"/>
  <c r="B38" i="80"/>
  <c r="T37" i="80"/>
  <c r="P37" i="80"/>
  <c r="X37" i="80" s="1"/>
  <c r="H37" i="80"/>
  <c r="D37" i="80"/>
  <c r="L37" i="80" s="1"/>
  <c r="B37" i="80"/>
  <c r="X36" i="80"/>
  <c r="Z36" i="80" s="1"/>
  <c r="N36" i="80"/>
  <c r="L36" i="80"/>
  <c r="B36" i="80"/>
  <c r="X35" i="80"/>
  <c r="Z35" i="80" s="1"/>
  <c r="N35" i="80"/>
  <c r="L35" i="80"/>
  <c r="B35" i="80"/>
  <c r="X34" i="80"/>
  <c r="Z34" i="80" s="1"/>
  <c r="N34" i="80"/>
  <c r="L34" i="80"/>
  <c r="B34" i="80"/>
  <c r="Z33" i="80"/>
  <c r="X33" i="80"/>
  <c r="L33" i="80"/>
  <c r="N33" i="80" s="1"/>
  <c r="B33" i="80"/>
  <c r="T32" i="80"/>
  <c r="P32" i="80"/>
  <c r="L32" i="80"/>
  <c r="H32" i="80"/>
  <c r="N32" i="80" s="1"/>
  <c r="F32" i="80"/>
  <c r="D32" i="80"/>
  <c r="B32" i="80"/>
  <c r="Z31" i="80"/>
  <c r="X31" i="80"/>
  <c r="N31" i="80"/>
  <c r="L31" i="80"/>
  <c r="B31" i="80"/>
  <c r="Z30" i="80"/>
  <c r="X30" i="80"/>
  <c r="L30" i="80"/>
  <c r="N30" i="80" s="1"/>
  <c r="B30" i="80"/>
  <c r="X29" i="80"/>
  <c r="Z29" i="80" s="1"/>
  <c r="R29" i="80"/>
  <c r="L29" i="80"/>
  <c r="N29" i="80" s="1"/>
  <c r="B29" i="80"/>
  <c r="X28" i="80"/>
  <c r="Z28" i="80" s="1"/>
  <c r="N28" i="80"/>
  <c r="L28" i="80"/>
  <c r="J28" i="80"/>
  <c r="B28" i="80"/>
  <c r="Z27" i="80"/>
  <c r="X27" i="80"/>
  <c r="N27" i="80"/>
  <c r="L27" i="80"/>
  <c r="B27" i="80"/>
  <c r="Z26" i="80"/>
  <c r="X26" i="80"/>
  <c r="L26" i="80"/>
  <c r="N26" i="80" s="1"/>
  <c r="B26" i="80"/>
  <c r="X25" i="80"/>
  <c r="Z25" i="80" s="1"/>
  <c r="L25" i="80"/>
  <c r="N25" i="80" s="1"/>
  <c r="B25" i="80"/>
  <c r="X24" i="80"/>
  <c r="Z24" i="80" s="1"/>
  <c r="N24" i="80"/>
  <c r="L24" i="80"/>
  <c r="J24" i="80"/>
  <c r="B24" i="80"/>
  <c r="T23" i="80"/>
  <c r="X23" i="80" s="1"/>
  <c r="Z23" i="80" s="1"/>
  <c r="P23" i="80"/>
  <c r="H23" i="80"/>
  <c r="D23" i="80"/>
  <c r="B23" i="80"/>
  <c r="T22" i="80"/>
  <c r="P22" i="80"/>
  <c r="H22" i="80"/>
  <c r="J22" i="80" s="1"/>
  <c r="D22" i="80"/>
  <c r="L22" i="80" s="1"/>
  <c r="N22" i="80" s="1"/>
  <c r="X18" i="80"/>
  <c r="Z18" i="80" s="1"/>
  <c r="L18" i="80"/>
  <c r="N18" i="80" s="1"/>
  <c r="B18" i="80"/>
  <c r="Z17" i="80"/>
  <c r="X17" i="80"/>
  <c r="N17" i="80"/>
  <c r="L17" i="80"/>
  <c r="B17" i="80"/>
  <c r="T16" i="80"/>
  <c r="P16" i="80"/>
  <c r="X16" i="80" s="1"/>
  <c r="Z16" i="80" s="1"/>
  <c r="H16" i="80"/>
  <c r="D16" i="80"/>
  <c r="L16" i="80" s="1"/>
  <c r="T14" i="80"/>
  <c r="P14" i="80"/>
  <c r="L14" i="80"/>
  <c r="H14" i="80"/>
  <c r="N14" i="80" s="1"/>
  <c r="D14" i="80"/>
  <c r="D12" i="80" s="1"/>
  <c r="B14" i="80"/>
  <c r="T13" i="80"/>
  <c r="T12" i="80" s="1"/>
  <c r="V16" i="80" s="1"/>
  <c r="P13" i="80"/>
  <c r="P12" i="80" s="1"/>
  <c r="R65" i="80" s="1"/>
  <c r="L13" i="80"/>
  <c r="N13" i="80" s="1"/>
  <c r="H13" i="80"/>
  <c r="D13" i="80"/>
  <c r="B13" i="80"/>
  <c r="H12" i="80"/>
  <c r="J63" i="80" s="1"/>
  <c r="D6" i="80"/>
  <c r="D4" i="80"/>
  <c r="X70" i="79"/>
  <c r="Z70" i="79" s="1"/>
  <c r="L70" i="79"/>
  <c r="N70" i="79" s="1"/>
  <c r="Z66" i="79"/>
  <c r="T66" i="79"/>
  <c r="P66" i="79"/>
  <c r="X66" i="79" s="1"/>
  <c r="H66" i="79"/>
  <c r="N66" i="79" s="1"/>
  <c r="D66" i="79"/>
  <c r="L66" i="79" s="1"/>
  <c r="Z64" i="79"/>
  <c r="X64" i="79"/>
  <c r="L64" i="79"/>
  <c r="N64" i="79" s="1"/>
  <c r="B64" i="79"/>
  <c r="T63" i="79"/>
  <c r="P63" i="79"/>
  <c r="X63" i="79" s="1"/>
  <c r="H63" i="79"/>
  <c r="D63" i="79"/>
  <c r="L63" i="79" s="1"/>
  <c r="N63" i="79" s="1"/>
  <c r="B63" i="79"/>
  <c r="X62" i="79"/>
  <c r="Z62" i="79" s="1"/>
  <c r="N62" i="79"/>
  <c r="L62" i="79"/>
  <c r="B62" i="79"/>
  <c r="T61" i="79"/>
  <c r="P61" i="79"/>
  <c r="X61" i="79" s="1"/>
  <c r="Z61" i="79" s="1"/>
  <c r="L61" i="79"/>
  <c r="N61" i="79" s="1"/>
  <c r="H61" i="79"/>
  <c r="D61" i="79"/>
  <c r="B61" i="79"/>
  <c r="X60" i="79"/>
  <c r="Z60" i="79" s="1"/>
  <c r="N60" i="79"/>
  <c r="L60" i="79"/>
  <c r="B60" i="79"/>
  <c r="Z59" i="79"/>
  <c r="X59" i="79"/>
  <c r="N59" i="79"/>
  <c r="L59" i="79"/>
  <c r="B59" i="79"/>
  <c r="Z58" i="79"/>
  <c r="X58" i="79"/>
  <c r="N58" i="79"/>
  <c r="L58" i="79"/>
  <c r="B58" i="79"/>
  <c r="X57" i="79"/>
  <c r="Z57" i="79" s="1"/>
  <c r="N57" i="79"/>
  <c r="L57" i="79"/>
  <c r="B57" i="79"/>
  <c r="X56" i="79"/>
  <c r="T56" i="79"/>
  <c r="Z56" i="79" s="1"/>
  <c r="P56" i="79"/>
  <c r="H56" i="79"/>
  <c r="D56" i="79"/>
  <c r="L56" i="79" s="1"/>
  <c r="N56" i="79" s="1"/>
  <c r="B56" i="79"/>
  <c r="Z55" i="79"/>
  <c r="X55" i="79"/>
  <c r="L55" i="79"/>
  <c r="N55" i="79" s="1"/>
  <c r="B55" i="79"/>
  <c r="X54" i="79"/>
  <c r="Z54" i="79" s="1"/>
  <c r="L54" i="79"/>
  <c r="N54" i="79" s="1"/>
  <c r="B54" i="79"/>
  <c r="Z53" i="79"/>
  <c r="X53" i="79"/>
  <c r="N53" i="79"/>
  <c r="L53" i="79"/>
  <c r="B53" i="79"/>
  <c r="T52" i="79"/>
  <c r="P52" i="79"/>
  <c r="X52" i="79" s="1"/>
  <c r="Z52" i="79" s="1"/>
  <c r="H52" i="79"/>
  <c r="D52" i="79"/>
  <c r="L52" i="79" s="1"/>
  <c r="B52" i="79"/>
  <c r="X51" i="79"/>
  <c r="Z51" i="79" s="1"/>
  <c r="N51" i="79"/>
  <c r="L51" i="79"/>
  <c r="B51" i="79"/>
  <c r="X50" i="79"/>
  <c r="T50" i="79"/>
  <c r="Z50" i="79" s="1"/>
  <c r="P50" i="79"/>
  <c r="H50" i="79"/>
  <c r="N50" i="79" s="1"/>
  <c r="D50" i="79"/>
  <c r="L50" i="79" s="1"/>
  <c r="B50" i="79"/>
  <c r="X49" i="79"/>
  <c r="Z49" i="79" s="1"/>
  <c r="N49" i="79"/>
  <c r="L49" i="79"/>
  <c r="B49" i="79"/>
  <c r="X48" i="79"/>
  <c r="Z48" i="79" s="1"/>
  <c r="N48" i="79"/>
  <c r="L48" i="79"/>
  <c r="B48" i="79"/>
  <c r="Z47" i="79"/>
  <c r="X47" i="79"/>
  <c r="N47" i="79"/>
  <c r="L47" i="79"/>
  <c r="B47" i="79"/>
  <c r="T46" i="79"/>
  <c r="P46" i="79"/>
  <c r="X46" i="79" s="1"/>
  <c r="Z46" i="79" s="1"/>
  <c r="L46" i="79"/>
  <c r="H46" i="79"/>
  <c r="N46" i="79" s="1"/>
  <c r="D46" i="79"/>
  <c r="B46" i="79"/>
  <c r="Z45" i="79"/>
  <c r="X45" i="79"/>
  <c r="N45" i="79"/>
  <c r="L45" i="79"/>
  <c r="B45" i="79"/>
  <c r="T44" i="79"/>
  <c r="P44" i="79"/>
  <c r="X44" i="79" s="1"/>
  <c r="Z44" i="79" s="1"/>
  <c r="H44" i="79"/>
  <c r="D44" i="79"/>
  <c r="L44" i="79" s="1"/>
  <c r="B44" i="79"/>
  <c r="X43" i="79"/>
  <c r="Z43" i="79" s="1"/>
  <c r="N43" i="79"/>
  <c r="L43" i="79"/>
  <c r="B43" i="79"/>
  <c r="X42" i="79"/>
  <c r="T42" i="79"/>
  <c r="Z42" i="79" s="1"/>
  <c r="P42" i="79"/>
  <c r="H42" i="79"/>
  <c r="N42" i="79" s="1"/>
  <c r="D42" i="79"/>
  <c r="L42" i="79" s="1"/>
  <c r="B42" i="79"/>
  <c r="X41" i="79"/>
  <c r="Z41" i="79" s="1"/>
  <c r="N41" i="79"/>
  <c r="L41" i="79"/>
  <c r="B41" i="79"/>
  <c r="X40" i="79"/>
  <c r="T40" i="79"/>
  <c r="Z40" i="79" s="1"/>
  <c r="P40" i="79"/>
  <c r="N40" i="79"/>
  <c r="H40" i="79"/>
  <c r="D40" i="79"/>
  <c r="L40" i="79" s="1"/>
  <c r="B40" i="79"/>
  <c r="Z39" i="79"/>
  <c r="X39" i="79"/>
  <c r="L39" i="79"/>
  <c r="N39" i="79" s="1"/>
  <c r="B39" i="79"/>
  <c r="T38" i="79"/>
  <c r="P38" i="79"/>
  <c r="X38" i="79" s="1"/>
  <c r="J38" i="79"/>
  <c r="H38" i="79"/>
  <c r="D38" i="79"/>
  <c r="L38" i="79" s="1"/>
  <c r="N38" i="79" s="1"/>
  <c r="B38" i="79"/>
  <c r="Z37" i="79"/>
  <c r="X37" i="79"/>
  <c r="L37" i="79"/>
  <c r="N37" i="79" s="1"/>
  <c r="B37" i="79"/>
  <c r="X36" i="79"/>
  <c r="Z36" i="79" s="1"/>
  <c r="L36" i="79"/>
  <c r="N36" i="79" s="1"/>
  <c r="B36" i="79"/>
  <c r="X35" i="79"/>
  <c r="Z35" i="79" s="1"/>
  <c r="N35" i="79"/>
  <c r="L35" i="79"/>
  <c r="B35" i="79"/>
  <c r="X34" i="79"/>
  <c r="Z34" i="79" s="1"/>
  <c r="N34" i="79"/>
  <c r="L34" i="79"/>
  <c r="B34" i="79"/>
  <c r="Z33" i="79"/>
  <c r="X33" i="79"/>
  <c r="L33" i="79"/>
  <c r="N33" i="79" s="1"/>
  <c r="B33" i="79"/>
  <c r="T32" i="79"/>
  <c r="Z32" i="79" s="1"/>
  <c r="P32" i="79"/>
  <c r="X32" i="79" s="1"/>
  <c r="L32" i="79"/>
  <c r="H32" i="79"/>
  <c r="N32" i="79" s="1"/>
  <c r="D32" i="79"/>
  <c r="B32" i="79"/>
  <c r="Z31" i="79"/>
  <c r="X31" i="79"/>
  <c r="N31" i="79"/>
  <c r="L31" i="79"/>
  <c r="B31" i="79"/>
  <c r="Z30" i="79"/>
  <c r="X30" i="79"/>
  <c r="L30" i="79"/>
  <c r="N30" i="79" s="1"/>
  <c r="B30" i="79"/>
  <c r="X29" i="79"/>
  <c r="Z29" i="79" s="1"/>
  <c r="N29" i="79"/>
  <c r="L29" i="79"/>
  <c r="B29" i="79"/>
  <c r="X28" i="79"/>
  <c r="Z28" i="79" s="1"/>
  <c r="N28" i="79"/>
  <c r="L28" i="79"/>
  <c r="B28" i="79"/>
  <c r="Z27" i="79"/>
  <c r="X27" i="79"/>
  <c r="N27" i="79"/>
  <c r="L27" i="79"/>
  <c r="B27" i="79"/>
  <c r="Z26" i="79"/>
  <c r="X26" i="79"/>
  <c r="L26" i="79"/>
  <c r="N26" i="79" s="1"/>
  <c r="B26" i="79"/>
  <c r="X25" i="79"/>
  <c r="Z25" i="79" s="1"/>
  <c r="N25" i="79"/>
  <c r="L25" i="79"/>
  <c r="B25" i="79"/>
  <c r="X24" i="79"/>
  <c r="Z24" i="79" s="1"/>
  <c r="N24" i="79"/>
  <c r="L24" i="79"/>
  <c r="J24" i="79"/>
  <c r="B24" i="79"/>
  <c r="T23" i="79"/>
  <c r="X23" i="79" s="1"/>
  <c r="Z23" i="79" s="1"/>
  <c r="P23" i="79"/>
  <c r="H23" i="79"/>
  <c r="D23" i="79"/>
  <c r="B23" i="79"/>
  <c r="T22" i="79"/>
  <c r="P22" i="79"/>
  <c r="H22" i="79"/>
  <c r="N22" i="79" s="1"/>
  <c r="D22" i="79"/>
  <c r="L22" i="79" s="1"/>
  <c r="X18" i="79"/>
  <c r="Z18" i="79" s="1"/>
  <c r="L18" i="79"/>
  <c r="N18" i="79" s="1"/>
  <c r="B18" i="79"/>
  <c r="Z17" i="79"/>
  <c r="X17" i="79"/>
  <c r="N17" i="79"/>
  <c r="L17" i="79"/>
  <c r="B17" i="79"/>
  <c r="Z16" i="79"/>
  <c r="V16" i="79"/>
  <c r="T16" i="79"/>
  <c r="P16" i="79"/>
  <c r="X16" i="79" s="1"/>
  <c r="H16" i="79"/>
  <c r="D16" i="79"/>
  <c r="L16" i="79" s="1"/>
  <c r="Z14" i="79"/>
  <c r="T14" i="79"/>
  <c r="P14" i="79"/>
  <c r="X14" i="79" s="1"/>
  <c r="H14" i="79"/>
  <c r="D14" i="79"/>
  <c r="L14" i="79" s="1"/>
  <c r="B14" i="79"/>
  <c r="T13" i="79"/>
  <c r="T12" i="79" s="1"/>
  <c r="P13" i="79"/>
  <c r="L13" i="79"/>
  <c r="H13" i="79"/>
  <c r="D13" i="79"/>
  <c r="B13" i="79"/>
  <c r="H12" i="79"/>
  <c r="D6" i="79"/>
  <c r="D4" i="79"/>
  <c r="X65" i="78"/>
  <c r="Z65" i="78" s="1"/>
  <c r="L65" i="78"/>
  <c r="N65" i="78" s="1"/>
  <c r="V61" i="78"/>
  <c r="T61" i="78"/>
  <c r="P61" i="78"/>
  <c r="X61" i="78" s="1"/>
  <c r="Z61" i="78" s="1"/>
  <c r="H61" i="78"/>
  <c r="D61" i="78"/>
  <c r="L61" i="78" s="1"/>
  <c r="B61" i="78"/>
  <c r="X60" i="78"/>
  <c r="Z60" i="78" s="1"/>
  <c r="T60" i="78"/>
  <c r="P60" i="78"/>
  <c r="N60" i="78"/>
  <c r="H60" i="78"/>
  <c r="D60" i="78"/>
  <c r="L60" i="78" s="1"/>
  <c r="B60" i="78"/>
  <c r="T59" i="78"/>
  <c r="P59" i="78"/>
  <c r="X59" i="78" s="1"/>
  <c r="Z59" i="78" s="1"/>
  <c r="L59" i="78"/>
  <c r="H59" i="78"/>
  <c r="N59" i="78" s="1"/>
  <c r="D59" i="78"/>
  <c r="B59" i="78"/>
  <c r="T58" i="78"/>
  <c r="P58" i="78"/>
  <c r="X58" i="78" s="1"/>
  <c r="Z58" i="78" s="1"/>
  <c r="H58" i="78"/>
  <c r="N58" i="78" s="1"/>
  <c r="D58" i="78"/>
  <c r="L58" i="78" s="1"/>
  <c r="B58" i="78"/>
  <c r="T57" i="78"/>
  <c r="P57" i="78"/>
  <c r="X57" i="78" s="1"/>
  <c r="J57" i="78"/>
  <c r="H57" i="78"/>
  <c r="N57" i="78" s="1"/>
  <c r="D57" i="78"/>
  <c r="D56" i="78" s="1"/>
  <c r="B57" i="78"/>
  <c r="Z54" i="78"/>
  <c r="X54" i="78"/>
  <c r="N54" i="78"/>
  <c r="L54" i="78"/>
  <c r="B54" i="78"/>
  <c r="Z53" i="78"/>
  <c r="X53" i="78"/>
  <c r="T53" i="78"/>
  <c r="P53" i="78"/>
  <c r="L53" i="78"/>
  <c r="H53" i="78"/>
  <c r="N53" i="78" s="1"/>
  <c r="D53" i="78"/>
  <c r="B53" i="78"/>
  <c r="Z52" i="78"/>
  <c r="X52" i="78"/>
  <c r="N52" i="78"/>
  <c r="L52" i="78"/>
  <c r="B52" i="78"/>
  <c r="Z51" i="78"/>
  <c r="X51" i="78"/>
  <c r="V51" i="78"/>
  <c r="N51" i="78"/>
  <c r="L51" i="78"/>
  <c r="B51" i="78"/>
  <c r="T50" i="78"/>
  <c r="P50" i="78"/>
  <c r="H50" i="78"/>
  <c r="D50" i="78"/>
  <c r="L50" i="78" s="1"/>
  <c r="N50" i="78" s="1"/>
  <c r="B50" i="78"/>
  <c r="X49" i="78"/>
  <c r="Z49" i="78" s="1"/>
  <c r="V49" i="78"/>
  <c r="N49" i="78"/>
  <c r="L49" i="78"/>
  <c r="B49" i="78"/>
  <c r="T48" i="78"/>
  <c r="P48" i="78"/>
  <c r="X48" i="78" s="1"/>
  <c r="Z48" i="78" s="1"/>
  <c r="L48" i="78"/>
  <c r="N48" i="78" s="1"/>
  <c r="H48" i="78"/>
  <c r="D48" i="78"/>
  <c r="B48" i="78"/>
  <c r="X47" i="78"/>
  <c r="Z47" i="78" s="1"/>
  <c r="N47" i="78"/>
  <c r="L47" i="78"/>
  <c r="J47" i="78"/>
  <c r="B47" i="78"/>
  <c r="T46" i="78"/>
  <c r="X46" i="78" s="1"/>
  <c r="Z46" i="78" s="1"/>
  <c r="P46" i="78"/>
  <c r="H46" i="78"/>
  <c r="N46" i="78" s="1"/>
  <c r="D46" i="78"/>
  <c r="B46" i="78"/>
  <c r="X45" i="78"/>
  <c r="Z45" i="78" s="1"/>
  <c r="L45" i="78"/>
  <c r="N45" i="78" s="1"/>
  <c r="B45" i="78"/>
  <c r="Z44" i="78"/>
  <c r="X44" i="78"/>
  <c r="N44" i="78"/>
  <c r="L44" i="78"/>
  <c r="B44" i="78"/>
  <c r="V43" i="78"/>
  <c r="T43" i="78"/>
  <c r="P43" i="78"/>
  <c r="X43" i="78" s="1"/>
  <c r="Z43" i="78" s="1"/>
  <c r="H43" i="78"/>
  <c r="N43" i="78" s="1"/>
  <c r="D43" i="78"/>
  <c r="L43" i="78" s="1"/>
  <c r="B43" i="78"/>
  <c r="X42" i="78"/>
  <c r="Z42" i="78" s="1"/>
  <c r="N42" i="78"/>
  <c r="L42" i="78"/>
  <c r="B42" i="78"/>
  <c r="X41" i="78"/>
  <c r="V41" i="78"/>
  <c r="T41" i="78"/>
  <c r="Z41" i="78" s="1"/>
  <c r="P41" i="78"/>
  <c r="H41" i="78"/>
  <c r="N41" i="78" s="1"/>
  <c r="D41" i="78"/>
  <c r="L41" i="78" s="1"/>
  <c r="B41" i="78"/>
  <c r="X40" i="78"/>
  <c r="Z40" i="78" s="1"/>
  <c r="N40" i="78"/>
  <c r="L40" i="78"/>
  <c r="B40" i="78"/>
  <c r="T39" i="78"/>
  <c r="P39" i="78"/>
  <c r="N39" i="78"/>
  <c r="H39" i="78"/>
  <c r="D39" i="78"/>
  <c r="L39" i="78" s="1"/>
  <c r="B39" i="78"/>
  <c r="Z38" i="78"/>
  <c r="X38" i="78"/>
  <c r="N38" i="78"/>
  <c r="L38" i="78"/>
  <c r="B38" i="78"/>
  <c r="X37" i="78"/>
  <c r="Z37" i="78" s="1"/>
  <c r="N37" i="78"/>
  <c r="L37" i="78"/>
  <c r="J37" i="78"/>
  <c r="B37" i="78"/>
  <c r="Z36" i="78"/>
  <c r="X36" i="78"/>
  <c r="N36" i="78"/>
  <c r="L36" i="78"/>
  <c r="B36" i="78"/>
  <c r="V35" i="78"/>
  <c r="T35" i="78"/>
  <c r="P35" i="78"/>
  <c r="X35" i="78" s="1"/>
  <c r="Z35" i="78" s="1"/>
  <c r="H35" i="78"/>
  <c r="N35" i="78" s="1"/>
  <c r="D35" i="78"/>
  <c r="L35" i="78" s="1"/>
  <c r="B35" i="78"/>
  <c r="X34" i="78"/>
  <c r="Z34" i="78" s="1"/>
  <c r="N34" i="78"/>
  <c r="L34" i="78"/>
  <c r="B34" i="78"/>
  <c r="X33" i="78"/>
  <c r="Z33" i="78" s="1"/>
  <c r="V33" i="78"/>
  <c r="N33" i="78"/>
  <c r="L33" i="78"/>
  <c r="B33" i="78"/>
  <c r="Z32" i="78"/>
  <c r="X32" i="78"/>
  <c r="N32" i="78"/>
  <c r="L32" i="78"/>
  <c r="F32" i="78"/>
  <c r="B32" i="78"/>
  <c r="X31" i="78"/>
  <c r="Z31" i="78" s="1"/>
  <c r="N31" i="78"/>
  <c r="L31" i="78"/>
  <c r="B31" i="78"/>
  <c r="X30" i="78"/>
  <c r="Z30" i="78" s="1"/>
  <c r="N30" i="78"/>
  <c r="L30" i="78"/>
  <c r="B30" i="78"/>
  <c r="X29" i="78"/>
  <c r="Z29" i="78" s="1"/>
  <c r="V29" i="78"/>
  <c r="N29" i="78"/>
  <c r="L29" i="78"/>
  <c r="B29" i="78"/>
  <c r="Z28" i="78"/>
  <c r="X28" i="78"/>
  <c r="N28" i="78"/>
  <c r="L28" i="78"/>
  <c r="B28" i="78"/>
  <c r="T27" i="78"/>
  <c r="Z27" i="78" s="1"/>
  <c r="P27" i="78"/>
  <c r="X27" i="78" s="1"/>
  <c r="L27" i="78"/>
  <c r="J27" i="78"/>
  <c r="H27" i="78"/>
  <c r="N27" i="78" s="1"/>
  <c r="D27" i="78"/>
  <c r="B27" i="78"/>
  <c r="T26" i="78"/>
  <c r="P26" i="78"/>
  <c r="H26" i="78"/>
  <c r="D26" i="78"/>
  <c r="H24" i="78"/>
  <c r="Z22" i="78"/>
  <c r="X22" i="78"/>
  <c r="N22" i="78"/>
  <c r="L22" i="78"/>
  <c r="B22" i="78"/>
  <c r="Z21" i="78"/>
  <c r="X21" i="78"/>
  <c r="L21" i="78"/>
  <c r="N21" i="78" s="1"/>
  <c r="B21" i="78"/>
  <c r="X20" i="78"/>
  <c r="Z20" i="78" s="1"/>
  <c r="N20" i="78"/>
  <c r="L20" i="78"/>
  <c r="B20" i="78"/>
  <c r="X19" i="78"/>
  <c r="Z19" i="78" s="1"/>
  <c r="N19" i="78"/>
  <c r="L19" i="78"/>
  <c r="B19" i="78"/>
  <c r="Z18" i="78"/>
  <c r="X18" i="78"/>
  <c r="N18" i="78"/>
  <c r="L18" i="78"/>
  <c r="F18" i="78"/>
  <c r="B18" i="78"/>
  <c r="T17" i="78"/>
  <c r="P17" i="78"/>
  <c r="X17" i="78" s="1"/>
  <c r="Z17" i="78" s="1"/>
  <c r="L17" i="78"/>
  <c r="H17" i="78"/>
  <c r="N17" i="78" s="1"/>
  <c r="D17" i="78"/>
  <c r="Z15" i="78"/>
  <c r="X15" i="78"/>
  <c r="T15" i="78"/>
  <c r="P15" i="78"/>
  <c r="H15" i="78"/>
  <c r="D15" i="78"/>
  <c r="L15" i="78" s="1"/>
  <c r="B15" i="78"/>
  <c r="X14" i="78"/>
  <c r="Z14" i="78" s="1"/>
  <c r="T14" i="78"/>
  <c r="P14" i="78"/>
  <c r="N14" i="78"/>
  <c r="L14" i="78"/>
  <c r="H14" i="78"/>
  <c r="D14" i="78"/>
  <c r="B14" i="78"/>
  <c r="X13" i="78"/>
  <c r="Z13" i="78" s="1"/>
  <c r="T13" i="78"/>
  <c r="P13" i="78"/>
  <c r="H13" i="78"/>
  <c r="H12" i="78" s="1"/>
  <c r="J19" i="78" s="1"/>
  <c r="D13" i="78"/>
  <c r="L13" i="78" s="1"/>
  <c r="B13" i="78"/>
  <c r="T12" i="78"/>
  <c r="V60" i="78" s="1"/>
  <c r="D12" i="78"/>
  <c r="F67" i="78" s="1"/>
  <c r="D6" i="78"/>
  <c r="D4" i="78"/>
  <c r="Z104" i="76"/>
  <c r="X104" i="76"/>
  <c r="L104" i="76"/>
  <c r="N104" i="76" s="1"/>
  <c r="T100" i="76"/>
  <c r="P100" i="76"/>
  <c r="X100" i="76" s="1"/>
  <c r="H100" i="76"/>
  <c r="D100" i="76"/>
  <c r="B100" i="76"/>
  <c r="T99" i="76"/>
  <c r="P99" i="76"/>
  <c r="N99" i="76"/>
  <c r="H99" i="76"/>
  <c r="D99" i="76"/>
  <c r="L99" i="76" s="1"/>
  <c r="B99" i="76"/>
  <c r="T98" i="76"/>
  <c r="P98" i="76"/>
  <c r="L98" i="76"/>
  <c r="H98" i="76"/>
  <c r="D98" i="76"/>
  <c r="B98" i="76"/>
  <c r="D97" i="76"/>
  <c r="X95" i="76"/>
  <c r="Z95" i="76" s="1"/>
  <c r="N95" i="76"/>
  <c r="L95" i="76"/>
  <c r="B95" i="76"/>
  <c r="T94" i="76"/>
  <c r="Z94" i="76" s="1"/>
  <c r="P94" i="76"/>
  <c r="X94" i="76" s="1"/>
  <c r="H94" i="76"/>
  <c r="D94" i="76"/>
  <c r="B94" i="76"/>
  <c r="X93" i="76"/>
  <c r="Z93" i="76" s="1"/>
  <c r="L93" i="76"/>
  <c r="N93" i="76" s="1"/>
  <c r="B93" i="76"/>
  <c r="X92" i="76"/>
  <c r="Z92" i="76" s="1"/>
  <c r="T92" i="76"/>
  <c r="P92" i="76"/>
  <c r="H92" i="76"/>
  <c r="D92" i="76"/>
  <c r="L92" i="76" s="1"/>
  <c r="B92" i="76"/>
  <c r="Z91" i="76"/>
  <c r="X91" i="76"/>
  <c r="N91" i="76"/>
  <c r="L91" i="76"/>
  <c r="B91" i="76"/>
  <c r="X90" i="76"/>
  <c r="Z90" i="76" s="1"/>
  <c r="N90" i="76"/>
  <c r="L90" i="76"/>
  <c r="B90" i="76"/>
  <c r="Z89" i="76"/>
  <c r="X89" i="76"/>
  <c r="N89" i="76"/>
  <c r="L89" i="76"/>
  <c r="B89" i="76"/>
  <c r="T88" i="76"/>
  <c r="P88" i="76"/>
  <c r="X88" i="76" s="1"/>
  <c r="Z88" i="76" s="1"/>
  <c r="L88" i="76"/>
  <c r="H88" i="76"/>
  <c r="N88" i="76" s="1"/>
  <c r="D88" i="76"/>
  <c r="B88" i="76"/>
  <c r="X87" i="76"/>
  <c r="Z87" i="76" s="1"/>
  <c r="N87" i="76"/>
  <c r="L87" i="76"/>
  <c r="B87" i="76"/>
  <c r="T86" i="76"/>
  <c r="Z86" i="76" s="1"/>
  <c r="P86" i="76"/>
  <c r="X86" i="76" s="1"/>
  <c r="L86" i="76"/>
  <c r="H86" i="76"/>
  <c r="N86" i="76" s="1"/>
  <c r="D86" i="76"/>
  <c r="B86" i="76"/>
  <c r="Z85" i="76"/>
  <c r="X85" i="76"/>
  <c r="N85" i="76"/>
  <c r="L85" i="76"/>
  <c r="B85" i="76"/>
  <c r="Z84" i="76"/>
  <c r="X84" i="76"/>
  <c r="T84" i="76"/>
  <c r="P84" i="76"/>
  <c r="H84" i="76"/>
  <c r="N84" i="76" s="1"/>
  <c r="D84" i="76"/>
  <c r="L84" i="76" s="1"/>
  <c r="B84" i="76"/>
  <c r="Z83" i="76"/>
  <c r="X83" i="76"/>
  <c r="N83" i="76"/>
  <c r="L83" i="76"/>
  <c r="B83" i="76"/>
  <c r="X82" i="76"/>
  <c r="T82" i="76"/>
  <c r="Z82" i="76" s="1"/>
  <c r="P82" i="76"/>
  <c r="N82" i="76"/>
  <c r="H82" i="76"/>
  <c r="D82" i="76"/>
  <c r="L82" i="76" s="1"/>
  <c r="B82" i="76"/>
  <c r="Z81" i="76"/>
  <c r="X81" i="76"/>
  <c r="N81" i="76"/>
  <c r="L81" i="76"/>
  <c r="B81" i="76"/>
  <c r="X80" i="76"/>
  <c r="Z80" i="76" s="1"/>
  <c r="L80" i="76"/>
  <c r="N80" i="76" s="1"/>
  <c r="B80" i="76"/>
  <c r="X79" i="76"/>
  <c r="T79" i="76"/>
  <c r="Z79" i="76" s="1"/>
  <c r="P79" i="76"/>
  <c r="H79" i="76"/>
  <c r="D79" i="76"/>
  <c r="L79" i="76" s="1"/>
  <c r="N79" i="76" s="1"/>
  <c r="B79" i="76"/>
  <c r="Z78" i="76"/>
  <c r="X78" i="76"/>
  <c r="L78" i="76"/>
  <c r="N78" i="76" s="1"/>
  <c r="B78" i="76"/>
  <c r="T77" i="76"/>
  <c r="P77" i="76"/>
  <c r="H77" i="76"/>
  <c r="D77" i="76"/>
  <c r="L77" i="76" s="1"/>
  <c r="N77" i="76" s="1"/>
  <c r="B77" i="76"/>
  <c r="Z76" i="76"/>
  <c r="X76" i="76"/>
  <c r="L76" i="76"/>
  <c r="N76" i="76" s="1"/>
  <c r="B76" i="76"/>
  <c r="T75" i="76"/>
  <c r="P75" i="76"/>
  <c r="X75" i="76" s="1"/>
  <c r="L75" i="76"/>
  <c r="H75" i="76"/>
  <c r="N75" i="76" s="1"/>
  <c r="D75" i="76"/>
  <c r="B75" i="76"/>
  <c r="Z74" i="76"/>
  <c r="X74" i="76"/>
  <c r="N74" i="76"/>
  <c r="L74" i="76"/>
  <c r="B74" i="76"/>
  <c r="T73" i="76"/>
  <c r="P73" i="76"/>
  <c r="X73" i="76" s="1"/>
  <c r="Z73" i="76" s="1"/>
  <c r="H73" i="76"/>
  <c r="D73" i="76"/>
  <c r="B73" i="76"/>
  <c r="X72" i="76"/>
  <c r="Z72" i="76" s="1"/>
  <c r="N72" i="76"/>
  <c r="L72" i="76"/>
  <c r="B72" i="76"/>
  <c r="Z71" i="76"/>
  <c r="X71" i="76"/>
  <c r="N71" i="76"/>
  <c r="L71" i="76"/>
  <c r="B71" i="76"/>
  <c r="Z70" i="76"/>
  <c r="X70" i="76"/>
  <c r="L70" i="76"/>
  <c r="N70" i="76" s="1"/>
  <c r="B70" i="76"/>
  <c r="Z69" i="76"/>
  <c r="X69" i="76"/>
  <c r="N69" i="76"/>
  <c r="L69" i="76"/>
  <c r="B69" i="76"/>
  <c r="X68" i="76"/>
  <c r="Z68" i="76" s="1"/>
  <c r="N68" i="76"/>
  <c r="L68" i="76"/>
  <c r="B68" i="76"/>
  <c r="Z67" i="76"/>
  <c r="T67" i="76"/>
  <c r="P67" i="76"/>
  <c r="X67" i="76" s="1"/>
  <c r="L67" i="76"/>
  <c r="H67" i="76"/>
  <c r="D67" i="76"/>
  <c r="B67" i="76"/>
  <c r="X66" i="76"/>
  <c r="Z66" i="76" s="1"/>
  <c r="N66" i="76"/>
  <c r="L66" i="76"/>
  <c r="B66" i="76"/>
  <c r="X65" i="76"/>
  <c r="Z65" i="76" s="1"/>
  <c r="N65" i="76"/>
  <c r="L65" i="76"/>
  <c r="B65" i="76"/>
  <c r="X64" i="76"/>
  <c r="Z64" i="76" s="1"/>
  <c r="V64" i="76"/>
  <c r="N64" i="76"/>
  <c r="L64" i="76"/>
  <c r="B64" i="76"/>
  <c r="Z63" i="76"/>
  <c r="X63" i="76"/>
  <c r="L63" i="76"/>
  <c r="N63" i="76" s="1"/>
  <c r="B63" i="76"/>
  <c r="X62" i="76"/>
  <c r="Z62" i="76" s="1"/>
  <c r="V62" i="76"/>
  <c r="N62" i="76"/>
  <c r="L62" i="76"/>
  <c r="B62" i="76"/>
  <c r="X61" i="76"/>
  <c r="Z61" i="76" s="1"/>
  <c r="L61" i="76"/>
  <c r="N61" i="76" s="1"/>
  <c r="B61" i="76"/>
  <c r="X60" i="76"/>
  <c r="Z60" i="76" s="1"/>
  <c r="L60" i="76"/>
  <c r="N60" i="76" s="1"/>
  <c r="B60" i="76"/>
  <c r="Z59" i="76"/>
  <c r="X59" i="76"/>
  <c r="L59" i="76"/>
  <c r="N59" i="76" s="1"/>
  <c r="B59" i="76"/>
  <c r="X58" i="76"/>
  <c r="Z58" i="76" s="1"/>
  <c r="N58" i="76"/>
  <c r="L58" i="76"/>
  <c r="B58" i="76"/>
  <c r="X57" i="76"/>
  <c r="V57" i="76"/>
  <c r="T57" i="76"/>
  <c r="P57" i="76"/>
  <c r="H57" i="76"/>
  <c r="D57" i="76"/>
  <c r="L57" i="76" s="1"/>
  <c r="B57" i="76"/>
  <c r="T56" i="76"/>
  <c r="P56" i="76"/>
  <c r="H56" i="76"/>
  <c r="D56" i="76"/>
  <c r="X52" i="76"/>
  <c r="Z52" i="76" s="1"/>
  <c r="L52" i="76"/>
  <c r="N52" i="76" s="1"/>
  <c r="B52" i="76"/>
  <c r="X51" i="76"/>
  <c r="Z51" i="76" s="1"/>
  <c r="N51" i="76"/>
  <c r="L51" i="76"/>
  <c r="B51" i="76"/>
  <c r="Z50" i="76"/>
  <c r="X50" i="76"/>
  <c r="V50" i="76"/>
  <c r="N50" i="76"/>
  <c r="L50" i="76"/>
  <c r="B50" i="76"/>
  <c r="X49" i="76"/>
  <c r="Z49" i="76" s="1"/>
  <c r="L49" i="76"/>
  <c r="N49" i="76" s="1"/>
  <c r="B49" i="76"/>
  <c r="X48" i="76"/>
  <c r="Z48" i="76" s="1"/>
  <c r="L48" i="76"/>
  <c r="N48" i="76" s="1"/>
  <c r="B48" i="76"/>
  <c r="Z47" i="76"/>
  <c r="X47" i="76"/>
  <c r="L47" i="76"/>
  <c r="N47" i="76" s="1"/>
  <c r="B47" i="76"/>
  <c r="Z46" i="76"/>
  <c r="X46" i="76"/>
  <c r="N46" i="76"/>
  <c r="L46" i="76"/>
  <c r="B46" i="76"/>
  <c r="Z45" i="76"/>
  <c r="X45" i="76"/>
  <c r="L45" i="76"/>
  <c r="N45" i="76" s="1"/>
  <c r="B45" i="76"/>
  <c r="Z44" i="76"/>
  <c r="X44" i="76"/>
  <c r="L44" i="76"/>
  <c r="N44" i="76" s="1"/>
  <c r="B44" i="76"/>
  <c r="X43" i="76"/>
  <c r="Z43" i="76" s="1"/>
  <c r="L43" i="76"/>
  <c r="N43" i="76" s="1"/>
  <c r="B43" i="76"/>
  <c r="Z42" i="76"/>
  <c r="X42" i="76"/>
  <c r="N42" i="76"/>
  <c r="L42" i="76"/>
  <c r="B42" i="76"/>
  <c r="Z41" i="76"/>
  <c r="X41" i="76"/>
  <c r="L41" i="76"/>
  <c r="N41" i="76" s="1"/>
  <c r="B41" i="76"/>
  <c r="Z40" i="76"/>
  <c r="X40" i="76"/>
  <c r="L40" i="76"/>
  <c r="N40" i="76" s="1"/>
  <c r="B40" i="76"/>
  <c r="Z39" i="76"/>
  <c r="X39" i="76"/>
  <c r="T39" i="76"/>
  <c r="P39" i="76"/>
  <c r="H39" i="76"/>
  <c r="D39" i="76"/>
  <c r="L39" i="76" s="1"/>
  <c r="Z37" i="76"/>
  <c r="X37" i="76"/>
  <c r="T37" i="76"/>
  <c r="P37" i="76"/>
  <c r="H37" i="76"/>
  <c r="D37" i="76"/>
  <c r="B37" i="76"/>
  <c r="T36" i="76"/>
  <c r="P36" i="76"/>
  <c r="X36" i="76" s="1"/>
  <c r="H36" i="76"/>
  <c r="D36" i="76"/>
  <c r="L36" i="76" s="1"/>
  <c r="N36" i="76" s="1"/>
  <c r="B36" i="76"/>
  <c r="T35" i="76"/>
  <c r="P35" i="76"/>
  <c r="X35" i="76" s="1"/>
  <c r="Z35" i="76" s="1"/>
  <c r="H35" i="76"/>
  <c r="N35" i="76" s="1"/>
  <c r="D35" i="76"/>
  <c r="L35" i="76" s="1"/>
  <c r="B35" i="76"/>
  <c r="T34" i="76"/>
  <c r="Z34" i="76" s="1"/>
  <c r="P34" i="76"/>
  <c r="X34" i="76" s="1"/>
  <c r="H34" i="76"/>
  <c r="N34" i="76" s="1"/>
  <c r="D34" i="76"/>
  <c r="L34" i="76" s="1"/>
  <c r="B34" i="76"/>
  <c r="Z33" i="76"/>
  <c r="X33" i="76"/>
  <c r="T33" i="76"/>
  <c r="P33" i="76"/>
  <c r="H33" i="76"/>
  <c r="D33" i="76"/>
  <c r="B33" i="76"/>
  <c r="T32" i="76"/>
  <c r="Z32" i="76" s="1"/>
  <c r="P32" i="76"/>
  <c r="X32" i="76" s="1"/>
  <c r="N32" i="76"/>
  <c r="H32" i="76"/>
  <c r="L32" i="76" s="1"/>
  <c r="D32" i="76"/>
  <c r="B32" i="76"/>
  <c r="T31" i="76"/>
  <c r="P31" i="76"/>
  <c r="X31" i="76" s="1"/>
  <c r="Z31" i="76" s="1"/>
  <c r="H31" i="76"/>
  <c r="N31" i="76" s="1"/>
  <c r="D31" i="76"/>
  <c r="B31" i="76"/>
  <c r="T30" i="76"/>
  <c r="Z30" i="76" s="1"/>
  <c r="P30" i="76"/>
  <c r="X30" i="76" s="1"/>
  <c r="H30" i="76"/>
  <c r="D30" i="76"/>
  <c r="B30" i="76"/>
  <c r="X29" i="76"/>
  <c r="Z29" i="76" s="1"/>
  <c r="T29" i="76"/>
  <c r="P29" i="76"/>
  <c r="H29" i="76"/>
  <c r="D29" i="76"/>
  <c r="B29" i="76"/>
  <c r="T28" i="76"/>
  <c r="Z28" i="76" s="1"/>
  <c r="P28" i="76"/>
  <c r="X28" i="76" s="1"/>
  <c r="H28" i="76"/>
  <c r="L28" i="76" s="1"/>
  <c r="N28" i="76" s="1"/>
  <c r="D28" i="76"/>
  <c r="B28" i="76"/>
  <c r="T27" i="76"/>
  <c r="P27" i="76"/>
  <c r="X27" i="76" s="1"/>
  <c r="Z27" i="76" s="1"/>
  <c r="H27" i="76"/>
  <c r="N27" i="76" s="1"/>
  <c r="D27" i="76"/>
  <c r="L27" i="76" s="1"/>
  <c r="B27" i="76"/>
  <c r="T26" i="76"/>
  <c r="P26" i="76"/>
  <c r="X26" i="76" s="1"/>
  <c r="H26" i="76"/>
  <c r="D26" i="76"/>
  <c r="B26" i="76"/>
  <c r="Z25" i="76"/>
  <c r="X25" i="76"/>
  <c r="T25" i="76"/>
  <c r="P25" i="76"/>
  <c r="H25" i="76"/>
  <c r="D25" i="76"/>
  <c r="B25" i="76"/>
  <c r="T24" i="76"/>
  <c r="P24" i="76"/>
  <c r="X24" i="76" s="1"/>
  <c r="N24" i="76"/>
  <c r="H24" i="76"/>
  <c r="L24" i="76" s="1"/>
  <c r="D24" i="76"/>
  <c r="B24" i="76"/>
  <c r="T23" i="76"/>
  <c r="P23" i="76"/>
  <c r="X23" i="76" s="1"/>
  <c r="Z23" i="76" s="1"/>
  <c r="H23" i="76"/>
  <c r="D23" i="76"/>
  <c r="B23" i="76"/>
  <c r="T22" i="76"/>
  <c r="P22" i="76"/>
  <c r="X22" i="76" s="1"/>
  <c r="H22" i="76"/>
  <c r="D22" i="76"/>
  <c r="B22" i="76"/>
  <c r="Z21" i="76"/>
  <c r="X21" i="76"/>
  <c r="T21" i="76"/>
  <c r="P21" i="76"/>
  <c r="H21" i="76"/>
  <c r="D21" i="76"/>
  <c r="B21" i="76"/>
  <c r="T20" i="76"/>
  <c r="P20" i="76"/>
  <c r="X20" i="76" s="1"/>
  <c r="N20" i="76"/>
  <c r="H20" i="76"/>
  <c r="L20" i="76" s="1"/>
  <c r="D20" i="76"/>
  <c r="B20" i="76"/>
  <c r="T19" i="76"/>
  <c r="Z19" i="76" s="1"/>
  <c r="P19" i="76"/>
  <c r="X19" i="76" s="1"/>
  <c r="H19" i="76"/>
  <c r="D19" i="76"/>
  <c r="B19" i="76"/>
  <c r="T18" i="76"/>
  <c r="Z18" i="76" s="1"/>
  <c r="P18" i="76"/>
  <c r="X18" i="76" s="1"/>
  <c r="H18" i="76"/>
  <c r="D18" i="76"/>
  <c r="B18" i="76"/>
  <c r="X17" i="76"/>
  <c r="Z17" i="76" s="1"/>
  <c r="T17" i="76"/>
  <c r="P17" i="76"/>
  <c r="L17" i="76"/>
  <c r="H17" i="76"/>
  <c r="N17" i="76" s="1"/>
  <c r="D17" i="76"/>
  <c r="B17" i="76"/>
  <c r="T16" i="76"/>
  <c r="P16" i="76"/>
  <c r="N16" i="76"/>
  <c r="L16" i="76"/>
  <c r="H16" i="76"/>
  <c r="D16" i="76"/>
  <c r="B16" i="76"/>
  <c r="T15" i="76"/>
  <c r="P15" i="76"/>
  <c r="X15" i="76" s="1"/>
  <c r="H15" i="76"/>
  <c r="D15" i="76"/>
  <c r="B15" i="76"/>
  <c r="T14" i="76"/>
  <c r="P14" i="76"/>
  <c r="X14" i="76" s="1"/>
  <c r="L14" i="76"/>
  <c r="H14" i="76"/>
  <c r="N14" i="76" s="1"/>
  <c r="D14" i="76"/>
  <c r="B14" i="76"/>
  <c r="Z13" i="76"/>
  <c r="X13" i="76"/>
  <c r="T13" i="76"/>
  <c r="P13" i="76"/>
  <c r="L13" i="76"/>
  <c r="H13" i="76"/>
  <c r="D13" i="76"/>
  <c r="B13" i="76"/>
  <c r="T12" i="76"/>
  <c r="D6" i="76"/>
  <c r="D4" i="76"/>
  <c r="X77" i="75"/>
  <c r="Z77" i="75" s="1"/>
  <c r="L77" i="75"/>
  <c r="N77" i="75" s="1"/>
  <c r="T73" i="75"/>
  <c r="P73" i="75"/>
  <c r="X73" i="75" s="1"/>
  <c r="H73" i="75"/>
  <c r="F73" i="75"/>
  <c r="D73" i="75"/>
  <c r="D72" i="75" s="1"/>
  <c r="L72" i="75" s="1"/>
  <c r="B73" i="75"/>
  <c r="H72" i="75"/>
  <c r="Z70" i="75"/>
  <c r="X70" i="75"/>
  <c r="N70" i="75"/>
  <c r="L70" i="75"/>
  <c r="B70" i="75"/>
  <c r="Z69" i="75"/>
  <c r="T69" i="75"/>
  <c r="P69" i="75"/>
  <c r="X69" i="75" s="1"/>
  <c r="H69" i="75"/>
  <c r="N69" i="75" s="1"/>
  <c r="D69" i="75"/>
  <c r="L69" i="75" s="1"/>
  <c r="B69" i="75"/>
  <c r="Z68" i="75"/>
  <c r="X68" i="75"/>
  <c r="N68" i="75"/>
  <c r="L68" i="75"/>
  <c r="B68" i="75"/>
  <c r="X67" i="75"/>
  <c r="Z67" i="75" s="1"/>
  <c r="T67" i="75"/>
  <c r="P67" i="75"/>
  <c r="N67" i="75"/>
  <c r="L67" i="75"/>
  <c r="H67" i="75"/>
  <c r="D67" i="75"/>
  <c r="B67" i="75"/>
  <c r="Z66" i="75"/>
  <c r="X66" i="75"/>
  <c r="L66" i="75"/>
  <c r="N66" i="75" s="1"/>
  <c r="B66" i="75"/>
  <c r="T65" i="75"/>
  <c r="P65" i="75"/>
  <c r="H65" i="75"/>
  <c r="N65" i="75" s="1"/>
  <c r="D65" i="75"/>
  <c r="L65" i="75" s="1"/>
  <c r="B65" i="75"/>
  <c r="X64" i="75"/>
  <c r="Z64" i="75" s="1"/>
  <c r="N64" i="75"/>
  <c r="L64" i="75"/>
  <c r="B64" i="75"/>
  <c r="X63" i="75"/>
  <c r="Z63" i="75" s="1"/>
  <c r="L63" i="75"/>
  <c r="N63" i="75" s="1"/>
  <c r="B63" i="75"/>
  <c r="X62" i="75"/>
  <c r="Z62" i="75" s="1"/>
  <c r="N62" i="75"/>
  <c r="L62" i="75"/>
  <c r="B62" i="75"/>
  <c r="Z61" i="75"/>
  <c r="X61" i="75"/>
  <c r="N61" i="75"/>
  <c r="L61" i="75"/>
  <c r="B61" i="75"/>
  <c r="Z60" i="75"/>
  <c r="X60" i="75"/>
  <c r="N60" i="75"/>
  <c r="L60" i="75"/>
  <c r="B60" i="75"/>
  <c r="X59" i="75"/>
  <c r="Z59" i="75" s="1"/>
  <c r="N59" i="75"/>
  <c r="L59" i="75"/>
  <c r="B59" i="75"/>
  <c r="X58" i="75"/>
  <c r="T58" i="75"/>
  <c r="Z58" i="75" s="1"/>
  <c r="P58" i="75"/>
  <c r="H58" i="75"/>
  <c r="D58" i="75"/>
  <c r="B58" i="75"/>
  <c r="X57" i="75"/>
  <c r="Z57" i="75" s="1"/>
  <c r="N57" i="75"/>
  <c r="L57" i="75"/>
  <c r="F57" i="75"/>
  <c r="B57" i="75"/>
  <c r="T56" i="75"/>
  <c r="P56" i="75"/>
  <c r="X56" i="75" s="1"/>
  <c r="H56" i="75"/>
  <c r="N56" i="75" s="1"/>
  <c r="F56" i="75"/>
  <c r="D56" i="75"/>
  <c r="L56" i="75" s="1"/>
  <c r="B56" i="75"/>
  <c r="Z55" i="75"/>
  <c r="X55" i="75"/>
  <c r="L55" i="75"/>
  <c r="N55" i="75" s="1"/>
  <c r="B55" i="75"/>
  <c r="Z54" i="75"/>
  <c r="X54" i="75"/>
  <c r="N54" i="75"/>
  <c r="L54" i="75"/>
  <c r="B54" i="75"/>
  <c r="T53" i="75"/>
  <c r="P53" i="75"/>
  <c r="H53" i="75"/>
  <c r="D53" i="75"/>
  <c r="L53" i="75" s="1"/>
  <c r="B53" i="75"/>
  <c r="Z52" i="75"/>
  <c r="X52" i="75"/>
  <c r="N52" i="75"/>
  <c r="L52" i="75"/>
  <c r="B52" i="75"/>
  <c r="Z51" i="75"/>
  <c r="X51" i="75"/>
  <c r="N51" i="75"/>
  <c r="L51" i="75"/>
  <c r="B51" i="75"/>
  <c r="X50" i="75"/>
  <c r="T50" i="75"/>
  <c r="Z50" i="75" s="1"/>
  <c r="P50" i="75"/>
  <c r="H50" i="75"/>
  <c r="D50" i="75"/>
  <c r="B50" i="75"/>
  <c r="X49" i="75"/>
  <c r="Z49" i="75" s="1"/>
  <c r="N49" i="75"/>
  <c r="L49" i="75"/>
  <c r="F49" i="75"/>
  <c r="B49" i="75"/>
  <c r="T48" i="75"/>
  <c r="P48" i="75"/>
  <c r="X48" i="75" s="1"/>
  <c r="H48" i="75"/>
  <c r="D48" i="75"/>
  <c r="L48" i="75" s="1"/>
  <c r="B48" i="75"/>
  <c r="Z47" i="75"/>
  <c r="X47" i="75"/>
  <c r="L47" i="75"/>
  <c r="N47" i="75" s="1"/>
  <c r="B47" i="75"/>
  <c r="Z46" i="75"/>
  <c r="X46" i="75"/>
  <c r="T46" i="75"/>
  <c r="P46" i="75"/>
  <c r="H46" i="75"/>
  <c r="D46" i="75"/>
  <c r="L46" i="75" s="1"/>
  <c r="N46" i="75" s="1"/>
  <c r="B46" i="75"/>
  <c r="Z45" i="75"/>
  <c r="X45" i="75"/>
  <c r="N45" i="75"/>
  <c r="L45" i="75"/>
  <c r="B45" i="75"/>
  <c r="T44" i="75"/>
  <c r="P44" i="75"/>
  <c r="L44" i="75"/>
  <c r="H44" i="75"/>
  <c r="N44" i="75" s="1"/>
  <c r="D44" i="75"/>
  <c r="B44" i="75"/>
  <c r="X43" i="75"/>
  <c r="Z43" i="75" s="1"/>
  <c r="N43" i="75"/>
  <c r="L43" i="75"/>
  <c r="B43" i="75"/>
  <c r="X42" i="75"/>
  <c r="Z42" i="75" s="1"/>
  <c r="N42" i="75"/>
  <c r="L42" i="75"/>
  <c r="B42" i="75"/>
  <c r="X41" i="75"/>
  <c r="Z41" i="75" s="1"/>
  <c r="N41" i="75"/>
  <c r="L41" i="75"/>
  <c r="F41" i="75"/>
  <c r="B41" i="75"/>
  <c r="T40" i="75"/>
  <c r="P40" i="75"/>
  <c r="X40" i="75" s="1"/>
  <c r="H40" i="75"/>
  <c r="N40" i="75" s="1"/>
  <c r="F40" i="75"/>
  <c r="D40" i="75"/>
  <c r="L40" i="75" s="1"/>
  <c r="B40" i="75"/>
  <c r="X39" i="75"/>
  <c r="Z39" i="75" s="1"/>
  <c r="L39" i="75"/>
  <c r="N39" i="75" s="1"/>
  <c r="B39" i="75"/>
  <c r="Z38" i="75"/>
  <c r="X38" i="75"/>
  <c r="L38" i="75"/>
  <c r="N38" i="75" s="1"/>
  <c r="B38" i="75"/>
  <c r="Z37" i="75"/>
  <c r="X37" i="75"/>
  <c r="N37" i="75"/>
  <c r="L37" i="75"/>
  <c r="B37" i="75"/>
  <c r="Z36" i="75"/>
  <c r="X36" i="75"/>
  <c r="L36" i="75"/>
  <c r="N36" i="75" s="1"/>
  <c r="F36" i="75"/>
  <c r="B36" i="75"/>
  <c r="X35" i="75"/>
  <c r="Z35" i="75" s="1"/>
  <c r="L35" i="75"/>
  <c r="N35" i="75" s="1"/>
  <c r="B35" i="75"/>
  <c r="Z34" i="75"/>
  <c r="X34" i="75"/>
  <c r="L34" i="75"/>
  <c r="N34" i="75" s="1"/>
  <c r="B34" i="75"/>
  <c r="Z33" i="75"/>
  <c r="X33" i="75"/>
  <c r="N33" i="75"/>
  <c r="L33" i="75"/>
  <c r="B33" i="75"/>
  <c r="Z32" i="75"/>
  <c r="X32" i="75"/>
  <c r="L32" i="75"/>
  <c r="N32" i="75" s="1"/>
  <c r="F32" i="75"/>
  <c r="B32" i="75"/>
  <c r="T31" i="75"/>
  <c r="P31" i="75"/>
  <c r="X31" i="75" s="1"/>
  <c r="H31" i="75"/>
  <c r="F31" i="75"/>
  <c r="D31" i="75"/>
  <c r="B31" i="75"/>
  <c r="T30" i="75"/>
  <c r="P30" i="75"/>
  <c r="X30" i="75" s="1"/>
  <c r="H30" i="75"/>
  <c r="D30" i="75"/>
  <c r="T26" i="75"/>
  <c r="Z26" i="75" s="1"/>
  <c r="P26" i="75"/>
  <c r="X26" i="75" s="1"/>
  <c r="H26" i="75"/>
  <c r="D26" i="75"/>
  <c r="T24" i="75"/>
  <c r="P24" i="75"/>
  <c r="N24" i="75"/>
  <c r="H24" i="75"/>
  <c r="D24" i="75"/>
  <c r="L24" i="75" s="1"/>
  <c r="B24" i="75"/>
  <c r="T23" i="75"/>
  <c r="X23" i="75" s="1"/>
  <c r="Z23" i="75" s="1"/>
  <c r="P23" i="75"/>
  <c r="N23" i="75"/>
  <c r="L23" i="75"/>
  <c r="H23" i="75"/>
  <c r="D23" i="75"/>
  <c r="B23" i="75"/>
  <c r="T22" i="75"/>
  <c r="P22" i="75"/>
  <c r="H22" i="75"/>
  <c r="D22" i="75"/>
  <c r="L22" i="75" s="1"/>
  <c r="N22" i="75" s="1"/>
  <c r="B22" i="75"/>
  <c r="T21" i="75"/>
  <c r="P21" i="75"/>
  <c r="H21" i="75"/>
  <c r="D21" i="75"/>
  <c r="B21" i="75"/>
  <c r="T20" i="75"/>
  <c r="P20" i="75"/>
  <c r="H20" i="75"/>
  <c r="D20" i="75"/>
  <c r="L20" i="75" s="1"/>
  <c r="N20" i="75" s="1"/>
  <c r="B20" i="75"/>
  <c r="T19" i="75"/>
  <c r="X19" i="75" s="1"/>
  <c r="Z19" i="75" s="1"/>
  <c r="P19" i="75"/>
  <c r="L19" i="75"/>
  <c r="N19" i="75" s="1"/>
  <c r="H19" i="75"/>
  <c r="D19" i="75"/>
  <c r="B19" i="75"/>
  <c r="T18" i="75"/>
  <c r="P18" i="75"/>
  <c r="N18" i="75"/>
  <c r="H18" i="75"/>
  <c r="D18" i="75"/>
  <c r="L18" i="75" s="1"/>
  <c r="B18" i="75"/>
  <c r="T17" i="75"/>
  <c r="P17" i="75"/>
  <c r="H17" i="75"/>
  <c r="D17" i="75"/>
  <c r="B17" i="75"/>
  <c r="T16" i="75"/>
  <c r="P16" i="75"/>
  <c r="H16" i="75"/>
  <c r="D16" i="75"/>
  <c r="L16" i="75" s="1"/>
  <c r="N16" i="75" s="1"/>
  <c r="B16" i="75"/>
  <c r="T15" i="75"/>
  <c r="X15" i="75" s="1"/>
  <c r="Z15" i="75" s="1"/>
  <c r="P15" i="75"/>
  <c r="L15" i="75"/>
  <c r="N15" i="75" s="1"/>
  <c r="H15" i="75"/>
  <c r="D15" i="75"/>
  <c r="B15" i="75"/>
  <c r="T14" i="75"/>
  <c r="P14" i="75"/>
  <c r="H14" i="75"/>
  <c r="D14" i="75"/>
  <c r="L14" i="75" s="1"/>
  <c r="N14" i="75" s="1"/>
  <c r="B14" i="75"/>
  <c r="T13" i="75"/>
  <c r="Z13" i="75" s="1"/>
  <c r="P13" i="75"/>
  <c r="L13" i="75"/>
  <c r="H13" i="75"/>
  <c r="D13" i="75"/>
  <c r="B13" i="75"/>
  <c r="D12" i="75"/>
  <c r="F77" i="75" s="1"/>
  <c r="D6" i="75"/>
  <c r="D4" i="75"/>
  <c r="X129" i="74"/>
  <c r="Z129" i="74" s="1"/>
  <c r="N129" i="74"/>
  <c r="L129" i="74"/>
  <c r="T125" i="74"/>
  <c r="P125" i="74"/>
  <c r="H125" i="74"/>
  <c r="N125" i="74" s="1"/>
  <c r="D125" i="74"/>
  <c r="L125" i="74" s="1"/>
  <c r="B125" i="74"/>
  <c r="X124" i="74"/>
  <c r="Z124" i="74" s="1"/>
  <c r="T124" i="74"/>
  <c r="P124" i="74"/>
  <c r="N124" i="74"/>
  <c r="L124" i="74"/>
  <c r="H124" i="74"/>
  <c r="D124" i="74"/>
  <c r="B124" i="74"/>
  <c r="P123" i="74"/>
  <c r="N123" i="74"/>
  <c r="H123" i="74"/>
  <c r="D123" i="74"/>
  <c r="L123" i="74" s="1"/>
  <c r="X121" i="74"/>
  <c r="Z121" i="74" s="1"/>
  <c r="L121" i="74"/>
  <c r="N121" i="74" s="1"/>
  <c r="B121" i="74"/>
  <c r="T120" i="74"/>
  <c r="P120" i="74"/>
  <c r="H120" i="74"/>
  <c r="D120" i="74"/>
  <c r="L120" i="74" s="1"/>
  <c r="B120" i="74"/>
  <c r="X119" i="74"/>
  <c r="Z119" i="74" s="1"/>
  <c r="L119" i="74"/>
  <c r="N119" i="74" s="1"/>
  <c r="B119" i="74"/>
  <c r="T118" i="74"/>
  <c r="P118" i="74"/>
  <c r="X118" i="74" s="1"/>
  <c r="Z118" i="74" s="1"/>
  <c r="N118" i="74"/>
  <c r="H118" i="74"/>
  <c r="D118" i="74"/>
  <c r="L118" i="74" s="1"/>
  <c r="B118" i="74"/>
  <c r="X117" i="74"/>
  <c r="Z117" i="74" s="1"/>
  <c r="N117" i="74"/>
  <c r="L117" i="74"/>
  <c r="B117" i="74"/>
  <c r="X116" i="74"/>
  <c r="Z116" i="74" s="1"/>
  <c r="T116" i="74"/>
  <c r="P116" i="74"/>
  <c r="L116" i="74"/>
  <c r="N116" i="74" s="1"/>
  <c r="H116" i="74"/>
  <c r="D116" i="74"/>
  <c r="B116" i="74"/>
  <c r="Z115" i="74"/>
  <c r="X115" i="74"/>
  <c r="L115" i="74"/>
  <c r="N115" i="74" s="1"/>
  <c r="B115" i="74"/>
  <c r="Z114" i="74"/>
  <c r="X114" i="74"/>
  <c r="L114" i="74"/>
  <c r="N114" i="74" s="1"/>
  <c r="B114" i="74"/>
  <c r="Z113" i="74"/>
  <c r="X113" i="74"/>
  <c r="N113" i="74"/>
  <c r="L113" i="74"/>
  <c r="B113" i="74"/>
  <c r="Z112" i="74"/>
  <c r="X112" i="74"/>
  <c r="N112" i="74"/>
  <c r="L112" i="74"/>
  <c r="B112" i="74"/>
  <c r="T111" i="74"/>
  <c r="P111" i="74"/>
  <c r="X111" i="74" s="1"/>
  <c r="Z111" i="74" s="1"/>
  <c r="N111" i="74"/>
  <c r="L111" i="74"/>
  <c r="H111" i="74"/>
  <c r="D111" i="74"/>
  <c r="B111" i="74"/>
  <c r="X110" i="74"/>
  <c r="Z110" i="74" s="1"/>
  <c r="N110" i="74"/>
  <c r="L110" i="74"/>
  <c r="B110" i="74"/>
  <c r="T109" i="74"/>
  <c r="P109" i="74"/>
  <c r="X109" i="74" s="1"/>
  <c r="H109" i="74"/>
  <c r="D109" i="74"/>
  <c r="B109" i="74"/>
  <c r="X108" i="74"/>
  <c r="Z108" i="74" s="1"/>
  <c r="N108" i="74"/>
  <c r="L108" i="74"/>
  <c r="B108" i="74"/>
  <c r="X107" i="74"/>
  <c r="Z107" i="74" s="1"/>
  <c r="N107" i="74"/>
  <c r="L107" i="74"/>
  <c r="B107" i="74"/>
  <c r="X106" i="74"/>
  <c r="Z106" i="74" s="1"/>
  <c r="T106" i="74"/>
  <c r="P106" i="74"/>
  <c r="L106" i="74"/>
  <c r="N106" i="74" s="1"/>
  <c r="H106" i="74"/>
  <c r="D106" i="74"/>
  <c r="B106" i="74"/>
  <c r="Z105" i="74"/>
  <c r="X105" i="74"/>
  <c r="L105" i="74"/>
  <c r="N105" i="74" s="1"/>
  <c r="B105" i="74"/>
  <c r="T104" i="74"/>
  <c r="P104" i="74"/>
  <c r="H104" i="74"/>
  <c r="D104" i="74"/>
  <c r="L104" i="74" s="1"/>
  <c r="B104" i="74"/>
  <c r="X103" i="74"/>
  <c r="Z103" i="74" s="1"/>
  <c r="L103" i="74"/>
  <c r="N103" i="74" s="1"/>
  <c r="B103" i="74"/>
  <c r="X102" i="74"/>
  <c r="Z102" i="74" s="1"/>
  <c r="L102" i="74"/>
  <c r="N102" i="74" s="1"/>
  <c r="B102" i="74"/>
  <c r="T101" i="74"/>
  <c r="P101" i="74"/>
  <c r="X101" i="74" s="1"/>
  <c r="H101" i="74"/>
  <c r="D101" i="74"/>
  <c r="B101" i="74"/>
  <c r="X100" i="74"/>
  <c r="Z100" i="74" s="1"/>
  <c r="N100" i="74"/>
  <c r="L100" i="74"/>
  <c r="B100" i="74"/>
  <c r="T99" i="74"/>
  <c r="Z99" i="74" s="1"/>
  <c r="P99" i="74"/>
  <c r="X99" i="74" s="1"/>
  <c r="H99" i="74"/>
  <c r="D99" i="74"/>
  <c r="L99" i="74" s="1"/>
  <c r="B99" i="74"/>
  <c r="Z98" i="74"/>
  <c r="X98" i="74"/>
  <c r="L98" i="74"/>
  <c r="N98" i="74" s="1"/>
  <c r="B98" i="74"/>
  <c r="X97" i="74"/>
  <c r="Z97" i="74" s="1"/>
  <c r="L97" i="74"/>
  <c r="N97" i="74" s="1"/>
  <c r="B97" i="74"/>
  <c r="T96" i="74"/>
  <c r="P96" i="74"/>
  <c r="H96" i="74"/>
  <c r="N96" i="74" s="1"/>
  <c r="D96" i="74"/>
  <c r="L96" i="74" s="1"/>
  <c r="B96" i="74"/>
  <c r="X95" i="74"/>
  <c r="Z95" i="74" s="1"/>
  <c r="L95" i="74"/>
  <c r="N95" i="74" s="1"/>
  <c r="B95" i="74"/>
  <c r="T94" i="74"/>
  <c r="P94" i="74"/>
  <c r="X94" i="74" s="1"/>
  <c r="Z94" i="74" s="1"/>
  <c r="H94" i="74"/>
  <c r="D94" i="74"/>
  <c r="L94" i="74" s="1"/>
  <c r="N94" i="74" s="1"/>
  <c r="B94" i="74"/>
  <c r="X93" i="74"/>
  <c r="Z93" i="74" s="1"/>
  <c r="N93" i="74"/>
  <c r="L93" i="74"/>
  <c r="B93" i="74"/>
  <c r="X92" i="74"/>
  <c r="Z92" i="74" s="1"/>
  <c r="N92" i="74"/>
  <c r="L92" i="74"/>
  <c r="B92" i="74"/>
  <c r="X91" i="74"/>
  <c r="Z91" i="74" s="1"/>
  <c r="N91" i="74"/>
  <c r="L91" i="74"/>
  <c r="B91" i="74"/>
  <c r="X90" i="74"/>
  <c r="Z90" i="74" s="1"/>
  <c r="L90" i="74"/>
  <c r="N90" i="74" s="1"/>
  <c r="B90" i="74"/>
  <c r="Z89" i="74"/>
  <c r="X89" i="74"/>
  <c r="N89" i="74"/>
  <c r="L89" i="74"/>
  <c r="B89" i="74"/>
  <c r="X88" i="74"/>
  <c r="Z88" i="74" s="1"/>
  <c r="N88" i="74"/>
  <c r="L88" i="74"/>
  <c r="B88" i="74"/>
  <c r="T87" i="74"/>
  <c r="P87" i="74"/>
  <c r="X87" i="74" s="1"/>
  <c r="H87" i="74"/>
  <c r="D87" i="74"/>
  <c r="L87" i="74" s="1"/>
  <c r="B87" i="74"/>
  <c r="X86" i="74"/>
  <c r="Z86" i="74" s="1"/>
  <c r="L86" i="74"/>
  <c r="N86" i="74" s="1"/>
  <c r="B86" i="74"/>
  <c r="X85" i="74"/>
  <c r="Z85" i="74" s="1"/>
  <c r="L85" i="74"/>
  <c r="N85" i="74" s="1"/>
  <c r="B85" i="74"/>
  <c r="Z84" i="74"/>
  <c r="X84" i="74"/>
  <c r="N84" i="74"/>
  <c r="L84" i="74"/>
  <c r="B84" i="74"/>
  <c r="Z83" i="74"/>
  <c r="X83" i="74"/>
  <c r="L83" i="74"/>
  <c r="N83" i="74" s="1"/>
  <c r="B83" i="74"/>
  <c r="X82" i="74"/>
  <c r="Z82" i="74" s="1"/>
  <c r="L82" i="74"/>
  <c r="N82" i="74" s="1"/>
  <c r="B82" i="74"/>
  <c r="Z81" i="74"/>
  <c r="X81" i="74"/>
  <c r="L81" i="74"/>
  <c r="N81" i="74" s="1"/>
  <c r="B81" i="74"/>
  <c r="Z80" i="74"/>
  <c r="X80" i="74"/>
  <c r="N80" i="74"/>
  <c r="L80" i="74"/>
  <c r="B80" i="74"/>
  <c r="Z79" i="74"/>
  <c r="X79" i="74"/>
  <c r="L79" i="74"/>
  <c r="N79" i="74" s="1"/>
  <c r="B79" i="74"/>
  <c r="T78" i="74"/>
  <c r="Z78" i="74" s="1"/>
  <c r="P78" i="74"/>
  <c r="X78" i="74" s="1"/>
  <c r="H78" i="74"/>
  <c r="D78" i="74"/>
  <c r="B78" i="74"/>
  <c r="T77" i="74"/>
  <c r="P77" i="74"/>
  <c r="X77" i="74" s="1"/>
  <c r="H77" i="74"/>
  <c r="D77" i="74"/>
  <c r="X73" i="74"/>
  <c r="Z73" i="74" s="1"/>
  <c r="L73" i="74"/>
  <c r="N73" i="74" s="1"/>
  <c r="B73" i="74"/>
  <c r="Z72" i="74"/>
  <c r="X72" i="74"/>
  <c r="L72" i="74"/>
  <c r="N72" i="74" s="1"/>
  <c r="B72" i="74"/>
  <c r="X71" i="74"/>
  <c r="Z71" i="74" s="1"/>
  <c r="N71" i="74"/>
  <c r="L71" i="74"/>
  <c r="B71" i="74"/>
  <c r="Z70" i="74"/>
  <c r="X70" i="74"/>
  <c r="L70" i="74"/>
  <c r="N70" i="74" s="1"/>
  <c r="B70" i="74"/>
  <c r="X69" i="74"/>
  <c r="Z69" i="74" s="1"/>
  <c r="L69" i="74"/>
  <c r="N69" i="74" s="1"/>
  <c r="B69" i="74"/>
  <c r="Z68" i="74"/>
  <c r="X68" i="74"/>
  <c r="L68" i="74"/>
  <c r="N68" i="74" s="1"/>
  <c r="B68" i="74"/>
  <c r="Z67" i="74"/>
  <c r="X67" i="74"/>
  <c r="N67" i="74"/>
  <c r="L67" i="74"/>
  <c r="B67" i="74"/>
  <c r="Z66" i="74"/>
  <c r="X66" i="74"/>
  <c r="N66" i="74"/>
  <c r="L66" i="74"/>
  <c r="B66" i="74"/>
  <c r="Z65" i="74"/>
  <c r="X65" i="74"/>
  <c r="N65" i="74"/>
  <c r="L65" i="74"/>
  <c r="B65" i="74"/>
  <c r="Z64" i="74"/>
  <c r="X64" i="74"/>
  <c r="L64" i="74"/>
  <c r="N64" i="74" s="1"/>
  <c r="B64" i="74"/>
  <c r="X63" i="74"/>
  <c r="Z63" i="74" s="1"/>
  <c r="L63" i="74"/>
  <c r="N63" i="74" s="1"/>
  <c r="B63" i="74"/>
  <c r="Z62" i="74"/>
  <c r="X62" i="74"/>
  <c r="L62" i="74"/>
  <c r="N62" i="74" s="1"/>
  <c r="B62" i="74"/>
  <c r="X61" i="74"/>
  <c r="Z61" i="74" s="1"/>
  <c r="L61" i="74"/>
  <c r="N61" i="74" s="1"/>
  <c r="B61" i="74"/>
  <c r="Z60" i="74"/>
  <c r="X60" i="74"/>
  <c r="L60" i="74"/>
  <c r="N60" i="74" s="1"/>
  <c r="B60" i="74"/>
  <c r="X59" i="74"/>
  <c r="Z59" i="74" s="1"/>
  <c r="L59" i="74"/>
  <c r="N59" i="74" s="1"/>
  <c r="B59" i="74"/>
  <c r="Z58" i="74"/>
  <c r="X58" i="74"/>
  <c r="L58" i="74"/>
  <c r="N58" i="74" s="1"/>
  <c r="B58" i="74"/>
  <c r="X57" i="74"/>
  <c r="Z57" i="74" s="1"/>
  <c r="L57" i="74"/>
  <c r="N57" i="74" s="1"/>
  <c r="B57" i="74"/>
  <c r="Z56" i="74"/>
  <c r="X56" i="74"/>
  <c r="L56" i="74"/>
  <c r="N56" i="74" s="1"/>
  <c r="B56" i="74"/>
  <c r="Z55" i="74"/>
  <c r="X55" i="74"/>
  <c r="N55" i="74"/>
  <c r="L55" i="74"/>
  <c r="B55" i="74"/>
  <c r="Z54" i="74"/>
  <c r="X54" i="74"/>
  <c r="N54" i="74"/>
  <c r="L54" i="74"/>
  <c r="B54" i="74"/>
  <c r="Z53" i="74"/>
  <c r="X53" i="74"/>
  <c r="N53" i="74"/>
  <c r="L53" i="74"/>
  <c r="B53" i="74"/>
  <c r="Z52" i="74"/>
  <c r="X52" i="74"/>
  <c r="N52" i="74"/>
  <c r="L52" i="74"/>
  <c r="B52" i="74"/>
  <c r="Z51" i="74"/>
  <c r="X51" i="74"/>
  <c r="N51" i="74"/>
  <c r="L51" i="74"/>
  <c r="B51" i="74"/>
  <c r="Z50" i="74"/>
  <c r="T50" i="74"/>
  <c r="P50" i="74"/>
  <c r="X50" i="74" s="1"/>
  <c r="H50" i="74"/>
  <c r="D50" i="74"/>
  <c r="L50" i="74" s="1"/>
  <c r="N50" i="74" s="1"/>
  <c r="Z48" i="74"/>
  <c r="T48" i="74"/>
  <c r="X48" i="74" s="1"/>
  <c r="P48" i="74"/>
  <c r="H48" i="74"/>
  <c r="D48" i="74"/>
  <c r="B48" i="74"/>
  <c r="T47" i="74"/>
  <c r="P47" i="74"/>
  <c r="X47" i="74" s="1"/>
  <c r="L47" i="74"/>
  <c r="N47" i="74" s="1"/>
  <c r="H47" i="74"/>
  <c r="D47" i="74"/>
  <c r="B47" i="74"/>
  <c r="T46" i="74"/>
  <c r="X46" i="74" s="1"/>
  <c r="Z46" i="74" s="1"/>
  <c r="P46" i="74"/>
  <c r="H46" i="74"/>
  <c r="D46" i="74"/>
  <c r="B46" i="74"/>
  <c r="T45" i="74"/>
  <c r="P45" i="74"/>
  <c r="X45" i="74" s="1"/>
  <c r="N45" i="74"/>
  <c r="H45" i="74"/>
  <c r="D45" i="74"/>
  <c r="L45" i="74" s="1"/>
  <c r="B45" i="74"/>
  <c r="T44" i="74"/>
  <c r="X44" i="74" s="1"/>
  <c r="P44" i="74"/>
  <c r="H44" i="74"/>
  <c r="D44" i="74"/>
  <c r="B44" i="74"/>
  <c r="T43" i="74"/>
  <c r="P43" i="74"/>
  <c r="X43" i="74" s="1"/>
  <c r="N43" i="74"/>
  <c r="L43" i="74"/>
  <c r="H43" i="74"/>
  <c r="D43" i="74"/>
  <c r="B43" i="74"/>
  <c r="T42" i="74"/>
  <c r="X42" i="74" s="1"/>
  <c r="Z42" i="74" s="1"/>
  <c r="P42" i="74"/>
  <c r="H42" i="74"/>
  <c r="D42" i="74"/>
  <c r="B42" i="74"/>
  <c r="T41" i="74"/>
  <c r="P41" i="74"/>
  <c r="H41" i="74"/>
  <c r="D41" i="74"/>
  <c r="L41" i="74" s="1"/>
  <c r="N41" i="74" s="1"/>
  <c r="B41" i="74"/>
  <c r="T40" i="74"/>
  <c r="X40" i="74" s="1"/>
  <c r="P40" i="74"/>
  <c r="L40" i="74"/>
  <c r="H40" i="74"/>
  <c r="D40" i="74"/>
  <c r="B40" i="74"/>
  <c r="T39" i="74"/>
  <c r="Z39" i="74" s="1"/>
  <c r="P39" i="74"/>
  <c r="X39" i="74" s="1"/>
  <c r="N39" i="74"/>
  <c r="L39" i="74"/>
  <c r="H39" i="74"/>
  <c r="D39" i="74"/>
  <c r="B39" i="74"/>
  <c r="Z38" i="74"/>
  <c r="T38" i="74"/>
  <c r="X38" i="74" s="1"/>
  <c r="P38" i="74"/>
  <c r="H38" i="74"/>
  <c r="D38" i="74"/>
  <c r="B38" i="74"/>
  <c r="T37" i="74"/>
  <c r="P37" i="74"/>
  <c r="X37" i="74" s="1"/>
  <c r="N37" i="74"/>
  <c r="H37" i="74"/>
  <c r="D37" i="74"/>
  <c r="L37" i="74" s="1"/>
  <c r="B37" i="74"/>
  <c r="T36" i="74"/>
  <c r="X36" i="74" s="1"/>
  <c r="P36" i="74"/>
  <c r="H36" i="74"/>
  <c r="D36" i="74"/>
  <c r="B36" i="74"/>
  <c r="T35" i="74"/>
  <c r="Z35" i="74" s="1"/>
  <c r="P35" i="74"/>
  <c r="X35" i="74" s="1"/>
  <c r="N35" i="74"/>
  <c r="L35" i="74"/>
  <c r="H35" i="74"/>
  <c r="D35" i="74"/>
  <c r="B35" i="74"/>
  <c r="Z34" i="74"/>
  <c r="T34" i="74"/>
  <c r="X34" i="74" s="1"/>
  <c r="P34" i="74"/>
  <c r="H34" i="74"/>
  <c r="D34" i="74"/>
  <c r="B34" i="74"/>
  <c r="T33" i="74"/>
  <c r="P33" i="74"/>
  <c r="H33" i="74"/>
  <c r="D33" i="74"/>
  <c r="L33" i="74" s="1"/>
  <c r="N33" i="74" s="1"/>
  <c r="B33" i="74"/>
  <c r="Z32" i="74"/>
  <c r="T32" i="74"/>
  <c r="X32" i="74" s="1"/>
  <c r="P32" i="74"/>
  <c r="H32" i="74"/>
  <c r="D32" i="74"/>
  <c r="B32" i="74"/>
  <c r="T31" i="74"/>
  <c r="Z31" i="74" s="1"/>
  <c r="P31" i="74"/>
  <c r="X31" i="74" s="1"/>
  <c r="N31" i="74"/>
  <c r="L31" i="74"/>
  <c r="H31" i="74"/>
  <c r="D31" i="74"/>
  <c r="B31" i="74"/>
  <c r="Z30" i="74"/>
  <c r="T30" i="74"/>
  <c r="X30" i="74" s="1"/>
  <c r="P30" i="74"/>
  <c r="H30" i="74"/>
  <c r="D30" i="74"/>
  <c r="B30" i="74"/>
  <c r="T29" i="74"/>
  <c r="Z29" i="74" s="1"/>
  <c r="P29" i="74"/>
  <c r="X29" i="74" s="1"/>
  <c r="N29" i="74"/>
  <c r="L29" i="74"/>
  <c r="H29" i="74"/>
  <c r="D29" i="74"/>
  <c r="B29" i="74"/>
  <c r="T28" i="74"/>
  <c r="X28" i="74" s="1"/>
  <c r="P28" i="74"/>
  <c r="L28" i="74"/>
  <c r="H28" i="74"/>
  <c r="N28" i="74" s="1"/>
  <c r="D28" i="74"/>
  <c r="B28" i="74"/>
  <c r="T27" i="74"/>
  <c r="Z27" i="74" s="1"/>
  <c r="P27" i="74"/>
  <c r="X27" i="74" s="1"/>
  <c r="N27" i="74"/>
  <c r="L27" i="74"/>
  <c r="H27" i="74"/>
  <c r="D27" i="74"/>
  <c r="B27" i="74"/>
  <c r="Z26" i="74"/>
  <c r="T26" i="74"/>
  <c r="X26" i="74" s="1"/>
  <c r="P26" i="74"/>
  <c r="H26" i="74"/>
  <c r="D26" i="74"/>
  <c r="B26" i="74"/>
  <c r="T25" i="74"/>
  <c r="Z25" i="74" s="1"/>
  <c r="P25" i="74"/>
  <c r="N25" i="74"/>
  <c r="L25" i="74"/>
  <c r="H25" i="74"/>
  <c r="D25" i="74"/>
  <c r="B25" i="74"/>
  <c r="Z24" i="74"/>
  <c r="T24" i="74"/>
  <c r="X24" i="74" s="1"/>
  <c r="P24" i="74"/>
  <c r="H24" i="74"/>
  <c r="D24" i="74"/>
  <c r="B24" i="74"/>
  <c r="T23" i="74"/>
  <c r="Z23" i="74" s="1"/>
  <c r="P23" i="74"/>
  <c r="X23" i="74" s="1"/>
  <c r="L23" i="74"/>
  <c r="N23" i="74" s="1"/>
  <c r="H23" i="74"/>
  <c r="D23" i="74"/>
  <c r="B23" i="74"/>
  <c r="Z22" i="74"/>
  <c r="T22" i="74"/>
  <c r="X22" i="74" s="1"/>
  <c r="P22" i="74"/>
  <c r="H22" i="74"/>
  <c r="D22" i="74"/>
  <c r="B22" i="74"/>
  <c r="T21" i="74"/>
  <c r="P21" i="74"/>
  <c r="L21" i="74"/>
  <c r="N21" i="74" s="1"/>
  <c r="H21" i="74"/>
  <c r="D21" i="74"/>
  <c r="B21" i="74"/>
  <c r="Z20" i="74"/>
  <c r="T20" i="74"/>
  <c r="X20" i="74" s="1"/>
  <c r="P20" i="74"/>
  <c r="H20" i="74"/>
  <c r="D20" i="74"/>
  <c r="B20" i="74"/>
  <c r="T19" i="74"/>
  <c r="P19" i="74"/>
  <c r="X19" i="74" s="1"/>
  <c r="L19" i="74"/>
  <c r="N19" i="74" s="1"/>
  <c r="H19" i="74"/>
  <c r="D19" i="74"/>
  <c r="B19" i="74"/>
  <c r="Z18" i="74"/>
  <c r="T18" i="74"/>
  <c r="X18" i="74" s="1"/>
  <c r="P18" i="74"/>
  <c r="H18" i="74"/>
  <c r="D18" i="74"/>
  <c r="B18" i="74"/>
  <c r="T17" i="74"/>
  <c r="Z17" i="74" s="1"/>
  <c r="P17" i="74"/>
  <c r="X17" i="74" s="1"/>
  <c r="N17" i="74"/>
  <c r="L17" i="74"/>
  <c r="H17" i="74"/>
  <c r="D17" i="74"/>
  <c r="B17" i="74"/>
  <c r="T16" i="74"/>
  <c r="X16" i="74" s="1"/>
  <c r="P16" i="74"/>
  <c r="L16" i="74"/>
  <c r="H16" i="74"/>
  <c r="N16" i="74" s="1"/>
  <c r="D16" i="74"/>
  <c r="B16" i="74"/>
  <c r="T15" i="74"/>
  <c r="Z15" i="74" s="1"/>
  <c r="P15" i="74"/>
  <c r="N15" i="74"/>
  <c r="L15" i="74"/>
  <c r="H15" i="74"/>
  <c r="D15" i="74"/>
  <c r="B15" i="74"/>
  <c r="Z14" i="74"/>
  <c r="T14" i="74"/>
  <c r="X14" i="74" s="1"/>
  <c r="P14" i="74"/>
  <c r="H14" i="74"/>
  <c r="N14" i="74" s="1"/>
  <c r="D14" i="74"/>
  <c r="B14" i="74"/>
  <c r="T13" i="74"/>
  <c r="Z13" i="74" s="1"/>
  <c r="P13" i="74"/>
  <c r="N13" i="74"/>
  <c r="L13" i="74"/>
  <c r="H13" i="74"/>
  <c r="D13" i="74"/>
  <c r="D12" i="74" s="1"/>
  <c r="B13" i="74"/>
  <c r="D6" i="74"/>
  <c r="D4" i="74"/>
  <c r="X79" i="73"/>
  <c r="Z79" i="73" s="1"/>
  <c r="N79" i="73"/>
  <c r="L79" i="73"/>
  <c r="Z75" i="73"/>
  <c r="T75" i="73"/>
  <c r="P75" i="73"/>
  <c r="X75" i="73" s="1"/>
  <c r="N75" i="73"/>
  <c r="H75" i="73"/>
  <c r="D75" i="73"/>
  <c r="L75" i="73" s="1"/>
  <c r="Z73" i="73"/>
  <c r="X73" i="73"/>
  <c r="L73" i="73"/>
  <c r="N73" i="73" s="1"/>
  <c r="B73" i="73"/>
  <c r="T72" i="73"/>
  <c r="P72" i="73"/>
  <c r="H72" i="73"/>
  <c r="D72" i="73"/>
  <c r="B72" i="73"/>
  <c r="X71" i="73"/>
  <c r="Z71" i="73" s="1"/>
  <c r="N71" i="73"/>
  <c r="L71" i="73"/>
  <c r="B71" i="73"/>
  <c r="X70" i="73"/>
  <c r="T70" i="73"/>
  <c r="P70" i="73"/>
  <c r="H70" i="73"/>
  <c r="N70" i="73" s="1"/>
  <c r="D70" i="73"/>
  <c r="L70" i="73" s="1"/>
  <c r="B70" i="73"/>
  <c r="Z69" i="73"/>
  <c r="X69" i="73"/>
  <c r="N69" i="73"/>
  <c r="L69" i="73"/>
  <c r="B69" i="73"/>
  <c r="Z68" i="73"/>
  <c r="X68" i="73"/>
  <c r="L68" i="73"/>
  <c r="N68" i="73" s="1"/>
  <c r="B68" i="73"/>
  <c r="T67" i="73"/>
  <c r="P67" i="73"/>
  <c r="N67" i="73"/>
  <c r="H67" i="73"/>
  <c r="L67" i="73" s="1"/>
  <c r="D67" i="73"/>
  <c r="B67" i="73"/>
  <c r="X66" i="73"/>
  <c r="Z66" i="73" s="1"/>
  <c r="L66" i="73"/>
  <c r="N66" i="73" s="1"/>
  <c r="B66" i="73"/>
  <c r="T65" i="73"/>
  <c r="P65" i="73"/>
  <c r="X65" i="73" s="1"/>
  <c r="Z65" i="73" s="1"/>
  <c r="N65" i="73"/>
  <c r="H65" i="73"/>
  <c r="D65" i="73"/>
  <c r="L65" i="73" s="1"/>
  <c r="B65" i="73"/>
  <c r="X64" i="73"/>
  <c r="Z64" i="73" s="1"/>
  <c r="N64" i="73"/>
  <c r="L64" i="73"/>
  <c r="B64" i="73"/>
  <c r="X63" i="73"/>
  <c r="Z63" i="73" s="1"/>
  <c r="N63" i="73"/>
  <c r="L63" i="73"/>
  <c r="B63" i="73"/>
  <c r="T62" i="73"/>
  <c r="P62" i="73"/>
  <c r="X62" i="73" s="1"/>
  <c r="H62" i="73"/>
  <c r="N62" i="73" s="1"/>
  <c r="D62" i="73"/>
  <c r="L62" i="73" s="1"/>
  <c r="B62" i="73"/>
  <c r="Z61" i="73"/>
  <c r="X61" i="73"/>
  <c r="N61" i="73"/>
  <c r="L61" i="73"/>
  <c r="B61" i="73"/>
  <c r="Z60" i="73"/>
  <c r="X60" i="73"/>
  <c r="L60" i="73"/>
  <c r="N60" i="73" s="1"/>
  <c r="B60" i="73"/>
  <c r="Z59" i="73"/>
  <c r="X59" i="73"/>
  <c r="N59" i="73"/>
  <c r="L59" i="73"/>
  <c r="B59" i="73"/>
  <c r="Z58" i="73"/>
  <c r="X58" i="73"/>
  <c r="L58" i="73"/>
  <c r="N58" i="73" s="1"/>
  <c r="B58" i="73"/>
  <c r="Z57" i="73"/>
  <c r="X57" i="73"/>
  <c r="N57" i="73"/>
  <c r="L57" i="73"/>
  <c r="B57" i="73"/>
  <c r="Z56" i="73"/>
  <c r="X56" i="73"/>
  <c r="L56" i="73"/>
  <c r="N56" i="73" s="1"/>
  <c r="B56" i="73"/>
  <c r="Z55" i="73"/>
  <c r="X55" i="73"/>
  <c r="N55" i="73"/>
  <c r="L55" i="73"/>
  <c r="B55" i="73"/>
  <c r="X54" i="73"/>
  <c r="Z54" i="73" s="1"/>
  <c r="T54" i="73"/>
  <c r="P54" i="73"/>
  <c r="H54" i="73"/>
  <c r="D54" i="73"/>
  <c r="B54" i="73"/>
  <c r="T53" i="73"/>
  <c r="Z53" i="73" s="1"/>
  <c r="P53" i="73"/>
  <c r="X53" i="73" s="1"/>
  <c r="H53" i="73"/>
  <c r="N53" i="73" s="1"/>
  <c r="D53" i="73"/>
  <c r="L53" i="73" s="1"/>
  <c r="Z49" i="73"/>
  <c r="X49" i="73"/>
  <c r="N49" i="73"/>
  <c r="L49" i="73"/>
  <c r="B49" i="73"/>
  <c r="X48" i="73"/>
  <c r="Z48" i="73" s="1"/>
  <c r="L48" i="73"/>
  <c r="N48" i="73" s="1"/>
  <c r="B48" i="73"/>
  <c r="Z47" i="73"/>
  <c r="X47" i="73"/>
  <c r="N47" i="73"/>
  <c r="L47" i="73"/>
  <c r="B47" i="73"/>
  <c r="X46" i="73"/>
  <c r="Z46" i="73" s="1"/>
  <c r="L46" i="73"/>
  <c r="N46" i="73" s="1"/>
  <c r="B46" i="73"/>
  <c r="Z45" i="73"/>
  <c r="X45" i="73"/>
  <c r="L45" i="73"/>
  <c r="N45" i="73" s="1"/>
  <c r="B45" i="73"/>
  <c r="X44" i="73"/>
  <c r="Z44" i="73" s="1"/>
  <c r="L44" i="73"/>
  <c r="N44" i="73" s="1"/>
  <c r="B44" i="73"/>
  <c r="Z43" i="73"/>
  <c r="X43" i="73"/>
  <c r="L43" i="73"/>
  <c r="N43" i="73" s="1"/>
  <c r="B43" i="73"/>
  <c r="X42" i="73"/>
  <c r="Z42" i="73" s="1"/>
  <c r="N42" i="73"/>
  <c r="L42" i="73"/>
  <c r="B42" i="73"/>
  <c r="Z41" i="73"/>
  <c r="X41" i="73"/>
  <c r="L41" i="73"/>
  <c r="N41" i="73" s="1"/>
  <c r="B41" i="73"/>
  <c r="X40" i="73"/>
  <c r="Z40" i="73" s="1"/>
  <c r="L40" i="73"/>
  <c r="N40" i="73" s="1"/>
  <c r="B40" i="73"/>
  <c r="Z39" i="73"/>
  <c r="X39" i="73"/>
  <c r="L39" i="73"/>
  <c r="N39" i="73" s="1"/>
  <c r="B39" i="73"/>
  <c r="X38" i="73"/>
  <c r="Z38" i="73" s="1"/>
  <c r="L38" i="73"/>
  <c r="N38" i="73" s="1"/>
  <c r="B38" i="73"/>
  <c r="Z37" i="73"/>
  <c r="X37" i="73"/>
  <c r="L37" i="73"/>
  <c r="N37" i="73" s="1"/>
  <c r="B37" i="73"/>
  <c r="X36" i="73"/>
  <c r="Z36" i="73" s="1"/>
  <c r="L36" i="73"/>
  <c r="N36" i="73" s="1"/>
  <c r="B36" i="73"/>
  <c r="Z35" i="73"/>
  <c r="X35" i="73"/>
  <c r="N35" i="73"/>
  <c r="L35" i="73"/>
  <c r="B35" i="73"/>
  <c r="T34" i="73"/>
  <c r="P34" i="73"/>
  <c r="H34" i="73"/>
  <c r="D34" i="73"/>
  <c r="L34" i="73" s="1"/>
  <c r="X32" i="73"/>
  <c r="T32" i="73"/>
  <c r="P32" i="73"/>
  <c r="N32" i="73"/>
  <c r="L32" i="73"/>
  <c r="H32" i="73"/>
  <c r="D32" i="73"/>
  <c r="B32" i="73"/>
  <c r="T31" i="73"/>
  <c r="X31" i="73" s="1"/>
  <c r="P31" i="73"/>
  <c r="L31" i="73"/>
  <c r="N31" i="73" s="1"/>
  <c r="H31" i="73"/>
  <c r="D31" i="73"/>
  <c r="B31" i="73"/>
  <c r="T30" i="73"/>
  <c r="P30" i="73"/>
  <c r="L30" i="73"/>
  <c r="N30" i="73" s="1"/>
  <c r="H30" i="73"/>
  <c r="D30" i="73"/>
  <c r="B30" i="73"/>
  <c r="T29" i="73"/>
  <c r="P29" i="73"/>
  <c r="L29" i="73"/>
  <c r="H29" i="73"/>
  <c r="D29" i="73"/>
  <c r="B29" i="73"/>
  <c r="T28" i="73"/>
  <c r="P28" i="73"/>
  <c r="X28" i="73" s="1"/>
  <c r="L28" i="73"/>
  <c r="N28" i="73" s="1"/>
  <c r="H28" i="73"/>
  <c r="D28" i="73"/>
  <c r="B28" i="73"/>
  <c r="Z27" i="73"/>
  <c r="T27" i="73"/>
  <c r="X27" i="73" s="1"/>
  <c r="P27" i="73"/>
  <c r="L27" i="73"/>
  <c r="N27" i="73" s="1"/>
  <c r="H27" i="73"/>
  <c r="D27" i="73"/>
  <c r="B27" i="73"/>
  <c r="T26" i="73"/>
  <c r="P26" i="73"/>
  <c r="X26" i="73" s="1"/>
  <c r="N26" i="73"/>
  <c r="L26" i="73"/>
  <c r="H26" i="73"/>
  <c r="D26" i="73"/>
  <c r="B26" i="73"/>
  <c r="T25" i="73"/>
  <c r="X25" i="73" s="1"/>
  <c r="P25" i="73"/>
  <c r="L25" i="73"/>
  <c r="H25" i="73"/>
  <c r="D25" i="73"/>
  <c r="B25" i="73"/>
  <c r="T24" i="73"/>
  <c r="P24" i="73"/>
  <c r="L24" i="73"/>
  <c r="N24" i="73" s="1"/>
  <c r="H24" i="73"/>
  <c r="D24" i="73"/>
  <c r="B24" i="73"/>
  <c r="T23" i="73"/>
  <c r="X23" i="73" s="1"/>
  <c r="P23" i="73"/>
  <c r="L23" i="73"/>
  <c r="H23" i="73"/>
  <c r="N23" i="73" s="1"/>
  <c r="D23" i="73"/>
  <c r="B23" i="73"/>
  <c r="T22" i="73"/>
  <c r="P22" i="73"/>
  <c r="L22" i="73"/>
  <c r="N22" i="73" s="1"/>
  <c r="H22" i="73"/>
  <c r="D22" i="73"/>
  <c r="B22" i="73"/>
  <c r="Z21" i="73"/>
  <c r="T21" i="73"/>
  <c r="X21" i="73" s="1"/>
  <c r="P21" i="73"/>
  <c r="H21" i="73"/>
  <c r="D21" i="73"/>
  <c r="B21" i="73"/>
  <c r="T20" i="73"/>
  <c r="P20" i="73"/>
  <c r="X20" i="73" s="1"/>
  <c r="N20" i="73"/>
  <c r="L20" i="73"/>
  <c r="H20" i="73"/>
  <c r="D20" i="73"/>
  <c r="B20" i="73"/>
  <c r="T19" i="73"/>
  <c r="P19" i="73"/>
  <c r="N19" i="73"/>
  <c r="H19" i="73"/>
  <c r="L19" i="73" s="1"/>
  <c r="D19" i="73"/>
  <c r="B19" i="73"/>
  <c r="T18" i="73"/>
  <c r="P18" i="73"/>
  <c r="H18" i="73"/>
  <c r="D18" i="73"/>
  <c r="L18" i="73" s="1"/>
  <c r="N18" i="73" s="1"/>
  <c r="B18" i="73"/>
  <c r="Z17" i="73"/>
  <c r="T17" i="73"/>
  <c r="X17" i="73" s="1"/>
  <c r="P17" i="73"/>
  <c r="H17" i="73"/>
  <c r="D17" i="73"/>
  <c r="B17" i="73"/>
  <c r="T16" i="73"/>
  <c r="P16" i="73"/>
  <c r="X16" i="73" s="1"/>
  <c r="L16" i="73"/>
  <c r="N16" i="73" s="1"/>
  <c r="H16" i="73"/>
  <c r="D16" i="73"/>
  <c r="B16" i="73"/>
  <c r="T15" i="73"/>
  <c r="X15" i="73" s="1"/>
  <c r="P15" i="73"/>
  <c r="L15" i="73"/>
  <c r="H15" i="73"/>
  <c r="N15" i="73" s="1"/>
  <c r="D15" i="73"/>
  <c r="B15" i="73"/>
  <c r="T14" i="73"/>
  <c r="P14" i="73"/>
  <c r="L14" i="73"/>
  <c r="N14" i="73" s="1"/>
  <c r="H14" i="73"/>
  <c r="D14" i="73"/>
  <c r="B14" i="73"/>
  <c r="Z13" i="73"/>
  <c r="T13" i="73"/>
  <c r="X13" i="73" s="1"/>
  <c r="P13" i="73"/>
  <c r="L13" i="73"/>
  <c r="H13" i="73"/>
  <c r="D13" i="73"/>
  <c r="B13" i="73"/>
  <c r="T12" i="73"/>
  <c r="D6" i="73"/>
  <c r="D4" i="73"/>
  <c r="X74" i="72"/>
  <c r="Z74" i="72" s="1"/>
  <c r="L74" i="72"/>
  <c r="N74" i="72" s="1"/>
  <c r="T70" i="72"/>
  <c r="Z70" i="72" s="1"/>
  <c r="P70" i="72"/>
  <c r="X70" i="72" s="1"/>
  <c r="H70" i="72"/>
  <c r="N70" i="72" s="1"/>
  <c r="D70" i="72"/>
  <c r="L70" i="72" s="1"/>
  <c r="X68" i="72"/>
  <c r="Z68" i="72" s="1"/>
  <c r="N68" i="72"/>
  <c r="L68" i="72"/>
  <c r="B68" i="72"/>
  <c r="Z67" i="72"/>
  <c r="T67" i="72"/>
  <c r="P67" i="72"/>
  <c r="X67" i="72" s="1"/>
  <c r="N67" i="72"/>
  <c r="H67" i="72"/>
  <c r="D67" i="72"/>
  <c r="L67" i="72" s="1"/>
  <c r="B67" i="72"/>
  <c r="Z66" i="72"/>
  <c r="X66" i="72"/>
  <c r="L66" i="72"/>
  <c r="N66" i="72" s="1"/>
  <c r="B66" i="72"/>
  <c r="T65" i="72"/>
  <c r="P65" i="72"/>
  <c r="N65" i="72"/>
  <c r="L65" i="72"/>
  <c r="H65" i="72"/>
  <c r="D65" i="72"/>
  <c r="B65" i="72"/>
  <c r="X64" i="72"/>
  <c r="Z64" i="72" s="1"/>
  <c r="L64" i="72"/>
  <c r="N64" i="72" s="1"/>
  <c r="B64" i="72"/>
  <c r="Z63" i="72"/>
  <c r="X63" i="72"/>
  <c r="L63" i="72"/>
  <c r="N63" i="72" s="1"/>
  <c r="B63" i="72"/>
  <c r="Z62" i="72"/>
  <c r="X62" i="72"/>
  <c r="L62" i="72"/>
  <c r="N62" i="72" s="1"/>
  <c r="B62" i="72"/>
  <c r="Z61" i="72"/>
  <c r="X61" i="72"/>
  <c r="N61" i="72"/>
  <c r="L61" i="72"/>
  <c r="B61" i="72"/>
  <c r="X60" i="72"/>
  <c r="Z60" i="72" s="1"/>
  <c r="N60" i="72"/>
  <c r="L60" i="72"/>
  <c r="B60" i="72"/>
  <c r="Z59" i="72"/>
  <c r="T59" i="72"/>
  <c r="P59" i="72"/>
  <c r="X59" i="72" s="1"/>
  <c r="H59" i="72"/>
  <c r="N59" i="72" s="1"/>
  <c r="D59" i="72"/>
  <c r="L59" i="72" s="1"/>
  <c r="B59" i="72"/>
  <c r="X58" i="72"/>
  <c r="Z58" i="72" s="1"/>
  <c r="L58" i="72"/>
  <c r="N58" i="72" s="1"/>
  <c r="B58" i="72"/>
  <c r="T57" i="72"/>
  <c r="P57" i="72"/>
  <c r="X57" i="72" s="1"/>
  <c r="Z57" i="72" s="1"/>
  <c r="N57" i="72"/>
  <c r="L57" i="72"/>
  <c r="H57" i="72"/>
  <c r="D57" i="72"/>
  <c r="B57" i="72"/>
  <c r="Z56" i="72"/>
  <c r="X56" i="72"/>
  <c r="N56" i="72"/>
  <c r="L56" i="72"/>
  <c r="B56" i="72"/>
  <c r="X55" i="72"/>
  <c r="Z55" i="72" s="1"/>
  <c r="N55" i="72"/>
  <c r="L55" i="72"/>
  <c r="B55" i="72"/>
  <c r="Z54" i="72"/>
  <c r="X54" i="72"/>
  <c r="N54" i="72"/>
  <c r="L54" i="72"/>
  <c r="B54" i="72"/>
  <c r="T53" i="72"/>
  <c r="P53" i="72"/>
  <c r="L53" i="72"/>
  <c r="H53" i="72"/>
  <c r="N53" i="72" s="1"/>
  <c r="D53" i="72"/>
  <c r="B53" i="72"/>
  <c r="X52" i="72"/>
  <c r="Z52" i="72" s="1"/>
  <c r="L52" i="72"/>
  <c r="N52" i="72" s="1"/>
  <c r="B52" i="72"/>
  <c r="T51" i="72"/>
  <c r="P51" i="72"/>
  <c r="X51" i="72" s="1"/>
  <c r="H51" i="72"/>
  <c r="D51" i="72"/>
  <c r="L51" i="72" s="1"/>
  <c r="B51" i="72"/>
  <c r="X50" i="72"/>
  <c r="Z50" i="72" s="1"/>
  <c r="N50" i="72"/>
  <c r="L50" i="72"/>
  <c r="B50" i="72"/>
  <c r="X49" i="72"/>
  <c r="Z49" i="72" s="1"/>
  <c r="T49" i="72"/>
  <c r="P49" i="72"/>
  <c r="N49" i="72"/>
  <c r="L49" i="72"/>
  <c r="H49" i="72"/>
  <c r="D49" i="72"/>
  <c r="B49" i="72"/>
  <c r="Z48" i="72"/>
  <c r="X48" i="72"/>
  <c r="L48" i="72"/>
  <c r="N48" i="72" s="1"/>
  <c r="B48" i="72"/>
  <c r="X47" i="72"/>
  <c r="T47" i="72"/>
  <c r="Z47" i="72" s="1"/>
  <c r="P47" i="72"/>
  <c r="H47" i="72"/>
  <c r="D47" i="72"/>
  <c r="B47" i="72"/>
  <c r="Z46" i="72"/>
  <c r="X46" i="72"/>
  <c r="L46" i="72"/>
  <c r="N46" i="72" s="1"/>
  <c r="B46" i="72"/>
  <c r="T45" i="72"/>
  <c r="Z45" i="72" s="1"/>
  <c r="P45" i="72"/>
  <c r="X45" i="72" s="1"/>
  <c r="H45" i="72"/>
  <c r="N45" i="72" s="1"/>
  <c r="D45" i="72"/>
  <c r="L45" i="72" s="1"/>
  <c r="B45" i="72"/>
  <c r="X44" i="72"/>
  <c r="Z44" i="72" s="1"/>
  <c r="N44" i="72"/>
  <c r="L44" i="72"/>
  <c r="B44" i="72"/>
  <c r="X43" i="72"/>
  <c r="Z43" i="72" s="1"/>
  <c r="T43" i="72"/>
  <c r="P43" i="72"/>
  <c r="L43" i="72"/>
  <c r="N43" i="72" s="1"/>
  <c r="H43" i="72"/>
  <c r="D43" i="72"/>
  <c r="B43" i="72"/>
  <c r="Z42" i="72"/>
  <c r="X42" i="72"/>
  <c r="N42" i="72"/>
  <c r="L42" i="72"/>
  <c r="B42" i="72"/>
  <c r="V41" i="72"/>
  <c r="T41" i="72"/>
  <c r="P41" i="72"/>
  <c r="L41" i="72"/>
  <c r="H41" i="72"/>
  <c r="N41" i="72" s="1"/>
  <c r="D41" i="72"/>
  <c r="B41" i="72"/>
  <c r="X40" i="72"/>
  <c r="Z40" i="72" s="1"/>
  <c r="V40" i="72"/>
  <c r="L40" i="72"/>
  <c r="N40" i="72" s="1"/>
  <c r="B40" i="72"/>
  <c r="Z39" i="72"/>
  <c r="X39" i="72"/>
  <c r="N39" i="72"/>
  <c r="L39" i="72"/>
  <c r="B39" i="72"/>
  <c r="Z38" i="72"/>
  <c r="X38" i="72"/>
  <c r="L38" i="72"/>
  <c r="N38" i="72" s="1"/>
  <c r="B38" i="72"/>
  <c r="Z37" i="72"/>
  <c r="X37" i="72"/>
  <c r="L37" i="72"/>
  <c r="N37" i="72" s="1"/>
  <c r="B37" i="72"/>
  <c r="X36" i="72"/>
  <c r="Z36" i="72" s="1"/>
  <c r="L36" i="72"/>
  <c r="N36" i="72" s="1"/>
  <c r="B36" i="72"/>
  <c r="T35" i="72"/>
  <c r="P35" i="72"/>
  <c r="X35" i="72" s="1"/>
  <c r="H35" i="72"/>
  <c r="N35" i="72" s="1"/>
  <c r="D35" i="72"/>
  <c r="L35" i="72" s="1"/>
  <c r="B35" i="72"/>
  <c r="X34" i="72"/>
  <c r="Z34" i="72" s="1"/>
  <c r="N34" i="72"/>
  <c r="L34" i="72"/>
  <c r="B34" i="72"/>
  <c r="X33" i="72"/>
  <c r="Z33" i="72" s="1"/>
  <c r="N33" i="72"/>
  <c r="L33" i="72"/>
  <c r="F33" i="72"/>
  <c r="B33" i="72"/>
  <c r="X32" i="72"/>
  <c r="Z32" i="72" s="1"/>
  <c r="N32" i="72"/>
  <c r="L32" i="72"/>
  <c r="B32" i="72"/>
  <c r="X31" i="72"/>
  <c r="Z31" i="72" s="1"/>
  <c r="L31" i="72"/>
  <c r="N31" i="72" s="1"/>
  <c r="B31" i="72"/>
  <c r="X30" i="72"/>
  <c r="Z30" i="72" s="1"/>
  <c r="N30" i="72"/>
  <c r="L30" i="72"/>
  <c r="B30" i="72"/>
  <c r="X29" i="72"/>
  <c r="Z29" i="72" s="1"/>
  <c r="L29" i="72"/>
  <c r="N29" i="72" s="1"/>
  <c r="B29" i="72"/>
  <c r="X28" i="72"/>
  <c r="Z28" i="72" s="1"/>
  <c r="N28" i="72"/>
  <c r="L28" i="72"/>
  <c r="B28" i="72"/>
  <c r="X27" i="72"/>
  <c r="Z27" i="72" s="1"/>
  <c r="L27" i="72"/>
  <c r="N27" i="72" s="1"/>
  <c r="B27" i="72"/>
  <c r="T26" i="72"/>
  <c r="P26" i="72"/>
  <c r="H26" i="72"/>
  <c r="N26" i="72" s="1"/>
  <c r="D26" i="72"/>
  <c r="L26" i="72" s="1"/>
  <c r="B26" i="72"/>
  <c r="T25" i="72"/>
  <c r="P25" i="72"/>
  <c r="H25" i="72"/>
  <c r="D25" i="72"/>
  <c r="T23" i="72"/>
  <c r="X21" i="72"/>
  <c r="Z21" i="72" s="1"/>
  <c r="N21" i="72"/>
  <c r="L21" i="72"/>
  <c r="B21" i="72"/>
  <c r="Z20" i="72"/>
  <c r="X20" i="72"/>
  <c r="L20" i="72"/>
  <c r="N20" i="72" s="1"/>
  <c r="B20" i="72"/>
  <c r="T19" i="72"/>
  <c r="P19" i="72"/>
  <c r="H19" i="72"/>
  <c r="D19" i="72"/>
  <c r="T17" i="72"/>
  <c r="P17" i="72"/>
  <c r="X17" i="72" s="1"/>
  <c r="H17" i="72"/>
  <c r="D17" i="72"/>
  <c r="L17" i="72" s="1"/>
  <c r="B17" i="72"/>
  <c r="Z16" i="72"/>
  <c r="X16" i="72"/>
  <c r="T16" i="72"/>
  <c r="P16" i="72"/>
  <c r="H16" i="72"/>
  <c r="N16" i="72" s="1"/>
  <c r="D16" i="72"/>
  <c r="L16" i="72" s="1"/>
  <c r="B16" i="72"/>
  <c r="T15" i="72"/>
  <c r="P15" i="72"/>
  <c r="X15" i="72" s="1"/>
  <c r="H15" i="72"/>
  <c r="D15" i="72"/>
  <c r="L15" i="72" s="1"/>
  <c r="N15" i="72" s="1"/>
  <c r="B15" i="72"/>
  <c r="T14" i="72"/>
  <c r="P14" i="72"/>
  <c r="X14" i="72" s="1"/>
  <c r="Z14" i="72" s="1"/>
  <c r="L14" i="72"/>
  <c r="H14" i="72"/>
  <c r="D14" i="72"/>
  <c r="B14" i="72"/>
  <c r="T13" i="72"/>
  <c r="T12" i="72" s="1"/>
  <c r="P13" i="72"/>
  <c r="H13" i="72"/>
  <c r="D13" i="72"/>
  <c r="D12" i="72" s="1"/>
  <c r="B13" i="72"/>
  <c r="D6" i="72"/>
  <c r="D4" i="72"/>
  <c r="Z116" i="70"/>
  <c r="X116" i="70"/>
  <c r="L116" i="70"/>
  <c r="N116" i="70" s="1"/>
  <c r="Z112" i="70"/>
  <c r="X112" i="70"/>
  <c r="T112" i="70"/>
  <c r="P112" i="70"/>
  <c r="H112" i="70"/>
  <c r="D112" i="70"/>
  <c r="L112" i="70" s="1"/>
  <c r="N112" i="70" s="1"/>
  <c r="B112" i="70"/>
  <c r="T111" i="70"/>
  <c r="P111" i="70"/>
  <c r="X111" i="70" s="1"/>
  <c r="H111" i="70"/>
  <c r="N111" i="70" s="1"/>
  <c r="D111" i="70"/>
  <c r="L111" i="70" s="1"/>
  <c r="B111" i="70"/>
  <c r="T110" i="70"/>
  <c r="Z110" i="70" s="1"/>
  <c r="P110" i="70"/>
  <c r="X110" i="70" s="1"/>
  <c r="H110" i="70"/>
  <c r="H109" i="70" s="1"/>
  <c r="D110" i="70"/>
  <c r="B110" i="70"/>
  <c r="T109" i="70"/>
  <c r="X107" i="70"/>
  <c r="Z107" i="70" s="1"/>
  <c r="N107" i="70"/>
  <c r="L107" i="70"/>
  <c r="B107" i="70"/>
  <c r="Z106" i="70"/>
  <c r="X106" i="70"/>
  <c r="T106" i="70"/>
  <c r="P106" i="70"/>
  <c r="H106" i="70"/>
  <c r="D106" i="70"/>
  <c r="L106" i="70" s="1"/>
  <c r="N106" i="70" s="1"/>
  <c r="B106" i="70"/>
  <c r="Z105" i="70"/>
  <c r="X105" i="70"/>
  <c r="N105" i="70"/>
  <c r="L105" i="70"/>
  <c r="B105" i="70"/>
  <c r="X104" i="70"/>
  <c r="T104" i="70"/>
  <c r="Z104" i="70" s="1"/>
  <c r="P104" i="70"/>
  <c r="N104" i="70"/>
  <c r="H104" i="70"/>
  <c r="D104" i="70"/>
  <c r="L104" i="70" s="1"/>
  <c r="B104" i="70"/>
  <c r="X103" i="70"/>
  <c r="Z103" i="70" s="1"/>
  <c r="L103" i="70"/>
  <c r="N103" i="70" s="1"/>
  <c r="B103" i="70"/>
  <c r="X102" i="70"/>
  <c r="Z102" i="70" s="1"/>
  <c r="N102" i="70"/>
  <c r="L102" i="70"/>
  <c r="B102" i="70"/>
  <c r="X101" i="70"/>
  <c r="Z101" i="70" s="1"/>
  <c r="T101" i="70"/>
  <c r="P101" i="70"/>
  <c r="L101" i="70"/>
  <c r="N101" i="70" s="1"/>
  <c r="H101" i="70"/>
  <c r="D101" i="70"/>
  <c r="B101" i="70"/>
  <c r="Z100" i="70"/>
  <c r="X100" i="70"/>
  <c r="L100" i="70"/>
  <c r="N100" i="70" s="1"/>
  <c r="B100" i="70"/>
  <c r="X99" i="70"/>
  <c r="Z99" i="70" s="1"/>
  <c r="N99" i="70"/>
  <c r="L99" i="70"/>
  <c r="B99" i="70"/>
  <c r="Z98" i="70"/>
  <c r="X98" i="70"/>
  <c r="N98" i="70"/>
  <c r="L98" i="70"/>
  <c r="B98" i="70"/>
  <c r="T97" i="70"/>
  <c r="P97" i="70"/>
  <c r="H97" i="70"/>
  <c r="D97" i="70"/>
  <c r="B97" i="70"/>
  <c r="X96" i="70"/>
  <c r="Z96" i="70" s="1"/>
  <c r="L96" i="70"/>
  <c r="N96" i="70" s="1"/>
  <c r="B96" i="70"/>
  <c r="T95" i="70"/>
  <c r="Z95" i="70" s="1"/>
  <c r="P95" i="70"/>
  <c r="X95" i="70" s="1"/>
  <c r="H95" i="70"/>
  <c r="N95" i="70" s="1"/>
  <c r="D95" i="70"/>
  <c r="L95" i="70" s="1"/>
  <c r="B95" i="70"/>
  <c r="Z94" i="70"/>
  <c r="X94" i="70"/>
  <c r="N94" i="70"/>
  <c r="L94" i="70"/>
  <c r="B94" i="70"/>
  <c r="X93" i="70"/>
  <c r="Z93" i="70" s="1"/>
  <c r="N93" i="70"/>
  <c r="L93" i="70"/>
  <c r="B93" i="70"/>
  <c r="T92" i="70"/>
  <c r="P92" i="70"/>
  <c r="X92" i="70" s="1"/>
  <c r="H92" i="70"/>
  <c r="F92" i="70"/>
  <c r="D92" i="70"/>
  <c r="B92" i="70"/>
  <c r="X91" i="70"/>
  <c r="Z91" i="70" s="1"/>
  <c r="N91" i="70"/>
  <c r="L91" i="70"/>
  <c r="B91" i="70"/>
  <c r="Z90" i="70"/>
  <c r="X90" i="70"/>
  <c r="T90" i="70"/>
  <c r="P90" i="70"/>
  <c r="H90" i="70"/>
  <c r="D90" i="70"/>
  <c r="L90" i="70" s="1"/>
  <c r="N90" i="70" s="1"/>
  <c r="B90" i="70"/>
  <c r="Z89" i="70"/>
  <c r="X89" i="70"/>
  <c r="N89" i="70"/>
  <c r="L89" i="70"/>
  <c r="B89" i="70"/>
  <c r="X88" i="70"/>
  <c r="T88" i="70"/>
  <c r="Z88" i="70" s="1"/>
  <c r="P88" i="70"/>
  <c r="N88" i="70"/>
  <c r="H88" i="70"/>
  <c r="D88" i="70"/>
  <c r="L88" i="70" s="1"/>
  <c r="B88" i="70"/>
  <c r="Z87" i="70"/>
  <c r="X87" i="70"/>
  <c r="N87" i="70"/>
  <c r="L87" i="70"/>
  <c r="B87" i="70"/>
  <c r="X86" i="70"/>
  <c r="Z86" i="70" s="1"/>
  <c r="N86" i="70"/>
  <c r="L86" i="70"/>
  <c r="B86" i="70"/>
  <c r="X85" i="70"/>
  <c r="Z85" i="70" s="1"/>
  <c r="T85" i="70"/>
  <c r="P85" i="70"/>
  <c r="N85" i="70"/>
  <c r="L85" i="70"/>
  <c r="H85" i="70"/>
  <c r="D85" i="70"/>
  <c r="B85" i="70"/>
  <c r="Z84" i="70"/>
  <c r="X84" i="70"/>
  <c r="L84" i="70"/>
  <c r="N84" i="70" s="1"/>
  <c r="B84" i="70"/>
  <c r="T83" i="70"/>
  <c r="P83" i="70"/>
  <c r="H83" i="70"/>
  <c r="D83" i="70"/>
  <c r="B83" i="70"/>
  <c r="Z82" i="70"/>
  <c r="X82" i="70"/>
  <c r="N82" i="70"/>
  <c r="L82" i="70"/>
  <c r="F82" i="70"/>
  <c r="B82" i="70"/>
  <c r="T81" i="70"/>
  <c r="Z81" i="70" s="1"/>
  <c r="P81" i="70"/>
  <c r="X81" i="70" s="1"/>
  <c r="H81" i="70"/>
  <c r="N81" i="70" s="1"/>
  <c r="D81" i="70"/>
  <c r="L81" i="70" s="1"/>
  <c r="B81" i="70"/>
  <c r="X80" i="70"/>
  <c r="Z80" i="70" s="1"/>
  <c r="N80" i="70"/>
  <c r="L80" i="70"/>
  <c r="B80" i="70"/>
  <c r="Z79" i="70"/>
  <c r="X79" i="70"/>
  <c r="L79" i="70"/>
  <c r="N79" i="70" s="1"/>
  <c r="B79" i="70"/>
  <c r="T78" i="70"/>
  <c r="P78" i="70"/>
  <c r="H78" i="70"/>
  <c r="D78" i="70"/>
  <c r="L78" i="70" s="1"/>
  <c r="B78" i="70"/>
  <c r="Z77" i="70"/>
  <c r="X77" i="70"/>
  <c r="N77" i="70"/>
  <c r="L77" i="70"/>
  <c r="B77" i="70"/>
  <c r="T76" i="70"/>
  <c r="P76" i="70"/>
  <c r="X76" i="70" s="1"/>
  <c r="Z76" i="70" s="1"/>
  <c r="N76" i="70"/>
  <c r="L76" i="70"/>
  <c r="H76" i="70"/>
  <c r="D76" i="70"/>
  <c r="B76" i="70"/>
  <c r="Z75" i="70"/>
  <c r="X75" i="70"/>
  <c r="L75" i="70"/>
  <c r="N75" i="70" s="1"/>
  <c r="B75" i="70"/>
  <c r="Z74" i="70"/>
  <c r="X74" i="70"/>
  <c r="N74" i="70"/>
  <c r="L74" i="70"/>
  <c r="B74" i="70"/>
  <c r="Z73" i="70"/>
  <c r="X73" i="70"/>
  <c r="L73" i="70"/>
  <c r="N73" i="70" s="1"/>
  <c r="B73" i="70"/>
  <c r="X72" i="70"/>
  <c r="Z72" i="70" s="1"/>
  <c r="L72" i="70"/>
  <c r="N72" i="70" s="1"/>
  <c r="B72" i="70"/>
  <c r="Z71" i="70"/>
  <c r="X71" i="70"/>
  <c r="L71" i="70"/>
  <c r="N71" i="70" s="1"/>
  <c r="B71" i="70"/>
  <c r="Z70" i="70"/>
  <c r="X70" i="70"/>
  <c r="N70" i="70"/>
  <c r="L70" i="70"/>
  <c r="B70" i="70"/>
  <c r="T69" i="70"/>
  <c r="Z69" i="70" s="1"/>
  <c r="P69" i="70"/>
  <c r="X69" i="70" s="1"/>
  <c r="H69" i="70"/>
  <c r="D69" i="70"/>
  <c r="L69" i="70" s="1"/>
  <c r="B69" i="70"/>
  <c r="X68" i="70"/>
  <c r="Z68" i="70" s="1"/>
  <c r="N68" i="70"/>
  <c r="L68" i="70"/>
  <c r="B68" i="70"/>
  <c r="Z67" i="70"/>
  <c r="X67" i="70"/>
  <c r="L67" i="70"/>
  <c r="N67" i="70" s="1"/>
  <c r="B67" i="70"/>
  <c r="X66" i="70"/>
  <c r="Z66" i="70" s="1"/>
  <c r="N66" i="70"/>
  <c r="L66" i="70"/>
  <c r="B66" i="70"/>
  <c r="X65" i="70"/>
  <c r="Z65" i="70" s="1"/>
  <c r="N65" i="70"/>
  <c r="L65" i="70"/>
  <c r="B65" i="70"/>
  <c r="X64" i="70"/>
  <c r="Z64" i="70" s="1"/>
  <c r="N64" i="70"/>
  <c r="L64" i="70"/>
  <c r="B64" i="70"/>
  <c r="X63" i="70"/>
  <c r="Z63" i="70" s="1"/>
  <c r="L63" i="70"/>
  <c r="N63" i="70" s="1"/>
  <c r="B63" i="70"/>
  <c r="X62" i="70"/>
  <c r="Z62" i="70" s="1"/>
  <c r="N62" i="70"/>
  <c r="L62" i="70"/>
  <c r="B62" i="70"/>
  <c r="X61" i="70"/>
  <c r="Z61" i="70" s="1"/>
  <c r="N61" i="70"/>
  <c r="L61" i="70"/>
  <c r="F61" i="70"/>
  <c r="B61" i="70"/>
  <c r="X60" i="70"/>
  <c r="Z60" i="70" s="1"/>
  <c r="N60" i="70"/>
  <c r="L60" i="70"/>
  <c r="B60" i="70"/>
  <c r="Z59" i="70"/>
  <c r="X59" i="70"/>
  <c r="T59" i="70"/>
  <c r="P59" i="70"/>
  <c r="L59" i="70"/>
  <c r="N59" i="70" s="1"/>
  <c r="H59" i="70"/>
  <c r="D59" i="70"/>
  <c r="B59" i="70"/>
  <c r="T58" i="70"/>
  <c r="P58" i="70"/>
  <c r="X58" i="70" s="1"/>
  <c r="Z58" i="70" s="1"/>
  <c r="H58" i="70"/>
  <c r="D58" i="70"/>
  <c r="L58" i="70" s="1"/>
  <c r="Z54" i="70"/>
  <c r="X54" i="70"/>
  <c r="N54" i="70"/>
  <c r="L54" i="70"/>
  <c r="B54" i="70"/>
  <c r="Z53" i="70"/>
  <c r="X53" i="70"/>
  <c r="N53" i="70"/>
  <c r="L53" i="70"/>
  <c r="B53" i="70"/>
  <c r="Z52" i="70"/>
  <c r="X52" i="70"/>
  <c r="L52" i="70"/>
  <c r="N52" i="70" s="1"/>
  <c r="B52" i="70"/>
  <c r="X51" i="70"/>
  <c r="Z51" i="70" s="1"/>
  <c r="N51" i="70"/>
  <c r="L51" i="70"/>
  <c r="B51" i="70"/>
  <c r="Z50" i="70"/>
  <c r="X50" i="70"/>
  <c r="N50" i="70"/>
  <c r="L50" i="70"/>
  <c r="B50" i="70"/>
  <c r="Z49" i="70"/>
  <c r="X49" i="70"/>
  <c r="N49" i="70"/>
  <c r="L49" i="70"/>
  <c r="B49" i="70"/>
  <c r="Z48" i="70"/>
  <c r="X48" i="70"/>
  <c r="L48" i="70"/>
  <c r="N48" i="70" s="1"/>
  <c r="B48" i="70"/>
  <c r="X47" i="70"/>
  <c r="Z47" i="70" s="1"/>
  <c r="N47" i="70"/>
  <c r="L47" i="70"/>
  <c r="B47" i="70"/>
  <c r="Z46" i="70"/>
  <c r="X46" i="70"/>
  <c r="N46" i="70"/>
  <c r="L46" i="70"/>
  <c r="B46" i="70"/>
  <c r="Z45" i="70"/>
  <c r="X45" i="70"/>
  <c r="R45" i="70"/>
  <c r="N45" i="70"/>
  <c r="L45" i="70"/>
  <c r="B45" i="70"/>
  <c r="Z44" i="70"/>
  <c r="X44" i="70"/>
  <c r="N44" i="70"/>
  <c r="L44" i="70"/>
  <c r="B44" i="70"/>
  <c r="X43" i="70"/>
  <c r="Z43" i="70" s="1"/>
  <c r="N43" i="70"/>
  <c r="L43" i="70"/>
  <c r="B43" i="70"/>
  <c r="Z42" i="70"/>
  <c r="X42" i="70"/>
  <c r="L42" i="70"/>
  <c r="N42" i="70" s="1"/>
  <c r="B42" i="70"/>
  <c r="T41" i="70"/>
  <c r="P41" i="70"/>
  <c r="H41" i="70"/>
  <c r="D41" i="70"/>
  <c r="T39" i="70"/>
  <c r="P39" i="70"/>
  <c r="X39" i="70" s="1"/>
  <c r="H39" i="70"/>
  <c r="D39" i="70"/>
  <c r="L39" i="70" s="1"/>
  <c r="N39" i="70" s="1"/>
  <c r="B39" i="70"/>
  <c r="T38" i="70"/>
  <c r="P38" i="70"/>
  <c r="X38" i="70" s="1"/>
  <c r="Z38" i="70" s="1"/>
  <c r="H38" i="70"/>
  <c r="D38" i="70"/>
  <c r="B38" i="70"/>
  <c r="T37" i="70"/>
  <c r="P37" i="70"/>
  <c r="X37" i="70" s="1"/>
  <c r="H37" i="70"/>
  <c r="N37" i="70" s="1"/>
  <c r="D37" i="70"/>
  <c r="L37" i="70" s="1"/>
  <c r="B37" i="70"/>
  <c r="Z36" i="70"/>
  <c r="X36" i="70"/>
  <c r="T36" i="70"/>
  <c r="P36" i="70"/>
  <c r="L36" i="70"/>
  <c r="H36" i="70"/>
  <c r="N36" i="70" s="1"/>
  <c r="D36" i="70"/>
  <c r="B36" i="70"/>
  <c r="T35" i="70"/>
  <c r="P35" i="70"/>
  <c r="X35" i="70" s="1"/>
  <c r="H35" i="70"/>
  <c r="D35" i="70"/>
  <c r="L35" i="70" s="1"/>
  <c r="N35" i="70" s="1"/>
  <c r="B35" i="70"/>
  <c r="T34" i="70"/>
  <c r="P34" i="70"/>
  <c r="X34" i="70" s="1"/>
  <c r="Z34" i="70" s="1"/>
  <c r="H34" i="70"/>
  <c r="N34" i="70" s="1"/>
  <c r="D34" i="70"/>
  <c r="B34" i="70"/>
  <c r="T33" i="70"/>
  <c r="P33" i="70"/>
  <c r="X33" i="70" s="1"/>
  <c r="H33" i="70"/>
  <c r="D33" i="70"/>
  <c r="L33" i="70" s="1"/>
  <c r="B33" i="70"/>
  <c r="Z32" i="70"/>
  <c r="X32" i="70"/>
  <c r="T32" i="70"/>
  <c r="P32" i="70"/>
  <c r="L32" i="70"/>
  <c r="H32" i="70"/>
  <c r="N32" i="70" s="1"/>
  <c r="D32" i="70"/>
  <c r="B32" i="70"/>
  <c r="T31" i="70"/>
  <c r="P31" i="70"/>
  <c r="X31" i="70" s="1"/>
  <c r="N31" i="70"/>
  <c r="H31" i="70"/>
  <c r="D31" i="70"/>
  <c r="L31" i="70" s="1"/>
  <c r="B31" i="70"/>
  <c r="T30" i="70"/>
  <c r="P30" i="70"/>
  <c r="X30" i="70" s="1"/>
  <c r="Z30" i="70" s="1"/>
  <c r="L30" i="70"/>
  <c r="H30" i="70"/>
  <c r="D30" i="70"/>
  <c r="B30" i="70"/>
  <c r="T29" i="70"/>
  <c r="P29" i="70"/>
  <c r="X29" i="70" s="1"/>
  <c r="H29" i="70"/>
  <c r="N29" i="70" s="1"/>
  <c r="D29" i="70"/>
  <c r="L29" i="70" s="1"/>
  <c r="B29" i="70"/>
  <c r="Z28" i="70"/>
  <c r="X28" i="70"/>
  <c r="T28" i="70"/>
  <c r="P28" i="70"/>
  <c r="L28" i="70"/>
  <c r="H28" i="70"/>
  <c r="N28" i="70" s="1"/>
  <c r="D28" i="70"/>
  <c r="B28" i="70"/>
  <c r="T27" i="70"/>
  <c r="P27" i="70"/>
  <c r="X27" i="70" s="1"/>
  <c r="N27" i="70"/>
  <c r="H27" i="70"/>
  <c r="D27" i="70"/>
  <c r="L27" i="70" s="1"/>
  <c r="B27" i="70"/>
  <c r="T26" i="70"/>
  <c r="P26" i="70"/>
  <c r="X26" i="70" s="1"/>
  <c r="Z26" i="70" s="1"/>
  <c r="H26" i="70"/>
  <c r="D26" i="70"/>
  <c r="B26" i="70"/>
  <c r="T25" i="70"/>
  <c r="P25" i="70"/>
  <c r="X25" i="70" s="1"/>
  <c r="H25" i="70"/>
  <c r="N25" i="70" s="1"/>
  <c r="D25" i="70"/>
  <c r="L25" i="70" s="1"/>
  <c r="B25" i="70"/>
  <c r="Z24" i="70"/>
  <c r="X24" i="70"/>
  <c r="T24" i="70"/>
  <c r="P24" i="70"/>
  <c r="L24" i="70"/>
  <c r="H24" i="70"/>
  <c r="N24" i="70" s="1"/>
  <c r="D24" i="70"/>
  <c r="B24" i="70"/>
  <c r="T23" i="70"/>
  <c r="P23" i="70"/>
  <c r="H23" i="70"/>
  <c r="D23" i="70"/>
  <c r="L23" i="70" s="1"/>
  <c r="N23" i="70" s="1"/>
  <c r="B23" i="70"/>
  <c r="T22" i="70"/>
  <c r="P22" i="70"/>
  <c r="X22" i="70" s="1"/>
  <c r="Z22" i="70" s="1"/>
  <c r="H22" i="70"/>
  <c r="D22" i="70"/>
  <c r="B22" i="70"/>
  <c r="T21" i="70"/>
  <c r="P21" i="70"/>
  <c r="X21" i="70" s="1"/>
  <c r="H21" i="70"/>
  <c r="N21" i="70" s="1"/>
  <c r="D21" i="70"/>
  <c r="L21" i="70" s="1"/>
  <c r="B21" i="70"/>
  <c r="Z20" i="70"/>
  <c r="X20" i="70"/>
  <c r="T20" i="70"/>
  <c r="P20" i="70"/>
  <c r="L20" i="70"/>
  <c r="H20" i="70"/>
  <c r="N20" i="70" s="1"/>
  <c r="D20" i="70"/>
  <c r="B20" i="70"/>
  <c r="T19" i="70"/>
  <c r="P19" i="70"/>
  <c r="H19" i="70"/>
  <c r="D19" i="70"/>
  <c r="L19" i="70" s="1"/>
  <c r="N19" i="70" s="1"/>
  <c r="B19" i="70"/>
  <c r="T18" i="70"/>
  <c r="P18" i="70"/>
  <c r="X18" i="70" s="1"/>
  <c r="Z18" i="70" s="1"/>
  <c r="H18" i="70"/>
  <c r="N18" i="70" s="1"/>
  <c r="D18" i="70"/>
  <c r="B18" i="70"/>
  <c r="T17" i="70"/>
  <c r="Z17" i="70" s="1"/>
  <c r="P17" i="70"/>
  <c r="X17" i="70" s="1"/>
  <c r="H17" i="70"/>
  <c r="N17" i="70" s="1"/>
  <c r="D17" i="70"/>
  <c r="L17" i="70" s="1"/>
  <c r="B17" i="70"/>
  <c r="Z16" i="70"/>
  <c r="X16" i="70"/>
  <c r="T16" i="70"/>
  <c r="P16" i="70"/>
  <c r="L16" i="70"/>
  <c r="H16" i="70"/>
  <c r="N16" i="70" s="1"/>
  <c r="D16" i="70"/>
  <c r="B16" i="70"/>
  <c r="T15" i="70"/>
  <c r="P15" i="70"/>
  <c r="H15" i="70"/>
  <c r="D15" i="70"/>
  <c r="L15" i="70" s="1"/>
  <c r="N15" i="70" s="1"/>
  <c r="B15" i="70"/>
  <c r="T14" i="70"/>
  <c r="P14" i="70"/>
  <c r="X14" i="70" s="1"/>
  <c r="Z14" i="70" s="1"/>
  <c r="H14" i="70"/>
  <c r="D14" i="70"/>
  <c r="B14" i="70"/>
  <c r="T13" i="70"/>
  <c r="P13" i="70"/>
  <c r="P12" i="70" s="1"/>
  <c r="H13" i="70"/>
  <c r="N13" i="70" s="1"/>
  <c r="D13" i="70"/>
  <c r="D12" i="70" s="1"/>
  <c r="F110" i="70" s="1"/>
  <c r="B13" i="70"/>
  <c r="D6" i="70"/>
  <c r="D4" i="70"/>
  <c r="X65" i="69"/>
  <c r="Z65" i="69" s="1"/>
  <c r="L65" i="69"/>
  <c r="N65" i="69" s="1"/>
  <c r="T61" i="69"/>
  <c r="Z61" i="69" s="1"/>
  <c r="P61" i="69"/>
  <c r="X61" i="69" s="1"/>
  <c r="N61" i="69"/>
  <c r="H61" i="69"/>
  <c r="D61" i="69"/>
  <c r="L61" i="69" s="1"/>
  <c r="Z59" i="69"/>
  <c r="X59" i="69"/>
  <c r="L59" i="69"/>
  <c r="N59" i="69" s="1"/>
  <c r="J59" i="69"/>
  <c r="B59" i="69"/>
  <c r="T58" i="69"/>
  <c r="P58" i="69"/>
  <c r="H58" i="69"/>
  <c r="D58" i="69"/>
  <c r="B58" i="69"/>
  <c r="X57" i="69"/>
  <c r="Z57" i="69" s="1"/>
  <c r="L57" i="69"/>
  <c r="N57" i="69" s="1"/>
  <c r="B57" i="69"/>
  <c r="Z56" i="69"/>
  <c r="X56" i="69"/>
  <c r="N56" i="69"/>
  <c r="L56" i="69"/>
  <c r="B56" i="69"/>
  <c r="X55" i="69"/>
  <c r="Z55" i="69" s="1"/>
  <c r="L55" i="69"/>
  <c r="N55" i="69" s="1"/>
  <c r="B55" i="69"/>
  <c r="T54" i="69"/>
  <c r="P54" i="69"/>
  <c r="X54" i="69" s="1"/>
  <c r="H54" i="69"/>
  <c r="N54" i="69" s="1"/>
  <c r="D54" i="69"/>
  <c r="L54" i="69" s="1"/>
  <c r="B54" i="69"/>
  <c r="X53" i="69"/>
  <c r="Z53" i="69" s="1"/>
  <c r="N53" i="69"/>
  <c r="L53" i="69"/>
  <c r="B53" i="69"/>
  <c r="Z52" i="69"/>
  <c r="X52" i="69"/>
  <c r="N52" i="69"/>
  <c r="L52" i="69"/>
  <c r="J52" i="69"/>
  <c r="B52" i="69"/>
  <c r="T51" i="69"/>
  <c r="Z51" i="69" s="1"/>
  <c r="P51" i="69"/>
  <c r="X51" i="69" s="1"/>
  <c r="H51" i="69"/>
  <c r="F51" i="69"/>
  <c r="D51" i="69"/>
  <c r="B51" i="69"/>
  <c r="X50" i="69"/>
  <c r="Z50" i="69" s="1"/>
  <c r="N50" i="69"/>
  <c r="L50" i="69"/>
  <c r="B50" i="69"/>
  <c r="Z49" i="69"/>
  <c r="X49" i="69"/>
  <c r="L49" i="69"/>
  <c r="N49" i="69" s="1"/>
  <c r="B49" i="69"/>
  <c r="T48" i="69"/>
  <c r="P48" i="69"/>
  <c r="H48" i="69"/>
  <c r="D48" i="69"/>
  <c r="B48" i="69"/>
  <c r="X47" i="69"/>
  <c r="Z47" i="69" s="1"/>
  <c r="L47" i="69"/>
  <c r="N47" i="69" s="1"/>
  <c r="B47" i="69"/>
  <c r="T46" i="69"/>
  <c r="Z46" i="69" s="1"/>
  <c r="P46" i="69"/>
  <c r="X46" i="69" s="1"/>
  <c r="H46" i="69"/>
  <c r="N46" i="69" s="1"/>
  <c r="D46" i="69"/>
  <c r="L46" i="69" s="1"/>
  <c r="B46" i="69"/>
  <c r="X45" i="69"/>
  <c r="Z45" i="69" s="1"/>
  <c r="N45" i="69"/>
  <c r="L45" i="69"/>
  <c r="B45" i="69"/>
  <c r="Z44" i="69"/>
  <c r="X44" i="69"/>
  <c r="T44" i="69"/>
  <c r="P44" i="69"/>
  <c r="N44" i="69"/>
  <c r="L44" i="69"/>
  <c r="H44" i="69"/>
  <c r="D44" i="69"/>
  <c r="B44" i="69"/>
  <c r="Z43" i="69"/>
  <c r="X43" i="69"/>
  <c r="L43" i="69"/>
  <c r="N43" i="69" s="1"/>
  <c r="B43" i="69"/>
  <c r="T42" i="69"/>
  <c r="P42" i="69"/>
  <c r="J42" i="69"/>
  <c r="H42" i="69"/>
  <c r="D42" i="69"/>
  <c r="B42" i="69"/>
  <c r="X41" i="69"/>
  <c r="Z41" i="69" s="1"/>
  <c r="L41" i="69"/>
  <c r="N41" i="69" s="1"/>
  <c r="F41" i="69"/>
  <c r="B41" i="69"/>
  <c r="T40" i="69"/>
  <c r="P40" i="69"/>
  <c r="X40" i="69" s="1"/>
  <c r="H40" i="69"/>
  <c r="D40" i="69"/>
  <c r="L40" i="69" s="1"/>
  <c r="B40" i="69"/>
  <c r="X39" i="69"/>
  <c r="Z39" i="69" s="1"/>
  <c r="N39" i="69"/>
  <c r="L39" i="69"/>
  <c r="B39" i="69"/>
  <c r="Z38" i="69"/>
  <c r="X38" i="69"/>
  <c r="T38" i="69"/>
  <c r="P38" i="69"/>
  <c r="N38" i="69"/>
  <c r="L38" i="69"/>
  <c r="H38" i="69"/>
  <c r="D38" i="69"/>
  <c r="B38" i="69"/>
  <c r="Z37" i="69"/>
  <c r="X37" i="69"/>
  <c r="L37" i="69"/>
  <c r="N37" i="69" s="1"/>
  <c r="B37" i="69"/>
  <c r="Z36" i="69"/>
  <c r="X36" i="69"/>
  <c r="N36" i="69"/>
  <c r="L36" i="69"/>
  <c r="B36" i="69"/>
  <c r="Z35" i="69"/>
  <c r="X35" i="69"/>
  <c r="N35" i="69"/>
  <c r="L35" i="69"/>
  <c r="J35" i="69"/>
  <c r="B35" i="69"/>
  <c r="X34" i="69"/>
  <c r="Z34" i="69" s="1"/>
  <c r="N34" i="69"/>
  <c r="L34" i="69"/>
  <c r="B34" i="69"/>
  <c r="Z33" i="69"/>
  <c r="X33" i="69"/>
  <c r="L33" i="69"/>
  <c r="N33" i="69" s="1"/>
  <c r="B33" i="69"/>
  <c r="T32" i="69"/>
  <c r="P32" i="69"/>
  <c r="H32" i="69"/>
  <c r="D32" i="69"/>
  <c r="B32" i="69"/>
  <c r="X31" i="69"/>
  <c r="Z31" i="69" s="1"/>
  <c r="L31" i="69"/>
  <c r="N31" i="69" s="1"/>
  <c r="B31" i="69"/>
  <c r="Z30" i="69"/>
  <c r="X30" i="69"/>
  <c r="N30" i="69"/>
  <c r="L30" i="69"/>
  <c r="B30" i="69"/>
  <c r="X29" i="69"/>
  <c r="Z29" i="69" s="1"/>
  <c r="L29" i="69"/>
  <c r="N29" i="69" s="1"/>
  <c r="F29" i="69"/>
  <c r="B29" i="69"/>
  <c r="Z28" i="69"/>
  <c r="X28" i="69"/>
  <c r="N28" i="69"/>
  <c r="L28" i="69"/>
  <c r="B28" i="69"/>
  <c r="X27" i="69"/>
  <c r="Z27" i="69" s="1"/>
  <c r="L27" i="69"/>
  <c r="N27" i="69" s="1"/>
  <c r="B27" i="69"/>
  <c r="Z26" i="69"/>
  <c r="X26" i="69"/>
  <c r="L26" i="69"/>
  <c r="N26" i="69" s="1"/>
  <c r="B26" i="69"/>
  <c r="X25" i="69"/>
  <c r="Z25" i="69" s="1"/>
  <c r="L25" i="69"/>
  <c r="N25" i="69" s="1"/>
  <c r="B25" i="69"/>
  <c r="Z24" i="69"/>
  <c r="X24" i="69"/>
  <c r="N24" i="69"/>
  <c r="L24" i="69"/>
  <c r="B24" i="69"/>
  <c r="X23" i="69"/>
  <c r="T23" i="69"/>
  <c r="Z23" i="69" s="1"/>
  <c r="P23" i="69"/>
  <c r="L23" i="69"/>
  <c r="N23" i="69" s="1"/>
  <c r="J23" i="69"/>
  <c r="H23" i="69"/>
  <c r="D23" i="69"/>
  <c r="B23" i="69"/>
  <c r="T22" i="69"/>
  <c r="P22" i="69"/>
  <c r="X22" i="69" s="1"/>
  <c r="Z22" i="69" s="1"/>
  <c r="H22" i="69"/>
  <c r="F22" i="69"/>
  <c r="D22" i="69"/>
  <c r="L22" i="69" s="1"/>
  <c r="N22" i="69" s="1"/>
  <c r="X18" i="69"/>
  <c r="Z18" i="69" s="1"/>
  <c r="L18" i="69"/>
  <c r="N18" i="69" s="1"/>
  <c r="J18" i="69"/>
  <c r="F18" i="69"/>
  <c r="B18" i="69"/>
  <c r="X17" i="69"/>
  <c r="Z17" i="69" s="1"/>
  <c r="N17" i="69"/>
  <c r="L17" i="69"/>
  <c r="B17" i="69"/>
  <c r="X16" i="69"/>
  <c r="Z16" i="69" s="1"/>
  <c r="T16" i="69"/>
  <c r="P16" i="69"/>
  <c r="N16" i="69"/>
  <c r="L16" i="69"/>
  <c r="H16" i="69"/>
  <c r="D16" i="69"/>
  <c r="X14" i="69"/>
  <c r="Z14" i="69" s="1"/>
  <c r="T14" i="69"/>
  <c r="P14" i="69"/>
  <c r="H14" i="69"/>
  <c r="N14" i="69" s="1"/>
  <c r="D14" i="69"/>
  <c r="L14" i="69" s="1"/>
  <c r="B14" i="69"/>
  <c r="T13" i="69"/>
  <c r="P13" i="69"/>
  <c r="N13" i="69"/>
  <c r="H13" i="69"/>
  <c r="D13" i="69"/>
  <c r="L13" i="69" s="1"/>
  <c r="B13" i="69"/>
  <c r="H12" i="69"/>
  <c r="D12" i="69"/>
  <c r="D6" i="69"/>
  <c r="D4" i="69"/>
  <c r="Z111" i="68"/>
  <c r="X111" i="68"/>
  <c r="N111" i="68"/>
  <c r="L111" i="68"/>
  <c r="Z107" i="68"/>
  <c r="X107" i="68"/>
  <c r="T107" i="68"/>
  <c r="P107" i="68"/>
  <c r="N107" i="68"/>
  <c r="H107" i="68"/>
  <c r="D107" i="68"/>
  <c r="L107" i="68" s="1"/>
  <c r="X105" i="68"/>
  <c r="Z105" i="68" s="1"/>
  <c r="N105" i="68"/>
  <c r="L105" i="68"/>
  <c r="B105" i="68"/>
  <c r="T104" i="68"/>
  <c r="P104" i="68"/>
  <c r="X104" i="68" s="1"/>
  <c r="H104" i="68"/>
  <c r="D104" i="68"/>
  <c r="B104" i="68"/>
  <c r="X103" i="68"/>
  <c r="Z103" i="68" s="1"/>
  <c r="L103" i="68"/>
  <c r="N103" i="68" s="1"/>
  <c r="B103" i="68"/>
  <c r="Z102" i="68"/>
  <c r="T102" i="68"/>
  <c r="P102" i="68"/>
  <c r="X102" i="68" s="1"/>
  <c r="H102" i="68"/>
  <c r="D102" i="68"/>
  <c r="L102" i="68" s="1"/>
  <c r="N102" i="68" s="1"/>
  <c r="B102" i="68"/>
  <c r="Z101" i="68"/>
  <c r="X101" i="68"/>
  <c r="L101" i="68"/>
  <c r="N101" i="68" s="1"/>
  <c r="B101" i="68"/>
  <c r="X100" i="68"/>
  <c r="Z100" i="68" s="1"/>
  <c r="N100" i="68"/>
  <c r="L100" i="68"/>
  <c r="B100" i="68"/>
  <c r="Z99" i="68"/>
  <c r="X99" i="68"/>
  <c r="N99" i="68"/>
  <c r="L99" i="68"/>
  <c r="B99" i="68"/>
  <c r="X98" i="68"/>
  <c r="Z98" i="68" s="1"/>
  <c r="T98" i="68"/>
  <c r="P98" i="68"/>
  <c r="L98" i="68"/>
  <c r="N98" i="68" s="1"/>
  <c r="H98" i="68"/>
  <c r="D98" i="68"/>
  <c r="B98" i="68"/>
  <c r="X97" i="68"/>
  <c r="Z97" i="68" s="1"/>
  <c r="N97" i="68"/>
  <c r="L97" i="68"/>
  <c r="B97" i="68"/>
  <c r="Z96" i="68"/>
  <c r="X96" i="68"/>
  <c r="N96" i="68"/>
  <c r="L96" i="68"/>
  <c r="B96" i="68"/>
  <c r="T95" i="68"/>
  <c r="P95" i="68"/>
  <c r="X95" i="68" s="1"/>
  <c r="Z95" i="68" s="1"/>
  <c r="N95" i="68"/>
  <c r="L95" i="68"/>
  <c r="H95" i="68"/>
  <c r="D95" i="68"/>
  <c r="B95" i="68"/>
  <c r="Z94" i="68"/>
  <c r="X94" i="68"/>
  <c r="N94" i="68"/>
  <c r="L94" i="68"/>
  <c r="B94" i="68"/>
  <c r="Z93" i="68"/>
  <c r="X93" i="68"/>
  <c r="N93" i="68"/>
  <c r="L93" i="68"/>
  <c r="B93" i="68"/>
  <c r="T92" i="68"/>
  <c r="P92" i="68"/>
  <c r="X92" i="68" s="1"/>
  <c r="N92" i="68"/>
  <c r="L92" i="68"/>
  <c r="H92" i="68"/>
  <c r="D92" i="68"/>
  <c r="B92" i="68"/>
  <c r="X91" i="68"/>
  <c r="Z91" i="68" s="1"/>
  <c r="N91" i="68"/>
  <c r="L91" i="68"/>
  <c r="B91" i="68"/>
  <c r="T90" i="68"/>
  <c r="P90" i="68"/>
  <c r="X90" i="68" s="1"/>
  <c r="Z90" i="68" s="1"/>
  <c r="H90" i="68"/>
  <c r="N90" i="68" s="1"/>
  <c r="D90" i="68"/>
  <c r="B90" i="68"/>
  <c r="Z89" i="68"/>
  <c r="X89" i="68"/>
  <c r="L89" i="68"/>
  <c r="N89" i="68" s="1"/>
  <c r="B89" i="68"/>
  <c r="T88" i="68"/>
  <c r="P88" i="68"/>
  <c r="H88" i="68"/>
  <c r="D88" i="68"/>
  <c r="L88" i="68" s="1"/>
  <c r="B88" i="68"/>
  <c r="Z87" i="68"/>
  <c r="X87" i="68"/>
  <c r="N87" i="68"/>
  <c r="L87" i="68"/>
  <c r="B87" i="68"/>
  <c r="Z86" i="68"/>
  <c r="X86" i="68"/>
  <c r="N86" i="68"/>
  <c r="L86" i="68"/>
  <c r="B86" i="68"/>
  <c r="T85" i="68"/>
  <c r="Z85" i="68" s="1"/>
  <c r="P85" i="68"/>
  <c r="X85" i="68" s="1"/>
  <c r="L85" i="68"/>
  <c r="H85" i="68"/>
  <c r="D85" i="68"/>
  <c r="B85" i="68"/>
  <c r="X84" i="68"/>
  <c r="Z84" i="68" s="1"/>
  <c r="L84" i="68"/>
  <c r="N84" i="68" s="1"/>
  <c r="B84" i="68"/>
  <c r="X83" i="68"/>
  <c r="T83" i="68"/>
  <c r="Z83" i="68" s="1"/>
  <c r="P83" i="68"/>
  <c r="H83" i="68"/>
  <c r="D83" i="68"/>
  <c r="B83" i="68"/>
  <c r="Z82" i="68"/>
  <c r="X82" i="68"/>
  <c r="N82" i="68"/>
  <c r="L82" i="68"/>
  <c r="B82" i="68"/>
  <c r="Z81" i="68"/>
  <c r="X81" i="68"/>
  <c r="T81" i="68"/>
  <c r="P81" i="68"/>
  <c r="H81" i="68"/>
  <c r="D81" i="68"/>
  <c r="L81" i="68" s="1"/>
  <c r="N81" i="68" s="1"/>
  <c r="B81" i="68"/>
  <c r="Z80" i="68"/>
  <c r="X80" i="68"/>
  <c r="L80" i="68"/>
  <c r="N80" i="68" s="1"/>
  <c r="B80" i="68"/>
  <c r="X79" i="68"/>
  <c r="Z79" i="68" s="1"/>
  <c r="N79" i="68"/>
  <c r="L79" i="68"/>
  <c r="B79" i="68"/>
  <c r="Z78" i="68"/>
  <c r="X78" i="68"/>
  <c r="L78" i="68"/>
  <c r="N78" i="68" s="1"/>
  <c r="B78" i="68"/>
  <c r="X77" i="68"/>
  <c r="Z77" i="68" s="1"/>
  <c r="L77" i="68"/>
  <c r="N77" i="68" s="1"/>
  <c r="B77" i="68"/>
  <c r="T76" i="68"/>
  <c r="P76" i="68"/>
  <c r="X76" i="68" s="1"/>
  <c r="Z76" i="68" s="1"/>
  <c r="H76" i="68"/>
  <c r="N76" i="68" s="1"/>
  <c r="D76" i="68"/>
  <c r="L76" i="68" s="1"/>
  <c r="B76" i="68"/>
  <c r="X75" i="68"/>
  <c r="Z75" i="68" s="1"/>
  <c r="N75" i="68"/>
  <c r="L75" i="68"/>
  <c r="B75" i="68"/>
  <c r="X74" i="68"/>
  <c r="Z74" i="68" s="1"/>
  <c r="N74" i="68"/>
  <c r="L74" i="68"/>
  <c r="B74" i="68"/>
  <c r="X73" i="68"/>
  <c r="Z73" i="68" s="1"/>
  <c r="N73" i="68"/>
  <c r="L73" i="68"/>
  <c r="B73" i="68"/>
  <c r="X72" i="68"/>
  <c r="Z72" i="68" s="1"/>
  <c r="L72" i="68"/>
  <c r="N72" i="68" s="1"/>
  <c r="B72" i="68"/>
  <c r="X71" i="68"/>
  <c r="Z71" i="68" s="1"/>
  <c r="N71" i="68"/>
  <c r="L71" i="68"/>
  <c r="B71" i="68"/>
  <c r="X70" i="68"/>
  <c r="Z70" i="68" s="1"/>
  <c r="N70" i="68"/>
  <c r="L70" i="68"/>
  <c r="B70" i="68"/>
  <c r="X69" i="68"/>
  <c r="Z69" i="68" s="1"/>
  <c r="N69" i="68"/>
  <c r="L69" i="68"/>
  <c r="B69" i="68"/>
  <c r="X68" i="68"/>
  <c r="Z68" i="68" s="1"/>
  <c r="L68" i="68"/>
  <c r="N68" i="68" s="1"/>
  <c r="B68" i="68"/>
  <c r="X67" i="68"/>
  <c r="T67" i="68"/>
  <c r="Z67" i="68" s="1"/>
  <c r="P67" i="68"/>
  <c r="H67" i="68"/>
  <c r="D67" i="68"/>
  <c r="L67" i="68" s="1"/>
  <c r="B67" i="68"/>
  <c r="T66" i="68"/>
  <c r="P66" i="68"/>
  <c r="H66" i="68"/>
  <c r="D66" i="68"/>
  <c r="Z62" i="68"/>
  <c r="X62" i="68"/>
  <c r="L62" i="68"/>
  <c r="N62" i="68" s="1"/>
  <c r="B62" i="68"/>
  <c r="Z61" i="68"/>
  <c r="X61" i="68"/>
  <c r="N61" i="68"/>
  <c r="L61" i="68"/>
  <c r="B61" i="68"/>
  <c r="X60" i="68"/>
  <c r="Z60" i="68" s="1"/>
  <c r="N60" i="68"/>
  <c r="L60" i="68"/>
  <c r="B60" i="68"/>
  <c r="Z59" i="68"/>
  <c r="X59" i="68"/>
  <c r="L59" i="68"/>
  <c r="N59" i="68" s="1"/>
  <c r="B59" i="68"/>
  <c r="Z58" i="68"/>
  <c r="X58" i="68"/>
  <c r="L58" i="68"/>
  <c r="N58" i="68" s="1"/>
  <c r="B58" i="68"/>
  <c r="Z57" i="68"/>
  <c r="X57" i="68"/>
  <c r="L57" i="68"/>
  <c r="N57" i="68" s="1"/>
  <c r="B57" i="68"/>
  <c r="X56" i="68"/>
  <c r="Z56" i="68" s="1"/>
  <c r="N56" i="68"/>
  <c r="L56" i="68"/>
  <c r="B56" i="68"/>
  <c r="Z55" i="68"/>
  <c r="X55" i="68"/>
  <c r="L55" i="68"/>
  <c r="N55" i="68" s="1"/>
  <c r="B55" i="68"/>
  <c r="Z54" i="68"/>
  <c r="X54" i="68"/>
  <c r="L54" i="68"/>
  <c r="N54" i="68" s="1"/>
  <c r="B54" i="68"/>
  <c r="Z53" i="68"/>
  <c r="X53" i="68"/>
  <c r="L53" i="68"/>
  <c r="N53" i="68" s="1"/>
  <c r="B53" i="68"/>
  <c r="X52" i="68"/>
  <c r="Z52" i="68" s="1"/>
  <c r="N52" i="68"/>
  <c r="L52" i="68"/>
  <c r="B52" i="68"/>
  <c r="Z51" i="68"/>
  <c r="X51" i="68"/>
  <c r="L51" i="68"/>
  <c r="N51" i="68" s="1"/>
  <c r="B51" i="68"/>
  <c r="Z50" i="68"/>
  <c r="X50" i="68"/>
  <c r="L50" i="68"/>
  <c r="N50" i="68" s="1"/>
  <c r="B50" i="68"/>
  <c r="Z49" i="68"/>
  <c r="X49" i="68"/>
  <c r="L49" i="68"/>
  <c r="N49" i="68" s="1"/>
  <c r="B49" i="68"/>
  <c r="X48" i="68"/>
  <c r="Z48" i="68" s="1"/>
  <c r="N48" i="68"/>
  <c r="L48" i="68"/>
  <c r="B48" i="68"/>
  <c r="Z47" i="68"/>
  <c r="X47" i="68"/>
  <c r="L47" i="68"/>
  <c r="N47" i="68" s="1"/>
  <c r="B47" i="68"/>
  <c r="Z46" i="68"/>
  <c r="X46" i="68"/>
  <c r="L46" i="68"/>
  <c r="N46" i="68" s="1"/>
  <c r="B46" i="68"/>
  <c r="Z45" i="68"/>
  <c r="X45" i="68"/>
  <c r="L45" i="68"/>
  <c r="N45" i="68" s="1"/>
  <c r="B45" i="68"/>
  <c r="X44" i="68"/>
  <c r="Z44" i="68" s="1"/>
  <c r="N44" i="68"/>
  <c r="L44" i="68"/>
  <c r="B44" i="68"/>
  <c r="T43" i="68"/>
  <c r="P43" i="68"/>
  <c r="X43" i="68" s="1"/>
  <c r="Z43" i="68" s="1"/>
  <c r="N43" i="68"/>
  <c r="L43" i="68"/>
  <c r="H43" i="68"/>
  <c r="D43" i="68"/>
  <c r="T41" i="68"/>
  <c r="P41" i="68"/>
  <c r="X41" i="68" s="1"/>
  <c r="Z41" i="68" s="1"/>
  <c r="L41" i="68"/>
  <c r="H41" i="68"/>
  <c r="D41" i="68"/>
  <c r="B41" i="68"/>
  <c r="T40" i="68"/>
  <c r="P40" i="68"/>
  <c r="X40" i="68" s="1"/>
  <c r="H40" i="68"/>
  <c r="D40" i="68"/>
  <c r="L40" i="68" s="1"/>
  <c r="B40" i="68"/>
  <c r="Z39" i="68"/>
  <c r="X39" i="68"/>
  <c r="T39" i="68"/>
  <c r="P39" i="68"/>
  <c r="H39" i="68"/>
  <c r="N39" i="68" s="1"/>
  <c r="D39" i="68"/>
  <c r="B39" i="68"/>
  <c r="T38" i="68"/>
  <c r="P38" i="68"/>
  <c r="X38" i="68" s="1"/>
  <c r="N38" i="68"/>
  <c r="H38" i="68"/>
  <c r="L38" i="68" s="1"/>
  <c r="D38" i="68"/>
  <c r="B38" i="68"/>
  <c r="T37" i="68"/>
  <c r="P37" i="68"/>
  <c r="X37" i="68" s="1"/>
  <c r="Z37" i="68" s="1"/>
  <c r="L37" i="68"/>
  <c r="H37" i="68"/>
  <c r="D37" i="68"/>
  <c r="B37" i="68"/>
  <c r="T36" i="68"/>
  <c r="P36" i="68"/>
  <c r="X36" i="68" s="1"/>
  <c r="H36" i="68"/>
  <c r="D36" i="68"/>
  <c r="L36" i="68" s="1"/>
  <c r="B36" i="68"/>
  <c r="Z35" i="68"/>
  <c r="X35" i="68"/>
  <c r="T35" i="68"/>
  <c r="P35" i="68"/>
  <c r="H35" i="68"/>
  <c r="D35" i="68"/>
  <c r="B35" i="68"/>
  <c r="T34" i="68"/>
  <c r="P34" i="68"/>
  <c r="X34" i="68" s="1"/>
  <c r="H34" i="68"/>
  <c r="L34" i="68" s="1"/>
  <c r="N34" i="68" s="1"/>
  <c r="D34" i="68"/>
  <c r="B34" i="68"/>
  <c r="T33" i="68"/>
  <c r="P33" i="68"/>
  <c r="X33" i="68" s="1"/>
  <c r="Z33" i="68" s="1"/>
  <c r="H33" i="68"/>
  <c r="D33" i="68"/>
  <c r="B33" i="68"/>
  <c r="T32" i="68"/>
  <c r="Z32" i="68" s="1"/>
  <c r="P32" i="68"/>
  <c r="X32" i="68" s="1"/>
  <c r="L32" i="68"/>
  <c r="H32" i="68"/>
  <c r="N32" i="68" s="1"/>
  <c r="D32" i="68"/>
  <c r="B32" i="68"/>
  <c r="Z31" i="68"/>
  <c r="X31" i="68"/>
  <c r="T31" i="68"/>
  <c r="P31" i="68"/>
  <c r="H31" i="68"/>
  <c r="D31" i="68"/>
  <c r="B31" i="68"/>
  <c r="T30" i="68"/>
  <c r="P30" i="68"/>
  <c r="X30" i="68" s="1"/>
  <c r="N30" i="68"/>
  <c r="L30" i="68"/>
  <c r="H30" i="68"/>
  <c r="D30" i="68"/>
  <c r="B30" i="68"/>
  <c r="T29" i="68"/>
  <c r="P29" i="68"/>
  <c r="X29" i="68" s="1"/>
  <c r="Z29" i="68" s="1"/>
  <c r="L29" i="68"/>
  <c r="H29" i="68"/>
  <c r="D29" i="68"/>
  <c r="B29" i="68"/>
  <c r="T28" i="68"/>
  <c r="Z28" i="68" s="1"/>
  <c r="P28" i="68"/>
  <c r="X28" i="68" s="1"/>
  <c r="L28" i="68"/>
  <c r="H28" i="68"/>
  <c r="N28" i="68" s="1"/>
  <c r="D28" i="68"/>
  <c r="B28" i="68"/>
  <c r="Z27" i="68"/>
  <c r="X27" i="68"/>
  <c r="T27" i="68"/>
  <c r="P27" i="68"/>
  <c r="H27" i="68"/>
  <c r="D27" i="68"/>
  <c r="B27" i="68"/>
  <c r="T26" i="68"/>
  <c r="P26" i="68"/>
  <c r="X26" i="68" s="1"/>
  <c r="N26" i="68"/>
  <c r="L26" i="68"/>
  <c r="H26" i="68"/>
  <c r="D26" i="68"/>
  <c r="B26" i="68"/>
  <c r="T25" i="68"/>
  <c r="P25" i="68"/>
  <c r="X25" i="68" s="1"/>
  <c r="Z25" i="68" s="1"/>
  <c r="L25" i="68"/>
  <c r="H25" i="68"/>
  <c r="D25" i="68"/>
  <c r="B25" i="68"/>
  <c r="T24" i="68"/>
  <c r="P24" i="68"/>
  <c r="X24" i="68" s="1"/>
  <c r="L24" i="68"/>
  <c r="H24" i="68"/>
  <c r="N24" i="68" s="1"/>
  <c r="D24" i="68"/>
  <c r="B24" i="68"/>
  <c r="Z23" i="68"/>
  <c r="X23" i="68"/>
  <c r="T23" i="68"/>
  <c r="P23" i="68"/>
  <c r="H23" i="68"/>
  <c r="D23" i="68"/>
  <c r="B23" i="68"/>
  <c r="T22" i="68"/>
  <c r="P22" i="68"/>
  <c r="N22" i="68"/>
  <c r="L22" i="68"/>
  <c r="H22" i="68"/>
  <c r="D22" i="68"/>
  <c r="B22" i="68"/>
  <c r="T21" i="68"/>
  <c r="P21" i="68"/>
  <c r="X21" i="68" s="1"/>
  <c r="Z21" i="68" s="1"/>
  <c r="L21" i="68"/>
  <c r="H21" i="68"/>
  <c r="D21" i="68"/>
  <c r="B21" i="68"/>
  <c r="T20" i="68"/>
  <c r="P20" i="68"/>
  <c r="X20" i="68" s="1"/>
  <c r="L20" i="68"/>
  <c r="H20" i="68"/>
  <c r="N20" i="68" s="1"/>
  <c r="D20" i="68"/>
  <c r="B20" i="68"/>
  <c r="Z19" i="68"/>
  <c r="X19" i="68"/>
  <c r="T19" i="68"/>
  <c r="P19" i="68"/>
  <c r="H19" i="68"/>
  <c r="D19" i="68"/>
  <c r="B19" i="68"/>
  <c r="T18" i="68"/>
  <c r="P18" i="68"/>
  <c r="N18" i="68"/>
  <c r="L18" i="68"/>
  <c r="H18" i="68"/>
  <c r="D18" i="68"/>
  <c r="B18" i="68"/>
  <c r="T17" i="68"/>
  <c r="P17" i="68"/>
  <c r="X17" i="68" s="1"/>
  <c r="Z17" i="68" s="1"/>
  <c r="H17" i="68"/>
  <c r="D17" i="68"/>
  <c r="B17" i="68"/>
  <c r="T16" i="68"/>
  <c r="P16" i="68"/>
  <c r="X16" i="68" s="1"/>
  <c r="L16" i="68"/>
  <c r="H16" i="68"/>
  <c r="N16" i="68" s="1"/>
  <c r="D16" i="68"/>
  <c r="B16" i="68"/>
  <c r="Z15" i="68"/>
  <c r="X15" i="68"/>
  <c r="T15" i="68"/>
  <c r="P15" i="68"/>
  <c r="H15" i="68"/>
  <c r="D15" i="68"/>
  <c r="B15" i="68"/>
  <c r="T14" i="68"/>
  <c r="P14" i="68"/>
  <c r="N14" i="68"/>
  <c r="L14" i="68"/>
  <c r="H14" i="68"/>
  <c r="D14" i="68"/>
  <c r="B14" i="68"/>
  <c r="Z13" i="68"/>
  <c r="T13" i="68"/>
  <c r="P13" i="68"/>
  <c r="X13" i="68" s="1"/>
  <c r="L13" i="68"/>
  <c r="H13" i="68"/>
  <c r="D13" i="68"/>
  <c r="D12" i="68" s="1"/>
  <c r="B13" i="68"/>
  <c r="D6" i="68"/>
  <c r="D4" i="68"/>
  <c r="F62" i="67"/>
  <c r="F59" i="67"/>
  <c r="Z57" i="67"/>
  <c r="X57" i="67"/>
  <c r="N57" i="67"/>
  <c r="L57" i="67"/>
  <c r="V55" i="67"/>
  <c r="T55" i="67"/>
  <c r="V53" i="67"/>
  <c r="T53" i="67"/>
  <c r="Z53" i="67" s="1"/>
  <c r="P53" i="67"/>
  <c r="H53" i="67"/>
  <c r="N53" i="67" s="1"/>
  <c r="D53" i="67"/>
  <c r="L53" i="67" s="1"/>
  <c r="X51" i="67"/>
  <c r="Z51" i="67" s="1"/>
  <c r="V51" i="67"/>
  <c r="R51" i="67"/>
  <c r="N51" i="67"/>
  <c r="L51" i="67"/>
  <c r="B51" i="67"/>
  <c r="T50" i="67"/>
  <c r="P50" i="67"/>
  <c r="X50" i="67" s="1"/>
  <c r="Z50" i="67" s="1"/>
  <c r="H50" i="67"/>
  <c r="D50" i="67"/>
  <c r="L50" i="67" s="1"/>
  <c r="N50" i="67" s="1"/>
  <c r="B50" i="67"/>
  <c r="X49" i="67"/>
  <c r="Z49" i="67" s="1"/>
  <c r="N49" i="67"/>
  <c r="L49" i="67"/>
  <c r="B49" i="67"/>
  <c r="X48" i="67"/>
  <c r="T48" i="67"/>
  <c r="Z48" i="67" s="1"/>
  <c r="P48" i="67"/>
  <c r="L48" i="67"/>
  <c r="J48" i="67"/>
  <c r="H48" i="67"/>
  <c r="D48" i="67"/>
  <c r="B48" i="67"/>
  <c r="Z47" i="67"/>
  <c r="X47" i="67"/>
  <c r="L47" i="67"/>
  <c r="N47" i="67" s="1"/>
  <c r="J47" i="67"/>
  <c r="F47" i="67"/>
  <c r="B47" i="67"/>
  <c r="Z46" i="67"/>
  <c r="X46" i="67"/>
  <c r="N46" i="67"/>
  <c r="L46" i="67"/>
  <c r="B46" i="67"/>
  <c r="X45" i="67"/>
  <c r="Z45" i="67" s="1"/>
  <c r="T45" i="67"/>
  <c r="P45" i="67"/>
  <c r="N45" i="67"/>
  <c r="L45" i="67"/>
  <c r="H45" i="67"/>
  <c r="D45" i="67"/>
  <c r="B45" i="67"/>
  <c r="Z44" i="67"/>
  <c r="X44" i="67"/>
  <c r="L44" i="67"/>
  <c r="N44" i="67" s="1"/>
  <c r="B44" i="67"/>
  <c r="X43" i="67"/>
  <c r="Z43" i="67" s="1"/>
  <c r="V43" i="67"/>
  <c r="R43" i="67"/>
  <c r="N43" i="67"/>
  <c r="L43" i="67"/>
  <c r="B43" i="67"/>
  <c r="T42" i="67"/>
  <c r="P42" i="67"/>
  <c r="X42" i="67" s="1"/>
  <c r="Z42" i="67" s="1"/>
  <c r="H42" i="67"/>
  <c r="D42" i="67"/>
  <c r="L42" i="67" s="1"/>
  <c r="N42" i="67" s="1"/>
  <c r="B42" i="67"/>
  <c r="X41" i="67"/>
  <c r="Z41" i="67" s="1"/>
  <c r="N41" i="67"/>
  <c r="L41" i="67"/>
  <c r="B41" i="67"/>
  <c r="X40" i="67"/>
  <c r="V40" i="67"/>
  <c r="T40" i="67"/>
  <c r="Z40" i="67" s="1"/>
  <c r="P40" i="67"/>
  <c r="L40" i="67"/>
  <c r="H40" i="67"/>
  <c r="N40" i="67" s="1"/>
  <c r="D40" i="67"/>
  <c r="B40" i="67"/>
  <c r="Z39" i="67"/>
  <c r="X39" i="67"/>
  <c r="L39" i="67"/>
  <c r="N39" i="67" s="1"/>
  <c r="F39" i="67"/>
  <c r="B39" i="67"/>
  <c r="T38" i="67"/>
  <c r="R38" i="67"/>
  <c r="P38" i="67"/>
  <c r="H38" i="67"/>
  <c r="F38" i="67"/>
  <c r="D38" i="67"/>
  <c r="B38" i="67"/>
  <c r="Z37" i="67"/>
  <c r="X37" i="67"/>
  <c r="V37" i="67"/>
  <c r="R37" i="67"/>
  <c r="L37" i="67"/>
  <c r="N37" i="67" s="1"/>
  <c r="B37" i="67"/>
  <c r="T36" i="67"/>
  <c r="P36" i="67"/>
  <c r="X36" i="67" s="1"/>
  <c r="Z36" i="67" s="1"/>
  <c r="H36" i="67"/>
  <c r="D36" i="67"/>
  <c r="L36" i="67" s="1"/>
  <c r="N36" i="67" s="1"/>
  <c r="B36" i="67"/>
  <c r="Z35" i="67"/>
  <c r="X35" i="67"/>
  <c r="N35" i="67"/>
  <c r="L35" i="67"/>
  <c r="B35" i="67"/>
  <c r="X34" i="67"/>
  <c r="Z34" i="67" s="1"/>
  <c r="V34" i="67"/>
  <c r="N34" i="67"/>
  <c r="L34" i="67"/>
  <c r="B34" i="67"/>
  <c r="X33" i="67"/>
  <c r="Z33" i="67" s="1"/>
  <c r="N33" i="67"/>
  <c r="L33" i="67"/>
  <c r="B33" i="67"/>
  <c r="X32" i="67"/>
  <c r="Z32" i="67" s="1"/>
  <c r="V32" i="67"/>
  <c r="N32" i="67"/>
  <c r="L32" i="67"/>
  <c r="F32" i="67"/>
  <c r="B32" i="67"/>
  <c r="Z31" i="67"/>
  <c r="X31" i="67"/>
  <c r="N31" i="67"/>
  <c r="L31" i="67"/>
  <c r="B31" i="67"/>
  <c r="X30" i="67"/>
  <c r="Z30" i="67" s="1"/>
  <c r="V30" i="67"/>
  <c r="N30" i="67"/>
  <c r="L30" i="67"/>
  <c r="F30" i="67"/>
  <c r="B30" i="67"/>
  <c r="T29" i="67"/>
  <c r="Z29" i="67" s="1"/>
  <c r="R29" i="67"/>
  <c r="P29" i="67"/>
  <c r="X29" i="67" s="1"/>
  <c r="H29" i="67"/>
  <c r="F29" i="67"/>
  <c r="D29" i="67"/>
  <c r="L29" i="67" s="1"/>
  <c r="N29" i="67" s="1"/>
  <c r="B29" i="67"/>
  <c r="Z28" i="67"/>
  <c r="X28" i="67"/>
  <c r="R28" i="67"/>
  <c r="N28" i="67"/>
  <c r="L28" i="67"/>
  <c r="B28" i="67"/>
  <c r="Z27" i="67"/>
  <c r="X27" i="67"/>
  <c r="N27" i="67"/>
  <c r="L27" i="67"/>
  <c r="J27" i="67"/>
  <c r="F27" i="67"/>
  <c r="B27" i="67"/>
  <c r="Z26" i="67"/>
  <c r="X26" i="67"/>
  <c r="R26" i="67"/>
  <c r="N26" i="67"/>
  <c r="L26" i="67"/>
  <c r="B26" i="67"/>
  <c r="Z25" i="67"/>
  <c r="X25" i="67"/>
  <c r="V25" i="67"/>
  <c r="N25" i="67"/>
  <c r="L25" i="67"/>
  <c r="F25" i="67"/>
  <c r="B25" i="67"/>
  <c r="Z24" i="67"/>
  <c r="X24" i="67"/>
  <c r="R24" i="67"/>
  <c r="N24" i="67"/>
  <c r="L24" i="67"/>
  <c r="B24" i="67"/>
  <c r="Z23" i="67"/>
  <c r="X23" i="67"/>
  <c r="N23" i="67"/>
  <c r="L23" i="67"/>
  <c r="F23" i="67"/>
  <c r="B23" i="67"/>
  <c r="Z22" i="67"/>
  <c r="X22" i="67"/>
  <c r="R22" i="67"/>
  <c r="N22" i="67"/>
  <c r="L22" i="67"/>
  <c r="B22" i="67"/>
  <c r="Z21" i="67"/>
  <c r="X21" i="67"/>
  <c r="V21" i="67"/>
  <c r="N21" i="67"/>
  <c r="L21" i="67"/>
  <c r="F21" i="67"/>
  <c r="B21" i="67"/>
  <c r="Z20" i="67"/>
  <c r="X20" i="67"/>
  <c r="R20" i="67"/>
  <c r="N20" i="67"/>
  <c r="L20" i="67"/>
  <c r="B20" i="67"/>
  <c r="Z19" i="67"/>
  <c r="X19" i="67"/>
  <c r="T19" i="67"/>
  <c r="P19" i="67"/>
  <c r="N19" i="67"/>
  <c r="L19" i="67"/>
  <c r="H19" i="67"/>
  <c r="D19" i="67"/>
  <c r="B19" i="67"/>
  <c r="T18" i="67"/>
  <c r="P18" i="67"/>
  <c r="H18" i="67"/>
  <c r="D18" i="67"/>
  <c r="Z14" i="67"/>
  <c r="T14" i="67"/>
  <c r="T16" i="67" s="1"/>
  <c r="Z16" i="67" s="1"/>
  <c r="P14" i="67"/>
  <c r="X14" i="67" s="1"/>
  <c r="N14" i="67"/>
  <c r="H14" i="67"/>
  <c r="D14" i="67"/>
  <c r="L14" i="67" s="1"/>
  <c r="Z12" i="67"/>
  <c r="T12" i="67"/>
  <c r="V45" i="67" s="1"/>
  <c r="P12" i="67"/>
  <c r="R55" i="67" s="1"/>
  <c r="L12" i="67"/>
  <c r="H12" i="67"/>
  <c r="D12" i="67"/>
  <c r="F49" i="67" s="1"/>
  <c r="D6" i="67"/>
  <c r="D4" i="67"/>
  <c r="Z100" i="63"/>
  <c r="X100" i="63"/>
  <c r="N100" i="63"/>
  <c r="L100" i="63"/>
  <c r="T96" i="63"/>
  <c r="P96" i="63"/>
  <c r="X96" i="63" s="1"/>
  <c r="Z96" i="63" s="1"/>
  <c r="N96" i="63"/>
  <c r="H96" i="63"/>
  <c r="D96" i="63"/>
  <c r="L96" i="63" s="1"/>
  <c r="B96" i="63"/>
  <c r="T95" i="63"/>
  <c r="P95" i="63"/>
  <c r="H95" i="63"/>
  <c r="D95" i="63"/>
  <c r="L95" i="63" s="1"/>
  <c r="N95" i="63" s="1"/>
  <c r="B95" i="63"/>
  <c r="T94" i="63"/>
  <c r="R94" i="63"/>
  <c r="H94" i="63"/>
  <c r="X92" i="63"/>
  <c r="Z92" i="63" s="1"/>
  <c r="N92" i="63"/>
  <c r="L92" i="63"/>
  <c r="B92" i="63"/>
  <c r="Z91" i="63"/>
  <c r="X91" i="63"/>
  <c r="T91" i="63"/>
  <c r="P91" i="63"/>
  <c r="L91" i="63"/>
  <c r="N91" i="63" s="1"/>
  <c r="H91" i="63"/>
  <c r="D91" i="63"/>
  <c r="B91" i="63"/>
  <c r="Z90" i="63"/>
  <c r="X90" i="63"/>
  <c r="N90" i="63"/>
  <c r="L90" i="63"/>
  <c r="J90" i="63"/>
  <c r="B90" i="63"/>
  <c r="Z89" i="63"/>
  <c r="X89" i="63"/>
  <c r="L89" i="63"/>
  <c r="N89" i="63" s="1"/>
  <c r="B89" i="63"/>
  <c r="T88" i="63"/>
  <c r="P88" i="63"/>
  <c r="X88" i="63" s="1"/>
  <c r="Z88" i="63" s="1"/>
  <c r="H88" i="63"/>
  <c r="D88" i="63"/>
  <c r="L88" i="63" s="1"/>
  <c r="N88" i="63" s="1"/>
  <c r="B88" i="63"/>
  <c r="Z87" i="63"/>
  <c r="X87" i="63"/>
  <c r="N87" i="63"/>
  <c r="L87" i="63"/>
  <c r="B87" i="63"/>
  <c r="X86" i="63"/>
  <c r="T86" i="63"/>
  <c r="P86" i="63"/>
  <c r="L86" i="63"/>
  <c r="H86" i="63"/>
  <c r="N86" i="63" s="1"/>
  <c r="D86" i="63"/>
  <c r="B86" i="63"/>
  <c r="Z85" i="63"/>
  <c r="X85" i="63"/>
  <c r="N85" i="63"/>
  <c r="L85" i="63"/>
  <c r="B85" i="63"/>
  <c r="T84" i="63"/>
  <c r="P84" i="63"/>
  <c r="H84" i="63"/>
  <c r="D84" i="63"/>
  <c r="B84" i="63"/>
  <c r="Z83" i="63"/>
  <c r="X83" i="63"/>
  <c r="R83" i="63"/>
  <c r="N83" i="63"/>
  <c r="L83" i="63"/>
  <c r="B83" i="63"/>
  <c r="Z82" i="63"/>
  <c r="X82" i="63"/>
  <c r="N82" i="63"/>
  <c r="L82" i="63"/>
  <c r="J82" i="63"/>
  <c r="B82" i="63"/>
  <c r="Z81" i="63"/>
  <c r="X81" i="63"/>
  <c r="L81" i="63"/>
  <c r="N81" i="63" s="1"/>
  <c r="B81" i="63"/>
  <c r="Z80" i="63"/>
  <c r="X80" i="63"/>
  <c r="L80" i="63"/>
  <c r="N80" i="63" s="1"/>
  <c r="B80" i="63"/>
  <c r="Z79" i="63"/>
  <c r="X79" i="63"/>
  <c r="N79" i="63"/>
  <c r="L79" i="63"/>
  <c r="B79" i="63"/>
  <c r="Z78" i="63"/>
  <c r="X78" i="63"/>
  <c r="N78" i="63"/>
  <c r="L78" i="63"/>
  <c r="J78" i="63"/>
  <c r="B78" i="63"/>
  <c r="T77" i="63"/>
  <c r="P77" i="63"/>
  <c r="X77" i="63" s="1"/>
  <c r="J77" i="63"/>
  <c r="H77" i="63"/>
  <c r="D77" i="63"/>
  <c r="B77" i="63"/>
  <c r="X76" i="63"/>
  <c r="Z76" i="63" s="1"/>
  <c r="N76" i="63"/>
  <c r="L76" i="63"/>
  <c r="B76" i="63"/>
  <c r="T75" i="63"/>
  <c r="P75" i="63"/>
  <c r="X75" i="63" s="1"/>
  <c r="Z75" i="63" s="1"/>
  <c r="N75" i="63"/>
  <c r="H75" i="63"/>
  <c r="D75" i="63"/>
  <c r="L75" i="63" s="1"/>
  <c r="B75" i="63"/>
  <c r="X74" i="63"/>
  <c r="Z74" i="63" s="1"/>
  <c r="N74" i="63"/>
  <c r="L74" i="63"/>
  <c r="B74" i="63"/>
  <c r="Z73" i="63"/>
  <c r="X73" i="63"/>
  <c r="N73" i="63"/>
  <c r="L73" i="63"/>
  <c r="J73" i="63"/>
  <c r="B73" i="63"/>
  <c r="X72" i="63"/>
  <c r="Z72" i="63" s="1"/>
  <c r="R72" i="63"/>
  <c r="N72" i="63"/>
  <c r="L72" i="63"/>
  <c r="B72" i="63"/>
  <c r="Z71" i="63"/>
  <c r="X71" i="63"/>
  <c r="T71" i="63"/>
  <c r="P71" i="63"/>
  <c r="N71" i="63"/>
  <c r="L71" i="63"/>
  <c r="H71" i="63"/>
  <c r="D71" i="63"/>
  <c r="B71" i="63"/>
  <c r="Z70" i="63"/>
  <c r="X70" i="63"/>
  <c r="L70" i="63"/>
  <c r="N70" i="63" s="1"/>
  <c r="J70" i="63"/>
  <c r="B70" i="63"/>
  <c r="Z69" i="63"/>
  <c r="X69" i="63"/>
  <c r="L69" i="63"/>
  <c r="N69" i="63" s="1"/>
  <c r="B69" i="63"/>
  <c r="Z68" i="63"/>
  <c r="X68" i="63"/>
  <c r="N68" i="63"/>
  <c r="L68" i="63"/>
  <c r="B68" i="63"/>
  <c r="Z67" i="63"/>
  <c r="X67" i="63"/>
  <c r="V67" i="63"/>
  <c r="L67" i="63"/>
  <c r="N67" i="63" s="1"/>
  <c r="B67" i="63"/>
  <c r="T66" i="63"/>
  <c r="P66" i="63"/>
  <c r="X66" i="63" s="1"/>
  <c r="Z66" i="63" s="1"/>
  <c r="H66" i="63"/>
  <c r="D66" i="63"/>
  <c r="L66" i="63" s="1"/>
  <c r="N66" i="63" s="1"/>
  <c r="B66" i="63"/>
  <c r="X65" i="63"/>
  <c r="Z65" i="63" s="1"/>
  <c r="L65" i="63"/>
  <c r="N65" i="63" s="1"/>
  <c r="B65" i="63"/>
  <c r="X64" i="63"/>
  <c r="T64" i="63"/>
  <c r="Z64" i="63" s="1"/>
  <c r="P64" i="63"/>
  <c r="L64" i="63"/>
  <c r="J64" i="63"/>
  <c r="H64" i="63"/>
  <c r="N64" i="63" s="1"/>
  <c r="D64" i="63"/>
  <c r="B64" i="63"/>
  <c r="Z63" i="63"/>
  <c r="X63" i="63"/>
  <c r="N63" i="63"/>
  <c r="L63" i="63"/>
  <c r="J63" i="63"/>
  <c r="B63" i="63"/>
  <c r="T62" i="63"/>
  <c r="P62" i="63"/>
  <c r="H62" i="63"/>
  <c r="D62" i="63"/>
  <c r="B62" i="63"/>
  <c r="Z61" i="63"/>
  <c r="X61" i="63"/>
  <c r="L61" i="63"/>
  <c r="N61" i="63" s="1"/>
  <c r="B61" i="63"/>
  <c r="Z60" i="63"/>
  <c r="T60" i="63"/>
  <c r="P60" i="63"/>
  <c r="X60" i="63" s="1"/>
  <c r="H60" i="63"/>
  <c r="D60" i="63"/>
  <c r="L60" i="63" s="1"/>
  <c r="N60" i="63" s="1"/>
  <c r="B60" i="63"/>
  <c r="X59" i="63"/>
  <c r="Z59" i="63" s="1"/>
  <c r="N59" i="63"/>
  <c r="L59" i="63"/>
  <c r="B59" i="63"/>
  <c r="X58" i="63"/>
  <c r="T58" i="63"/>
  <c r="P58" i="63"/>
  <c r="L58" i="63"/>
  <c r="H58" i="63"/>
  <c r="N58" i="63" s="1"/>
  <c r="D58" i="63"/>
  <c r="B58" i="63"/>
  <c r="Z57" i="63"/>
  <c r="X57" i="63"/>
  <c r="N57" i="63"/>
  <c r="L57" i="63"/>
  <c r="J57" i="63"/>
  <c r="B57" i="63"/>
  <c r="T56" i="63"/>
  <c r="P56" i="63"/>
  <c r="H56" i="63"/>
  <c r="D56" i="63"/>
  <c r="B56" i="63"/>
  <c r="Z55" i="63"/>
  <c r="X55" i="63"/>
  <c r="V55" i="63"/>
  <c r="N55" i="63"/>
  <c r="L55" i="63"/>
  <c r="B55" i="63"/>
  <c r="Z54" i="63"/>
  <c r="T54" i="63"/>
  <c r="P54" i="63"/>
  <c r="X54" i="63" s="1"/>
  <c r="N54" i="63"/>
  <c r="H54" i="63"/>
  <c r="D54" i="63"/>
  <c r="L54" i="63" s="1"/>
  <c r="B54" i="63"/>
  <c r="X53" i="63"/>
  <c r="Z53" i="63" s="1"/>
  <c r="N53" i="63"/>
  <c r="L53" i="63"/>
  <c r="B53" i="63"/>
  <c r="X52" i="63"/>
  <c r="T52" i="63"/>
  <c r="Z52" i="63" s="1"/>
  <c r="P52" i="63"/>
  <c r="L52" i="63"/>
  <c r="J52" i="63"/>
  <c r="H52" i="63"/>
  <c r="N52" i="63" s="1"/>
  <c r="D52" i="63"/>
  <c r="B52" i="63"/>
  <c r="Z51" i="63"/>
  <c r="X51" i="63"/>
  <c r="N51" i="63"/>
  <c r="L51" i="63"/>
  <c r="J51" i="63"/>
  <c r="B51" i="63"/>
  <c r="T50" i="63"/>
  <c r="P50" i="63"/>
  <c r="H50" i="63"/>
  <c r="D50" i="63"/>
  <c r="B50" i="63"/>
  <c r="Z49" i="63"/>
  <c r="X49" i="63"/>
  <c r="L49" i="63"/>
  <c r="N49" i="63" s="1"/>
  <c r="B49" i="63"/>
  <c r="Z48" i="63"/>
  <c r="X48" i="63"/>
  <c r="L48" i="63"/>
  <c r="N48" i="63" s="1"/>
  <c r="B48" i="63"/>
  <c r="V47" i="63"/>
  <c r="T47" i="63"/>
  <c r="P47" i="63"/>
  <c r="X47" i="63" s="1"/>
  <c r="J47" i="63"/>
  <c r="H47" i="63"/>
  <c r="D47" i="63"/>
  <c r="L47" i="63" s="1"/>
  <c r="B47" i="63"/>
  <c r="X46" i="63"/>
  <c r="Z46" i="63" s="1"/>
  <c r="L46" i="63"/>
  <c r="N46" i="63" s="1"/>
  <c r="F46" i="63"/>
  <c r="B46" i="63"/>
  <c r="X45" i="63"/>
  <c r="Z45" i="63" s="1"/>
  <c r="L45" i="63"/>
  <c r="N45" i="63" s="1"/>
  <c r="B45" i="63"/>
  <c r="X44" i="63"/>
  <c r="T44" i="63"/>
  <c r="Z44" i="63" s="1"/>
  <c r="P44" i="63"/>
  <c r="L44" i="63"/>
  <c r="J44" i="63"/>
  <c r="H44" i="63"/>
  <c r="N44" i="63" s="1"/>
  <c r="D44" i="63"/>
  <c r="B44" i="63"/>
  <c r="Z43" i="63"/>
  <c r="X43" i="63"/>
  <c r="N43" i="63"/>
  <c r="L43" i="63"/>
  <c r="J43" i="63"/>
  <c r="B43" i="63"/>
  <c r="T42" i="63"/>
  <c r="P42" i="63"/>
  <c r="H42" i="63"/>
  <c r="F42" i="63"/>
  <c r="D42" i="63"/>
  <c r="B42" i="63"/>
  <c r="Z41" i="63"/>
  <c r="X41" i="63"/>
  <c r="L41" i="63"/>
  <c r="N41" i="63" s="1"/>
  <c r="B41" i="63"/>
  <c r="Z40" i="63"/>
  <c r="X40" i="63"/>
  <c r="L40" i="63"/>
  <c r="N40" i="63" s="1"/>
  <c r="J40" i="63"/>
  <c r="B40" i="63"/>
  <c r="T39" i="63"/>
  <c r="P39" i="63"/>
  <c r="J39" i="63"/>
  <c r="H39" i="63"/>
  <c r="D39" i="63"/>
  <c r="L39" i="63" s="1"/>
  <c r="B39" i="63"/>
  <c r="X38" i="63"/>
  <c r="Z38" i="63" s="1"/>
  <c r="L38" i="63"/>
  <c r="N38" i="63" s="1"/>
  <c r="B38" i="63"/>
  <c r="T37" i="63"/>
  <c r="Z37" i="63" s="1"/>
  <c r="R37" i="63"/>
  <c r="P37" i="63"/>
  <c r="X37" i="63" s="1"/>
  <c r="J37" i="63"/>
  <c r="H37" i="63"/>
  <c r="D37" i="63"/>
  <c r="L37" i="63" s="1"/>
  <c r="N37" i="63" s="1"/>
  <c r="B37" i="63"/>
  <c r="X36" i="63"/>
  <c r="Z36" i="63" s="1"/>
  <c r="N36" i="63"/>
  <c r="L36" i="63"/>
  <c r="B36" i="63"/>
  <c r="Z35" i="63"/>
  <c r="X35" i="63"/>
  <c r="N35" i="63"/>
  <c r="L35" i="63"/>
  <c r="J35" i="63"/>
  <c r="B35" i="63"/>
  <c r="X34" i="63"/>
  <c r="Z34" i="63" s="1"/>
  <c r="N34" i="63"/>
  <c r="L34" i="63"/>
  <c r="B34" i="63"/>
  <c r="Z33" i="63"/>
  <c r="X33" i="63"/>
  <c r="N33" i="63"/>
  <c r="L33" i="63"/>
  <c r="J33" i="63"/>
  <c r="B33" i="63"/>
  <c r="X32" i="63"/>
  <c r="Z32" i="63" s="1"/>
  <c r="R32" i="63"/>
  <c r="N32" i="63"/>
  <c r="L32" i="63"/>
  <c r="B32" i="63"/>
  <c r="Z31" i="63"/>
  <c r="X31" i="63"/>
  <c r="N31" i="63"/>
  <c r="L31" i="63"/>
  <c r="J31" i="63"/>
  <c r="B31" i="63"/>
  <c r="X30" i="63"/>
  <c r="Z30" i="63" s="1"/>
  <c r="R30" i="63"/>
  <c r="N30" i="63"/>
  <c r="L30" i="63"/>
  <c r="F30" i="63"/>
  <c r="B30" i="63"/>
  <c r="Z29" i="63"/>
  <c r="X29" i="63"/>
  <c r="T29" i="63"/>
  <c r="P29" i="63"/>
  <c r="N29" i="63"/>
  <c r="L29" i="63"/>
  <c r="H29" i="63"/>
  <c r="D29" i="63"/>
  <c r="B29" i="63"/>
  <c r="Z28" i="63"/>
  <c r="X28" i="63"/>
  <c r="L28" i="63"/>
  <c r="N28" i="63" s="1"/>
  <c r="J28" i="63"/>
  <c r="B28" i="63"/>
  <c r="Z27" i="63"/>
  <c r="X27" i="63"/>
  <c r="N27" i="63"/>
  <c r="L27" i="63"/>
  <c r="J27" i="63"/>
  <c r="B27" i="63"/>
  <c r="Z26" i="63"/>
  <c r="X26" i="63"/>
  <c r="L26" i="63"/>
  <c r="N26" i="63" s="1"/>
  <c r="J26" i="63"/>
  <c r="B26" i="63"/>
  <c r="Z25" i="63"/>
  <c r="X25" i="63"/>
  <c r="N25" i="63"/>
  <c r="L25" i="63"/>
  <c r="J25" i="63"/>
  <c r="B25" i="63"/>
  <c r="Z24" i="63"/>
  <c r="X24" i="63"/>
  <c r="L24" i="63"/>
  <c r="N24" i="63" s="1"/>
  <c r="J24" i="63"/>
  <c r="B24" i="63"/>
  <c r="Z23" i="63"/>
  <c r="X23" i="63"/>
  <c r="R23" i="63"/>
  <c r="N23" i="63"/>
  <c r="L23" i="63"/>
  <c r="J23" i="63"/>
  <c r="B23" i="63"/>
  <c r="Z22" i="63"/>
  <c r="X22" i="63"/>
  <c r="R22" i="63"/>
  <c r="L22" i="63"/>
  <c r="N22" i="63" s="1"/>
  <c r="J22" i="63"/>
  <c r="B22" i="63"/>
  <c r="Z21" i="63"/>
  <c r="X21" i="63"/>
  <c r="V21" i="63"/>
  <c r="R21" i="63"/>
  <c r="L21" i="63"/>
  <c r="N21" i="63" s="1"/>
  <c r="J21" i="63"/>
  <c r="B21" i="63"/>
  <c r="Z20" i="63"/>
  <c r="X20" i="63"/>
  <c r="L20" i="63"/>
  <c r="N20" i="63" s="1"/>
  <c r="J20" i="63"/>
  <c r="B20" i="63"/>
  <c r="V19" i="63"/>
  <c r="T19" i="63"/>
  <c r="P19" i="63"/>
  <c r="J19" i="63"/>
  <c r="H19" i="63"/>
  <c r="D19" i="63"/>
  <c r="L19" i="63" s="1"/>
  <c r="B19" i="63"/>
  <c r="T18" i="63"/>
  <c r="P18" i="63"/>
  <c r="X18" i="63" s="1"/>
  <c r="J18" i="63"/>
  <c r="H18" i="63"/>
  <c r="D18" i="63"/>
  <c r="J16" i="63"/>
  <c r="V14" i="63"/>
  <c r="T14" i="63"/>
  <c r="P14" i="63"/>
  <c r="X14" i="63" s="1"/>
  <c r="J14" i="63"/>
  <c r="H14" i="63"/>
  <c r="N14" i="63" s="1"/>
  <c r="D14" i="63"/>
  <c r="T12" i="63"/>
  <c r="V38" i="63" s="1"/>
  <c r="P12" i="63"/>
  <c r="R56" i="63" s="1"/>
  <c r="N12" i="63"/>
  <c r="H12" i="63"/>
  <c r="J91" i="63" s="1"/>
  <c r="D12" i="63"/>
  <c r="F38" i="63" s="1"/>
  <c r="D6" i="63"/>
  <c r="D4" i="63"/>
  <c r="R55" i="61"/>
  <c r="F52" i="61"/>
  <c r="Z50" i="61"/>
  <c r="X50" i="61"/>
  <c r="N50" i="61"/>
  <c r="L50" i="61"/>
  <c r="J50" i="61"/>
  <c r="F50" i="61"/>
  <c r="F48" i="61"/>
  <c r="T46" i="61"/>
  <c r="Z46" i="61" s="1"/>
  <c r="P46" i="61"/>
  <c r="N46" i="61"/>
  <c r="H46" i="61"/>
  <c r="F46" i="61"/>
  <c r="D46" i="61"/>
  <c r="L46" i="61" s="1"/>
  <c r="X44" i="61"/>
  <c r="Z44" i="61" s="1"/>
  <c r="N44" i="61"/>
  <c r="L44" i="61"/>
  <c r="B44" i="61"/>
  <c r="X43" i="61"/>
  <c r="V43" i="61"/>
  <c r="T43" i="61"/>
  <c r="Z43" i="61" s="1"/>
  <c r="P43" i="61"/>
  <c r="N43" i="61"/>
  <c r="H43" i="61"/>
  <c r="D43" i="61"/>
  <c r="L43" i="61" s="1"/>
  <c r="B43" i="61"/>
  <c r="X42" i="61"/>
  <c r="Z42" i="61" s="1"/>
  <c r="V42" i="61"/>
  <c r="L42" i="61"/>
  <c r="N42" i="61" s="1"/>
  <c r="B42" i="61"/>
  <c r="V41" i="61"/>
  <c r="T41" i="61"/>
  <c r="R41" i="61"/>
  <c r="P41" i="61"/>
  <c r="J41" i="61"/>
  <c r="H41" i="61"/>
  <c r="D41" i="61"/>
  <c r="L41" i="61" s="1"/>
  <c r="N41" i="61" s="1"/>
  <c r="B41" i="61"/>
  <c r="Z40" i="61"/>
  <c r="X40" i="61"/>
  <c r="V40" i="61"/>
  <c r="R40" i="61"/>
  <c r="N40" i="61"/>
  <c r="L40" i="61"/>
  <c r="F40" i="61"/>
  <c r="B40" i="61"/>
  <c r="X39" i="61"/>
  <c r="Z39" i="61" s="1"/>
  <c r="V39" i="61"/>
  <c r="L39" i="61"/>
  <c r="N39" i="61" s="1"/>
  <c r="J39" i="61"/>
  <c r="F39" i="61"/>
  <c r="B39" i="61"/>
  <c r="X38" i="61"/>
  <c r="T38" i="61"/>
  <c r="Z38" i="61" s="1"/>
  <c r="P38" i="61"/>
  <c r="J38" i="61"/>
  <c r="H38" i="61"/>
  <c r="F38" i="61"/>
  <c r="D38" i="61"/>
  <c r="B38" i="61"/>
  <c r="Z37" i="61"/>
  <c r="X37" i="61"/>
  <c r="V37" i="61"/>
  <c r="L37" i="61"/>
  <c r="N37" i="61" s="1"/>
  <c r="F37" i="61"/>
  <c r="B37" i="61"/>
  <c r="X36" i="61"/>
  <c r="T36" i="61"/>
  <c r="Z36" i="61" s="1"/>
  <c r="P36" i="61"/>
  <c r="H36" i="61"/>
  <c r="F36" i="61"/>
  <c r="D36" i="61"/>
  <c r="L36" i="61" s="1"/>
  <c r="N36" i="61" s="1"/>
  <c r="B36" i="61"/>
  <c r="Z35" i="61"/>
  <c r="X35" i="61"/>
  <c r="V35" i="61"/>
  <c r="L35" i="61"/>
  <c r="N35" i="61" s="1"/>
  <c r="F35" i="61"/>
  <c r="B35" i="61"/>
  <c r="X34" i="61"/>
  <c r="Z34" i="61" s="1"/>
  <c r="V34" i="61"/>
  <c r="T34" i="61"/>
  <c r="P34" i="61"/>
  <c r="L34" i="61"/>
  <c r="H34" i="61"/>
  <c r="N34" i="61" s="1"/>
  <c r="F34" i="61"/>
  <c r="D34" i="61"/>
  <c r="B34" i="61"/>
  <c r="Z33" i="61"/>
  <c r="X33" i="61"/>
  <c r="V33" i="61"/>
  <c r="N33" i="61"/>
  <c r="L33" i="61"/>
  <c r="F33" i="61"/>
  <c r="B33" i="61"/>
  <c r="V32" i="61"/>
  <c r="T32" i="61"/>
  <c r="P32" i="61"/>
  <c r="X32" i="61" s="1"/>
  <c r="L32" i="61"/>
  <c r="H32" i="61"/>
  <c r="N32" i="61" s="1"/>
  <c r="F32" i="61"/>
  <c r="D32" i="61"/>
  <c r="B32" i="61"/>
  <c r="X31" i="61"/>
  <c r="Z31" i="61" s="1"/>
  <c r="V31" i="61"/>
  <c r="N31" i="61"/>
  <c r="L31" i="61"/>
  <c r="J31" i="61"/>
  <c r="B31" i="61"/>
  <c r="Z30" i="61"/>
  <c r="X30" i="61"/>
  <c r="V30" i="61"/>
  <c r="L30" i="61"/>
  <c r="N30" i="61" s="1"/>
  <c r="F30" i="61"/>
  <c r="B30" i="61"/>
  <c r="Z29" i="61"/>
  <c r="X29" i="61"/>
  <c r="V29" i="61"/>
  <c r="N29" i="61"/>
  <c r="L29" i="61"/>
  <c r="F29" i="61"/>
  <c r="B29" i="61"/>
  <c r="X28" i="61"/>
  <c r="Z28" i="61" s="1"/>
  <c r="L28" i="61"/>
  <c r="N28" i="61" s="1"/>
  <c r="B28" i="61"/>
  <c r="X27" i="61"/>
  <c r="V27" i="61"/>
  <c r="T27" i="61"/>
  <c r="P27" i="61"/>
  <c r="H27" i="61"/>
  <c r="D27" i="61"/>
  <c r="L27" i="61" s="1"/>
  <c r="N27" i="61" s="1"/>
  <c r="B27" i="61"/>
  <c r="X26" i="61"/>
  <c r="Z26" i="61" s="1"/>
  <c r="V26" i="61"/>
  <c r="L26" i="61"/>
  <c r="N26" i="61" s="1"/>
  <c r="B26" i="61"/>
  <c r="X25" i="61"/>
  <c r="Z25" i="61" s="1"/>
  <c r="V25" i="61"/>
  <c r="R25" i="61"/>
  <c r="N25" i="61"/>
  <c r="L25" i="61"/>
  <c r="J25" i="61"/>
  <c r="B25" i="61"/>
  <c r="X24" i="61"/>
  <c r="Z24" i="61" s="1"/>
  <c r="V24" i="61"/>
  <c r="N24" i="61"/>
  <c r="L24" i="61"/>
  <c r="J24" i="61"/>
  <c r="F24" i="61"/>
  <c r="B24" i="61"/>
  <c r="Z23" i="61"/>
  <c r="X23" i="61"/>
  <c r="V23" i="61"/>
  <c r="L23" i="61"/>
  <c r="N23" i="61" s="1"/>
  <c r="F23" i="61"/>
  <c r="B23" i="61"/>
  <c r="X22" i="61"/>
  <c r="Z22" i="61" s="1"/>
  <c r="V22" i="61"/>
  <c r="L22" i="61"/>
  <c r="N22" i="61" s="1"/>
  <c r="F22" i="61"/>
  <c r="B22" i="61"/>
  <c r="X21" i="61"/>
  <c r="Z21" i="61" s="1"/>
  <c r="V21" i="61"/>
  <c r="R21" i="61"/>
  <c r="N21" i="61"/>
  <c r="L21" i="61"/>
  <c r="J21" i="61"/>
  <c r="B21" i="61"/>
  <c r="X20" i="61"/>
  <c r="Z20" i="61" s="1"/>
  <c r="V20" i="61"/>
  <c r="N20" i="61"/>
  <c r="L20" i="61"/>
  <c r="J20" i="61"/>
  <c r="F20" i="61"/>
  <c r="B20" i="61"/>
  <c r="V19" i="61"/>
  <c r="T19" i="61"/>
  <c r="P19" i="61"/>
  <c r="X19" i="61" s="1"/>
  <c r="Z19" i="61" s="1"/>
  <c r="H19" i="61"/>
  <c r="F19" i="61"/>
  <c r="D19" i="61"/>
  <c r="L19" i="61" s="1"/>
  <c r="B19" i="61"/>
  <c r="T18" i="61"/>
  <c r="P18" i="61"/>
  <c r="J18" i="61"/>
  <c r="H18" i="61"/>
  <c r="F18" i="61"/>
  <c r="D18" i="61"/>
  <c r="J16" i="61"/>
  <c r="F16" i="61"/>
  <c r="D16" i="61"/>
  <c r="D48" i="61" s="1"/>
  <c r="T14" i="61"/>
  <c r="Z14" i="61" s="1"/>
  <c r="P14" i="61"/>
  <c r="J14" i="61"/>
  <c r="H14" i="61"/>
  <c r="F14" i="61"/>
  <c r="D14" i="61"/>
  <c r="T12" i="61"/>
  <c r="P12" i="61"/>
  <c r="R32" i="61" s="1"/>
  <c r="H12" i="61"/>
  <c r="J30" i="61" s="1"/>
  <c r="D12" i="61"/>
  <c r="F25" i="61" s="1"/>
  <c r="D6" i="61"/>
  <c r="D4" i="61"/>
  <c r="F56" i="60"/>
  <c r="F53" i="60"/>
  <c r="Z51" i="60"/>
  <c r="X51" i="60"/>
  <c r="R51" i="60"/>
  <c r="N51" i="60"/>
  <c r="L51" i="60"/>
  <c r="V49" i="60"/>
  <c r="R49" i="60"/>
  <c r="V47" i="60"/>
  <c r="T47" i="60"/>
  <c r="Z47" i="60" s="1"/>
  <c r="R47" i="60"/>
  <c r="P47" i="60"/>
  <c r="H47" i="60"/>
  <c r="N47" i="60" s="1"/>
  <c r="D47" i="60"/>
  <c r="Z45" i="60"/>
  <c r="X45" i="60"/>
  <c r="V45" i="60"/>
  <c r="R45" i="60"/>
  <c r="L45" i="60"/>
  <c r="N45" i="60" s="1"/>
  <c r="F45" i="60"/>
  <c r="B45" i="60"/>
  <c r="T44" i="60"/>
  <c r="P44" i="60"/>
  <c r="X44" i="60" s="1"/>
  <c r="Z44" i="60" s="1"/>
  <c r="N44" i="60"/>
  <c r="L44" i="60"/>
  <c r="J44" i="60"/>
  <c r="H44" i="60"/>
  <c r="F44" i="60"/>
  <c r="D44" i="60"/>
  <c r="B44" i="60"/>
  <c r="Z43" i="60"/>
  <c r="X43" i="60"/>
  <c r="L43" i="60"/>
  <c r="N43" i="60" s="1"/>
  <c r="F43" i="60"/>
  <c r="B43" i="60"/>
  <c r="T42" i="60"/>
  <c r="R42" i="60"/>
  <c r="P42" i="60"/>
  <c r="X42" i="60" s="1"/>
  <c r="Z42" i="60" s="1"/>
  <c r="L42" i="60"/>
  <c r="J42" i="60"/>
  <c r="H42" i="60"/>
  <c r="N42" i="60" s="1"/>
  <c r="F42" i="60"/>
  <c r="D42" i="60"/>
  <c r="B42" i="60"/>
  <c r="X41" i="60"/>
  <c r="Z41" i="60" s="1"/>
  <c r="R41" i="60"/>
  <c r="N41" i="60"/>
  <c r="L41" i="60"/>
  <c r="J41" i="60"/>
  <c r="F41" i="60"/>
  <c r="B41" i="60"/>
  <c r="Z40" i="60"/>
  <c r="X40" i="60"/>
  <c r="N40" i="60"/>
  <c r="L40" i="60"/>
  <c r="B40" i="60"/>
  <c r="Z39" i="60"/>
  <c r="X39" i="60"/>
  <c r="T39" i="60"/>
  <c r="P39" i="60"/>
  <c r="L39" i="60"/>
  <c r="H39" i="60"/>
  <c r="N39" i="60" s="1"/>
  <c r="D39" i="60"/>
  <c r="B39" i="60"/>
  <c r="Z38" i="60"/>
  <c r="X38" i="60"/>
  <c r="N38" i="60"/>
  <c r="L38" i="60"/>
  <c r="B38" i="60"/>
  <c r="T37" i="60"/>
  <c r="R37" i="60"/>
  <c r="P37" i="60"/>
  <c r="X37" i="60" s="1"/>
  <c r="H37" i="60"/>
  <c r="D37" i="60"/>
  <c r="B37" i="60"/>
  <c r="X36" i="60"/>
  <c r="Z36" i="60" s="1"/>
  <c r="R36" i="60"/>
  <c r="N36" i="60"/>
  <c r="L36" i="60"/>
  <c r="B36" i="60"/>
  <c r="Z35" i="60"/>
  <c r="X35" i="60"/>
  <c r="R35" i="60"/>
  <c r="L35" i="60"/>
  <c r="N35" i="60" s="1"/>
  <c r="F35" i="60"/>
  <c r="B35" i="60"/>
  <c r="T34" i="60"/>
  <c r="R34" i="60"/>
  <c r="P34" i="60"/>
  <c r="X34" i="60" s="1"/>
  <c r="Z34" i="60" s="1"/>
  <c r="L34" i="60"/>
  <c r="J34" i="60"/>
  <c r="H34" i="60"/>
  <c r="F34" i="60"/>
  <c r="D34" i="60"/>
  <c r="B34" i="60"/>
  <c r="X33" i="60"/>
  <c r="Z33" i="60" s="1"/>
  <c r="R33" i="60"/>
  <c r="N33" i="60"/>
  <c r="L33" i="60"/>
  <c r="J33" i="60"/>
  <c r="F33" i="60"/>
  <c r="B33" i="60"/>
  <c r="Z32" i="60"/>
  <c r="T32" i="60"/>
  <c r="R32" i="60"/>
  <c r="P32" i="60"/>
  <c r="X32" i="60" s="1"/>
  <c r="H32" i="60"/>
  <c r="F32" i="60"/>
  <c r="D32" i="60"/>
  <c r="L32" i="60" s="1"/>
  <c r="B32" i="60"/>
  <c r="X31" i="60"/>
  <c r="Z31" i="60" s="1"/>
  <c r="R31" i="60"/>
  <c r="N31" i="60"/>
  <c r="L31" i="60"/>
  <c r="B31" i="60"/>
  <c r="Z30" i="60"/>
  <c r="X30" i="60"/>
  <c r="T30" i="60"/>
  <c r="R30" i="60"/>
  <c r="P30" i="60"/>
  <c r="H30" i="60"/>
  <c r="D30" i="60"/>
  <c r="L30" i="60" s="1"/>
  <c r="N30" i="60" s="1"/>
  <c r="B30" i="60"/>
  <c r="X29" i="60"/>
  <c r="Z29" i="60" s="1"/>
  <c r="R29" i="60"/>
  <c r="L29" i="60"/>
  <c r="N29" i="60" s="1"/>
  <c r="B29" i="60"/>
  <c r="X28" i="60"/>
  <c r="T28" i="60"/>
  <c r="Z28" i="60" s="1"/>
  <c r="R28" i="60"/>
  <c r="P28" i="60"/>
  <c r="H28" i="60"/>
  <c r="D28" i="60"/>
  <c r="L28" i="60" s="1"/>
  <c r="N28" i="60" s="1"/>
  <c r="B28" i="60"/>
  <c r="Z27" i="60"/>
  <c r="X27" i="60"/>
  <c r="R27" i="60"/>
  <c r="L27" i="60"/>
  <c r="N27" i="60" s="1"/>
  <c r="F27" i="60"/>
  <c r="B27" i="60"/>
  <c r="X26" i="60"/>
  <c r="Z26" i="60" s="1"/>
  <c r="R26" i="60"/>
  <c r="N26" i="60"/>
  <c r="L26" i="60"/>
  <c r="J26" i="60"/>
  <c r="B26" i="60"/>
  <c r="X25" i="60"/>
  <c r="Z25" i="60" s="1"/>
  <c r="R25" i="60"/>
  <c r="N25" i="60"/>
  <c r="L25" i="60"/>
  <c r="J25" i="60"/>
  <c r="F25" i="60"/>
  <c r="B25" i="60"/>
  <c r="Z24" i="60"/>
  <c r="X24" i="60"/>
  <c r="N24" i="60"/>
  <c r="L24" i="60"/>
  <c r="F24" i="60"/>
  <c r="B24" i="60"/>
  <c r="Z23" i="60"/>
  <c r="X23" i="60"/>
  <c r="R23" i="60"/>
  <c r="L23" i="60"/>
  <c r="N23" i="60" s="1"/>
  <c r="F23" i="60"/>
  <c r="B23" i="60"/>
  <c r="X22" i="60"/>
  <c r="Z22" i="60" s="1"/>
  <c r="R22" i="60"/>
  <c r="N22" i="60"/>
  <c r="L22" i="60"/>
  <c r="J22" i="60"/>
  <c r="B22" i="60"/>
  <c r="X21" i="60"/>
  <c r="Z21" i="60" s="1"/>
  <c r="R21" i="60"/>
  <c r="N21" i="60"/>
  <c r="L21" i="60"/>
  <c r="J21" i="60"/>
  <c r="F21" i="60"/>
  <c r="B21" i="60"/>
  <c r="Z20" i="60"/>
  <c r="X20" i="60"/>
  <c r="N20" i="60"/>
  <c r="L20" i="60"/>
  <c r="F20" i="60"/>
  <c r="B20" i="60"/>
  <c r="T19" i="60"/>
  <c r="P19" i="60"/>
  <c r="L19" i="60"/>
  <c r="H19" i="60"/>
  <c r="N19" i="60" s="1"/>
  <c r="F19" i="60"/>
  <c r="D19" i="60"/>
  <c r="B19" i="60"/>
  <c r="V18" i="60"/>
  <c r="T18" i="60"/>
  <c r="R18" i="60"/>
  <c r="P18" i="60"/>
  <c r="X18" i="60" s="1"/>
  <c r="Z18" i="60" s="1"/>
  <c r="H18" i="60"/>
  <c r="D18" i="60"/>
  <c r="V16" i="60"/>
  <c r="R16" i="60"/>
  <c r="Z14" i="60"/>
  <c r="X14" i="60"/>
  <c r="V14" i="60"/>
  <c r="T14" i="60"/>
  <c r="R14" i="60"/>
  <c r="P14" i="60"/>
  <c r="N14" i="60"/>
  <c r="H14" i="60"/>
  <c r="D14" i="60"/>
  <c r="L14" i="60" s="1"/>
  <c r="Z12" i="60"/>
  <c r="T12" i="60"/>
  <c r="V38" i="60" s="1"/>
  <c r="P12" i="60"/>
  <c r="R39" i="60" s="1"/>
  <c r="H12" i="60"/>
  <c r="J43" i="60" s="1"/>
  <c r="D12" i="60"/>
  <c r="F26" i="60" s="1"/>
  <c r="D6" i="60"/>
  <c r="D4" i="60"/>
  <c r="R65" i="59"/>
  <c r="R62" i="59"/>
  <c r="Z60" i="59"/>
  <c r="X60" i="59"/>
  <c r="N60" i="59"/>
  <c r="L60" i="59"/>
  <c r="J58" i="59"/>
  <c r="F58" i="59"/>
  <c r="Z56" i="59"/>
  <c r="T56" i="59"/>
  <c r="P56" i="59"/>
  <c r="X56" i="59" s="1"/>
  <c r="N56" i="59"/>
  <c r="L56" i="59"/>
  <c r="J56" i="59"/>
  <c r="H56" i="59"/>
  <c r="F56" i="59"/>
  <c r="D56" i="59"/>
  <c r="Z54" i="59"/>
  <c r="X54" i="59"/>
  <c r="N54" i="59"/>
  <c r="L54" i="59"/>
  <c r="J54" i="59"/>
  <c r="F54" i="59"/>
  <c r="B54" i="59"/>
  <c r="X53" i="59"/>
  <c r="Z53" i="59" s="1"/>
  <c r="R53" i="59"/>
  <c r="N53" i="59"/>
  <c r="L53" i="59"/>
  <c r="F53" i="59"/>
  <c r="B53" i="59"/>
  <c r="Z52" i="59"/>
  <c r="X52" i="59"/>
  <c r="T52" i="59"/>
  <c r="P52" i="59"/>
  <c r="N52" i="59"/>
  <c r="H52" i="59"/>
  <c r="F52" i="59"/>
  <c r="D52" i="59"/>
  <c r="L52" i="59" s="1"/>
  <c r="B52" i="59"/>
  <c r="X51" i="59"/>
  <c r="Z51" i="59" s="1"/>
  <c r="L51" i="59"/>
  <c r="N51" i="59" s="1"/>
  <c r="B51" i="59"/>
  <c r="X50" i="59"/>
  <c r="T50" i="59"/>
  <c r="Z50" i="59" s="1"/>
  <c r="R50" i="59"/>
  <c r="P50" i="59"/>
  <c r="H50" i="59"/>
  <c r="D50" i="59"/>
  <c r="L50" i="59" s="1"/>
  <c r="N50" i="59" s="1"/>
  <c r="B50" i="59"/>
  <c r="Z49" i="59"/>
  <c r="X49" i="59"/>
  <c r="R49" i="59"/>
  <c r="L49" i="59"/>
  <c r="N49" i="59" s="1"/>
  <c r="F49" i="59"/>
  <c r="B49" i="59"/>
  <c r="X48" i="59"/>
  <c r="Z48" i="59" s="1"/>
  <c r="R48" i="59"/>
  <c r="N48" i="59"/>
  <c r="L48" i="59"/>
  <c r="J48" i="59"/>
  <c r="B48" i="59"/>
  <c r="X47" i="59"/>
  <c r="T47" i="59"/>
  <c r="Z47" i="59" s="1"/>
  <c r="P47" i="59"/>
  <c r="H47" i="59"/>
  <c r="D47" i="59"/>
  <c r="B47" i="59"/>
  <c r="Z46" i="59"/>
  <c r="X46" i="59"/>
  <c r="L46" i="59"/>
  <c r="N46" i="59" s="1"/>
  <c r="J46" i="59"/>
  <c r="F46" i="59"/>
  <c r="B46" i="59"/>
  <c r="T45" i="59"/>
  <c r="P45" i="59"/>
  <c r="J45" i="59"/>
  <c r="H45" i="59"/>
  <c r="F45" i="59"/>
  <c r="D45" i="59"/>
  <c r="L45" i="59" s="1"/>
  <c r="B45" i="59"/>
  <c r="Z44" i="59"/>
  <c r="X44" i="59"/>
  <c r="L44" i="59"/>
  <c r="N44" i="59" s="1"/>
  <c r="F44" i="59"/>
  <c r="B44" i="59"/>
  <c r="X43" i="59"/>
  <c r="Z43" i="59" s="1"/>
  <c r="L43" i="59"/>
  <c r="N43" i="59" s="1"/>
  <c r="B43" i="59"/>
  <c r="X42" i="59"/>
  <c r="Z42" i="59" s="1"/>
  <c r="N42" i="59"/>
  <c r="L42" i="59"/>
  <c r="B42" i="59"/>
  <c r="T41" i="59"/>
  <c r="R41" i="59"/>
  <c r="P41" i="59"/>
  <c r="X41" i="59" s="1"/>
  <c r="Z41" i="59" s="1"/>
  <c r="L41" i="59"/>
  <c r="H41" i="59"/>
  <c r="D41" i="59"/>
  <c r="B41" i="59"/>
  <c r="X40" i="59"/>
  <c r="Z40" i="59" s="1"/>
  <c r="R40" i="59"/>
  <c r="N40" i="59"/>
  <c r="L40" i="59"/>
  <c r="J40" i="59"/>
  <c r="B40" i="59"/>
  <c r="X39" i="59"/>
  <c r="T39" i="59"/>
  <c r="Z39" i="59" s="1"/>
  <c r="P39" i="59"/>
  <c r="L39" i="59"/>
  <c r="N39" i="59" s="1"/>
  <c r="H39" i="59"/>
  <c r="D39" i="59"/>
  <c r="B39" i="59"/>
  <c r="Z38" i="59"/>
  <c r="X38" i="59"/>
  <c r="L38" i="59"/>
  <c r="N38" i="59" s="1"/>
  <c r="J38" i="59"/>
  <c r="F38" i="59"/>
  <c r="B38" i="59"/>
  <c r="T37" i="59"/>
  <c r="P37" i="59"/>
  <c r="J37" i="59"/>
  <c r="H37" i="59"/>
  <c r="F37" i="59"/>
  <c r="D37" i="59"/>
  <c r="L37" i="59" s="1"/>
  <c r="B37" i="59"/>
  <c r="Z36" i="59"/>
  <c r="X36" i="59"/>
  <c r="N36" i="59"/>
  <c r="L36" i="59"/>
  <c r="F36" i="59"/>
  <c r="B36" i="59"/>
  <c r="X35" i="59"/>
  <c r="T35" i="59"/>
  <c r="Z35" i="59" s="1"/>
  <c r="P35" i="59"/>
  <c r="N35" i="59"/>
  <c r="H35" i="59"/>
  <c r="F35" i="59"/>
  <c r="D35" i="59"/>
  <c r="L35" i="59" s="1"/>
  <c r="B35" i="59"/>
  <c r="Z34" i="59"/>
  <c r="X34" i="59"/>
  <c r="N34" i="59"/>
  <c r="L34" i="59"/>
  <c r="F34" i="59"/>
  <c r="B34" i="59"/>
  <c r="X33" i="59"/>
  <c r="Z33" i="59" s="1"/>
  <c r="R33" i="59"/>
  <c r="L33" i="59"/>
  <c r="N33" i="59" s="1"/>
  <c r="F33" i="59"/>
  <c r="B33" i="59"/>
  <c r="X32" i="59"/>
  <c r="Z32" i="59" s="1"/>
  <c r="R32" i="59"/>
  <c r="N32" i="59"/>
  <c r="L32" i="59"/>
  <c r="J32" i="59"/>
  <c r="B32" i="59"/>
  <c r="X31" i="59"/>
  <c r="Z31" i="59" s="1"/>
  <c r="N31" i="59"/>
  <c r="L31" i="59"/>
  <c r="J31" i="59"/>
  <c r="F31" i="59"/>
  <c r="B31" i="59"/>
  <c r="Z30" i="59"/>
  <c r="X30" i="59"/>
  <c r="N30" i="59"/>
  <c r="L30" i="59"/>
  <c r="F30" i="59"/>
  <c r="B30" i="59"/>
  <c r="T29" i="59"/>
  <c r="P29" i="59"/>
  <c r="L29" i="59"/>
  <c r="H29" i="59"/>
  <c r="N29" i="59" s="1"/>
  <c r="F29" i="59"/>
  <c r="D29" i="59"/>
  <c r="B29" i="59"/>
  <c r="Z28" i="59"/>
  <c r="X28" i="59"/>
  <c r="N28" i="59"/>
  <c r="L28" i="59"/>
  <c r="J28" i="59"/>
  <c r="F28" i="59"/>
  <c r="B28" i="59"/>
  <c r="Z27" i="59"/>
  <c r="X27" i="59"/>
  <c r="R27" i="59"/>
  <c r="L27" i="59"/>
  <c r="N27" i="59" s="1"/>
  <c r="F27" i="59"/>
  <c r="B27" i="59"/>
  <c r="Z26" i="59"/>
  <c r="X26" i="59"/>
  <c r="L26" i="59"/>
  <c r="N26" i="59" s="1"/>
  <c r="J26" i="59"/>
  <c r="F26" i="59"/>
  <c r="B26" i="59"/>
  <c r="X25" i="59"/>
  <c r="Z25" i="59" s="1"/>
  <c r="R25" i="59"/>
  <c r="N25" i="59"/>
  <c r="L25" i="59"/>
  <c r="F25" i="59"/>
  <c r="B25" i="59"/>
  <c r="Z24" i="59"/>
  <c r="X24" i="59"/>
  <c r="N24" i="59"/>
  <c r="L24" i="59"/>
  <c r="J24" i="59"/>
  <c r="F24" i="59"/>
  <c r="B24" i="59"/>
  <c r="Z23" i="59"/>
  <c r="X23" i="59"/>
  <c r="R23" i="59"/>
  <c r="L23" i="59"/>
  <c r="N23" i="59" s="1"/>
  <c r="F23" i="59"/>
  <c r="B23" i="59"/>
  <c r="Z22" i="59"/>
  <c r="X22" i="59"/>
  <c r="L22" i="59"/>
  <c r="N22" i="59" s="1"/>
  <c r="J22" i="59"/>
  <c r="F22" i="59"/>
  <c r="B22" i="59"/>
  <c r="X21" i="59"/>
  <c r="Z21" i="59" s="1"/>
  <c r="R21" i="59"/>
  <c r="N21" i="59"/>
  <c r="L21" i="59"/>
  <c r="F21" i="59"/>
  <c r="B21" i="59"/>
  <c r="Z20" i="59"/>
  <c r="X20" i="59"/>
  <c r="N20" i="59"/>
  <c r="L20" i="59"/>
  <c r="J20" i="59"/>
  <c r="F20" i="59"/>
  <c r="B20" i="59"/>
  <c r="T19" i="59"/>
  <c r="P19" i="59"/>
  <c r="X19" i="59" s="1"/>
  <c r="H19" i="59"/>
  <c r="F19" i="59"/>
  <c r="D19" i="59"/>
  <c r="B19" i="59"/>
  <c r="X18" i="59"/>
  <c r="V18" i="59"/>
  <c r="T18" i="59"/>
  <c r="R18" i="59"/>
  <c r="P18" i="59"/>
  <c r="J18" i="59"/>
  <c r="H18" i="59"/>
  <c r="F18" i="59"/>
  <c r="D18" i="59"/>
  <c r="L18" i="59" s="1"/>
  <c r="N18" i="59" s="1"/>
  <c r="R16" i="59"/>
  <c r="J16" i="59"/>
  <c r="F16" i="59"/>
  <c r="X14" i="59"/>
  <c r="T14" i="59"/>
  <c r="Z14" i="59" s="1"/>
  <c r="R14" i="59"/>
  <c r="P14" i="59"/>
  <c r="N14" i="59"/>
  <c r="J14" i="59"/>
  <c r="H14" i="59"/>
  <c r="F14" i="59"/>
  <c r="D14" i="59"/>
  <c r="L14" i="59" s="1"/>
  <c r="T12" i="59"/>
  <c r="P12" i="59"/>
  <c r="R60" i="59" s="1"/>
  <c r="N12" i="59"/>
  <c r="H12" i="59"/>
  <c r="J47" i="59" s="1"/>
  <c r="D12" i="59"/>
  <c r="F48" i="59" s="1"/>
  <c r="D6" i="59"/>
  <c r="D4" i="59"/>
  <c r="R78" i="58"/>
  <c r="R75" i="58"/>
  <c r="Z73" i="58"/>
  <c r="X73" i="58"/>
  <c r="R73" i="58"/>
  <c r="N73" i="58"/>
  <c r="L73" i="58"/>
  <c r="V71" i="58"/>
  <c r="J71" i="58"/>
  <c r="Z69" i="58"/>
  <c r="V69" i="58"/>
  <c r="T69" i="58"/>
  <c r="P69" i="58"/>
  <c r="X69" i="58" s="1"/>
  <c r="L69" i="58"/>
  <c r="H69" i="58"/>
  <c r="N69" i="58" s="1"/>
  <c r="D69" i="58"/>
  <c r="Z67" i="58"/>
  <c r="X67" i="58"/>
  <c r="V67" i="58"/>
  <c r="N67" i="58"/>
  <c r="L67" i="58"/>
  <c r="B67" i="58"/>
  <c r="T66" i="58"/>
  <c r="P66" i="58"/>
  <c r="X66" i="58" s="1"/>
  <c r="N66" i="58"/>
  <c r="H66" i="58"/>
  <c r="D66" i="58"/>
  <c r="L66" i="58" s="1"/>
  <c r="B66" i="58"/>
  <c r="Z65" i="58"/>
  <c r="X65" i="58"/>
  <c r="V65" i="58"/>
  <c r="N65" i="58"/>
  <c r="L65" i="58"/>
  <c r="B65" i="58"/>
  <c r="Z64" i="58"/>
  <c r="X64" i="58"/>
  <c r="T64" i="58"/>
  <c r="P64" i="58"/>
  <c r="L64" i="58"/>
  <c r="H64" i="58"/>
  <c r="N64" i="58" s="1"/>
  <c r="D64" i="58"/>
  <c r="B64" i="58"/>
  <c r="Z63" i="58"/>
  <c r="X63" i="58"/>
  <c r="V63" i="58"/>
  <c r="N63" i="58"/>
  <c r="L63" i="58"/>
  <c r="B63" i="58"/>
  <c r="V62" i="58"/>
  <c r="T62" i="58"/>
  <c r="P62" i="58"/>
  <c r="L62" i="58"/>
  <c r="H62" i="58"/>
  <c r="D62" i="58"/>
  <c r="B62" i="58"/>
  <c r="X61" i="58"/>
  <c r="Z61" i="58" s="1"/>
  <c r="V61" i="58"/>
  <c r="R61" i="58"/>
  <c r="N61" i="58"/>
  <c r="L61" i="58"/>
  <c r="B61" i="58"/>
  <c r="Z60" i="58"/>
  <c r="X60" i="58"/>
  <c r="N60" i="58"/>
  <c r="L60" i="58"/>
  <c r="B60" i="58"/>
  <c r="Z59" i="58"/>
  <c r="X59" i="58"/>
  <c r="V59" i="58"/>
  <c r="L59" i="58"/>
  <c r="N59" i="58" s="1"/>
  <c r="B59" i="58"/>
  <c r="Z58" i="58"/>
  <c r="X58" i="58"/>
  <c r="R58" i="58"/>
  <c r="N58" i="58"/>
  <c r="L58" i="58"/>
  <c r="B58" i="58"/>
  <c r="X57" i="58"/>
  <c r="V57" i="58"/>
  <c r="T57" i="58"/>
  <c r="Z57" i="58" s="1"/>
  <c r="R57" i="58"/>
  <c r="P57" i="58"/>
  <c r="N57" i="58"/>
  <c r="H57" i="58"/>
  <c r="D57" i="58"/>
  <c r="L57" i="58" s="1"/>
  <c r="B57" i="58"/>
  <c r="Z56" i="58"/>
  <c r="X56" i="58"/>
  <c r="R56" i="58"/>
  <c r="N56" i="58"/>
  <c r="L56" i="58"/>
  <c r="B56" i="58"/>
  <c r="T55" i="58"/>
  <c r="R55" i="58"/>
  <c r="P55" i="58"/>
  <c r="N55" i="58"/>
  <c r="H55" i="58"/>
  <c r="D55" i="58"/>
  <c r="L55" i="58" s="1"/>
  <c r="B55" i="58"/>
  <c r="Z54" i="58"/>
  <c r="X54" i="58"/>
  <c r="V54" i="58"/>
  <c r="R54" i="58"/>
  <c r="N54" i="58"/>
  <c r="L54" i="58"/>
  <c r="B54" i="58"/>
  <c r="Z53" i="58"/>
  <c r="X53" i="58"/>
  <c r="R53" i="58"/>
  <c r="L53" i="58"/>
  <c r="N53" i="58" s="1"/>
  <c r="B53" i="58"/>
  <c r="T52" i="58"/>
  <c r="P52" i="58"/>
  <c r="H52" i="58"/>
  <c r="D52" i="58"/>
  <c r="B52" i="58"/>
  <c r="Z51" i="58"/>
  <c r="X51" i="58"/>
  <c r="V51" i="58"/>
  <c r="L51" i="58"/>
  <c r="N51" i="58" s="1"/>
  <c r="B51" i="58"/>
  <c r="X50" i="58"/>
  <c r="Z50" i="58" s="1"/>
  <c r="R50" i="58"/>
  <c r="L50" i="58"/>
  <c r="N50" i="58" s="1"/>
  <c r="B50" i="58"/>
  <c r="X49" i="58"/>
  <c r="V49" i="58"/>
  <c r="T49" i="58"/>
  <c r="Z49" i="58" s="1"/>
  <c r="R49" i="58"/>
  <c r="P49" i="58"/>
  <c r="H49" i="58"/>
  <c r="D49" i="58"/>
  <c r="L49" i="58" s="1"/>
  <c r="N49" i="58" s="1"/>
  <c r="B49" i="58"/>
  <c r="Z48" i="58"/>
  <c r="X48" i="58"/>
  <c r="R48" i="58"/>
  <c r="L48" i="58"/>
  <c r="N48" i="58" s="1"/>
  <c r="B48" i="58"/>
  <c r="T47" i="58"/>
  <c r="R47" i="58"/>
  <c r="P47" i="58"/>
  <c r="N47" i="58"/>
  <c r="H47" i="58"/>
  <c r="D47" i="58"/>
  <c r="L47" i="58" s="1"/>
  <c r="B47" i="58"/>
  <c r="Z46" i="58"/>
  <c r="X46" i="58"/>
  <c r="V46" i="58"/>
  <c r="R46" i="58"/>
  <c r="N46" i="58"/>
  <c r="L46" i="58"/>
  <c r="B46" i="58"/>
  <c r="Z45" i="58"/>
  <c r="T45" i="58"/>
  <c r="P45" i="58"/>
  <c r="X45" i="58" s="1"/>
  <c r="N45" i="58"/>
  <c r="L45" i="58"/>
  <c r="H45" i="58"/>
  <c r="D45" i="58"/>
  <c r="B45" i="58"/>
  <c r="Z44" i="58"/>
  <c r="X44" i="58"/>
  <c r="V44" i="58"/>
  <c r="N44" i="58"/>
  <c r="L44" i="58"/>
  <c r="B44" i="58"/>
  <c r="V43" i="58"/>
  <c r="T43" i="58"/>
  <c r="P43" i="58"/>
  <c r="X43" i="58" s="1"/>
  <c r="Z43" i="58" s="1"/>
  <c r="L43" i="58"/>
  <c r="H43" i="58"/>
  <c r="N43" i="58" s="1"/>
  <c r="D43" i="58"/>
  <c r="B43" i="58"/>
  <c r="X42" i="58"/>
  <c r="Z42" i="58" s="1"/>
  <c r="N42" i="58"/>
  <c r="L42" i="58"/>
  <c r="B42" i="58"/>
  <c r="V41" i="58"/>
  <c r="T41" i="58"/>
  <c r="R41" i="58"/>
  <c r="P41" i="58"/>
  <c r="X41" i="58" s="1"/>
  <c r="Z41" i="58" s="1"/>
  <c r="L41" i="58"/>
  <c r="H41" i="58"/>
  <c r="N41" i="58" s="1"/>
  <c r="D41" i="58"/>
  <c r="B41" i="58"/>
  <c r="X40" i="58"/>
  <c r="Z40" i="58" s="1"/>
  <c r="R40" i="58"/>
  <c r="N40" i="58"/>
  <c r="L40" i="58"/>
  <c r="B40" i="58"/>
  <c r="Z39" i="58"/>
  <c r="X39" i="58"/>
  <c r="V39" i="58"/>
  <c r="T39" i="58"/>
  <c r="R39" i="58"/>
  <c r="P39" i="58"/>
  <c r="H39" i="58"/>
  <c r="D39" i="58"/>
  <c r="B39" i="58"/>
  <c r="X38" i="58"/>
  <c r="Z38" i="58" s="1"/>
  <c r="R38" i="58"/>
  <c r="L38" i="58"/>
  <c r="N38" i="58" s="1"/>
  <c r="B38" i="58"/>
  <c r="X37" i="58"/>
  <c r="V37" i="58"/>
  <c r="T37" i="58"/>
  <c r="Z37" i="58" s="1"/>
  <c r="R37" i="58"/>
  <c r="P37" i="58"/>
  <c r="H37" i="58"/>
  <c r="D37" i="58"/>
  <c r="L37" i="58" s="1"/>
  <c r="N37" i="58" s="1"/>
  <c r="B37" i="58"/>
  <c r="Z36" i="58"/>
  <c r="X36" i="58"/>
  <c r="V36" i="58"/>
  <c r="R36" i="58"/>
  <c r="L36" i="58"/>
  <c r="N36" i="58" s="1"/>
  <c r="B36" i="58"/>
  <c r="X35" i="58"/>
  <c r="T35" i="58"/>
  <c r="R35" i="58"/>
  <c r="P35" i="58"/>
  <c r="N35" i="58"/>
  <c r="H35" i="58"/>
  <c r="D35" i="58"/>
  <c r="L35" i="58" s="1"/>
  <c r="B35" i="58"/>
  <c r="Z34" i="58"/>
  <c r="X34" i="58"/>
  <c r="V34" i="58"/>
  <c r="R34" i="58"/>
  <c r="L34" i="58"/>
  <c r="N34" i="58" s="1"/>
  <c r="F34" i="58"/>
  <c r="B34" i="58"/>
  <c r="Z33" i="58"/>
  <c r="X33" i="58"/>
  <c r="R33" i="58"/>
  <c r="L33" i="58"/>
  <c r="N33" i="58" s="1"/>
  <c r="B33" i="58"/>
  <c r="X32" i="58"/>
  <c r="Z32" i="58" s="1"/>
  <c r="R32" i="58"/>
  <c r="N32" i="58"/>
  <c r="L32" i="58"/>
  <c r="B32" i="58"/>
  <c r="Z31" i="58"/>
  <c r="X31" i="58"/>
  <c r="V31" i="58"/>
  <c r="N31" i="58"/>
  <c r="L31" i="58"/>
  <c r="B31" i="58"/>
  <c r="V30" i="58"/>
  <c r="T30" i="58"/>
  <c r="R30" i="58"/>
  <c r="P30" i="58"/>
  <c r="L30" i="58"/>
  <c r="H30" i="58"/>
  <c r="D30" i="58"/>
  <c r="B30" i="58"/>
  <c r="X29" i="58"/>
  <c r="Z29" i="58" s="1"/>
  <c r="V29" i="58"/>
  <c r="R29" i="58"/>
  <c r="N29" i="58"/>
  <c r="L29" i="58"/>
  <c r="J29" i="58"/>
  <c r="B29" i="58"/>
  <c r="Z28" i="58"/>
  <c r="X28" i="58"/>
  <c r="V28" i="58"/>
  <c r="R28" i="58"/>
  <c r="L28" i="58"/>
  <c r="N28" i="58" s="1"/>
  <c r="B28" i="58"/>
  <c r="Z27" i="58"/>
  <c r="X27" i="58"/>
  <c r="V27" i="58"/>
  <c r="R27" i="58"/>
  <c r="L27" i="58"/>
  <c r="N27" i="58" s="1"/>
  <c r="B27" i="58"/>
  <c r="X26" i="58"/>
  <c r="Z26" i="58" s="1"/>
  <c r="R26" i="58"/>
  <c r="L26" i="58"/>
  <c r="N26" i="58" s="1"/>
  <c r="B26" i="58"/>
  <c r="X25" i="58"/>
  <c r="Z25" i="58" s="1"/>
  <c r="V25" i="58"/>
  <c r="R25" i="58"/>
  <c r="N25" i="58"/>
  <c r="L25" i="58"/>
  <c r="B25" i="58"/>
  <c r="Z24" i="58"/>
  <c r="X24" i="58"/>
  <c r="V24" i="58"/>
  <c r="R24" i="58"/>
  <c r="L24" i="58"/>
  <c r="N24" i="58" s="1"/>
  <c r="J24" i="58"/>
  <c r="B24" i="58"/>
  <c r="Z23" i="58"/>
  <c r="X23" i="58"/>
  <c r="V23" i="58"/>
  <c r="R23" i="58"/>
  <c r="L23" i="58"/>
  <c r="N23" i="58" s="1"/>
  <c r="B23" i="58"/>
  <c r="X22" i="58"/>
  <c r="Z22" i="58" s="1"/>
  <c r="R22" i="58"/>
  <c r="L22" i="58"/>
  <c r="N22" i="58" s="1"/>
  <c r="B22" i="58"/>
  <c r="X21" i="58"/>
  <c r="Z21" i="58" s="1"/>
  <c r="V21" i="58"/>
  <c r="R21" i="58"/>
  <c r="N21" i="58"/>
  <c r="L21" i="58"/>
  <c r="B21" i="58"/>
  <c r="Z20" i="58"/>
  <c r="X20" i="58"/>
  <c r="V20" i="58"/>
  <c r="R20" i="58"/>
  <c r="N20" i="58"/>
  <c r="L20" i="58"/>
  <c r="B20" i="58"/>
  <c r="Z19" i="58"/>
  <c r="V19" i="58"/>
  <c r="T19" i="58"/>
  <c r="P19" i="58"/>
  <c r="X19" i="58" s="1"/>
  <c r="J19" i="58"/>
  <c r="H19" i="58"/>
  <c r="D19" i="58"/>
  <c r="B19" i="58"/>
  <c r="T18" i="58"/>
  <c r="R18" i="58"/>
  <c r="P18" i="58"/>
  <c r="X18" i="58" s="1"/>
  <c r="H18" i="58"/>
  <c r="D18" i="58"/>
  <c r="R16" i="58"/>
  <c r="T14" i="58"/>
  <c r="Z14" i="58" s="1"/>
  <c r="R14" i="58"/>
  <c r="P14" i="58"/>
  <c r="N14" i="58"/>
  <c r="H14" i="58"/>
  <c r="L14" i="58" s="1"/>
  <c r="D14" i="58"/>
  <c r="X12" i="58"/>
  <c r="T12" i="58"/>
  <c r="V64" i="58" s="1"/>
  <c r="P12" i="58"/>
  <c r="R62" i="58" s="1"/>
  <c r="H12" i="58"/>
  <c r="J57" i="58" s="1"/>
  <c r="D12" i="58"/>
  <c r="F43" i="58" s="1"/>
  <c r="D6" i="58"/>
  <c r="D4" i="58"/>
  <c r="J72" i="57"/>
  <c r="F72" i="57"/>
  <c r="F69" i="57"/>
  <c r="Z67" i="57"/>
  <c r="X67" i="57"/>
  <c r="N67" i="57"/>
  <c r="L67" i="57"/>
  <c r="J67" i="57"/>
  <c r="F67" i="57"/>
  <c r="F65" i="57"/>
  <c r="X63" i="57"/>
  <c r="T63" i="57"/>
  <c r="Z63" i="57" s="1"/>
  <c r="P63" i="57"/>
  <c r="H63" i="57"/>
  <c r="N63" i="57" s="1"/>
  <c r="F63" i="57"/>
  <c r="D63" i="57"/>
  <c r="L63" i="57" s="1"/>
  <c r="Z61" i="57"/>
  <c r="X61" i="57"/>
  <c r="N61" i="57"/>
  <c r="L61" i="57"/>
  <c r="F61" i="57"/>
  <c r="B61" i="57"/>
  <c r="T60" i="57"/>
  <c r="Z60" i="57" s="1"/>
  <c r="P60" i="57"/>
  <c r="X60" i="57" s="1"/>
  <c r="N60" i="57"/>
  <c r="H60" i="57"/>
  <c r="F60" i="57"/>
  <c r="D60" i="57"/>
  <c r="L60" i="57" s="1"/>
  <c r="B60" i="57"/>
  <c r="X59" i="57"/>
  <c r="Z59" i="57" s="1"/>
  <c r="N59" i="57"/>
  <c r="L59" i="57"/>
  <c r="F59" i="57"/>
  <c r="B59" i="57"/>
  <c r="Z58" i="57"/>
  <c r="X58" i="57"/>
  <c r="T58" i="57"/>
  <c r="P58" i="57"/>
  <c r="N58" i="57"/>
  <c r="L58" i="57"/>
  <c r="H58" i="57"/>
  <c r="F58" i="57"/>
  <c r="D58" i="57"/>
  <c r="B58" i="57"/>
  <c r="Z57" i="57"/>
  <c r="X57" i="57"/>
  <c r="L57" i="57"/>
  <c r="N57" i="57" s="1"/>
  <c r="F57" i="57"/>
  <c r="B57" i="57"/>
  <c r="T56" i="57"/>
  <c r="P56" i="57"/>
  <c r="X56" i="57" s="1"/>
  <c r="Z56" i="57" s="1"/>
  <c r="N56" i="57"/>
  <c r="L56" i="57"/>
  <c r="H56" i="57"/>
  <c r="F56" i="57"/>
  <c r="D56" i="57"/>
  <c r="B56" i="57"/>
  <c r="X55" i="57"/>
  <c r="Z55" i="57" s="1"/>
  <c r="L55" i="57"/>
  <c r="N55" i="57" s="1"/>
  <c r="J55" i="57"/>
  <c r="F55" i="57"/>
  <c r="B55" i="57"/>
  <c r="Z54" i="57"/>
  <c r="X54" i="57"/>
  <c r="L54" i="57"/>
  <c r="N54" i="57" s="1"/>
  <c r="F54" i="57"/>
  <c r="B54" i="57"/>
  <c r="Z53" i="57"/>
  <c r="X53" i="57"/>
  <c r="N53" i="57"/>
  <c r="L53" i="57"/>
  <c r="F53" i="57"/>
  <c r="B53" i="57"/>
  <c r="T52" i="57"/>
  <c r="P52" i="57"/>
  <c r="X52" i="57" s="1"/>
  <c r="N52" i="57"/>
  <c r="J52" i="57"/>
  <c r="H52" i="57"/>
  <c r="F52" i="57"/>
  <c r="D52" i="57"/>
  <c r="L52" i="57" s="1"/>
  <c r="B52" i="57"/>
  <c r="Z51" i="57"/>
  <c r="X51" i="57"/>
  <c r="N51" i="57"/>
  <c r="L51" i="57"/>
  <c r="F51" i="57"/>
  <c r="B51" i="57"/>
  <c r="Z50" i="57"/>
  <c r="X50" i="57"/>
  <c r="T50" i="57"/>
  <c r="P50" i="57"/>
  <c r="N50" i="57"/>
  <c r="L50" i="57"/>
  <c r="J50" i="57"/>
  <c r="H50" i="57"/>
  <c r="F50" i="57"/>
  <c r="D50" i="57"/>
  <c r="B50" i="57"/>
  <c r="Z49" i="57"/>
  <c r="X49" i="57"/>
  <c r="N49" i="57"/>
  <c r="L49" i="57"/>
  <c r="F49" i="57"/>
  <c r="B49" i="57"/>
  <c r="T48" i="57"/>
  <c r="P48" i="57"/>
  <c r="H48" i="57"/>
  <c r="L48" i="57" s="1"/>
  <c r="N48" i="57" s="1"/>
  <c r="F48" i="57"/>
  <c r="D48" i="57"/>
  <c r="B48" i="57"/>
  <c r="X47" i="57"/>
  <c r="Z47" i="57" s="1"/>
  <c r="L47" i="57"/>
  <c r="N47" i="57" s="1"/>
  <c r="J47" i="57"/>
  <c r="F47" i="57"/>
  <c r="B47" i="57"/>
  <c r="Z46" i="57"/>
  <c r="X46" i="57"/>
  <c r="L46" i="57"/>
  <c r="N46" i="57" s="1"/>
  <c r="F46" i="57"/>
  <c r="B46" i="57"/>
  <c r="Z45" i="57"/>
  <c r="X45" i="57"/>
  <c r="N45" i="57"/>
  <c r="L45" i="57"/>
  <c r="F45" i="57"/>
  <c r="B45" i="57"/>
  <c r="T44" i="57"/>
  <c r="P44" i="57"/>
  <c r="N44" i="57"/>
  <c r="J44" i="57"/>
  <c r="H44" i="57"/>
  <c r="F44" i="57"/>
  <c r="D44" i="57"/>
  <c r="L44" i="57" s="1"/>
  <c r="B44" i="57"/>
  <c r="X43" i="57"/>
  <c r="Z43" i="57" s="1"/>
  <c r="N43" i="57"/>
  <c r="L43" i="57"/>
  <c r="F43" i="57"/>
  <c r="B43" i="57"/>
  <c r="Z42" i="57"/>
  <c r="X42" i="57"/>
  <c r="T42" i="57"/>
  <c r="P42" i="57"/>
  <c r="N42" i="57"/>
  <c r="L42" i="57"/>
  <c r="J42" i="57"/>
  <c r="H42" i="57"/>
  <c r="F42" i="57"/>
  <c r="D42" i="57"/>
  <c r="B42" i="57"/>
  <c r="Z41" i="57"/>
  <c r="X41" i="57"/>
  <c r="L41" i="57"/>
  <c r="N41" i="57" s="1"/>
  <c r="J41" i="57"/>
  <c r="F41" i="57"/>
  <c r="B41" i="57"/>
  <c r="T40" i="57"/>
  <c r="P40" i="57"/>
  <c r="H40" i="57"/>
  <c r="F40" i="57"/>
  <c r="D40" i="57"/>
  <c r="B40" i="57"/>
  <c r="X39" i="57"/>
  <c r="Z39" i="57" s="1"/>
  <c r="N39" i="57"/>
  <c r="L39" i="57"/>
  <c r="F39" i="57"/>
  <c r="B39" i="57"/>
  <c r="Z38" i="57"/>
  <c r="X38" i="57"/>
  <c r="N38" i="57"/>
  <c r="L38" i="57"/>
  <c r="J38" i="57"/>
  <c r="F38" i="57"/>
  <c r="B38" i="57"/>
  <c r="T37" i="57"/>
  <c r="P37" i="57"/>
  <c r="X37" i="57" s="1"/>
  <c r="Z37" i="57" s="1"/>
  <c r="J37" i="57"/>
  <c r="H37" i="57"/>
  <c r="F37" i="57"/>
  <c r="D37" i="57"/>
  <c r="L37" i="57" s="1"/>
  <c r="B37" i="57"/>
  <c r="Z36" i="57"/>
  <c r="X36" i="57"/>
  <c r="N36" i="57"/>
  <c r="L36" i="57"/>
  <c r="F36" i="57"/>
  <c r="B36" i="57"/>
  <c r="T35" i="57"/>
  <c r="P35" i="57"/>
  <c r="H35" i="57"/>
  <c r="F35" i="57"/>
  <c r="D35" i="57"/>
  <c r="L35" i="57" s="1"/>
  <c r="B35" i="57"/>
  <c r="Z34" i="57"/>
  <c r="X34" i="57"/>
  <c r="N34" i="57"/>
  <c r="L34" i="57"/>
  <c r="B34" i="57"/>
  <c r="T33" i="57"/>
  <c r="Z33" i="57" s="1"/>
  <c r="P33" i="57"/>
  <c r="X33" i="57" s="1"/>
  <c r="L33" i="57"/>
  <c r="H33" i="57"/>
  <c r="D33" i="57"/>
  <c r="B33" i="57"/>
  <c r="X32" i="57"/>
  <c r="Z32" i="57" s="1"/>
  <c r="N32" i="57"/>
  <c r="L32" i="57"/>
  <c r="B32" i="57"/>
  <c r="X31" i="57"/>
  <c r="Z31" i="57" s="1"/>
  <c r="N31" i="57"/>
  <c r="L31" i="57"/>
  <c r="F31" i="57"/>
  <c r="B31" i="57"/>
  <c r="Z30" i="57"/>
  <c r="X30" i="57"/>
  <c r="L30" i="57"/>
  <c r="N30" i="57" s="1"/>
  <c r="J30" i="57"/>
  <c r="F30" i="57"/>
  <c r="B30" i="57"/>
  <c r="X29" i="57"/>
  <c r="Z29" i="57" s="1"/>
  <c r="L29" i="57"/>
  <c r="N29" i="57" s="1"/>
  <c r="F29" i="57"/>
  <c r="B29" i="57"/>
  <c r="X28" i="57"/>
  <c r="T28" i="57"/>
  <c r="P28" i="57"/>
  <c r="H28" i="57"/>
  <c r="F28" i="57"/>
  <c r="D28" i="57"/>
  <c r="L28" i="57" s="1"/>
  <c r="N28" i="57" s="1"/>
  <c r="B28" i="57"/>
  <c r="X27" i="57"/>
  <c r="Z27" i="57" s="1"/>
  <c r="N27" i="57"/>
  <c r="L27" i="57"/>
  <c r="F27" i="57"/>
  <c r="B27" i="57"/>
  <c r="X26" i="57"/>
  <c r="Z26" i="57" s="1"/>
  <c r="L26" i="57"/>
  <c r="N26" i="57" s="1"/>
  <c r="J26" i="57"/>
  <c r="F26" i="57"/>
  <c r="B26" i="57"/>
  <c r="X25" i="57"/>
  <c r="Z25" i="57" s="1"/>
  <c r="L25" i="57"/>
  <c r="N25" i="57" s="1"/>
  <c r="J25" i="57"/>
  <c r="F25" i="57"/>
  <c r="B25" i="57"/>
  <c r="X24" i="57"/>
  <c r="Z24" i="57" s="1"/>
  <c r="N24" i="57"/>
  <c r="L24" i="57"/>
  <c r="F24" i="57"/>
  <c r="B24" i="57"/>
  <c r="X23" i="57"/>
  <c r="Z23" i="57" s="1"/>
  <c r="L23" i="57"/>
  <c r="N23" i="57" s="1"/>
  <c r="F23" i="57"/>
  <c r="B23" i="57"/>
  <c r="Z22" i="57"/>
  <c r="X22" i="57"/>
  <c r="L22" i="57"/>
  <c r="N22" i="57" s="1"/>
  <c r="J22" i="57"/>
  <c r="F22" i="57"/>
  <c r="B22" i="57"/>
  <c r="X21" i="57"/>
  <c r="Z21" i="57" s="1"/>
  <c r="N21" i="57"/>
  <c r="L21" i="57"/>
  <c r="F21" i="57"/>
  <c r="B21" i="57"/>
  <c r="X20" i="57"/>
  <c r="Z20" i="57" s="1"/>
  <c r="N20" i="57"/>
  <c r="L20" i="57"/>
  <c r="J20" i="57"/>
  <c r="F20" i="57"/>
  <c r="B20" i="57"/>
  <c r="T19" i="57"/>
  <c r="P19" i="57"/>
  <c r="X19" i="57" s="1"/>
  <c r="Z19" i="57" s="1"/>
  <c r="H19" i="57"/>
  <c r="F19" i="57"/>
  <c r="D19" i="57"/>
  <c r="L19" i="57" s="1"/>
  <c r="B19" i="57"/>
  <c r="T18" i="57"/>
  <c r="P18" i="57"/>
  <c r="J18" i="57"/>
  <c r="H18" i="57"/>
  <c r="F18" i="57"/>
  <c r="D18" i="57"/>
  <c r="L18" i="57" s="1"/>
  <c r="N18" i="57" s="1"/>
  <c r="J16" i="57"/>
  <c r="H16" i="57"/>
  <c r="F16" i="57"/>
  <c r="X14" i="57"/>
  <c r="T14" i="57"/>
  <c r="Z14" i="57" s="1"/>
  <c r="P14" i="57"/>
  <c r="N14" i="57"/>
  <c r="H14" i="57"/>
  <c r="F14" i="57"/>
  <c r="D14" i="57"/>
  <c r="L14" i="57" s="1"/>
  <c r="T12" i="57"/>
  <c r="P12" i="57"/>
  <c r="R53" i="57" s="1"/>
  <c r="N12" i="57"/>
  <c r="H12" i="57"/>
  <c r="J69" i="57" s="1"/>
  <c r="D12" i="57"/>
  <c r="F32" i="57" s="1"/>
  <c r="D6" i="57"/>
  <c r="D4" i="57"/>
  <c r="R74" i="56"/>
  <c r="F74" i="56"/>
  <c r="Z72" i="56"/>
  <c r="X72" i="56"/>
  <c r="N72" i="56"/>
  <c r="L72" i="56"/>
  <c r="R70" i="56"/>
  <c r="Z68" i="56"/>
  <c r="T68" i="56"/>
  <c r="P68" i="56"/>
  <c r="X68" i="56" s="1"/>
  <c r="N68" i="56"/>
  <c r="L68" i="56"/>
  <c r="H68" i="56"/>
  <c r="D68" i="56"/>
  <c r="Z66" i="56"/>
  <c r="X66" i="56"/>
  <c r="L66" i="56"/>
  <c r="N66" i="56" s="1"/>
  <c r="B66" i="56"/>
  <c r="X65" i="56"/>
  <c r="T65" i="56"/>
  <c r="Z65" i="56" s="1"/>
  <c r="P65" i="56"/>
  <c r="H65" i="56"/>
  <c r="F65" i="56"/>
  <c r="D65" i="56"/>
  <c r="L65" i="56" s="1"/>
  <c r="N65" i="56" s="1"/>
  <c r="B65" i="56"/>
  <c r="Z64" i="56"/>
  <c r="X64" i="56"/>
  <c r="L64" i="56"/>
  <c r="N64" i="56" s="1"/>
  <c r="F64" i="56"/>
  <c r="B64" i="56"/>
  <c r="X63" i="56"/>
  <c r="V63" i="56"/>
  <c r="T63" i="56"/>
  <c r="P63" i="56"/>
  <c r="H63" i="56"/>
  <c r="F63" i="56"/>
  <c r="D63" i="56"/>
  <c r="L63" i="56" s="1"/>
  <c r="B63" i="56"/>
  <c r="X62" i="56"/>
  <c r="Z62" i="56" s="1"/>
  <c r="V62" i="56"/>
  <c r="N62" i="56"/>
  <c r="L62" i="56"/>
  <c r="B62" i="56"/>
  <c r="T61" i="56"/>
  <c r="R61" i="56"/>
  <c r="P61" i="56"/>
  <c r="X61" i="56" s="1"/>
  <c r="Z61" i="56" s="1"/>
  <c r="H61" i="56"/>
  <c r="D61" i="56"/>
  <c r="L61" i="56" s="1"/>
  <c r="B61" i="56"/>
  <c r="Z60" i="56"/>
  <c r="X60" i="56"/>
  <c r="R60" i="56"/>
  <c r="N60" i="56"/>
  <c r="L60" i="56"/>
  <c r="B60" i="56"/>
  <c r="X59" i="56"/>
  <c r="Z59" i="56" s="1"/>
  <c r="R59" i="56"/>
  <c r="N59" i="56"/>
  <c r="L59" i="56"/>
  <c r="F59" i="56"/>
  <c r="B59" i="56"/>
  <c r="Z58" i="56"/>
  <c r="X58" i="56"/>
  <c r="N58" i="56"/>
  <c r="L58" i="56"/>
  <c r="B58" i="56"/>
  <c r="X57" i="56"/>
  <c r="Z57" i="56" s="1"/>
  <c r="N57" i="56"/>
  <c r="L57" i="56"/>
  <c r="B57" i="56"/>
  <c r="T56" i="56"/>
  <c r="R56" i="56"/>
  <c r="P56" i="56"/>
  <c r="H56" i="56"/>
  <c r="D56" i="56"/>
  <c r="L56" i="56" s="1"/>
  <c r="N56" i="56" s="1"/>
  <c r="B56" i="56"/>
  <c r="Z55" i="56"/>
  <c r="X55" i="56"/>
  <c r="V55" i="56"/>
  <c r="R55" i="56"/>
  <c r="N55" i="56"/>
  <c r="L55" i="56"/>
  <c r="B55" i="56"/>
  <c r="T54" i="56"/>
  <c r="P54" i="56"/>
  <c r="X54" i="56" s="1"/>
  <c r="N54" i="56"/>
  <c r="L54" i="56"/>
  <c r="H54" i="56"/>
  <c r="D54" i="56"/>
  <c r="B54" i="56"/>
  <c r="Z53" i="56"/>
  <c r="X53" i="56"/>
  <c r="L53" i="56"/>
  <c r="N53" i="56" s="1"/>
  <c r="B53" i="56"/>
  <c r="Z52" i="56"/>
  <c r="X52" i="56"/>
  <c r="R52" i="56"/>
  <c r="N52" i="56"/>
  <c r="L52" i="56"/>
  <c r="F52" i="56"/>
  <c r="B52" i="56"/>
  <c r="Z51" i="56"/>
  <c r="X51" i="56"/>
  <c r="N51" i="56"/>
  <c r="L51" i="56"/>
  <c r="F51" i="56"/>
  <c r="B51" i="56"/>
  <c r="X50" i="56"/>
  <c r="V50" i="56"/>
  <c r="T50" i="56"/>
  <c r="P50" i="56"/>
  <c r="H50" i="56"/>
  <c r="N50" i="56" s="1"/>
  <c r="F50" i="56"/>
  <c r="D50" i="56"/>
  <c r="L50" i="56" s="1"/>
  <c r="B50" i="56"/>
  <c r="X49" i="56"/>
  <c r="Z49" i="56" s="1"/>
  <c r="L49" i="56"/>
  <c r="N49" i="56" s="1"/>
  <c r="B49" i="56"/>
  <c r="Z48" i="56"/>
  <c r="X48" i="56"/>
  <c r="R48" i="56"/>
  <c r="N48" i="56"/>
  <c r="L48" i="56"/>
  <c r="B48" i="56"/>
  <c r="X47" i="56"/>
  <c r="Z47" i="56" s="1"/>
  <c r="V47" i="56"/>
  <c r="R47" i="56"/>
  <c r="N47" i="56"/>
  <c r="L47" i="56"/>
  <c r="J47" i="56"/>
  <c r="F47" i="56"/>
  <c r="B47" i="56"/>
  <c r="T46" i="56"/>
  <c r="P46" i="56"/>
  <c r="X46" i="56" s="1"/>
  <c r="Z46" i="56" s="1"/>
  <c r="H46" i="56"/>
  <c r="F46" i="56"/>
  <c r="D46" i="56"/>
  <c r="B46" i="56"/>
  <c r="X45" i="56"/>
  <c r="Z45" i="56" s="1"/>
  <c r="N45" i="56"/>
  <c r="L45" i="56"/>
  <c r="B45" i="56"/>
  <c r="Z44" i="56"/>
  <c r="X44" i="56"/>
  <c r="T44" i="56"/>
  <c r="P44" i="56"/>
  <c r="H44" i="56"/>
  <c r="N44" i="56" s="1"/>
  <c r="D44" i="56"/>
  <c r="L44" i="56" s="1"/>
  <c r="B44" i="56"/>
  <c r="Z43" i="56"/>
  <c r="X43" i="56"/>
  <c r="L43" i="56"/>
  <c r="N43" i="56" s="1"/>
  <c r="F43" i="56"/>
  <c r="B43" i="56"/>
  <c r="X42" i="56"/>
  <c r="V42" i="56"/>
  <c r="T42" i="56"/>
  <c r="P42" i="56"/>
  <c r="H42" i="56"/>
  <c r="N42" i="56" s="1"/>
  <c r="F42" i="56"/>
  <c r="D42" i="56"/>
  <c r="L42" i="56" s="1"/>
  <c r="B42" i="56"/>
  <c r="X41" i="56"/>
  <c r="Z41" i="56" s="1"/>
  <c r="L41" i="56"/>
  <c r="N41" i="56" s="1"/>
  <c r="B41" i="56"/>
  <c r="T40" i="56"/>
  <c r="R40" i="56"/>
  <c r="P40" i="56"/>
  <c r="H40" i="56"/>
  <c r="D40" i="56"/>
  <c r="L40" i="56" s="1"/>
  <c r="N40" i="56" s="1"/>
  <c r="B40" i="56"/>
  <c r="Z39" i="56"/>
  <c r="X39" i="56"/>
  <c r="V39" i="56"/>
  <c r="R39" i="56"/>
  <c r="N39" i="56"/>
  <c r="L39" i="56"/>
  <c r="B39" i="56"/>
  <c r="T38" i="56"/>
  <c r="P38" i="56"/>
  <c r="X38" i="56" s="1"/>
  <c r="N38" i="56"/>
  <c r="L38" i="56"/>
  <c r="H38" i="56"/>
  <c r="D38" i="56"/>
  <c r="B38" i="56"/>
  <c r="Z37" i="56"/>
  <c r="X37" i="56"/>
  <c r="N37" i="56"/>
  <c r="L37" i="56"/>
  <c r="B37" i="56"/>
  <c r="T36" i="56"/>
  <c r="R36" i="56"/>
  <c r="P36" i="56"/>
  <c r="X36" i="56" s="1"/>
  <c r="L36" i="56"/>
  <c r="H36" i="56"/>
  <c r="D36" i="56"/>
  <c r="B36" i="56"/>
  <c r="X35" i="56"/>
  <c r="Z35" i="56" s="1"/>
  <c r="V35" i="56"/>
  <c r="R35" i="56"/>
  <c r="N35" i="56"/>
  <c r="L35" i="56"/>
  <c r="F35" i="56"/>
  <c r="B35" i="56"/>
  <c r="T34" i="56"/>
  <c r="P34" i="56"/>
  <c r="X34" i="56" s="1"/>
  <c r="Z34" i="56" s="1"/>
  <c r="H34" i="56"/>
  <c r="F34" i="56"/>
  <c r="D34" i="56"/>
  <c r="B34" i="56"/>
  <c r="X33" i="56"/>
  <c r="Z33" i="56" s="1"/>
  <c r="N33" i="56"/>
  <c r="L33" i="56"/>
  <c r="B33" i="56"/>
  <c r="Z32" i="56"/>
  <c r="X32" i="56"/>
  <c r="T32" i="56"/>
  <c r="P32" i="56"/>
  <c r="H32" i="56"/>
  <c r="D32" i="56"/>
  <c r="L32" i="56" s="1"/>
  <c r="B32" i="56"/>
  <c r="Z31" i="56"/>
  <c r="X31" i="56"/>
  <c r="L31" i="56"/>
  <c r="N31" i="56" s="1"/>
  <c r="F31" i="56"/>
  <c r="B31" i="56"/>
  <c r="X30" i="56"/>
  <c r="Z30" i="56" s="1"/>
  <c r="V30" i="56"/>
  <c r="N30" i="56"/>
  <c r="L30" i="56"/>
  <c r="B30" i="56"/>
  <c r="Z29" i="56"/>
  <c r="X29" i="56"/>
  <c r="N29" i="56"/>
  <c r="L29" i="56"/>
  <c r="B29" i="56"/>
  <c r="T28" i="56"/>
  <c r="R28" i="56"/>
  <c r="P28" i="56"/>
  <c r="L28" i="56"/>
  <c r="H28" i="56"/>
  <c r="D28" i="56"/>
  <c r="B28" i="56"/>
  <c r="X27" i="56"/>
  <c r="Z27" i="56" s="1"/>
  <c r="V27" i="56"/>
  <c r="R27" i="56"/>
  <c r="N27" i="56"/>
  <c r="L27" i="56"/>
  <c r="J27" i="56"/>
  <c r="F27" i="56"/>
  <c r="B27" i="56"/>
  <c r="Z26" i="56"/>
  <c r="X26" i="56"/>
  <c r="L26" i="56"/>
  <c r="N26" i="56" s="1"/>
  <c r="F26" i="56"/>
  <c r="B26" i="56"/>
  <c r="Z25" i="56"/>
  <c r="X25" i="56"/>
  <c r="L25" i="56"/>
  <c r="N25" i="56" s="1"/>
  <c r="B25" i="56"/>
  <c r="Z24" i="56"/>
  <c r="X24" i="56"/>
  <c r="R24" i="56"/>
  <c r="N24" i="56"/>
  <c r="L24" i="56"/>
  <c r="B24" i="56"/>
  <c r="X23" i="56"/>
  <c r="Z23" i="56" s="1"/>
  <c r="V23" i="56"/>
  <c r="R23" i="56"/>
  <c r="N23" i="56"/>
  <c r="L23" i="56"/>
  <c r="J23" i="56"/>
  <c r="F23" i="56"/>
  <c r="B23" i="56"/>
  <c r="Z22" i="56"/>
  <c r="X22" i="56"/>
  <c r="L22" i="56"/>
  <c r="N22" i="56" s="1"/>
  <c r="F22" i="56"/>
  <c r="B22" i="56"/>
  <c r="Z21" i="56"/>
  <c r="X21" i="56"/>
  <c r="L21" i="56"/>
  <c r="N21" i="56" s="1"/>
  <c r="B21" i="56"/>
  <c r="Z20" i="56"/>
  <c r="X20" i="56"/>
  <c r="R20" i="56"/>
  <c r="N20" i="56"/>
  <c r="L20" i="56"/>
  <c r="B20" i="56"/>
  <c r="V19" i="56"/>
  <c r="T19" i="56"/>
  <c r="P19" i="56"/>
  <c r="N19" i="56"/>
  <c r="L19" i="56"/>
  <c r="H19" i="56"/>
  <c r="D19" i="56"/>
  <c r="B19" i="56"/>
  <c r="T18" i="56"/>
  <c r="P18" i="56"/>
  <c r="H18" i="56"/>
  <c r="L18" i="56" s="1"/>
  <c r="D18" i="56"/>
  <c r="P16" i="56"/>
  <c r="X14" i="56"/>
  <c r="T14" i="56"/>
  <c r="Z14" i="56" s="1"/>
  <c r="P14" i="56"/>
  <c r="N14" i="56"/>
  <c r="L14" i="56"/>
  <c r="H14" i="56"/>
  <c r="D14" i="56"/>
  <c r="X12" i="56"/>
  <c r="T12" i="56"/>
  <c r="V65" i="56" s="1"/>
  <c r="P12" i="56"/>
  <c r="R77" i="56" s="1"/>
  <c r="H12" i="56"/>
  <c r="D12" i="56"/>
  <c r="F72" i="56" s="1"/>
  <c r="D6" i="56"/>
  <c r="D4" i="56"/>
  <c r="V38" i="55"/>
  <c r="R38" i="55"/>
  <c r="J38" i="55"/>
  <c r="V35" i="55"/>
  <c r="R35" i="55"/>
  <c r="J35" i="55"/>
  <c r="Z33" i="55"/>
  <c r="X33" i="55"/>
  <c r="V33" i="55"/>
  <c r="R33" i="55"/>
  <c r="N33" i="55"/>
  <c r="L33" i="55"/>
  <c r="F33" i="55"/>
  <c r="Z29" i="55"/>
  <c r="X29" i="55"/>
  <c r="T29" i="55"/>
  <c r="P29" i="55"/>
  <c r="L29" i="55"/>
  <c r="H29" i="55"/>
  <c r="N29" i="55" s="1"/>
  <c r="D29" i="55"/>
  <c r="Z27" i="55"/>
  <c r="X27" i="55"/>
  <c r="N27" i="55"/>
  <c r="L27" i="55"/>
  <c r="F27" i="55"/>
  <c r="B27" i="55"/>
  <c r="Z26" i="55"/>
  <c r="X26" i="55"/>
  <c r="V26" i="55"/>
  <c r="R26" i="55"/>
  <c r="N26" i="55"/>
  <c r="L26" i="55"/>
  <c r="B26" i="55"/>
  <c r="X25" i="55"/>
  <c r="V25" i="55"/>
  <c r="T25" i="55"/>
  <c r="P25" i="55"/>
  <c r="N25" i="55"/>
  <c r="L25" i="55"/>
  <c r="H25" i="55"/>
  <c r="D25" i="55"/>
  <c r="B25" i="55"/>
  <c r="Z24" i="55"/>
  <c r="X24" i="55"/>
  <c r="V24" i="55"/>
  <c r="N24" i="55"/>
  <c r="L24" i="55"/>
  <c r="B24" i="55"/>
  <c r="V23" i="55"/>
  <c r="T23" i="55"/>
  <c r="R23" i="55"/>
  <c r="P23" i="55"/>
  <c r="X23" i="55" s="1"/>
  <c r="L23" i="55"/>
  <c r="J23" i="55"/>
  <c r="H23" i="55"/>
  <c r="N23" i="55" s="1"/>
  <c r="D23" i="55"/>
  <c r="B23" i="55"/>
  <c r="X22" i="55"/>
  <c r="Z22" i="55" s="1"/>
  <c r="V22" i="55"/>
  <c r="R22" i="55"/>
  <c r="N22" i="55"/>
  <c r="L22" i="55"/>
  <c r="J22" i="55"/>
  <c r="F22" i="55"/>
  <c r="B22" i="55"/>
  <c r="V21" i="55"/>
  <c r="T21" i="55"/>
  <c r="Z21" i="55" s="1"/>
  <c r="P21" i="55"/>
  <c r="X21" i="55" s="1"/>
  <c r="H21" i="55"/>
  <c r="F21" i="55"/>
  <c r="D21" i="55"/>
  <c r="B21" i="55"/>
  <c r="X20" i="55"/>
  <c r="Z20" i="55" s="1"/>
  <c r="V20" i="55"/>
  <c r="N20" i="55"/>
  <c r="L20" i="55"/>
  <c r="B20" i="55"/>
  <c r="Z19" i="55"/>
  <c r="X19" i="55"/>
  <c r="T19" i="55"/>
  <c r="P19" i="55"/>
  <c r="L19" i="55"/>
  <c r="H19" i="55"/>
  <c r="D19" i="55"/>
  <c r="B19" i="55"/>
  <c r="T18" i="55"/>
  <c r="P18" i="55"/>
  <c r="H18" i="55"/>
  <c r="F18" i="55"/>
  <c r="D18" i="55"/>
  <c r="L18" i="55" s="1"/>
  <c r="N18" i="55" s="1"/>
  <c r="F16" i="55"/>
  <c r="D16" i="55"/>
  <c r="Z14" i="55"/>
  <c r="T14" i="55"/>
  <c r="T16" i="55" s="1"/>
  <c r="P14" i="55"/>
  <c r="X14" i="55" s="1"/>
  <c r="N14" i="55"/>
  <c r="H14" i="55"/>
  <c r="F14" i="55"/>
  <c r="D14" i="55"/>
  <c r="L14" i="55" s="1"/>
  <c r="Z12" i="55"/>
  <c r="T12" i="55"/>
  <c r="V31" i="55" s="1"/>
  <c r="P12" i="55"/>
  <c r="X12" i="55" s="1"/>
  <c r="H12" i="55"/>
  <c r="D12" i="55"/>
  <c r="F38" i="55" s="1"/>
  <c r="D6" i="55"/>
  <c r="D4" i="55"/>
  <c r="J31" i="54"/>
  <c r="F31" i="54"/>
  <c r="X29" i="54"/>
  <c r="Z29" i="54" s="1"/>
  <c r="T29" i="54"/>
  <c r="P29" i="54"/>
  <c r="J29" i="54"/>
  <c r="H29" i="54"/>
  <c r="F29" i="54"/>
  <c r="D29" i="54"/>
  <c r="X28" i="54"/>
  <c r="Z28" i="54" s="1"/>
  <c r="T28" i="54"/>
  <c r="P28" i="54"/>
  <c r="J28" i="54"/>
  <c r="H28" i="54"/>
  <c r="F28" i="54"/>
  <c r="D28" i="54"/>
  <c r="J26" i="54"/>
  <c r="F26" i="54"/>
  <c r="Z24" i="54"/>
  <c r="X24" i="54"/>
  <c r="N24" i="54"/>
  <c r="L24" i="54"/>
  <c r="F24" i="54"/>
  <c r="R22" i="54"/>
  <c r="F22" i="54"/>
  <c r="Z20" i="54"/>
  <c r="T20" i="54"/>
  <c r="R20" i="54"/>
  <c r="P20" i="54"/>
  <c r="X20" i="54" s="1"/>
  <c r="N20" i="54"/>
  <c r="H20" i="54"/>
  <c r="F20" i="54"/>
  <c r="D20" i="54"/>
  <c r="L20" i="54" s="1"/>
  <c r="Z18" i="54"/>
  <c r="X18" i="54"/>
  <c r="T18" i="54"/>
  <c r="R18" i="54"/>
  <c r="P18" i="54"/>
  <c r="N18" i="54"/>
  <c r="H18" i="54"/>
  <c r="F18" i="54"/>
  <c r="D18" i="54"/>
  <c r="L18" i="54" s="1"/>
  <c r="R16" i="54"/>
  <c r="F16" i="54"/>
  <c r="Z14" i="54"/>
  <c r="T14" i="54"/>
  <c r="R14" i="54"/>
  <c r="P14" i="54"/>
  <c r="N14" i="54"/>
  <c r="H14" i="54"/>
  <c r="F14" i="54"/>
  <c r="D14" i="54"/>
  <c r="L14" i="54" s="1"/>
  <c r="Z12" i="54"/>
  <c r="X12" i="54"/>
  <c r="T12" i="54"/>
  <c r="V31" i="54" s="1"/>
  <c r="P12" i="54"/>
  <c r="R24" i="54" s="1"/>
  <c r="N12" i="54"/>
  <c r="L12" i="54"/>
  <c r="H12" i="54"/>
  <c r="J22" i="54" s="1"/>
  <c r="D12" i="54"/>
  <c r="D6" i="54"/>
  <c r="D4" i="54"/>
  <c r="Z104" i="51"/>
  <c r="X104" i="51"/>
  <c r="N104" i="51"/>
  <c r="L104" i="51"/>
  <c r="T100" i="51"/>
  <c r="Z100" i="51" s="1"/>
  <c r="P100" i="51"/>
  <c r="X100" i="51" s="1"/>
  <c r="H100" i="51"/>
  <c r="D100" i="51"/>
  <c r="B100" i="51"/>
  <c r="T99" i="51"/>
  <c r="P99" i="51"/>
  <c r="X99" i="51" s="1"/>
  <c r="L99" i="51"/>
  <c r="H99" i="51"/>
  <c r="D99" i="51"/>
  <c r="B99" i="51"/>
  <c r="T98" i="51"/>
  <c r="P98" i="51"/>
  <c r="N98" i="51"/>
  <c r="L98" i="51"/>
  <c r="H98" i="51"/>
  <c r="D98" i="51"/>
  <c r="B98" i="51"/>
  <c r="P97" i="51"/>
  <c r="D97" i="51"/>
  <c r="X95" i="51"/>
  <c r="Z95" i="51" s="1"/>
  <c r="L95" i="51"/>
  <c r="N95" i="51" s="1"/>
  <c r="B95" i="51"/>
  <c r="T94" i="51"/>
  <c r="Z94" i="51" s="1"/>
  <c r="P94" i="51"/>
  <c r="X94" i="51" s="1"/>
  <c r="H94" i="51"/>
  <c r="D94" i="51"/>
  <c r="B94" i="51"/>
  <c r="X93" i="51"/>
  <c r="Z93" i="51" s="1"/>
  <c r="N93" i="51"/>
  <c r="L93" i="51"/>
  <c r="B93" i="51"/>
  <c r="T92" i="51"/>
  <c r="Z92" i="51" s="1"/>
  <c r="P92" i="51"/>
  <c r="X92" i="51" s="1"/>
  <c r="H92" i="51"/>
  <c r="D92" i="51"/>
  <c r="L92" i="51" s="1"/>
  <c r="N92" i="51" s="1"/>
  <c r="B92" i="51"/>
  <c r="X91" i="51"/>
  <c r="Z91" i="51" s="1"/>
  <c r="N91" i="51"/>
  <c r="L91" i="51"/>
  <c r="B91" i="51"/>
  <c r="X90" i="51"/>
  <c r="Z90" i="51" s="1"/>
  <c r="L90" i="51"/>
  <c r="N90" i="51" s="1"/>
  <c r="B90" i="51"/>
  <c r="Z89" i="51"/>
  <c r="X89" i="51"/>
  <c r="N89" i="51"/>
  <c r="L89" i="51"/>
  <c r="B89" i="51"/>
  <c r="T88" i="51"/>
  <c r="P88" i="51"/>
  <c r="N88" i="51"/>
  <c r="L88" i="51"/>
  <c r="H88" i="51"/>
  <c r="D88" i="51"/>
  <c r="B88" i="51"/>
  <c r="X87" i="51"/>
  <c r="Z87" i="51" s="1"/>
  <c r="N87" i="51"/>
  <c r="L87" i="51"/>
  <c r="B87" i="51"/>
  <c r="T86" i="51"/>
  <c r="P86" i="51"/>
  <c r="X86" i="51" s="1"/>
  <c r="H86" i="51"/>
  <c r="D86" i="51"/>
  <c r="B86" i="51"/>
  <c r="Z85" i="51"/>
  <c r="X85" i="51"/>
  <c r="N85" i="51"/>
  <c r="L85" i="51"/>
  <c r="B85" i="51"/>
  <c r="T84" i="51"/>
  <c r="Z84" i="51" s="1"/>
  <c r="P84" i="51"/>
  <c r="X84" i="51" s="1"/>
  <c r="N84" i="51"/>
  <c r="L84" i="51"/>
  <c r="H84" i="51"/>
  <c r="D84" i="51"/>
  <c r="B84" i="51"/>
  <c r="Z83" i="51"/>
  <c r="X83" i="51"/>
  <c r="N83" i="51"/>
  <c r="L83" i="51"/>
  <c r="B83" i="51"/>
  <c r="Z82" i="51"/>
  <c r="X82" i="51"/>
  <c r="T82" i="51"/>
  <c r="P82" i="51"/>
  <c r="H82" i="51"/>
  <c r="N82" i="51" s="1"/>
  <c r="D82" i="51"/>
  <c r="L82" i="51" s="1"/>
  <c r="B82" i="51"/>
  <c r="Z81" i="51"/>
  <c r="X81" i="51"/>
  <c r="N81" i="51"/>
  <c r="L81" i="51"/>
  <c r="B81" i="51"/>
  <c r="Z80" i="51"/>
  <c r="X80" i="51"/>
  <c r="N80" i="51"/>
  <c r="L80" i="51"/>
  <c r="B80" i="51"/>
  <c r="X79" i="51"/>
  <c r="T79" i="51"/>
  <c r="P79" i="51"/>
  <c r="N79" i="51"/>
  <c r="H79" i="51"/>
  <c r="D79" i="51"/>
  <c r="L79" i="51" s="1"/>
  <c r="B79" i="51"/>
  <c r="X78" i="51"/>
  <c r="Z78" i="51" s="1"/>
  <c r="N78" i="51"/>
  <c r="L78" i="51"/>
  <c r="B78" i="51"/>
  <c r="T77" i="51"/>
  <c r="P77" i="51"/>
  <c r="L77" i="51"/>
  <c r="N77" i="51" s="1"/>
  <c r="H77" i="51"/>
  <c r="D77" i="51"/>
  <c r="B77" i="51"/>
  <c r="Z76" i="51"/>
  <c r="X76" i="51"/>
  <c r="N76" i="51"/>
  <c r="L76" i="51"/>
  <c r="B76" i="51"/>
  <c r="T75" i="51"/>
  <c r="Z75" i="51" s="1"/>
  <c r="P75" i="51"/>
  <c r="X75" i="51" s="1"/>
  <c r="H75" i="51"/>
  <c r="D75" i="51"/>
  <c r="B75" i="51"/>
  <c r="X74" i="51"/>
  <c r="Z74" i="51" s="1"/>
  <c r="L74" i="51"/>
  <c r="N74" i="51" s="1"/>
  <c r="B74" i="51"/>
  <c r="Z73" i="51"/>
  <c r="T73" i="51"/>
  <c r="P73" i="51"/>
  <c r="X73" i="51" s="1"/>
  <c r="L73" i="51"/>
  <c r="H73" i="51"/>
  <c r="N73" i="51" s="1"/>
  <c r="D73" i="51"/>
  <c r="B73" i="51"/>
  <c r="Z72" i="51"/>
  <c r="X72" i="51"/>
  <c r="N72" i="51"/>
  <c r="L72" i="51"/>
  <c r="B72" i="51"/>
  <c r="X71" i="51"/>
  <c r="Z71" i="51" s="1"/>
  <c r="L71" i="51"/>
  <c r="N71" i="51" s="1"/>
  <c r="B71" i="51"/>
  <c r="Z70" i="51"/>
  <c r="X70" i="51"/>
  <c r="L70" i="51"/>
  <c r="N70" i="51" s="1"/>
  <c r="B70" i="51"/>
  <c r="Z69" i="51"/>
  <c r="X69" i="51"/>
  <c r="N69" i="51"/>
  <c r="L69" i="51"/>
  <c r="B69" i="51"/>
  <c r="Z68" i="51"/>
  <c r="X68" i="51"/>
  <c r="N68" i="51"/>
  <c r="L68" i="51"/>
  <c r="B68" i="51"/>
  <c r="X67" i="51"/>
  <c r="Z67" i="51" s="1"/>
  <c r="T67" i="51"/>
  <c r="P67" i="51"/>
  <c r="H67" i="51"/>
  <c r="D67" i="51"/>
  <c r="L67" i="51" s="1"/>
  <c r="B67" i="51"/>
  <c r="X66" i="51"/>
  <c r="Z66" i="51" s="1"/>
  <c r="L66" i="51"/>
  <c r="N66" i="51" s="1"/>
  <c r="B66" i="51"/>
  <c r="Z65" i="51"/>
  <c r="X65" i="51"/>
  <c r="N65" i="51"/>
  <c r="L65" i="51"/>
  <c r="B65" i="51"/>
  <c r="Z64" i="51"/>
  <c r="X64" i="51"/>
  <c r="N64" i="51"/>
  <c r="L64" i="51"/>
  <c r="B64" i="51"/>
  <c r="X63" i="51"/>
  <c r="Z63" i="51" s="1"/>
  <c r="L63" i="51"/>
  <c r="N63" i="51" s="1"/>
  <c r="B63" i="51"/>
  <c r="X62" i="51"/>
  <c r="Z62" i="51" s="1"/>
  <c r="L62" i="51"/>
  <c r="N62" i="51" s="1"/>
  <c r="B62" i="51"/>
  <c r="Z61" i="51"/>
  <c r="X61" i="51"/>
  <c r="N61" i="51"/>
  <c r="L61" i="51"/>
  <c r="B61" i="51"/>
  <c r="Z60" i="51"/>
  <c r="X60" i="51"/>
  <c r="N60" i="51"/>
  <c r="L60" i="51"/>
  <c r="B60" i="51"/>
  <c r="X59" i="51"/>
  <c r="Z59" i="51" s="1"/>
  <c r="L59" i="51"/>
  <c r="N59" i="51" s="1"/>
  <c r="B59" i="51"/>
  <c r="Z58" i="51"/>
  <c r="X58" i="51"/>
  <c r="L58" i="51"/>
  <c r="N58" i="51" s="1"/>
  <c r="B58" i="51"/>
  <c r="T57" i="51"/>
  <c r="X57" i="51" s="1"/>
  <c r="P57" i="51"/>
  <c r="H57" i="51"/>
  <c r="N57" i="51" s="1"/>
  <c r="D57" i="51"/>
  <c r="L57" i="51" s="1"/>
  <c r="B57" i="51"/>
  <c r="T56" i="51"/>
  <c r="P56" i="51"/>
  <c r="H56" i="51"/>
  <c r="D56" i="51"/>
  <c r="Z52" i="51"/>
  <c r="X52" i="51"/>
  <c r="L52" i="51"/>
  <c r="N52" i="51" s="1"/>
  <c r="B52" i="51"/>
  <c r="X51" i="51"/>
  <c r="Z51" i="51" s="1"/>
  <c r="N51" i="51"/>
  <c r="L51" i="51"/>
  <c r="B51" i="51"/>
  <c r="X50" i="51"/>
  <c r="Z50" i="51" s="1"/>
  <c r="N50" i="51"/>
  <c r="L50" i="51"/>
  <c r="B50" i="51"/>
  <c r="Z49" i="51"/>
  <c r="X49" i="51"/>
  <c r="L49" i="51"/>
  <c r="N49" i="51" s="1"/>
  <c r="B49" i="51"/>
  <c r="Z48" i="51"/>
  <c r="X48" i="51"/>
  <c r="L48" i="51"/>
  <c r="N48" i="51" s="1"/>
  <c r="B48" i="51"/>
  <c r="X47" i="51"/>
  <c r="Z47" i="51" s="1"/>
  <c r="L47" i="51"/>
  <c r="N47" i="51" s="1"/>
  <c r="B47" i="51"/>
  <c r="X46" i="51"/>
  <c r="Z46" i="51" s="1"/>
  <c r="N46" i="51"/>
  <c r="L46" i="51"/>
  <c r="B46" i="51"/>
  <c r="Z45" i="51"/>
  <c r="X45" i="51"/>
  <c r="L45" i="51"/>
  <c r="N45" i="51" s="1"/>
  <c r="B45" i="51"/>
  <c r="Z44" i="51"/>
  <c r="X44" i="51"/>
  <c r="L44" i="51"/>
  <c r="N44" i="51" s="1"/>
  <c r="B44" i="51"/>
  <c r="X43" i="51"/>
  <c r="Z43" i="51" s="1"/>
  <c r="L43" i="51"/>
  <c r="N43" i="51" s="1"/>
  <c r="B43" i="51"/>
  <c r="X42" i="51"/>
  <c r="Z42" i="51" s="1"/>
  <c r="L42" i="51"/>
  <c r="N42" i="51" s="1"/>
  <c r="B42" i="51"/>
  <c r="Z41" i="51"/>
  <c r="X41" i="51"/>
  <c r="L41" i="51"/>
  <c r="N41" i="51" s="1"/>
  <c r="B41" i="51"/>
  <c r="Z40" i="51"/>
  <c r="X40" i="51"/>
  <c r="L40" i="51"/>
  <c r="N40" i="51" s="1"/>
  <c r="B40" i="51"/>
  <c r="X39" i="51"/>
  <c r="T39" i="51"/>
  <c r="P39" i="51"/>
  <c r="H39" i="51"/>
  <c r="D39" i="51"/>
  <c r="L39" i="51" s="1"/>
  <c r="N39" i="51" s="1"/>
  <c r="Z37" i="51"/>
  <c r="X37" i="51"/>
  <c r="T37" i="51"/>
  <c r="P37" i="51"/>
  <c r="H37" i="51"/>
  <c r="D37" i="51"/>
  <c r="B37" i="51"/>
  <c r="T36" i="51"/>
  <c r="P36" i="51"/>
  <c r="L36" i="51"/>
  <c r="H36" i="51"/>
  <c r="N36" i="51" s="1"/>
  <c r="D36" i="51"/>
  <c r="B36" i="51"/>
  <c r="T35" i="51"/>
  <c r="P35" i="51"/>
  <c r="H35" i="51"/>
  <c r="N35" i="51" s="1"/>
  <c r="D35" i="51"/>
  <c r="L35" i="51" s="1"/>
  <c r="B35" i="51"/>
  <c r="T34" i="51"/>
  <c r="P34" i="51"/>
  <c r="L34" i="51"/>
  <c r="N34" i="51" s="1"/>
  <c r="H34" i="51"/>
  <c r="D34" i="51"/>
  <c r="B34" i="51"/>
  <c r="T33" i="51"/>
  <c r="P33" i="51"/>
  <c r="X33" i="51" s="1"/>
  <c r="Z33" i="51" s="1"/>
  <c r="H33" i="51"/>
  <c r="D33" i="51"/>
  <c r="B33" i="51"/>
  <c r="T32" i="51"/>
  <c r="P32" i="51"/>
  <c r="H32" i="51"/>
  <c r="D32" i="51"/>
  <c r="B32" i="51"/>
  <c r="Z31" i="51"/>
  <c r="T31" i="51"/>
  <c r="X31" i="51" s="1"/>
  <c r="P31" i="51"/>
  <c r="L31" i="51"/>
  <c r="H31" i="51"/>
  <c r="N31" i="51" s="1"/>
  <c r="D31" i="51"/>
  <c r="B31" i="51"/>
  <c r="T30" i="51"/>
  <c r="P30" i="51"/>
  <c r="L30" i="51"/>
  <c r="N30" i="51" s="1"/>
  <c r="H30" i="51"/>
  <c r="D30" i="51"/>
  <c r="B30" i="51"/>
  <c r="X29" i="51"/>
  <c r="T29" i="51"/>
  <c r="Z29" i="51" s="1"/>
  <c r="P29" i="51"/>
  <c r="L29" i="51"/>
  <c r="H29" i="51"/>
  <c r="D29" i="51"/>
  <c r="B29" i="51"/>
  <c r="T28" i="51"/>
  <c r="P28" i="51"/>
  <c r="X28" i="51" s="1"/>
  <c r="H28" i="51"/>
  <c r="L28" i="51" s="1"/>
  <c r="N28" i="51" s="1"/>
  <c r="D28" i="51"/>
  <c r="B28" i="51"/>
  <c r="Z27" i="51"/>
  <c r="T27" i="51"/>
  <c r="X27" i="51" s="1"/>
  <c r="P27" i="51"/>
  <c r="H27" i="51"/>
  <c r="N27" i="51" s="1"/>
  <c r="D27" i="51"/>
  <c r="B27" i="51"/>
  <c r="Z26" i="51"/>
  <c r="T26" i="51"/>
  <c r="P26" i="51"/>
  <c r="X26" i="51" s="1"/>
  <c r="L26" i="51"/>
  <c r="N26" i="51" s="1"/>
  <c r="H26" i="51"/>
  <c r="D26" i="51"/>
  <c r="B26" i="51"/>
  <c r="T25" i="51"/>
  <c r="P25" i="51"/>
  <c r="L25" i="51"/>
  <c r="H25" i="51"/>
  <c r="D25" i="51"/>
  <c r="B25" i="51"/>
  <c r="T24" i="51"/>
  <c r="P24" i="51"/>
  <c r="N24" i="51"/>
  <c r="L24" i="51"/>
  <c r="H24" i="51"/>
  <c r="D24" i="51"/>
  <c r="B24" i="51"/>
  <c r="T23" i="51"/>
  <c r="X23" i="51" s="1"/>
  <c r="P23" i="51"/>
  <c r="H23" i="51"/>
  <c r="D23" i="51"/>
  <c r="L23" i="51" s="1"/>
  <c r="B23" i="51"/>
  <c r="T22" i="51"/>
  <c r="P22" i="51"/>
  <c r="L22" i="51"/>
  <c r="N22" i="51" s="1"/>
  <c r="H22" i="51"/>
  <c r="D22" i="51"/>
  <c r="B22" i="51"/>
  <c r="T21" i="51"/>
  <c r="P21" i="51"/>
  <c r="X21" i="51" s="1"/>
  <c r="Z21" i="51" s="1"/>
  <c r="L21" i="51"/>
  <c r="H21" i="51"/>
  <c r="D21" i="51"/>
  <c r="B21" i="51"/>
  <c r="T20" i="51"/>
  <c r="P20" i="51"/>
  <c r="L20" i="51"/>
  <c r="H20" i="51"/>
  <c r="N20" i="51" s="1"/>
  <c r="D20" i="51"/>
  <c r="B20" i="51"/>
  <c r="Z19" i="51"/>
  <c r="T19" i="51"/>
  <c r="X19" i="51" s="1"/>
  <c r="P19" i="51"/>
  <c r="H19" i="51"/>
  <c r="D19" i="51"/>
  <c r="L19" i="51" s="1"/>
  <c r="B19" i="51"/>
  <c r="X18" i="51"/>
  <c r="T18" i="51"/>
  <c r="Z18" i="51" s="1"/>
  <c r="P18" i="51"/>
  <c r="L18" i="51"/>
  <c r="N18" i="51" s="1"/>
  <c r="H18" i="51"/>
  <c r="D18" i="51"/>
  <c r="B18" i="51"/>
  <c r="T17" i="51"/>
  <c r="P17" i="51"/>
  <c r="N17" i="51"/>
  <c r="L17" i="51"/>
  <c r="H17" i="51"/>
  <c r="D17" i="51"/>
  <c r="B17" i="51"/>
  <c r="T16" i="51"/>
  <c r="P16" i="51"/>
  <c r="H16" i="51"/>
  <c r="D16" i="51"/>
  <c r="L16" i="51" s="1"/>
  <c r="B16" i="51"/>
  <c r="Z15" i="51"/>
  <c r="X15" i="51"/>
  <c r="T15" i="51"/>
  <c r="P15" i="51"/>
  <c r="L15" i="51"/>
  <c r="H15" i="51"/>
  <c r="H12" i="51" s="1"/>
  <c r="J91" i="51" s="1"/>
  <c r="D15" i="51"/>
  <c r="B15" i="51"/>
  <c r="X14" i="51"/>
  <c r="T14" i="51"/>
  <c r="P14" i="51"/>
  <c r="N14" i="51"/>
  <c r="L14" i="51"/>
  <c r="H14" i="51"/>
  <c r="D14" i="51"/>
  <c r="B14" i="51"/>
  <c r="Z13" i="51"/>
  <c r="X13" i="51"/>
  <c r="T13" i="51"/>
  <c r="P13" i="51"/>
  <c r="N13" i="51"/>
  <c r="L13" i="51"/>
  <c r="H13" i="51"/>
  <c r="D13" i="51"/>
  <c r="D12" i="51" s="1"/>
  <c r="F76" i="51" s="1"/>
  <c r="B13" i="51"/>
  <c r="D4" i="51"/>
  <c r="Z65" i="48"/>
  <c r="X65" i="48"/>
  <c r="V65" i="48"/>
  <c r="L65" i="48"/>
  <c r="N65" i="48" s="1"/>
  <c r="T61" i="48"/>
  <c r="R61" i="48"/>
  <c r="P61" i="48"/>
  <c r="X61" i="48" s="1"/>
  <c r="Z61" i="48" s="1"/>
  <c r="H61" i="48"/>
  <c r="D61" i="48"/>
  <c r="B61" i="48"/>
  <c r="T60" i="48"/>
  <c r="H60" i="48"/>
  <c r="D60" i="48"/>
  <c r="Z58" i="48"/>
  <c r="X58" i="48"/>
  <c r="R58" i="48"/>
  <c r="N58" i="48"/>
  <c r="L58" i="48"/>
  <c r="B58" i="48"/>
  <c r="V57" i="48"/>
  <c r="T57" i="48"/>
  <c r="P57" i="48"/>
  <c r="X57" i="48" s="1"/>
  <c r="Z57" i="48" s="1"/>
  <c r="N57" i="48"/>
  <c r="H57" i="48"/>
  <c r="D57" i="48"/>
  <c r="L57" i="48" s="1"/>
  <c r="B57" i="48"/>
  <c r="X56" i="48"/>
  <c r="Z56" i="48" s="1"/>
  <c r="N56" i="48"/>
  <c r="L56" i="48"/>
  <c r="B56" i="48"/>
  <c r="X55" i="48"/>
  <c r="Z55" i="48" s="1"/>
  <c r="V55" i="48"/>
  <c r="N55" i="48"/>
  <c r="L55" i="48"/>
  <c r="B55" i="48"/>
  <c r="Z54" i="48"/>
  <c r="X54" i="48"/>
  <c r="N54" i="48"/>
  <c r="L54" i="48"/>
  <c r="B54" i="48"/>
  <c r="V53" i="48"/>
  <c r="T53" i="48"/>
  <c r="R53" i="48"/>
  <c r="P53" i="48"/>
  <c r="L53" i="48"/>
  <c r="N53" i="48" s="1"/>
  <c r="H53" i="48"/>
  <c r="D53" i="48"/>
  <c r="B53" i="48"/>
  <c r="Z52" i="48"/>
  <c r="X52" i="48"/>
  <c r="V52" i="48"/>
  <c r="R52" i="48"/>
  <c r="N52" i="48"/>
  <c r="L52" i="48"/>
  <c r="B52" i="48"/>
  <c r="Z51" i="48"/>
  <c r="X51" i="48"/>
  <c r="N51" i="48"/>
  <c r="L51" i="48"/>
  <c r="B51" i="48"/>
  <c r="Z50" i="48"/>
  <c r="X50" i="48"/>
  <c r="N50" i="48"/>
  <c r="L50" i="48"/>
  <c r="B50" i="48"/>
  <c r="T49" i="48"/>
  <c r="R49" i="48"/>
  <c r="P49" i="48"/>
  <c r="N49" i="48"/>
  <c r="H49" i="48"/>
  <c r="D49" i="48"/>
  <c r="L49" i="48" s="1"/>
  <c r="B49" i="48"/>
  <c r="Z48" i="48"/>
  <c r="X48" i="48"/>
  <c r="V48" i="48"/>
  <c r="R48" i="48"/>
  <c r="L48" i="48"/>
  <c r="N48" i="48" s="1"/>
  <c r="B48" i="48"/>
  <c r="V47" i="48"/>
  <c r="T47" i="48"/>
  <c r="P47" i="48"/>
  <c r="X47" i="48" s="1"/>
  <c r="Z47" i="48" s="1"/>
  <c r="H47" i="48"/>
  <c r="D47" i="48"/>
  <c r="L47" i="48" s="1"/>
  <c r="N47" i="48" s="1"/>
  <c r="B47" i="48"/>
  <c r="Z46" i="48"/>
  <c r="X46" i="48"/>
  <c r="N46" i="48"/>
  <c r="L46" i="48"/>
  <c r="B46" i="48"/>
  <c r="T45" i="48"/>
  <c r="R45" i="48"/>
  <c r="P45" i="48"/>
  <c r="L45" i="48"/>
  <c r="N45" i="48" s="1"/>
  <c r="H45" i="48"/>
  <c r="D45" i="48"/>
  <c r="B45" i="48"/>
  <c r="Z44" i="48"/>
  <c r="X44" i="48"/>
  <c r="V44" i="48"/>
  <c r="R44" i="48"/>
  <c r="N44" i="48"/>
  <c r="L44" i="48"/>
  <c r="B44" i="48"/>
  <c r="Z43" i="48"/>
  <c r="X43" i="48"/>
  <c r="N43" i="48"/>
  <c r="L43" i="48"/>
  <c r="B43" i="48"/>
  <c r="Z42" i="48"/>
  <c r="X42" i="48"/>
  <c r="T42" i="48"/>
  <c r="P42" i="48"/>
  <c r="L42" i="48"/>
  <c r="H42" i="48"/>
  <c r="N42" i="48" s="1"/>
  <c r="D42" i="48"/>
  <c r="B42" i="48"/>
  <c r="Z41" i="48"/>
  <c r="X41" i="48"/>
  <c r="V41" i="48"/>
  <c r="N41" i="48"/>
  <c r="L41" i="48"/>
  <c r="F41" i="48"/>
  <c r="B41" i="48"/>
  <c r="T40" i="48"/>
  <c r="P40" i="48"/>
  <c r="H40" i="48"/>
  <c r="N40" i="48" s="1"/>
  <c r="D40" i="48"/>
  <c r="L40" i="48" s="1"/>
  <c r="B40" i="48"/>
  <c r="X39" i="48"/>
  <c r="Z39" i="48" s="1"/>
  <c r="V39" i="48"/>
  <c r="N39" i="48"/>
  <c r="L39" i="48"/>
  <c r="B39" i="48"/>
  <c r="T38" i="48"/>
  <c r="P38" i="48"/>
  <c r="X38" i="48" s="1"/>
  <c r="Z38" i="48" s="1"/>
  <c r="H38" i="48"/>
  <c r="D38" i="48"/>
  <c r="L38" i="48" s="1"/>
  <c r="N38" i="48" s="1"/>
  <c r="B38" i="48"/>
  <c r="Z37" i="48"/>
  <c r="X37" i="48"/>
  <c r="R37" i="48"/>
  <c r="N37" i="48"/>
  <c r="L37" i="48"/>
  <c r="B37" i="48"/>
  <c r="X36" i="48"/>
  <c r="V36" i="48"/>
  <c r="T36" i="48"/>
  <c r="Z36" i="48" s="1"/>
  <c r="P36" i="48"/>
  <c r="N36" i="48"/>
  <c r="L36" i="48"/>
  <c r="H36" i="48"/>
  <c r="D36" i="48"/>
  <c r="B36" i="48"/>
  <c r="Z35" i="48"/>
  <c r="X35" i="48"/>
  <c r="V35" i="48"/>
  <c r="L35" i="48"/>
  <c r="N35" i="48" s="1"/>
  <c r="B35" i="48"/>
  <c r="Z34" i="48"/>
  <c r="X34" i="48"/>
  <c r="R34" i="48"/>
  <c r="N34" i="48"/>
  <c r="L34" i="48"/>
  <c r="B34" i="48"/>
  <c r="Z33" i="48"/>
  <c r="X33" i="48"/>
  <c r="V33" i="48"/>
  <c r="L33" i="48"/>
  <c r="N33" i="48" s="1"/>
  <c r="B33" i="48"/>
  <c r="X32" i="48"/>
  <c r="Z32" i="48" s="1"/>
  <c r="V32" i="48"/>
  <c r="R32" i="48"/>
  <c r="L32" i="48"/>
  <c r="N32" i="48" s="1"/>
  <c r="B32" i="48"/>
  <c r="Z31" i="48"/>
  <c r="X31" i="48"/>
  <c r="V31" i="48"/>
  <c r="N31" i="48"/>
  <c r="L31" i="48"/>
  <c r="J31" i="48"/>
  <c r="B31" i="48"/>
  <c r="T30" i="48"/>
  <c r="R30" i="48"/>
  <c r="P30" i="48"/>
  <c r="H30" i="48"/>
  <c r="D30" i="48"/>
  <c r="L30" i="48" s="1"/>
  <c r="B30" i="48"/>
  <c r="X29" i="48"/>
  <c r="Z29" i="48" s="1"/>
  <c r="V29" i="48"/>
  <c r="R29" i="48"/>
  <c r="N29" i="48"/>
  <c r="L29" i="48"/>
  <c r="F29" i="48"/>
  <c r="B29" i="48"/>
  <c r="X28" i="48"/>
  <c r="Z28" i="48" s="1"/>
  <c r="L28" i="48"/>
  <c r="N28" i="48" s="1"/>
  <c r="B28" i="48"/>
  <c r="X27" i="48"/>
  <c r="Z27" i="48" s="1"/>
  <c r="V27" i="48"/>
  <c r="N27" i="48"/>
  <c r="L27" i="48"/>
  <c r="B27" i="48"/>
  <c r="Z26" i="48"/>
  <c r="X26" i="48"/>
  <c r="N26" i="48"/>
  <c r="L26" i="48"/>
  <c r="B26" i="48"/>
  <c r="X25" i="48"/>
  <c r="Z25" i="48" s="1"/>
  <c r="V25" i="48"/>
  <c r="R25" i="48"/>
  <c r="N25" i="48"/>
  <c r="L25" i="48"/>
  <c r="B25" i="48"/>
  <c r="X24" i="48"/>
  <c r="Z24" i="48" s="1"/>
  <c r="L24" i="48"/>
  <c r="N24" i="48" s="1"/>
  <c r="J24" i="48"/>
  <c r="B24" i="48"/>
  <c r="X23" i="48"/>
  <c r="Z23" i="48" s="1"/>
  <c r="V23" i="48"/>
  <c r="N23" i="48"/>
  <c r="L23" i="48"/>
  <c r="B23" i="48"/>
  <c r="X22" i="48"/>
  <c r="Z22" i="48" s="1"/>
  <c r="L22" i="48"/>
  <c r="N22" i="48" s="1"/>
  <c r="B22" i="48"/>
  <c r="X21" i="48"/>
  <c r="Z21" i="48" s="1"/>
  <c r="V21" i="48"/>
  <c r="R21" i="48"/>
  <c r="N21" i="48"/>
  <c r="L21" i="48"/>
  <c r="B21" i="48"/>
  <c r="V20" i="48"/>
  <c r="T20" i="48"/>
  <c r="P20" i="48"/>
  <c r="X20" i="48" s="1"/>
  <c r="Z20" i="48" s="1"/>
  <c r="N20" i="48"/>
  <c r="L20" i="48"/>
  <c r="H20" i="48"/>
  <c r="D20" i="48"/>
  <c r="B20" i="48"/>
  <c r="T19" i="48"/>
  <c r="P19" i="48"/>
  <c r="H19" i="48"/>
  <c r="L19" i="48" s="1"/>
  <c r="D19" i="48"/>
  <c r="R17" i="48"/>
  <c r="P17" i="48"/>
  <c r="Z15" i="48"/>
  <c r="T15" i="48"/>
  <c r="T17" i="48" s="1"/>
  <c r="R15" i="48"/>
  <c r="P15" i="48"/>
  <c r="X15" i="48" s="1"/>
  <c r="N15" i="48"/>
  <c r="H15" i="48"/>
  <c r="L15" i="48" s="1"/>
  <c r="F15" i="48"/>
  <c r="D15" i="48"/>
  <c r="T13" i="48"/>
  <c r="P13" i="48"/>
  <c r="X13" i="48" s="1"/>
  <c r="Z13" i="48" s="1"/>
  <c r="L13" i="48"/>
  <c r="N13" i="48" s="1"/>
  <c r="H13" i="48"/>
  <c r="H12" i="48" s="1"/>
  <c r="J42" i="48" s="1"/>
  <c r="D13" i="48"/>
  <c r="B13" i="48"/>
  <c r="X12" i="48"/>
  <c r="Z12" i="48" s="1"/>
  <c r="T12" i="48"/>
  <c r="V50" i="48" s="1"/>
  <c r="P12" i="48"/>
  <c r="R55" i="48" s="1"/>
  <c r="D12" i="48"/>
  <c r="D4" i="48"/>
  <c r="X93" i="45"/>
  <c r="Z93" i="45" s="1"/>
  <c r="N93" i="45"/>
  <c r="L93" i="45"/>
  <c r="Z89" i="45"/>
  <c r="X89" i="45"/>
  <c r="T89" i="45"/>
  <c r="P89" i="45"/>
  <c r="N89" i="45"/>
  <c r="H89" i="45"/>
  <c r="D89" i="45"/>
  <c r="L89" i="45" s="1"/>
  <c r="X87" i="45"/>
  <c r="Z87" i="45" s="1"/>
  <c r="L87" i="45"/>
  <c r="N87" i="45" s="1"/>
  <c r="B87" i="45"/>
  <c r="T86" i="45"/>
  <c r="P86" i="45"/>
  <c r="H86" i="45"/>
  <c r="D86" i="45"/>
  <c r="L86" i="45" s="1"/>
  <c r="B86" i="45"/>
  <c r="X85" i="45"/>
  <c r="Z85" i="45" s="1"/>
  <c r="N85" i="45"/>
  <c r="L85" i="45"/>
  <c r="B85" i="45"/>
  <c r="T84" i="45"/>
  <c r="P84" i="45"/>
  <c r="X84" i="45" s="1"/>
  <c r="Z84" i="45" s="1"/>
  <c r="L84" i="45"/>
  <c r="N84" i="45" s="1"/>
  <c r="H84" i="45"/>
  <c r="D84" i="45"/>
  <c r="B84" i="45"/>
  <c r="Z83" i="45"/>
  <c r="X83" i="45"/>
  <c r="N83" i="45"/>
  <c r="L83" i="45"/>
  <c r="B83" i="45"/>
  <c r="X82" i="45"/>
  <c r="Z82" i="45" s="1"/>
  <c r="T82" i="45"/>
  <c r="P82" i="45"/>
  <c r="L82" i="45"/>
  <c r="H82" i="45"/>
  <c r="D82" i="45"/>
  <c r="B82" i="45"/>
  <c r="Z81" i="45"/>
  <c r="X81" i="45"/>
  <c r="N81" i="45"/>
  <c r="L81" i="45"/>
  <c r="J81" i="45"/>
  <c r="B81" i="45"/>
  <c r="X80" i="45"/>
  <c r="Z80" i="45" s="1"/>
  <c r="L80" i="45"/>
  <c r="N80" i="45" s="1"/>
  <c r="B80" i="45"/>
  <c r="Z79" i="45"/>
  <c r="X79" i="45"/>
  <c r="L79" i="45"/>
  <c r="N79" i="45" s="1"/>
  <c r="J79" i="45"/>
  <c r="B79" i="45"/>
  <c r="Z78" i="45"/>
  <c r="X78" i="45"/>
  <c r="N78" i="45"/>
  <c r="L78" i="45"/>
  <c r="B78" i="45"/>
  <c r="Z77" i="45"/>
  <c r="X77" i="45"/>
  <c r="L77" i="45"/>
  <c r="N77" i="45" s="1"/>
  <c r="J77" i="45"/>
  <c r="B77" i="45"/>
  <c r="X76" i="45"/>
  <c r="Z76" i="45" s="1"/>
  <c r="L76" i="45"/>
  <c r="N76" i="45" s="1"/>
  <c r="B76" i="45"/>
  <c r="Z75" i="45"/>
  <c r="X75" i="45"/>
  <c r="L75" i="45"/>
  <c r="N75" i="45" s="1"/>
  <c r="J75" i="45"/>
  <c r="B75" i="45"/>
  <c r="Z74" i="45"/>
  <c r="X74" i="45"/>
  <c r="N74" i="45"/>
  <c r="L74" i="45"/>
  <c r="B74" i="45"/>
  <c r="Z73" i="45"/>
  <c r="X73" i="45"/>
  <c r="L73" i="45"/>
  <c r="N73" i="45" s="1"/>
  <c r="J73" i="45"/>
  <c r="B73" i="45"/>
  <c r="T72" i="45"/>
  <c r="P72" i="45"/>
  <c r="H72" i="45"/>
  <c r="D72" i="45"/>
  <c r="L72" i="45" s="1"/>
  <c r="B72" i="45"/>
  <c r="X71" i="45"/>
  <c r="Z71" i="45" s="1"/>
  <c r="N71" i="45"/>
  <c r="L71" i="45"/>
  <c r="B71" i="45"/>
  <c r="Z70" i="45"/>
  <c r="X70" i="45"/>
  <c r="N70" i="45"/>
  <c r="L70" i="45"/>
  <c r="B70" i="45"/>
  <c r="X69" i="45"/>
  <c r="Z69" i="45" s="1"/>
  <c r="N69" i="45"/>
  <c r="L69" i="45"/>
  <c r="B69" i="45"/>
  <c r="X68" i="45"/>
  <c r="Z68" i="45" s="1"/>
  <c r="T68" i="45"/>
  <c r="P68" i="45"/>
  <c r="N68" i="45"/>
  <c r="L68" i="45"/>
  <c r="H68" i="45"/>
  <c r="D68" i="45"/>
  <c r="B68" i="45"/>
  <c r="Z67" i="45"/>
  <c r="X67" i="45"/>
  <c r="N67" i="45"/>
  <c r="L67" i="45"/>
  <c r="B67" i="45"/>
  <c r="Z66" i="45"/>
  <c r="X66" i="45"/>
  <c r="N66" i="45"/>
  <c r="L66" i="45"/>
  <c r="B66" i="45"/>
  <c r="Z65" i="45"/>
  <c r="X65" i="45"/>
  <c r="N65" i="45"/>
  <c r="L65" i="45"/>
  <c r="J65" i="45"/>
  <c r="B65" i="45"/>
  <c r="X64" i="45"/>
  <c r="T64" i="45"/>
  <c r="P64" i="45"/>
  <c r="L64" i="45"/>
  <c r="H64" i="45"/>
  <c r="N64" i="45" s="1"/>
  <c r="D64" i="45"/>
  <c r="B64" i="45"/>
  <c r="X63" i="45"/>
  <c r="Z63" i="45" s="1"/>
  <c r="L63" i="45"/>
  <c r="N63" i="45" s="1"/>
  <c r="B63" i="45"/>
  <c r="T62" i="45"/>
  <c r="P62" i="45"/>
  <c r="X62" i="45" s="1"/>
  <c r="H62" i="45"/>
  <c r="D62" i="45"/>
  <c r="B62" i="45"/>
  <c r="X61" i="45"/>
  <c r="Z61" i="45" s="1"/>
  <c r="N61" i="45"/>
  <c r="L61" i="45"/>
  <c r="B61" i="45"/>
  <c r="X60" i="45"/>
  <c r="Z60" i="45" s="1"/>
  <c r="T60" i="45"/>
  <c r="P60" i="45"/>
  <c r="N60" i="45"/>
  <c r="L60" i="45"/>
  <c r="H60" i="45"/>
  <c r="D60" i="45"/>
  <c r="B60" i="45"/>
  <c r="Z59" i="45"/>
  <c r="X59" i="45"/>
  <c r="L59" i="45"/>
  <c r="N59" i="45" s="1"/>
  <c r="B59" i="45"/>
  <c r="T58" i="45"/>
  <c r="P58" i="45"/>
  <c r="L58" i="45"/>
  <c r="H58" i="45"/>
  <c r="D58" i="45"/>
  <c r="B58" i="45"/>
  <c r="Z57" i="45"/>
  <c r="X57" i="45"/>
  <c r="L57" i="45"/>
  <c r="N57" i="45" s="1"/>
  <c r="B57" i="45"/>
  <c r="T56" i="45"/>
  <c r="P56" i="45"/>
  <c r="H56" i="45"/>
  <c r="D56" i="45"/>
  <c r="L56" i="45" s="1"/>
  <c r="B56" i="45"/>
  <c r="X55" i="45"/>
  <c r="Z55" i="45" s="1"/>
  <c r="N55" i="45"/>
  <c r="L55" i="45"/>
  <c r="B55" i="45"/>
  <c r="T54" i="45"/>
  <c r="P54" i="45"/>
  <c r="X54" i="45" s="1"/>
  <c r="Z54" i="45" s="1"/>
  <c r="L54" i="45"/>
  <c r="N54" i="45" s="1"/>
  <c r="H54" i="45"/>
  <c r="D54" i="45"/>
  <c r="B54" i="45"/>
  <c r="Z53" i="45"/>
  <c r="X53" i="45"/>
  <c r="N53" i="45"/>
  <c r="L53" i="45"/>
  <c r="B53" i="45"/>
  <c r="X52" i="45"/>
  <c r="T52" i="45"/>
  <c r="Z52" i="45" s="1"/>
  <c r="P52" i="45"/>
  <c r="H52" i="45"/>
  <c r="D52" i="45"/>
  <c r="B52" i="45"/>
  <c r="Z51" i="45"/>
  <c r="X51" i="45"/>
  <c r="N51" i="45"/>
  <c r="L51" i="45"/>
  <c r="B51" i="45"/>
  <c r="T50" i="45"/>
  <c r="Z50" i="45" s="1"/>
  <c r="P50" i="45"/>
  <c r="X50" i="45" s="1"/>
  <c r="H50" i="45"/>
  <c r="N50" i="45" s="1"/>
  <c r="D50" i="45"/>
  <c r="L50" i="45" s="1"/>
  <c r="B50" i="45"/>
  <c r="X49" i="45"/>
  <c r="Z49" i="45" s="1"/>
  <c r="N49" i="45"/>
  <c r="L49" i="45"/>
  <c r="B49" i="45"/>
  <c r="X48" i="45"/>
  <c r="Z48" i="45" s="1"/>
  <c r="T48" i="45"/>
  <c r="P48" i="45"/>
  <c r="H48" i="45"/>
  <c r="D48" i="45"/>
  <c r="L48" i="45" s="1"/>
  <c r="N48" i="45" s="1"/>
  <c r="B48" i="45"/>
  <c r="Z47" i="45"/>
  <c r="X47" i="45"/>
  <c r="L47" i="45"/>
  <c r="N47" i="45" s="1"/>
  <c r="B47" i="45"/>
  <c r="T46" i="45"/>
  <c r="P46" i="45"/>
  <c r="L46" i="45"/>
  <c r="H46" i="45"/>
  <c r="D46" i="45"/>
  <c r="B46" i="45"/>
  <c r="Z45" i="45"/>
  <c r="X45" i="45"/>
  <c r="L45" i="45"/>
  <c r="N45" i="45" s="1"/>
  <c r="B45" i="45"/>
  <c r="T44" i="45"/>
  <c r="P44" i="45"/>
  <c r="H44" i="45"/>
  <c r="D44" i="45"/>
  <c r="L44" i="45" s="1"/>
  <c r="B44" i="45"/>
  <c r="X43" i="45"/>
  <c r="Z43" i="45" s="1"/>
  <c r="N43" i="45"/>
  <c r="L43" i="45"/>
  <c r="B43" i="45"/>
  <c r="Z42" i="45"/>
  <c r="X42" i="45"/>
  <c r="N42" i="45"/>
  <c r="L42" i="45"/>
  <c r="B42" i="45"/>
  <c r="X41" i="45"/>
  <c r="Z41" i="45" s="1"/>
  <c r="N41" i="45"/>
  <c r="L41" i="45"/>
  <c r="B41" i="45"/>
  <c r="X40" i="45"/>
  <c r="Z40" i="45" s="1"/>
  <c r="L40" i="45"/>
  <c r="N40" i="45" s="1"/>
  <c r="B40" i="45"/>
  <c r="X39" i="45"/>
  <c r="Z39" i="45" s="1"/>
  <c r="N39" i="45"/>
  <c r="L39" i="45"/>
  <c r="B39" i="45"/>
  <c r="X38" i="45"/>
  <c r="Z38" i="45" s="1"/>
  <c r="N38" i="45"/>
  <c r="L38" i="45"/>
  <c r="B38" i="45"/>
  <c r="X37" i="45"/>
  <c r="Z37" i="45" s="1"/>
  <c r="N37" i="45"/>
  <c r="L37" i="45"/>
  <c r="B37" i="45"/>
  <c r="X36" i="45"/>
  <c r="Z36" i="45" s="1"/>
  <c r="T36" i="45"/>
  <c r="P36" i="45"/>
  <c r="L36" i="45"/>
  <c r="N36" i="45" s="1"/>
  <c r="H36" i="45"/>
  <c r="D36" i="45"/>
  <c r="B36" i="45"/>
  <c r="Z35" i="45"/>
  <c r="X35" i="45"/>
  <c r="N35" i="45"/>
  <c r="L35" i="45"/>
  <c r="B35" i="45"/>
  <c r="Z34" i="45"/>
  <c r="X34" i="45"/>
  <c r="L34" i="45"/>
  <c r="N34" i="45" s="1"/>
  <c r="B34" i="45"/>
  <c r="Z33" i="45"/>
  <c r="X33" i="45"/>
  <c r="N33" i="45"/>
  <c r="L33" i="45"/>
  <c r="J33" i="45"/>
  <c r="B33" i="45"/>
  <c r="X32" i="45"/>
  <c r="Z32" i="45" s="1"/>
  <c r="L32" i="45"/>
  <c r="N32" i="45" s="1"/>
  <c r="J32" i="45"/>
  <c r="B32" i="45"/>
  <c r="Z31" i="45"/>
  <c r="X31" i="45"/>
  <c r="N31" i="45"/>
  <c r="L31" i="45"/>
  <c r="B31" i="45"/>
  <c r="Z30" i="45"/>
  <c r="X30" i="45"/>
  <c r="L30" i="45"/>
  <c r="N30" i="45" s="1"/>
  <c r="B30" i="45"/>
  <c r="Z29" i="45"/>
  <c r="X29" i="45"/>
  <c r="N29" i="45"/>
  <c r="L29" i="45"/>
  <c r="J29" i="45"/>
  <c r="B29" i="45"/>
  <c r="Z28" i="45"/>
  <c r="X28" i="45"/>
  <c r="L28" i="45"/>
  <c r="N28" i="45" s="1"/>
  <c r="J28" i="45"/>
  <c r="B28" i="45"/>
  <c r="Z27" i="45"/>
  <c r="X27" i="45"/>
  <c r="L27" i="45"/>
  <c r="N27" i="45" s="1"/>
  <c r="B27" i="45"/>
  <c r="T26" i="45"/>
  <c r="P26" i="45"/>
  <c r="H26" i="45"/>
  <c r="D26" i="45"/>
  <c r="B26" i="45"/>
  <c r="T25" i="45"/>
  <c r="P25" i="45"/>
  <c r="H25" i="45"/>
  <c r="D25" i="45"/>
  <c r="L25" i="45" s="1"/>
  <c r="N25" i="45" s="1"/>
  <c r="Z21" i="45"/>
  <c r="X21" i="45"/>
  <c r="L21" i="45"/>
  <c r="N21" i="45" s="1"/>
  <c r="B21" i="45"/>
  <c r="Z20" i="45"/>
  <c r="X20" i="45"/>
  <c r="L20" i="45"/>
  <c r="N20" i="45" s="1"/>
  <c r="B20" i="45"/>
  <c r="T19" i="45"/>
  <c r="Z19" i="45" s="1"/>
  <c r="P19" i="45"/>
  <c r="X19" i="45" s="1"/>
  <c r="N19" i="45"/>
  <c r="J19" i="45"/>
  <c r="H19" i="45"/>
  <c r="D19" i="45"/>
  <c r="L19" i="45" s="1"/>
  <c r="T17" i="45"/>
  <c r="P17" i="45"/>
  <c r="H17" i="45"/>
  <c r="D17" i="45"/>
  <c r="L17" i="45" s="1"/>
  <c r="B17" i="45"/>
  <c r="T16" i="45"/>
  <c r="P16" i="45"/>
  <c r="X16" i="45" s="1"/>
  <c r="N16" i="45"/>
  <c r="L16" i="45"/>
  <c r="H16" i="45"/>
  <c r="D16" i="45"/>
  <c r="B16" i="45"/>
  <c r="T15" i="45"/>
  <c r="P15" i="45"/>
  <c r="X15" i="45" s="1"/>
  <c r="H15" i="45"/>
  <c r="D15" i="45"/>
  <c r="L15" i="45" s="1"/>
  <c r="B15" i="45"/>
  <c r="T14" i="45"/>
  <c r="P14" i="45"/>
  <c r="X14" i="45" s="1"/>
  <c r="Z14" i="45" s="1"/>
  <c r="N14" i="45"/>
  <c r="L14" i="45"/>
  <c r="H14" i="45"/>
  <c r="D14" i="45"/>
  <c r="B14" i="45"/>
  <c r="T13" i="45"/>
  <c r="T12" i="45" s="1"/>
  <c r="V89" i="45" s="1"/>
  <c r="P13" i="45"/>
  <c r="P12" i="45" s="1"/>
  <c r="H13" i="45"/>
  <c r="D13" i="45"/>
  <c r="B13" i="45"/>
  <c r="H12" i="45"/>
  <c r="J62" i="45" s="1"/>
  <c r="D4" i="45"/>
  <c r="Z120" i="42"/>
  <c r="X120" i="42"/>
  <c r="L120" i="42"/>
  <c r="N120" i="42" s="1"/>
  <c r="T116" i="42"/>
  <c r="X116" i="42" s="1"/>
  <c r="Z116" i="42" s="1"/>
  <c r="P116" i="42"/>
  <c r="H116" i="42"/>
  <c r="D116" i="42"/>
  <c r="L116" i="42" s="1"/>
  <c r="B116" i="42"/>
  <c r="T115" i="42"/>
  <c r="P115" i="42"/>
  <c r="H115" i="42"/>
  <c r="N115" i="42" s="1"/>
  <c r="D115" i="42"/>
  <c r="L115" i="42" s="1"/>
  <c r="B115" i="42"/>
  <c r="X114" i="42"/>
  <c r="T114" i="42"/>
  <c r="T113" i="42" s="1"/>
  <c r="P114" i="42"/>
  <c r="P113" i="42" s="1"/>
  <c r="X113" i="42" s="1"/>
  <c r="H114" i="42"/>
  <c r="D114" i="42"/>
  <c r="B114" i="42"/>
  <c r="X111" i="42"/>
  <c r="Z111" i="42" s="1"/>
  <c r="N111" i="42"/>
  <c r="L111" i="42"/>
  <c r="B111" i="42"/>
  <c r="T110" i="42"/>
  <c r="X110" i="42" s="1"/>
  <c r="Z110" i="42" s="1"/>
  <c r="P110" i="42"/>
  <c r="H110" i="42"/>
  <c r="N110" i="42" s="1"/>
  <c r="D110" i="42"/>
  <c r="L110" i="42" s="1"/>
  <c r="B110" i="42"/>
  <c r="Z109" i="42"/>
  <c r="X109" i="42"/>
  <c r="N109" i="42"/>
  <c r="L109" i="42"/>
  <c r="B109" i="42"/>
  <c r="X108" i="42"/>
  <c r="Z108" i="42" s="1"/>
  <c r="N108" i="42"/>
  <c r="L108" i="42"/>
  <c r="B108" i="42"/>
  <c r="Z107" i="42"/>
  <c r="X107" i="42"/>
  <c r="N107" i="42"/>
  <c r="L107" i="42"/>
  <c r="B107" i="42"/>
  <c r="Z106" i="42"/>
  <c r="T106" i="42"/>
  <c r="P106" i="42"/>
  <c r="X106" i="42" s="1"/>
  <c r="N106" i="42"/>
  <c r="L106" i="42"/>
  <c r="H106" i="42"/>
  <c r="D106" i="42"/>
  <c r="B106" i="42"/>
  <c r="Z105" i="42"/>
  <c r="X105" i="42"/>
  <c r="N105" i="42"/>
  <c r="L105" i="42"/>
  <c r="B105" i="42"/>
  <c r="X104" i="42"/>
  <c r="T104" i="42"/>
  <c r="Z104" i="42" s="1"/>
  <c r="P104" i="42"/>
  <c r="H104" i="42"/>
  <c r="D104" i="42"/>
  <c r="B104" i="42"/>
  <c r="X103" i="42"/>
  <c r="Z103" i="42" s="1"/>
  <c r="N103" i="42"/>
  <c r="L103" i="42"/>
  <c r="B103" i="42"/>
  <c r="T102" i="42"/>
  <c r="X102" i="42" s="1"/>
  <c r="Z102" i="42" s="1"/>
  <c r="P102" i="42"/>
  <c r="H102" i="42"/>
  <c r="D102" i="42"/>
  <c r="L102" i="42" s="1"/>
  <c r="B102" i="42"/>
  <c r="Z101" i="42"/>
  <c r="X101" i="42"/>
  <c r="N101" i="42"/>
  <c r="L101" i="42"/>
  <c r="B101" i="42"/>
  <c r="X100" i="42"/>
  <c r="Z100" i="42" s="1"/>
  <c r="L100" i="42"/>
  <c r="N100" i="42" s="1"/>
  <c r="B100" i="42"/>
  <c r="Z99" i="42"/>
  <c r="X99" i="42"/>
  <c r="N99" i="42"/>
  <c r="L99" i="42"/>
  <c r="B99" i="42"/>
  <c r="Z98" i="42"/>
  <c r="X98" i="42"/>
  <c r="L98" i="42"/>
  <c r="N98" i="42" s="1"/>
  <c r="B98" i="42"/>
  <c r="Z97" i="42"/>
  <c r="X97" i="42"/>
  <c r="N97" i="42"/>
  <c r="L97" i="42"/>
  <c r="B97" i="42"/>
  <c r="X96" i="42"/>
  <c r="Z96" i="42" s="1"/>
  <c r="L96" i="42"/>
  <c r="N96" i="42" s="1"/>
  <c r="B96" i="42"/>
  <c r="Z95" i="42"/>
  <c r="X95" i="42"/>
  <c r="N95" i="42"/>
  <c r="L95" i="42"/>
  <c r="B95" i="42"/>
  <c r="Z94" i="42"/>
  <c r="X94" i="42"/>
  <c r="N94" i="42"/>
  <c r="L94" i="42"/>
  <c r="B94" i="42"/>
  <c r="Z93" i="42"/>
  <c r="X93" i="42"/>
  <c r="N93" i="42"/>
  <c r="L93" i="42"/>
  <c r="B93" i="42"/>
  <c r="X92" i="42"/>
  <c r="Z92" i="42" s="1"/>
  <c r="T92" i="42"/>
  <c r="P92" i="42"/>
  <c r="N92" i="42"/>
  <c r="H92" i="42"/>
  <c r="D92" i="42"/>
  <c r="L92" i="42" s="1"/>
  <c r="B92" i="42"/>
  <c r="Z91" i="42"/>
  <c r="X91" i="42"/>
  <c r="L91" i="42"/>
  <c r="N91" i="42" s="1"/>
  <c r="B91" i="42"/>
  <c r="T90" i="42"/>
  <c r="P90" i="42"/>
  <c r="L90" i="42"/>
  <c r="N90" i="42" s="1"/>
  <c r="H90" i="42"/>
  <c r="D90" i="42"/>
  <c r="B90" i="42"/>
  <c r="Z89" i="42"/>
  <c r="X89" i="42"/>
  <c r="N89" i="42"/>
  <c r="L89" i="42"/>
  <c r="F89" i="42"/>
  <c r="B89" i="42"/>
  <c r="X88" i="42"/>
  <c r="Z88" i="42" s="1"/>
  <c r="L88" i="42"/>
  <c r="N88" i="42" s="1"/>
  <c r="B88" i="42"/>
  <c r="X87" i="42"/>
  <c r="Z87" i="42" s="1"/>
  <c r="L87" i="42"/>
  <c r="N87" i="42" s="1"/>
  <c r="B87" i="42"/>
  <c r="Z86" i="42"/>
  <c r="X86" i="42"/>
  <c r="N86" i="42"/>
  <c r="L86" i="42"/>
  <c r="B86" i="42"/>
  <c r="Z85" i="42"/>
  <c r="X85" i="42"/>
  <c r="N85" i="42"/>
  <c r="L85" i="42"/>
  <c r="B85" i="42"/>
  <c r="T84" i="42"/>
  <c r="Z84" i="42" s="1"/>
  <c r="P84" i="42"/>
  <c r="X84" i="42" s="1"/>
  <c r="H84" i="42"/>
  <c r="L84" i="42" s="1"/>
  <c r="N84" i="42" s="1"/>
  <c r="D84" i="42"/>
  <c r="B84" i="42"/>
  <c r="X83" i="42"/>
  <c r="Z83" i="42" s="1"/>
  <c r="N83" i="42"/>
  <c r="L83" i="42"/>
  <c r="B83" i="42"/>
  <c r="Z82" i="42"/>
  <c r="X82" i="42"/>
  <c r="L82" i="42"/>
  <c r="N82" i="42" s="1"/>
  <c r="B82" i="42"/>
  <c r="T81" i="42"/>
  <c r="P81" i="42"/>
  <c r="H81" i="42"/>
  <c r="N81" i="42" s="1"/>
  <c r="D81" i="42"/>
  <c r="L81" i="42" s="1"/>
  <c r="B81" i="42"/>
  <c r="X80" i="42"/>
  <c r="Z80" i="42" s="1"/>
  <c r="L80" i="42"/>
  <c r="N80" i="42" s="1"/>
  <c r="B80" i="42"/>
  <c r="Z79" i="42"/>
  <c r="X79" i="42"/>
  <c r="L79" i="42"/>
  <c r="N79" i="42" s="1"/>
  <c r="B79" i="42"/>
  <c r="X78" i="42"/>
  <c r="Z78" i="42" s="1"/>
  <c r="N78" i="42"/>
  <c r="L78" i="42"/>
  <c r="B78" i="42"/>
  <c r="T77" i="42"/>
  <c r="P77" i="42"/>
  <c r="X77" i="42" s="1"/>
  <c r="H77" i="42"/>
  <c r="D77" i="42"/>
  <c r="L77" i="42" s="1"/>
  <c r="N77" i="42" s="1"/>
  <c r="B77" i="42"/>
  <c r="X76" i="42"/>
  <c r="Z76" i="42" s="1"/>
  <c r="L76" i="42"/>
  <c r="N76" i="42" s="1"/>
  <c r="B76" i="42"/>
  <c r="X75" i="42"/>
  <c r="Z75" i="42" s="1"/>
  <c r="T75" i="42"/>
  <c r="P75" i="42"/>
  <c r="H75" i="42"/>
  <c r="L75" i="42" s="1"/>
  <c r="N75" i="42" s="1"/>
  <c r="D75" i="42"/>
  <c r="B75" i="42"/>
  <c r="Z74" i="42"/>
  <c r="X74" i="42"/>
  <c r="N74" i="42"/>
  <c r="L74" i="42"/>
  <c r="B74" i="42"/>
  <c r="T73" i="42"/>
  <c r="P73" i="42"/>
  <c r="H73" i="42"/>
  <c r="N73" i="42" s="1"/>
  <c r="F73" i="42"/>
  <c r="D73" i="42"/>
  <c r="L73" i="42" s="1"/>
  <c r="B73" i="42"/>
  <c r="X72" i="42"/>
  <c r="Z72" i="42" s="1"/>
  <c r="L72" i="42"/>
  <c r="N72" i="42" s="1"/>
  <c r="B72" i="42"/>
  <c r="Z71" i="42"/>
  <c r="T71" i="42"/>
  <c r="P71" i="42"/>
  <c r="X71" i="42" s="1"/>
  <c r="H71" i="42"/>
  <c r="N71" i="42" s="1"/>
  <c r="D71" i="42"/>
  <c r="L71" i="42" s="1"/>
  <c r="B71" i="42"/>
  <c r="Z70" i="42"/>
  <c r="X70" i="42"/>
  <c r="N70" i="42"/>
  <c r="L70" i="42"/>
  <c r="B70" i="42"/>
  <c r="T69" i="42"/>
  <c r="X69" i="42" s="1"/>
  <c r="Z69" i="42" s="1"/>
  <c r="P69" i="42"/>
  <c r="L69" i="42"/>
  <c r="N69" i="42" s="1"/>
  <c r="H69" i="42"/>
  <c r="D69" i="42"/>
  <c r="B69" i="42"/>
  <c r="X68" i="42"/>
  <c r="Z68" i="42" s="1"/>
  <c r="L68" i="42"/>
  <c r="N68" i="42" s="1"/>
  <c r="B68" i="42"/>
  <c r="X67" i="42"/>
  <c r="Z67" i="42" s="1"/>
  <c r="N67" i="42"/>
  <c r="L67" i="42"/>
  <c r="B67" i="42"/>
  <c r="Z66" i="42"/>
  <c r="T66" i="42"/>
  <c r="P66" i="42"/>
  <c r="X66" i="42" s="1"/>
  <c r="L66" i="42"/>
  <c r="N66" i="42" s="1"/>
  <c r="H66" i="42"/>
  <c r="D66" i="42"/>
  <c r="B66" i="42"/>
  <c r="Z65" i="42"/>
  <c r="X65" i="42"/>
  <c r="N65" i="42"/>
  <c r="L65" i="42"/>
  <c r="B65" i="42"/>
  <c r="X64" i="42"/>
  <c r="T64" i="42"/>
  <c r="Z64" i="42" s="1"/>
  <c r="P64" i="42"/>
  <c r="H64" i="42"/>
  <c r="D64" i="42"/>
  <c r="B64" i="42"/>
  <c r="X63" i="42"/>
  <c r="Z63" i="42" s="1"/>
  <c r="L63" i="42"/>
  <c r="N63" i="42" s="1"/>
  <c r="B63" i="42"/>
  <c r="T62" i="42"/>
  <c r="X62" i="42" s="1"/>
  <c r="Z62" i="42" s="1"/>
  <c r="P62" i="42"/>
  <c r="H62" i="42"/>
  <c r="D62" i="42"/>
  <c r="L62" i="42" s="1"/>
  <c r="B62" i="42"/>
  <c r="Z61" i="42"/>
  <c r="X61" i="42"/>
  <c r="N61" i="42"/>
  <c r="L61" i="42"/>
  <c r="B61" i="42"/>
  <c r="X60" i="42"/>
  <c r="Z60" i="42" s="1"/>
  <c r="T60" i="42"/>
  <c r="P60" i="42"/>
  <c r="H60" i="42"/>
  <c r="D60" i="42"/>
  <c r="L60" i="42" s="1"/>
  <c r="N60" i="42" s="1"/>
  <c r="B60" i="42"/>
  <c r="Z59" i="42"/>
  <c r="X59" i="42"/>
  <c r="L59" i="42"/>
  <c r="N59" i="42" s="1"/>
  <c r="B59" i="42"/>
  <c r="X58" i="42"/>
  <c r="T58" i="42"/>
  <c r="P58" i="42"/>
  <c r="L58" i="42"/>
  <c r="N58" i="42" s="1"/>
  <c r="H58" i="42"/>
  <c r="D58" i="42"/>
  <c r="B58" i="42"/>
  <c r="Z57" i="42"/>
  <c r="X57" i="42"/>
  <c r="V57" i="42"/>
  <c r="N57" i="42"/>
  <c r="L57" i="42"/>
  <c r="B57" i="42"/>
  <c r="X56" i="42"/>
  <c r="Z56" i="42" s="1"/>
  <c r="L56" i="42"/>
  <c r="N56" i="42" s="1"/>
  <c r="B56" i="42"/>
  <c r="X55" i="42"/>
  <c r="Z55" i="42" s="1"/>
  <c r="L55" i="42"/>
  <c r="N55" i="42" s="1"/>
  <c r="B55" i="42"/>
  <c r="T54" i="42"/>
  <c r="X54" i="42" s="1"/>
  <c r="Z54" i="42" s="1"/>
  <c r="P54" i="42"/>
  <c r="H54" i="42"/>
  <c r="D54" i="42"/>
  <c r="L54" i="42" s="1"/>
  <c r="B54" i="42"/>
  <c r="Z53" i="42"/>
  <c r="X53" i="42"/>
  <c r="N53" i="42"/>
  <c r="L53" i="42"/>
  <c r="B53" i="42"/>
  <c r="X52" i="42"/>
  <c r="Z52" i="42" s="1"/>
  <c r="T52" i="42"/>
  <c r="P52" i="42"/>
  <c r="N52" i="42"/>
  <c r="H52" i="42"/>
  <c r="D52" i="42"/>
  <c r="L52" i="42" s="1"/>
  <c r="B52" i="42"/>
  <c r="Z51" i="42"/>
  <c r="X51" i="42"/>
  <c r="L51" i="42"/>
  <c r="N51" i="42" s="1"/>
  <c r="B51" i="42"/>
  <c r="X50" i="42"/>
  <c r="T50" i="42"/>
  <c r="P50" i="42"/>
  <c r="L50" i="42"/>
  <c r="N50" i="42" s="1"/>
  <c r="H50" i="42"/>
  <c r="D50" i="42"/>
  <c r="B50" i="42"/>
  <c r="Z49" i="42"/>
  <c r="X49" i="42"/>
  <c r="N49" i="42"/>
  <c r="L49" i="42"/>
  <c r="B49" i="42"/>
  <c r="T48" i="42"/>
  <c r="P48" i="42"/>
  <c r="H48" i="42"/>
  <c r="L48" i="42" s="1"/>
  <c r="N48" i="42" s="1"/>
  <c r="D48" i="42"/>
  <c r="B48" i="42"/>
  <c r="X47" i="42"/>
  <c r="Z47" i="42" s="1"/>
  <c r="N47" i="42"/>
  <c r="L47" i="42"/>
  <c r="B47" i="42"/>
  <c r="Z46" i="42"/>
  <c r="X46" i="42"/>
  <c r="L46" i="42"/>
  <c r="N46" i="42" s="1"/>
  <c r="B46" i="42"/>
  <c r="Z45" i="42"/>
  <c r="X45" i="42"/>
  <c r="N45" i="42"/>
  <c r="L45" i="42"/>
  <c r="B45" i="42"/>
  <c r="X44" i="42"/>
  <c r="Z44" i="42" s="1"/>
  <c r="L44" i="42"/>
  <c r="N44" i="42" s="1"/>
  <c r="B44" i="42"/>
  <c r="X43" i="42"/>
  <c r="Z43" i="42" s="1"/>
  <c r="N43" i="42"/>
  <c r="L43" i="42"/>
  <c r="B43" i="42"/>
  <c r="Z42" i="42"/>
  <c r="X42" i="42"/>
  <c r="L42" i="42"/>
  <c r="N42" i="42" s="1"/>
  <c r="B42" i="42"/>
  <c r="Z41" i="42"/>
  <c r="X41" i="42"/>
  <c r="N41" i="42"/>
  <c r="L41" i="42"/>
  <c r="B41" i="42"/>
  <c r="X40" i="42"/>
  <c r="Z40" i="42" s="1"/>
  <c r="T40" i="42"/>
  <c r="P40" i="42"/>
  <c r="N40" i="42"/>
  <c r="H40" i="42"/>
  <c r="D40" i="42"/>
  <c r="L40" i="42" s="1"/>
  <c r="B40" i="42"/>
  <c r="Z39" i="42"/>
  <c r="X39" i="42"/>
  <c r="L39" i="42"/>
  <c r="N39" i="42" s="1"/>
  <c r="B39" i="42"/>
  <c r="X38" i="42"/>
  <c r="Z38" i="42" s="1"/>
  <c r="N38" i="42"/>
  <c r="L38" i="42"/>
  <c r="B38" i="42"/>
  <c r="Z37" i="42"/>
  <c r="X37" i="42"/>
  <c r="N37" i="42"/>
  <c r="L37" i="42"/>
  <c r="B37" i="42"/>
  <c r="X36" i="42"/>
  <c r="Z36" i="42" s="1"/>
  <c r="L36" i="42"/>
  <c r="N36" i="42" s="1"/>
  <c r="B36" i="42"/>
  <c r="Z35" i="42"/>
  <c r="X35" i="42"/>
  <c r="L35" i="42"/>
  <c r="N35" i="42" s="1"/>
  <c r="B35" i="42"/>
  <c r="X34" i="42"/>
  <c r="Z34" i="42" s="1"/>
  <c r="N34" i="42"/>
  <c r="L34" i="42"/>
  <c r="B34" i="42"/>
  <c r="Z33" i="42"/>
  <c r="X33" i="42"/>
  <c r="N33" i="42"/>
  <c r="L33" i="42"/>
  <c r="B33" i="42"/>
  <c r="X32" i="42"/>
  <c r="Z32" i="42" s="1"/>
  <c r="L32" i="42"/>
  <c r="N32" i="42" s="1"/>
  <c r="B32" i="42"/>
  <c r="Z31" i="42"/>
  <c r="X31" i="42"/>
  <c r="L31" i="42"/>
  <c r="N31" i="42" s="1"/>
  <c r="B31" i="42"/>
  <c r="X30" i="42"/>
  <c r="T30" i="42"/>
  <c r="P30" i="42"/>
  <c r="L30" i="42"/>
  <c r="H30" i="42"/>
  <c r="N30" i="42" s="1"/>
  <c r="D30" i="42"/>
  <c r="B30" i="42"/>
  <c r="T29" i="42"/>
  <c r="Z29" i="42" s="1"/>
  <c r="P29" i="42"/>
  <c r="X29" i="42" s="1"/>
  <c r="H29" i="42"/>
  <c r="D29" i="42"/>
  <c r="L29" i="42" s="1"/>
  <c r="Z25" i="42"/>
  <c r="X25" i="42"/>
  <c r="L25" i="42"/>
  <c r="N25" i="42" s="1"/>
  <c r="B25" i="42"/>
  <c r="Z24" i="42"/>
  <c r="X24" i="42"/>
  <c r="L24" i="42"/>
  <c r="N24" i="42" s="1"/>
  <c r="B24" i="42"/>
  <c r="X23" i="42"/>
  <c r="T23" i="42"/>
  <c r="P23" i="42"/>
  <c r="H23" i="42"/>
  <c r="D23" i="42"/>
  <c r="X21" i="42"/>
  <c r="Z21" i="42" s="1"/>
  <c r="T21" i="42"/>
  <c r="P21" i="42"/>
  <c r="L21" i="42"/>
  <c r="H21" i="42"/>
  <c r="D21" i="42"/>
  <c r="B21" i="42"/>
  <c r="T20" i="42"/>
  <c r="P20" i="42"/>
  <c r="H20" i="42"/>
  <c r="D20" i="42"/>
  <c r="L20" i="42" s="1"/>
  <c r="N20" i="42" s="1"/>
  <c r="B20" i="42"/>
  <c r="T19" i="42"/>
  <c r="P19" i="42"/>
  <c r="L19" i="42"/>
  <c r="H19" i="42"/>
  <c r="D19" i="42"/>
  <c r="B19" i="42"/>
  <c r="T18" i="42"/>
  <c r="P18" i="42"/>
  <c r="L18" i="42"/>
  <c r="H18" i="42"/>
  <c r="D18" i="42"/>
  <c r="B18" i="42"/>
  <c r="T17" i="42"/>
  <c r="P17" i="42"/>
  <c r="X17" i="42" s="1"/>
  <c r="Z17" i="42" s="1"/>
  <c r="L17" i="42"/>
  <c r="H17" i="42"/>
  <c r="D17" i="42"/>
  <c r="B17" i="42"/>
  <c r="T16" i="42"/>
  <c r="P16" i="42"/>
  <c r="H16" i="42"/>
  <c r="D16" i="42"/>
  <c r="B16" i="42"/>
  <c r="T15" i="42"/>
  <c r="T12" i="42" s="1"/>
  <c r="V25" i="42" s="1"/>
  <c r="P15" i="42"/>
  <c r="H15" i="42"/>
  <c r="D15" i="42"/>
  <c r="L15" i="42" s="1"/>
  <c r="B15" i="42"/>
  <c r="T14" i="42"/>
  <c r="P14" i="42"/>
  <c r="X14" i="42" s="1"/>
  <c r="Z14" i="42" s="1"/>
  <c r="H14" i="42"/>
  <c r="D14" i="42"/>
  <c r="B14" i="42"/>
  <c r="T13" i="42"/>
  <c r="P13" i="42"/>
  <c r="H13" i="42"/>
  <c r="D13" i="42"/>
  <c r="D12" i="42" s="1"/>
  <c r="F82" i="42" s="1"/>
  <c r="B13" i="42"/>
  <c r="D4" i="42"/>
  <c r="Z129" i="39"/>
  <c r="X129" i="39"/>
  <c r="L129" i="39"/>
  <c r="N129" i="39" s="1"/>
  <c r="T125" i="39"/>
  <c r="P125" i="39"/>
  <c r="X125" i="39" s="1"/>
  <c r="L125" i="39"/>
  <c r="H125" i="39"/>
  <c r="D125" i="39"/>
  <c r="B125" i="39"/>
  <c r="T124" i="39"/>
  <c r="P124" i="39"/>
  <c r="X124" i="39" s="1"/>
  <c r="Z124" i="39" s="1"/>
  <c r="N124" i="39"/>
  <c r="L124" i="39"/>
  <c r="H124" i="39"/>
  <c r="D124" i="39"/>
  <c r="B124" i="39"/>
  <c r="T123" i="39"/>
  <c r="P123" i="39"/>
  <c r="P122" i="39" s="1"/>
  <c r="X122" i="39" s="1"/>
  <c r="H123" i="39"/>
  <c r="H122" i="39" s="1"/>
  <c r="D123" i="39"/>
  <c r="L123" i="39" s="1"/>
  <c r="N123" i="39" s="1"/>
  <c r="B123" i="39"/>
  <c r="T122" i="39"/>
  <c r="X120" i="39"/>
  <c r="Z120" i="39" s="1"/>
  <c r="N120" i="39"/>
  <c r="L120" i="39"/>
  <c r="B120" i="39"/>
  <c r="X119" i="39"/>
  <c r="T119" i="39"/>
  <c r="Z119" i="39" s="1"/>
  <c r="P119" i="39"/>
  <c r="N119" i="39"/>
  <c r="L119" i="39"/>
  <c r="H119" i="39"/>
  <c r="D119" i="39"/>
  <c r="B119" i="39"/>
  <c r="Z118" i="39"/>
  <c r="X118" i="39"/>
  <c r="N118" i="39"/>
  <c r="L118" i="39"/>
  <c r="B118" i="39"/>
  <c r="X117" i="39"/>
  <c r="Z117" i="39" s="1"/>
  <c r="N117" i="39"/>
  <c r="L117" i="39"/>
  <c r="B117" i="39"/>
  <c r="Z116" i="39"/>
  <c r="X116" i="39"/>
  <c r="N116" i="39"/>
  <c r="L116" i="39"/>
  <c r="B116" i="39"/>
  <c r="T115" i="39"/>
  <c r="P115" i="39"/>
  <c r="X115" i="39" s="1"/>
  <c r="H115" i="39"/>
  <c r="N115" i="39" s="1"/>
  <c r="D115" i="39"/>
  <c r="B115" i="39"/>
  <c r="X114" i="39"/>
  <c r="Z114" i="39" s="1"/>
  <c r="N114" i="39"/>
  <c r="L114" i="39"/>
  <c r="B114" i="39"/>
  <c r="T113" i="39"/>
  <c r="P113" i="39"/>
  <c r="X113" i="39" s="1"/>
  <c r="Z113" i="39" s="1"/>
  <c r="H113" i="39"/>
  <c r="D113" i="39"/>
  <c r="L113" i="39" s="1"/>
  <c r="B113" i="39"/>
  <c r="X112" i="39"/>
  <c r="Z112" i="39" s="1"/>
  <c r="N112" i="39"/>
  <c r="L112" i="39"/>
  <c r="B112" i="39"/>
  <c r="X111" i="39"/>
  <c r="T111" i="39"/>
  <c r="Z111" i="39" s="1"/>
  <c r="P111" i="39"/>
  <c r="H111" i="39"/>
  <c r="D111" i="39"/>
  <c r="L111" i="39" s="1"/>
  <c r="N111" i="39" s="1"/>
  <c r="B111" i="39"/>
  <c r="Z110" i="39"/>
  <c r="X110" i="39"/>
  <c r="L110" i="39"/>
  <c r="N110" i="39" s="1"/>
  <c r="B110" i="39"/>
  <c r="X109" i="39"/>
  <c r="Z109" i="39" s="1"/>
  <c r="N109" i="39"/>
  <c r="L109" i="39"/>
  <c r="B109" i="39"/>
  <c r="Z108" i="39"/>
  <c r="X108" i="39"/>
  <c r="N108" i="39"/>
  <c r="L108" i="39"/>
  <c r="B108" i="39"/>
  <c r="Z107" i="39"/>
  <c r="X107" i="39"/>
  <c r="N107" i="39"/>
  <c r="L107" i="39"/>
  <c r="B107" i="39"/>
  <c r="Z106" i="39"/>
  <c r="X106" i="39"/>
  <c r="L106" i="39"/>
  <c r="N106" i="39" s="1"/>
  <c r="B106" i="39"/>
  <c r="X105" i="39"/>
  <c r="Z105" i="39" s="1"/>
  <c r="N105" i="39"/>
  <c r="L105" i="39"/>
  <c r="B105" i="39"/>
  <c r="Z104" i="39"/>
  <c r="X104" i="39"/>
  <c r="N104" i="39"/>
  <c r="L104" i="39"/>
  <c r="B104" i="39"/>
  <c r="Z103" i="39"/>
  <c r="X103" i="39"/>
  <c r="N103" i="39"/>
  <c r="L103" i="39"/>
  <c r="B103" i="39"/>
  <c r="Z102" i="39"/>
  <c r="X102" i="39"/>
  <c r="L102" i="39"/>
  <c r="N102" i="39" s="1"/>
  <c r="B102" i="39"/>
  <c r="T101" i="39"/>
  <c r="P101" i="39"/>
  <c r="H101" i="39"/>
  <c r="D101" i="39"/>
  <c r="L101" i="39" s="1"/>
  <c r="B101" i="39"/>
  <c r="Z100" i="39"/>
  <c r="X100" i="39"/>
  <c r="L100" i="39"/>
  <c r="N100" i="39" s="1"/>
  <c r="B100" i="39"/>
  <c r="T99" i="39"/>
  <c r="Z99" i="39" s="1"/>
  <c r="P99" i="39"/>
  <c r="X99" i="39" s="1"/>
  <c r="H99" i="39"/>
  <c r="D99" i="39"/>
  <c r="L99" i="39" s="1"/>
  <c r="N99" i="39" s="1"/>
  <c r="B99" i="39"/>
  <c r="Z98" i="39"/>
  <c r="X98" i="39"/>
  <c r="N98" i="39"/>
  <c r="L98" i="39"/>
  <c r="B98" i="39"/>
  <c r="Z97" i="39"/>
  <c r="X97" i="39"/>
  <c r="L97" i="39"/>
  <c r="N97" i="39" s="1"/>
  <c r="B97" i="39"/>
  <c r="X96" i="39"/>
  <c r="Z96" i="39" s="1"/>
  <c r="N96" i="39"/>
  <c r="L96" i="39"/>
  <c r="B96" i="39"/>
  <c r="X95" i="39"/>
  <c r="Z95" i="39" s="1"/>
  <c r="N95" i="39"/>
  <c r="L95" i="39"/>
  <c r="B95" i="39"/>
  <c r="Z94" i="39"/>
  <c r="X94" i="39"/>
  <c r="N94" i="39"/>
  <c r="L94" i="39"/>
  <c r="B94" i="39"/>
  <c r="T93" i="39"/>
  <c r="P93" i="39"/>
  <c r="X93" i="39" s="1"/>
  <c r="Z93" i="39" s="1"/>
  <c r="L93" i="39"/>
  <c r="H93" i="39"/>
  <c r="N93" i="39" s="1"/>
  <c r="D93" i="39"/>
  <c r="B93" i="39"/>
  <c r="Z92" i="39"/>
  <c r="X92" i="39"/>
  <c r="N92" i="39"/>
  <c r="L92" i="39"/>
  <c r="B92" i="39"/>
  <c r="Z91" i="39"/>
  <c r="X91" i="39"/>
  <c r="N91" i="39"/>
  <c r="L91" i="39"/>
  <c r="B91" i="39"/>
  <c r="T90" i="39"/>
  <c r="P90" i="39"/>
  <c r="X90" i="39" s="1"/>
  <c r="Z90" i="39" s="1"/>
  <c r="N90" i="39"/>
  <c r="L90" i="39"/>
  <c r="H90" i="39"/>
  <c r="D90" i="39"/>
  <c r="B90" i="39"/>
  <c r="X89" i="39"/>
  <c r="Z89" i="39" s="1"/>
  <c r="N89" i="39"/>
  <c r="L89" i="39"/>
  <c r="B89" i="39"/>
  <c r="Z88" i="39"/>
  <c r="X88" i="39"/>
  <c r="N88" i="39"/>
  <c r="L88" i="39"/>
  <c r="B88" i="39"/>
  <c r="Z87" i="39"/>
  <c r="X87" i="39"/>
  <c r="N87" i="39"/>
  <c r="L87" i="39"/>
  <c r="B87" i="39"/>
  <c r="X86" i="39"/>
  <c r="T86" i="39"/>
  <c r="Z86" i="39" s="1"/>
  <c r="P86" i="39"/>
  <c r="H86" i="39"/>
  <c r="N86" i="39" s="1"/>
  <c r="D86" i="39"/>
  <c r="L86" i="39" s="1"/>
  <c r="B86" i="39"/>
  <c r="Z85" i="39"/>
  <c r="X85" i="39"/>
  <c r="L85" i="39"/>
  <c r="N85" i="39" s="1"/>
  <c r="B85" i="39"/>
  <c r="T84" i="39"/>
  <c r="P84" i="39"/>
  <c r="H84" i="39"/>
  <c r="D84" i="39"/>
  <c r="L84" i="39" s="1"/>
  <c r="N84" i="39" s="1"/>
  <c r="B84" i="39"/>
  <c r="Z83" i="39"/>
  <c r="X83" i="39"/>
  <c r="N83" i="39"/>
  <c r="L83" i="39"/>
  <c r="B83" i="39"/>
  <c r="T82" i="39"/>
  <c r="P82" i="39"/>
  <c r="X82" i="39" s="1"/>
  <c r="Z82" i="39" s="1"/>
  <c r="N82" i="39"/>
  <c r="L82" i="39"/>
  <c r="H82" i="39"/>
  <c r="D82" i="39"/>
  <c r="B82" i="39"/>
  <c r="X81" i="39"/>
  <c r="Z81" i="39" s="1"/>
  <c r="N81" i="39"/>
  <c r="L81" i="39"/>
  <c r="B81" i="39"/>
  <c r="T80" i="39"/>
  <c r="P80" i="39"/>
  <c r="X80" i="39" s="1"/>
  <c r="L80" i="39"/>
  <c r="H80" i="39"/>
  <c r="D80" i="39"/>
  <c r="B80" i="39"/>
  <c r="X79" i="39"/>
  <c r="Z79" i="39" s="1"/>
  <c r="N79" i="39"/>
  <c r="L79" i="39"/>
  <c r="B79" i="39"/>
  <c r="T78" i="39"/>
  <c r="P78" i="39"/>
  <c r="X78" i="39" s="1"/>
  <c r="Z78" i="39" s="1"/>
  <c r="H78" i="39"/>
  <c r="D78" i="39"/>
  <c r="B78" i="39"/>
  <c r="X77" i="39"/>
  <c r="Z77" i="39" s="1"/>
  <c r="L77" i="39"/>
  <c r="N77" i="39" s="1"/>
  <c r="B77" i="39"/>
  <c r="Z76" i="39"/>
  <c r="X76" i="39"/>
  <c r="N76" i="39"/>
  <c r="L76" i="39"/>
  <c r="B76" i="39"/>
  <c r="T75" i="39"/>
  <c r="P75" i="39"/>
  <c r="X75" i="39" s="1"/>
  <c r="H75" i="39"/>
  <c r="N75" i="39" s="1"/>
  <c r="D75" i="39"/>
  <c r="L75" i="39" s="1"/>
  <c r="B75" i="39"/>
  <c r="Z74" i="39"/>
  <c r="X74" i="39"/>
  <c r="N74" i="39"/>
  <c r="L74" i="39"/>
  <c r="B74" i="39"/>
  <c r="X73" i="39"/>
  <c r="Z73" i="39" s="1"/>
  <c r="N73" i="39"/>
  <c r="L73" i="39"/>
  <c r="B73" i="39"/>
  <c r="T72" i="39"/>
  <c r="Z72" i="39" s="1"/>
  <c r="P72" i="39"/>
  <c r="X72" i="39" s="1"/>
  <c r="L72" i="39"/>
  <c r="H72" i="39"/>
  <c r="N72" i="39" s="1"/>
  <c r="D72" i="39"/>
  <c r="B72" i="39"/>
  <c r="X71" i="39"/>
  <c r="Z71" i="39" s="1"/>
  <c r="N71" i="39"/>
  <c r="L71" i="39"/>
  <c r="B71" i="39"/>
  <c r="T70" i="39"/>
  <c r="P70" i="39"/>
  <c r="X70" i="39" s="1"/>
  <c r="Z70" i="39" s="1"/>
  <c r="H70" i="39"/>
  <c r="D70" i="39"/>
  <c r="B70" i="39"/>
  <c r="X69" i="39"/>
  <c r="Z69" i="39" s="1"/>
  <c r="L69" i="39"/>
  <c r="N69" i="39" s="1"/>
  <c r="B69" i="39"/>
  <c r="X68" i="39"/>
  <c r="Z68" i="39" s="1"/>
  <c r="T68" i="39"/>
  <c r="P68" i="39"/>
  <c r="H68" i="39"/>
  <c r="D68" i="39"/>
  <c r="L68" i="39" s="1"/>
  <c r="N68" i="39" s="1"/>
  <c r="B68" i="39"/>
  <c r="X67" i="39"/>
  <c r="Z67" i="39" s="1"/>
  <c r="L67" i="39"/>
  <c r="N67" i="39" s="1"/>
  <c r="B67" i="39"/>
  <c r="X66" i="39"/>
  <c r="T66" i="39"/>
  <c r="P66" i="39"/>
  <c r="H66" i="39"/>
  <c r="D66" i="39"/>
  <c r="L66" i="39" s="1"/>
  <c r="N66" i="39" s="1"/>
  <c r="B66" i="39"/>
  <c r="Z65" i="39"/>
  <c r="X65" i="39"/>
  <c r="L65" i="39"/>
  <c r="N65" i="39" s="1"/>
  <c r="B65" i="39"/>
  <c r="T64" i="39"/>
  <c r="P64" i="39"/>
  <c r="H64" i="39"/>
  <c r="D64" i="39"/>
  <c r="L64" i="39" s="1"/>
  <c r="N64" i="39" s="1"/>
  <c r="B64" i="39"/>
  <c r="Z63" i="39"/>
  <c r="X63" i="39"/>
  <c r="L63" i="39"/>
  <c r="N63" i="39" s="1"/>
  <c r="B63" i="39"/>
  <c r="Z62" i="39"/>
  <c r="X62" i="39"/>
  <c r="L62" i="39"/>
  <c r="N62" i="39" s="1"/>
  <c r="B62" i="39"/>
  <c r="X61" i="39"/>
  <c r="Z61" i="39" s="1"/>
  <c r="L61" i="39"/>
  <c r="N61" i="39" s="1"/>
  <c r="B61" i="39"/>
  <c r="X60" i="39"/>
  <c r="Z60" i="39" s="1"/>
  <c r="T60" i="39"/>
  <c r="P60" i="39"/>
  <c r="H60" i="39"/>
  <c r="D60" i="39"/>
  <c r="L60" i="39" s="1"/>
  <c r="N60" i="39" s="1"/>
  <c r="B60" i="39"/>
  <c r="X59" i="39"/>
  <c r="Z59" i="39" s="1"/>
  <c r="L59" i="39"/>
  <c r="N59" i="39" s="1"/>
  <c r="B59" i="39"/>
  <c r="X58" i="39"/>
  <c r="T58" i="39"/>
  <c r="P58" i="39"/>
  <c r="H58" i="39"/>
  <c r="D58" i="39"/>
  <c r="L58" i="39" s="1"/>
  <c r="B58" i="39"/>
  <c r="Z57" i="39"/>
  <c r="X57" i="39"/>
  <c r="L57" i="39"/>
  <c r="N57" i="39" s="1"/>
  <c r="B57" i="39"/>
  <c r="T56" i="39"/>
  <c r="P56" i="39"/>
  <c r="H56" i="39"/>
  <c r="D56" i="39"/>
  <c r="L56" i="39" s="1"/>
  <c r="N56" i="39" s="1"/>
  <c r="B56" i="39"/>
  <c r="Z55" i="39"/>
  <c r="X55" i="39"/>
  <c r="L55" i="39"/>
  <c r="N55" i="39" s="1"/>
  <c r="B55" i="39"/>
  <c r="T54" i="39"/>
  <c r="P54" i="39"/>
  <c r="X54" i="39" s="1"/>
  <c r="Z54" i="39" s="1"/>
  <c r="N54" i="39"/>
  <c r="L54" i="39"/>
  <c r="H54" i="39"/>
  <c r="D54" i="39"/>
  <c r="B54" i="39"/>
  <c r="X53" i="39"/>
  <c r="Z53" i="39" s="1"/>
  <c r="N53" i="39"/>
  <c r="L53" i="39"/>
  <c r="B53" i="39"/>
  <c r="Z52" i="39"/>
  <c r="X52" i="39"/>
  <c r="L52" i="39"/>
  <c r="N52" i="39" s="1"/>
  <c r="B52" i="39"/>
  <c r="X51" i="39"/>
  <c r="Z51" i="39" s="1"/>
  <c r="L51" i="39"/>
  <c r="N51" i="39" s="1"/>
  <c r="B51" i="39"/>
  <c r="X50" i="39"/>
  <c r="Z50" i="39" s="1"/>
  <c r="N50" i="39"/>
  <c r="L50" i="39"/>
  <c r="B50" i="39"/>
  <c r="X49" i="39"/>
  <c r="Z49" i="39" s="1"/>
  <c r="N49" i="39"/>
  <c r="L49" i="39"/>
  <c r="B49" i="39"/>
  <c r="Z48" i="39"/>
  <c r="X48" i="39"/>
  <c r="L48" i="39"/>
  <c r="N48" i="39" s="1"/>
  <c r="B48" i="39"/>
  <c r="X47" i="39"/>
  <c r="Z47" i="39" s="1"/>
  <c r="L47" i="39"/>
  <c r="N47" i="39" s="1"/>
  <c r="B47" i="39"/>
  <c r="X46" i="39"/>
  <c r="T46" i="39"/>
  <c r="P46" i="39"/>
  <c r="H46" i="39"/>
  <c r="D46" i="39"/>
  <c r="L46" i="39" s="1"/>
  <c r="B46" i="39"/>
  <c r="Z45" i="39"/>
  <c r="X45" i="39"/>
  <c r="L45" i="39"/>
  <c r="N45" i="39" s="1"/>
  <c r="B45" i="39"/>
  <c r="X44" i="39"/>
  <c r="Z44" i="39" s="1"/>
  <c r="N44" i="39"/>
  <c r="L44" i="39"/>
  <c r="B44" i="39"/>
  <c r="X43" i="39"/>
  <c r="Z43" i="39" s="1"/>
  <c r="N43" i="39"/>
  <c r="L43" i="39"/>
  <c r="B43" i="39"/>
  <c r="Z42" i="39"/>
  <c r="X42" i="39"/>
  <c r="N42" i="39"/>
  <c r="L42" i="39"/>
  <c r="B42" i="39"/>
  <c r="Z41" i="39"/>
  <c r="X41" i="39"/>
  <c r="L41" i="39"/>
  <c r="N41" i="39" s="1"/>
  <c r="B41" i="39"/>
  <c r="X40" i="39"/>
  <c r="Z40" i="39" s="1"/>
  <c r="N40" i="39"/>
  <c r="L40" i="39"/>
  <c r="B40" i="39"/>
  <c r="X39" i="39"/>
  <c r="Z39" i="39" s="1"/>
  <c r="N39" i="39"/>
  <c r="L39" i="39"/>
  <c r="B39" i="39"/>
  <c r="Z38" i="39"/>
  <c r="X38" i="39"/>
  <c r="N38" i="39"/>
  <c r="L38" i="39"/>
  <c r="B38" i="39"/>
  <c r="Z37" i="39"/>
  <c r="X37" i="39"/>
  <c r="L37" i="39"/>
  <c r="N37" i="39" s="1"/>
  <c r="F37" i="39"/>
  <c r="B37" i="39"/>
  <c r="T36" i="39"/>
  <c r="P36" i="39"/>
  <c r="H36" i="39"/>
  <c r="F36" i="39"/>
  <c r="D36" i="39"/>
  <c r="L36" i="39" s="1"/>
  <c r="N36" i="39" s="1"/>
  <c r="B36" i="39"/>
  <c r="T35" i="39"/>
  <c r="P35" i="39"/>
  <c r="X35" i="39" s="1"/>
  <c r="H35" i="39"/>
  <c r="D35" i="39"/>
  <c r="Z31" i="39"/>
  <c r="X31" i="39"/>
  <c r="L31" i="39"/>
  <c r="N31" i="39" s="1"/>
  <c r="B31" i="39"/>
  <c r="Z30" i="39"/>
  <c r="X30" i="39"/>
  <c r="L30" i="39"/>
  <c r="N30" i="39" s="1"/>
  <c r="B30" i="39"/>
  <c r="T29" i="39"/>
  <c r="P29" i="39"/>
  <c r="X29" i="39" s="1"/>
  <c r="H29" i="39"/>
  <c r="D29" i="39"/>
  <c r="L29" i="39" s="1"/>
  <c r="T27" i="39"/>
  <c r="Z27" i="39" s="1"/>
  <c r="P27" i="39"/>
  <c r="X27" i="39" s="1"/>
  <c r="L27" i="39"/>
  <c r="H27" i="39"/>
  <c r="N27" i="39" s="1"/>
  <c r="D27" i="39"/>
  <c r="B27" i="39"/>
  <c r="T26" i="39"/>
  <c r="P26" i="39"/>
  <c r="H26" i="39"/>
  <c r="D26" i="39"/>
  <c r="B26" i="39"/>
  <c r="T25" i="39"/>
  <c r="P25" i="39"/>
  <c r="X25" i="39" s="1"/>
  <c r="L25" i="39"/>
  <c r="N25" i="39" s="1"/>
  <c r="H25" i="39"/>
  <c r="D25" i="39"/>
  <c r="B25" i="39"/>
  <c r="T24" i="39"/>
  <c r="P24" i="39"/>
  <c r="X24" i="39" s="1"/>
  <c r="Z24" i="39" s="1"/>
  <c r="L24" i="39"/>
  <c r="H24" i="39"/>
  <c r="D24" i="39"/>
  <c r="B24" i="39"/>
  <c r="T23" i="39"/>
  <c r="Z23" i="39" s="1"/>
  <c r="P23" i="39"/>
  <c r="X23" i="39" s="1"/>
  <c r="L23" i="39"/>
  <c r="H23" i="39"/>
  <c r="N23" i="39" s="1"/>
  <c r="D23" i="39"/>
  <c r="B23" i="39"/>
  <c r="T22" i="39"/>
  <c r="P22" i="39"/>
  <c r="H22" i="39"/>
  <c r="D22" i="39"/>
  <c r="B22" i="39"/>
  <c r="T21" i="39"/>
  <c r="P21" i="39"/>
  <c r="X21" i="39" s="1"/>
  <c r="N21" i="39"/>
  <c r="L21" i="39"/>
  <c r="H21" i="39"/>
  <c r="D21" i="39"/>
  <c r="B21" i="39"/>
  <c r="T20" i="39"/>
  <c r="P20" i="39"/>
  <c r="X20" i="39" s="1"/>
  <c r="Z20" i="39" s="1"/>
  <c r="L20" i="39"/>
  <c r="H20" i="39"/>
  <c r="D20" i="39"/>
  <c r="B20" i="39"/>
  <c r="T19" i="39"/>
  <c r="Z19" i="39" s="1"/>
  <c r="P19" i="39"/>
  <c r="X19" i="39" s="1"/>
  <c r="L19" i="39"/>
  <c r="H19" i="39"/>
  <c r="N19" i="39" s="1"/>
  <c r="D19" i="39"/>
  <c r="B19" i="39"/>
  <c r="T18" i="39"/>
  <c r="P18" i="39"/>
  <c r="H18" i="39"/>
  <c r="D18" i="39"/>
  <c r="B18" i="39"/>
  <c r="T17" i="39"/>
  <c r="P17" i="39"/>
  <c r="L17" i="39"/>
  <c r="N17" i="39" s="1"/>
  <c r="H17" i="39"/>
  <c r="D17" i="39"/>
  <c r="B17" i="39"/>
  <c r="T16" i="39"/>
  <c r="P16" i="39"/>
  <c r="X16" i="39" s="1"/>
  <c r="Z16" i="39" s="1"/>
  <c r="L16" i="39"/>
  <c r="H16" i="39"/>
  <c r="D16" i="39"/>
  <c r="B16" i="39"/>
  <c r="T15" i="39"/>
  <c r="Z15" i="39" s="1"/>
  <c r="P15" i="39"/>
  <c r="X15" i="39" s="1"/>
  <c r="L15" i="39"/>
  <c r="H15" i="39"/>
  <c r="N15" i="39" s="1"/>
  <c r="D15" i="39"/>
  <c r="B15" i="39"/>
  <c r="T14" i="39"/>
  <c r="P14" i="39"/>
  <c r="H14" i="39"/>
  <c r="D14" i="39"/>
  <c r="B14" i="39"/>
  <c r="T13" i="39"/>
  <c r="P13" i="39"/>
  <c r="P12" i="39" s="1"/>
  <c r="R113" i="39" s="1"/>
  <c r="L13" i="39"/>
  <c r="N13" i="39" s="1"/>
  <c r="H13" i="39"/>
  <c r="D13" i="39"/>
  <c r="D12" i="39" s="1"/>
  <c r="F100" i="39" s="1"/>
  <c r="B13" i="39"/>
  <c r="D4" i="39"/>
  <c r="X123" i="36"/>
  <c r="Z123" i="36" s="1"/>
  <c r="N123" i="36"/>
  <c r="L123" i="36"/>
  <c r="T119" i="36"/>
  <c r="P119" i="36"/>
  <c r="X119" i="36" s="1"/>
  <c r="L119" i="36"/>
  <c r="H119" i="36"/>
  <c r="N119" i="36" s="1"/>
  <c r="D119" i="36"/>
  <c r="B119" i="36"/>
  <c r="T118" i="36"/>
  <c r="P118" i="36"/>
  <c r="X118" i="36" s="1"/>
  <c r="Z118" i="36" s="1"/>
  <c r="H118" i="36"/>
  <c r="D118" i="36"/>
  <c r="B118" i="36"/>
  <c r="T117" i="36"/>
  <c r="P117" i="36"/>
  <c r="X117" i="36" s="1"/>
  <c r="H117" i="36"/>
  <c r="D117" i="36"/>
  <c r="D116" i="36" s="1"/>
  <c r="B117" i="36"/>
  <c r="Z114" i="36"/>
  <c r="X114" i="36"/>
  <c r="N114" i="36"/>
  <c r="L114" i="36"/>
  <c r="B114" i="36"/>
  <c r="T113" i="36"/>
  <c r="P113" i="36"/>
  <c r="X113" i="36" s="1"/>
  <c r="L113" i="36"/>
  <c r="H113" i="36"/>
  <c r="N113" i="36" s="1"/>
  <c r="D113" i="36"/>
  <c r="B113" i="36"/>
  <c r="Z112" i="36"/>
  <c r="X112" i="36"/>
  <c r="N112" i="36"/>
  <c r="L112" i="36"/>
  <c r="B112" i="36"/>
  <c r="Z111" i="36"/>
  <c r="X111" i="36"/>
  <c r="N111" i="36"/>
  <c r="L111" i="36"/>
  <c r="B111" i="36"/>
  <c r="Z110" i="36"/>
  <c r="X110" i="36"/>
  <c r="N110" i="36"/>
  <c r="L110" i="36"/>
  <c r="B110" i="36"/>
  <c r="X109" i="36"/>
  <c r="T109" i="36"/>
  <c r="Z109" i="36" s="1"/>
  <c r="P109" i="36"/>
  <c r="H109" i="36"/>
  <c r="L109" i="36" s="1"/>
  <c r="N109" i="36" s="1"/>
  <c r="D109" i="36"/>
  <c r="B109" i="36"/>
  <c r="Z108" i="36"/>
  <c r="X108" i="36"/>
  <c r="L108" i="36"/>
  <c r="N108" i="36" s="1"/>
  <c r="B108" i="36"/>
  <c r="T107" i="36"/>
  <c r="P107" i="36"/>
  <c r="H107" i="36"/>
  <c r="N107" i="36" s="1"/>
  <c r="D107" i="36"/>
  <c r="L107" i="36" s="1"/>
  <c r="B107" i="36"/>
  <c r="Z106" i="36"/>
  <c r="X106" i="36"/>
  <c r="N106" i="36"/>
  <c r="L106" i="36"/>
  <c r="B106" i="36"/>
  <c r="T105" i="36"/>
  <c r="P105" i="36"/>
  <c r="X105" i="36" s="1"/>
  <c r="L105" i="36"/>
  <c r="H105" i="36"/>
  <c r="N105" i="36" s="1"/>
  <c r="D105" i="36"/>
  <c r="B105" i="36"/>
  <c r="Z104" i="36"/>
  <c r="X104" i="36"/>
  <c r="N104" i="36"/>
  <c r="L104" i="36"/>
  <c r="B104" i="36"/>
  <c r="Z103" i="36"/>
  <c r="X103" i="36"/>
  <c r="L103" i="36"/>
  <c r="N103" i="36" s="1"/>
  <c r="B103" i="36"/>
  <c r="Z102" i="36"/>
  <c r="X102" i="36"/>
  <c r="N102" i="36"/>
  <c r="L102" i="36"/>
  <c r="B102" i="36"/>
  <c r="X101" i="36"/>
  <c r="Z101" i="36" s="1"/>
  <c r="N101" i="36"/>
  <c r="L101" i="36"/>
  <c r="B101" i="36"/>
  <c r="Z100" i="36"/>
  <c r="X100" i="36"/>
  <c r="N100" i="36"/>
  <c r="L100" i="36"/>
  <c r="B100" i="36"/>
  <c r="Z99" i="36"/>
  <c r="X99" i="36"/>
  <c r="L99" i="36"/>
  <c r="N99" i="36" s="1"/>
  <c r="B99" i="36"/>
  <c r="Z98" i="36"/>
  <c r="X98" i="36"/>
  <c r="N98" i="36"/>
  <c r="L98" i="36"/>
  <c r="B98" i="36"/>
  <c r="Z97" i="36"/>
  <c r="X97" i="36"/>
  <c r="N97" i="36"/>
  <c r="L97" i="36"/>
  <c r="B97" i="36"/>
  <c r="Z96" i="36"/>
  <c r="X96" i="36"/>
  <c r="N96" i="36"/>
  <c r="L96" i="36"/>
  <c r="B96" i="36"/>
  <c r="T95" i="36"/>
  <c r="X95" i="36" s="1"/>
  <c r="Z95" i="36" s="1"/>
  <c r="P95" i="36"/>
  <c r="L95" i="36"/>
  <c r="H95" i="36"/>
  <c r="D95" i="36"/>
  <c r="B95" i="36"/>
  <c r="Z94" i="36"/>
  <c r="X94" i="36"/>
  <c r="N94" i="36"/>
  <c r="L94" i="36"/>
  <c r="B94" i="36"/>
  <c r="T93" i="36"/>
  <c r="Z93" i="36" s="1"/>
  <c r="P93" i="36"/>
  <c r="X93" i="36" s="1"/>
  <c r="H93" i="36"/>
  <c r="D93" i="36"/>
  <c r="B93" i="36"/>
  <c r="X92" i="36"/>
  <c r="Z92" i="36" s="1"/>
  <c r="N92" i="36"/>
  <c r="L92" i="36"/>
  <c r="B92" i="36"/>
  <c r="X91" i="36"/>
  <c r="Z91" i="36" s="1"/>
  <c r="N91" i="36"/>
  <c r="L91" i="36"/>
  <c r="B91" i="36"/>
  <c r="Z90" i="36"/>
  <c r="X90" i="36"/>
  <c r="N90" i="36"/>
  <c r="L90" i="36"/>
  <c r="B90" i="36"/>
  <c r="X89" i="36"/>
  <c r="Z89" i="36" s="1"/>
  <c r="N89" i="36"/>
  <c r="L89" i="36"/>
  <c r="B89" i="36"/>
  <c r="X88" i="36"/>
  <c r="Z88" i="36" s="1"/>
  <c r="N88" i="36"/>
  <c r="L88" i="36"/>
  <c r="B88" i="36"/>
  <c r="X87" i="36"/>
  <c r="T87" i="36"/>
  <c r="Z87" i="36" s="1"/>
  <c r="P87" i="36"/>
  <c r="H87" i="36"/>
  <c r="N87" i="36" s="1"/>
  <c r="D87" i="36"/>
  <c r="L87" i="36" s="1"/>
  <c r="B87" i="36"/>
  <c r="Z86" i="36"/>
  <c r="X86" i="36"/>
  <c r="R86" i="36"/>
  <c r="N86" i="36"/>
  <c r="L86" i="36"/>
  <c r="B86" i="36"/>
  <c r="X85" i="36"/>
  <c r="Z85" i="36" s="1"/>
  <c r="N85" i="36"/>
  <c r="L85" i="36"/>
  <c r="B85" i="36"/>
  <c r="T84" i="36"/>
  <c r="P84" i="36"/>
  <c r="X84" i="36" s="1"/>
  <c r="Z84" i="36" s="1"/>
  <c r="H84" i="36"/>
  <c r="D84" i="36"/>
  <c r="B84" i="36"/>
  <c r="X83" i="36"/>
  <c r="Z83" i="36" s="1"/>
  <c r="L83" i="36"/>
  <c r="N83" i="36" s="1"/>
  <c r="B83" i="36"/>
  <c r="Z82" i="36"/>
  <c r="X82" i="36"/>
  <c r="N82" i="36"/>
  <c r="L82" i="36"/>
  <c r="B82" i="36"/>
  <c r="Z81" i="36"/>
  <c r="X81" i="36"/>
  <c r="N81" i="36"/>
  <c r="L81" i="36"/>
  <c r="B81" i="36"/>
  <c r="Z80" i="36"/>
  <c r="T80" i="36"/>
  <c r="P80" i="36"/>
  <c r="X80" i="36" s="1"/>
  <c r="H80" i="36"/>
  <c r="L80" i="36" s="1"/>
  <c r="N80" i="36" s="1"/>
  <c r="D80" i="36"/>
  <c r="B80" i="36"/>
  <c r="X79" i="36"/>
  <c r="Z79" i="36" s="1"/>
  <c r="N79" i="36"/>
  <c r="L79" i="36"/>
  <c r="B79" i="36"/>
  <c r="T78" i="36"/>
  <c r="P78" i="36"/>
  <c r="X78" i="36" s="1"/>
  <c r="Z78" i="36" s="1"/>
  <c r="L78" i="36"/>
  <c r="N78" i="36" s="1"/>
  <c r="H78" i="36"/>
  <c r="D78" i="36"/>
  <c r="B78" i="36"/>
  <c r="X77" i="36"/>
  <c r="Z77" i="36" s="1"/>
  <c r="N77" i="36"/>
  <c r="L77" i="36"/>
  <c r="B77" i="36"/>
  <c r="T76" i="36"/>
  <c r="P76" i="36"/>
  <c r="X76" i="36" s="1"/>
  <c r="Z76" i="36" s="1"/>
  <c r="H76" i="36"/>
  <c r="D76" i="36"/>
  <c r="B76" i="36"/>
  <c r="X75" i="36"/>
  <c r="Z75" i="36" s="1"/>
  <c r="N75" i="36"/>
  <c r="L75" i="36"/>
  <c r="B75" i="36"/>
  <c r="T74" i="36"/>
  <c r="X74" i="36" s="1"/>
  <c r="Z74" i="36" s="1"/>
  <c r="P74" i="36"/>
  <c r="N74" i="36"/>
  <c r="H74" i="36"/>
  <c r="D74" i="36"/>
  <c r="L74" i="36" s="1"/>
  <c r="B74" i="36"/>
  <c r="X73" i="36"/>
  <c r="Z73" i="36" s="1"/>
  <c r="L73" i="36"/>
  <c r="N73" i="36" s="1"/>
  <c r="B73" i="36"/>
  <c r="X72" i="36"/>
  <c r="Z72" i="36" s="1"/>
  <c r="T72" i="36"/>
  <c r="P72" i="36"/>
  <c r="H72" i="36"/>
  <c r="D72" i="36"/>
  <c r="L72" i="36" s="1"/>
  <c r="N72" i="36" s="1"/>
  <c r="B72" i="36"/>
  <c r="Z71" i="36"/>
  <c r="X71" i="36"/>
  <c r="L71" i="36"/>
  <c r="N71" i="36" s="1"/>
  <c r="B71" i="36"/>
  <c r="Z70" i="36"/>
  <c r="T70" i="36"/>
  <c r="X70" i="36" s="1"/>
  <c r="P70" i="36"/>
  <c r="H70" i="36"/>
  <c r="D70" i="36"/>
  <c r="L70" i="36" s="1"/>
  <c r="N70" i="36" s="1"/>
  <c r="B70" i="36"/>
  <c r="Z69" i="36"/>
  <c r="X69" i="36"/>
  <c r="L69" i="36"/>
  <c r="N69" i="36" s="1"/>
  <c r="B69" i="36"/>
  <c r="Z68" i="36"/>
  <c r="X68" i="36"/>
  <c r="L68" i="36"/>
  <c r="N68" i="36" s="1"/>
  <c r="B68" i="36"/>
  <c r="T67" i="36"/>
  <c r="P67" i="36"/>
  <c r="H67" i="36"/>
  <c r="N67" i="36" s="1"/>
  <c r="D67" i="36"/>
  <c r="L67" i="36" s="1"/>
  <c r="B67" i="36"/>
  <c r="Z66" i="36"/>
  <c r="X66" i="36"/>
  <c r="N66" i="36"/>
  <c r="L66" i="36"/>
  <c r="B66" i="36"/>
  <c r="T65" i="36"/>
  <c r="Z65" i="36" s="1"/>
  <c r="P65" i="36"/>
  <c r="X65" i="36" s="1"/>
  <c r="L65" i="36"/>
  <c r="H65" i="36"/>
  <c r="N65" i="36" s="1"/>
  <c r="D65" i="36"/>
  <c r="B65" i="36"/>
  <c r="Z64" i="36"/>
  <c r="X64" i="36"/>
  <c r="N64" i="36"/>
  <c r="L64" i="36"/>
  <c r="B64" i="36"/>
  <c r="T63" i="36"/>
  <c r="P63" i="36"/>
  <c r="H63" i="36"/>
  <c r="D63" i="36"/>
  <c r="B63" i="36"/>
  <c r="Z62" i="36"/>
  <c r="X62" i="36"/>
  <c r="N62" i="36"/>
  <c r="L62" i="36"/>
  <c r="B62" i="36"/>
  <c r="T61" i="36"/>
  <c r="P61" i="36"/>
  <c r="X61" i="36" s="1"/>
  <c r="H61" i="36"/>
  <c r="D61" i="36"/>
  <c r="L61" i="36" s="1"/>
  <c r="B61" i="36"/>
  <c r="X60" i="36"/>
  <c r="Z60" i="36" s="1"/>
  <c r="N60" i="36"/>
  <c r="L60" i="36"/>
  <c r="B60" i="36"/>
  <c r="X59" i="36"/>
  <c r="T59" i="36"/>
  <c r="P59" i="36"/>
  <c r="L59" i="36"/>
  <c r="H59" i="36"/>
  <c r="D59" i="36"/>
  <c r="B59" i="36"/>
  <c r="Z58" i="36"/>
  <c r="X58" i="36"/>
  <c r="N58" i="36"/>
  <c r="L58" i="36"/>
  <c r="B58" i="36"/>
  <c r="X57" i="36"/>
  <c r="Z57" i="36" s="1"/>
  <c r="N57" i="36"/>
  <c r="L57" i="36"/>
  <c r="B57" i="36"/>
  <c r="Z56" i="36"/>
  <c r="X56" i="36"/>
  <c r="N56" i="36"/>
  <c r="L56" i="36"/>
  <c r="B56" i="36"/>
  <c r="Z55" i="36"/>
  <c r="T55" i="36"/>
  <c r="P55" i="36"/>
  <c r="X55" i="36" s="1"/>
  <c r="H55" i="36"/>
  <c r="D55" i="36"/>
  <c r="B55" i="36"/>
  <c r="Z54" i="36"/>
  <c r="X54" i="36"/>
  <c r="N54" i="36"/>
  <c r="L54" i="36"/>
  <c r="B54" i="36"/>
  <c r="T53" i="36"/>
  <c r="P53" i="36"/>
  <c r="X53" i="36" s="1"/>
  <c r="L53" i="36"/>
  <c r="H53" i="36"/>
  <c r="D53" i="36"/>
  <c r="B53" i="36"/>
  <c r="X52" i="36"/>
  <c r="Z52" i="36" s="1"/>
  <c r="N52" i="36"/>
  <c r="L52" i="36"/>
  <c r="B52" i="36"/>
  <c r="X51" i="36"/>
  <c r="T51" i="36"/>
  <c r="R51" i="36"/>
  <c r="P51" i="36"/>
  <c r="H51" i="36"/>
  <c r="D51" i="36"/>
  <c r="L51" i="36" s="1"/>
  <c r="B51" i="36"/>
  <c r="Z50" i="36"/>
  <c r="X50" i="36"/>
  <c r="N50" i="36"/>
  <c r="L50" i="36"/>
  <c r="B50" i="36"/>
  <c r="T49" i="36"/>
  <c r="P49" i="36"/>
  <c r="X49" i="36" s="1"/>
  <c r="N49" i="36"/>
  <c r="H49" i="36"/>
  <c r="D49" i="36"/>
  <c r="L49" i="36" s="1"/>
  <c r="B49" i="36"/>
  <c r="Z48" i="36"/>
  <c r="X48" i="36"/>
  <c r="L48" i="36"/>
  <c r="N48" i="36" s="1"/>
  <c r="B48" i="36"/>
  <c r="X47" i="36"/>
  <c r="Z47" i="36" s="1"/>
  <c r="L47" i="36"/>
  <c r="N47" i="36" s="1"/>
  <c r="B47" i="36"/>
  <c r="Z46" i="36"/>
  <c r="X46" i="36"/>
  <c r="N46" i="36"/>
  <c r="L46" i="36"/>
  <c r="B46" i="36"/>
  <c r="Z45" i="36"/>
  <c r="X45" i="36"/>
  <c r="L45" i="36"/>
  <c r="N45" i="36" s="1"/>
  <c r="B45" i="36"/>
  <c r="Z44" i="36"/>
  <c r="X44" i="36"/>
  <c r="N44" i="36"/>
  <c r="L44" i="36"/>
  <c r="B44" i="36"/>
  <c r="X43" i="36"/>
  <c r="Z43" i="36" s="1"/>
  <c r="L43" i="36"/>
  <c r="N43" i="36" s="1"/>
  <c r="B43" i="36"/>
  <c r="Z42" i="36"/>
  <c r="X42" i="36"/>
  <c r="N42" i="36"/>
  <c r="L42" i="36"/>
  <c r="B42" i="36"/>
  <c r="T41" i="36"/>
  <c r="P41" i="36"/>
  <c r="X41" i="36" s="1"/>
  <c r="H41" i="36"/>
  <c r="D41" i="36"/>
  <c r="L41" i="36" s="1"/>
  <c r="B41" i="36"/>
  <c r="X40" i="36"/>
  <c r="Z40" i="36" s="1"/>
  <c r="N40" i="36"/>
  <c r="L40" i="36"/>
  <c r="B40" i="36"/>
  <c r="X39" i="36"/>
  <c r="Z39" i="36" s="1"/>
  <c r="N39" i="36"/>
  <c r="L39" i="36"/>
  <c r="B39" i="36"/>
  <c r="Z38" i="36"/>
  <c r="X38" i="36"/>
  <c r="L38" i="36"/>
  <c r="N38" i="36" s="1"/>
  <c r="B38" i="36"/>
  <c r="X37" i="36"/>
  <c r="Z37" i="36" s="1"/>
  <c r="L37" i="36"/>
  <c r="N37" i="36" s="1"/>
  <c r="B37" i="36"/>
  <c r="X36" i="36"/>
  <c r="Z36" i="36" s="1"/>
  <c r="N36" i="36"/>
  <c r="L36" i="36"/>
  <c r="B36" i="36"/>
  <c r="X35" i="36"/>
  <c r="Z35" i="36" s="1"/>
  <c r="L35" i="36"/>
  <c r="N35" i="36" s="1"/>
  <c r="B35" i="36"/>
  <c r="Z34" i="36"/>
  <c r="X34" i="36"/>
  <c r="L34" i="36"/>
  <c r="N34" i="36" s="1"/>
  <c r="B34" i="36"/>
  <c r="X33" i="36"/>
  <c r="Z33" i="36" s="1"/>
  <c r="L33" i="36"/>
  <c r="N33" i="36" s="1"/>
  <c r="B33" i="36"/>
  <c r="X32" i="36"/>
  <c r="Z32" i="36" s="1"/>
  <c r="L32" i="36"/>
  <c r="N32" i="36" s="1"/>
  <c r="B32" i="36"/>
  <c r="X31" i="36"/>
  <c r="T31" i="36"/>
  <c r="P31" i="36"/>
  <c r="L31" i="36"/>
  <c r="H31" i="36"/>
  <c r="D31" i="36"/>
  <c r="B31" i="36"/>
  <c r="T30" i="36"/>
  <c r="P30" i="36"/>
  <c r="H30" i="36"/>
  <c r="L30" i="36" s="1"/>
  <c r="N30" i="36" s="1"/>
  <c r="D30" i="36"/>
  <c r="Z26" i="36"/>
  <c r="X26" i="36"/>
  <c r="N26" i="36"/>
  <c r="L26" i="36"/>
  <c r="F26" i="36"/>
  <c r="B26" i="36"/>
  <c r="X25" i="36"/>
  <c r="Z25" i="36" s="1"/>
  <c r="L25" i="36"/>
  <c r="N25" i="36" s="1"/>
  <c r="B25" i="36"/>
  <c r="X24" i="36"/>
  <c r="T24" i="36"/>
  <c r="Z24" i="36" s="1"/>
  <c r="P24" i="36"/>
  <c r="H24" i="36"/>
  <c r="D24" i="36"/>
  <c r="T22" i="36"/>
  <c r="P22" i="36"/>
  <c r="L22" i="36"/>
  <c r="H22" i="36"/>
  <c r="N22" i="36" s="1"/>
  <c r="D22" i="36"/>
  <c r="B22" i="36"/>
  <c r="Z21" i="36"/>
  <c r="X21" i="36"/>
  <c r="T21" i="36"/>
  <c r="P21" i="36"/>
  <c r="L21" i="36"/>
  <c r="N21" i="36" s="1"/>
  <c r="H21" i="36"/>
  <c r="D21" i="36"/>
  <c r="B21" i="36"/>
  <c r="T20" i="36"/>
  <c r="P20" i="36"/>
  <c r="X20" i="36" s="1"/>
  <c r="Z20" i="36" s="1"/>
  <c r="H20" i="36"/>
  <c r="D20" i="36"/>
  <c r="L20" i="36" s="1"/>
  <c r="N20" i="36" s="1"/>
  <c r="B20" i="36"/>
  <c r="T19" i="36"/>
  <c r="P19" i="36"/>
  <c r="X19" i="36" s="1"/>
  <c r="H19" i="36"/>
  <c r="D19" i="36"/>
  <c r="B19" i="36"/>
  <c r="X18" i="36"/>
  <c r="T18" i="36"/>
  <c r="P18" i="36"/>
  <c r="L18" i="36"/>
  <c r="H18" i="36"/>
  <c r="N18" i="36" s="1"/>
  <c r="D18" i="36"/>
  <c r="B18" i="36"/>
  <c r="Z17" i="36"/>
  <c r="X17" i="36"/>
  <c r="T17" i="36"/>
  <c r="P17" i="36"/>
  <c r="L17" i="36"/>
  <c r="N17" i="36" s="1"/>
  <c r="H17" i="36"/>
  <c r="D17" i="36"/>
  <c r="B17" i="36"/>
  <c r="T16" i="36"/>
  <c r="P16" i="36"/>
  <c r="X16" i="36" s="1"/>
  <c r="Z16" i="36" s="1"/>
  <c r="H16" i="36"/>
  <c r="D16" i="36"/>
  <c r="L16" i="36" s="1"/>
  <c r="N16" i="36" s="1"/>
  <c r="B16" i="36"/>
  <c r="T15" i="36"/>
  <c r="P15" i="36"/>
  <c r="X15" i="36" s="1"/>
  <c r="H15" i="36"/>
  <c r="D15" i="36"/>
  <c r="B15" i="36"/>
  <c r="T14" i="36"/>
  <c r="P14" i="36"/>
  <c r="L14" i="36"/>
  <c r="H14" i="36"/>
  <c r="N14" i="36" s="1"/>
  <c r="D14" i="36"/>
  <c r="B14" i="36"/>
  <c r="Z13" i="36"/>
  <c r="X13" i="36"/>
  <c r="T13" i="36"/>
  <c r="P13" i="36"/>
  <c r="N13" i="36"/>
  <c r="L13" i="36"/>
  <c r="H13" i="36"/>
  <c r="D13" i="36"/>
  <c r="B13" i="36"/>
  <c r="P12" i="36"/>
  <c r="R76" i="36" s="1"/>
  <c r="D12" i="36"/>
  <c r="F114" i="36" s="1"/>
  <c r="D4" i="36"/>
  <c r="Z97" i="33"/>
  <c r="X97" i="33"/>
  <c r="N97" i="33"/>
  <c r="L97" i="33"/>
  <c r="X93" i="33"/>
  <c r="Z93" i="33" s="1"/>
  <c r="T93" i="33"/>
  <c r="P93" i="33"/>
  <c r="L93" i="33"/>
  <c r="H93" i="33"/>
  <c r="N93" i="33" s="1"/>
  <c r="D93" i="33"/>
  <c r="B93" i="33"/>
  <c r="Z92" i="33"/>
  <c r="T92" i="33"/>
  <c r="P92" i="33"/>
  <c r="X92" i="33" s="1"/>
  <c r="N92" i="33"/>
  <c r="H92" i="33"/>
  <c r="D92" i="33"/>
  <c r="L92" i="33" s="1"/>
  <c r="B92" i="33"/>
  <c r="T91" i="33"/>
  <c r="Z91" i="33" s="1"/>
  <c r="P91" i="33"/>
  <c r="X91" i="33" s="1"/>
  <c r="H91" i="33"/>
  <c r="D91" i="33"/>
  <c r="L91" i="33" s="1"/>
  <c r="N91" i="33" s="1"/>
  <c r="B91" i="33"/>
  <c r="T90" i="33"/>
  <c r="Z90" i="33" s="1"/>
  <c r="P90" i="33"/>
  <c r="X90" i="33" s="1"/>
  <c r="H90" i="33"/>
  <c r="N90" i="33" s="1"/>
  <c r="D90" i="33"/>
  <c r="L90" i="33" s="1"/>
  <c r="B90" i="33"/>
  <c r="Z89" i="33"/>
  <c r="X89" i="33"/>
  <c r="T89" i="33"/>
  <c r="P89" i="33"/>
  <c r="P87" i="33" s="1"/>
  <c r="H89" i="33"/>
  <c r="D89" i="33"/>
  <c r="L89" i="33" s="1"/>
  <c r="B89" i="33"/>
  <c r="T88" i="33"/>
  <c r="P88" i="33"/>
  <c r="L88" i="33"/>
  <c r="H88" i="33"/>
  <c r="N88" i="33" s="1"/>
  <c r="D88" i="33"/>
  <c r="B88" i="33"/>
  <c r="Z85" i="33"/>
  <c r="X85" i="33"/>
  <c r="N85" i="33"/>
  <c r="L85" i="33"/>
  <c r="B85" i="33"/>
  <c r="T84" i="33"/>
  <c r="Z84" i="33" s="1"/>
  <c r="P84" i="33"/>
  <c r="X84" i="33" s="1"/>
  <c r="H84" i="33"/>
  <c r="N84" i="33" s="1"/>
  <c r="D84" i="33"/>
  <c r="L84" i="33" s="1"/>
  <c r="B84" i="33"/>
  <c r="Z83" i="33"/>
  <c r="X83" i="33"/>
  <c r="N83" i="33"/>
  <c r="L83" i="33"/>
  <c r="B83" i="33"/>
  <c r="Z82" i="33"/>
  <c r="T82" i="33"/>
  <c r="P82" i="33"/>
  <c r="X82" i="33" s="1"/>
  <c r="N82" i="33"/>
  <c r="H82" i="33"/>
  <c r="D82" i="33"/>
  <c r="L82" i="33" s="1"/>
  <c r="B82" i="33"/>
  <c r="X81" i="33"/>
  <c r="Z81" i="33" s="1"/>
  <c r="L81" i="33"/>
  <c r="N81" i="33" s="1"/>
  <c r="B81" i="33"/>
  <c r="X80" i="33"/>
  <c r="T80" i="33"/>
  <c r="Z80" i="33" s="1"/>
  <c r="P80" i="33"/>
  <c r="H80" i="33"/>
  <c r="D80" i="33"/>
  <c r="B80" i="33"/>
  <c r="Z79" i="33"/>
  <c r="X79" i="33"/>
  <c r="N79" i="33"/>
  <c r="L79" i="33"/>
  <c r="B79" i="33"/>
  <c r="Z78" i="33"/>
  <c r="X78" i="33"/>
  <c r="N78" i="33"/>
  <c r="L78" i="33"/>
  <c r="B78" i="33"/>
  <c r="X77" i="33"/>
  <c r="Z77" i="33" s="1"/>
  <c r="N77" i="33"/>
  <c r="L77" i="33"/>
  <c r="B77" i="33"/>
  <c r="X76" i="33"/>
  <c r="Z76" i="33" s="1"/>
  <c r="N76" i="33"/>
  <c r="L76" i="33"/>
  <c r="B76" i="33"/>
  <c r="Z75" i="33"/>
  <c r="X75" i="33"/>
  <c r="N75" i="33"/>
  <c r="L75" i="33"/>
  <c r="B75" i="33"/>
  <c r="Z74" i="33"/>
  <c r="X74" i="33"/>
  <c r="N74" i="33"/>
  <c r="L74" i="33"/>
  <c r="B74" i="33"/>
  <c r="X73" i="33"/>
  <c r="T73" i="33"/>
  <c r="Z73" i="33" s="1"/>
  <c r="P73" i="33"/>
  <c r="L73" i="33"/>
  <c r="N73" i="33" s="1"/>
  <c r="H73" i="33"/>
  <c r="D73" i="33"/>
  <c r="B73" i="33"/>
  <c r="X72" i="33"/>
  <c r="Z72" i="33" s="1"/>
  <c r="L72" i="33"/>
  <c r="N72" i="33" s="1"/>
  <c r="B72" i="33"/>
  <c r="Z71" i="33"/>
  <c r="X71" i="33"/>
  <c r="T71" i="33"/>
  <c r="P71" i="33"/>
  <c r="H71" i="33"/>
  <c r="D71" i="33"/>
  <c r="L71" i="33" s="1"/>
  <c r="B71" i="33"/>
  <c r="Z70" i="33"/>
  <c r="X70" i="33"/>
  <c r="N70" i="33"/>
  <c r="L70" i="33"/>
  <c r="B70" i="33"/>
  <c r="Z69" i="33"/>
  <c r="X69" i="33"/>
  <c r="N69" i="33"/>
  <c r="L69" i="33"/>
  <c r="B69" i="33"/>
  <c r="X68" i="33"/>
  <c r="Z68" i="33" s="1"/>
  <c r="T68" i="33"/>
  <c r="P68" i="33"/>
  <c r="H68" i="33"/>
  <c r="D68" i="33"/>
  <c r="B68" i="33"/>
  <c r="X67" i="33"/>
  <c r="Z67" i="33" s="1"/>
  <c r="N67" i="33"/>
  <c r="L67" i="33"/>
  <c r="B67" i="33"/>
  <c r="T66" i="33"/>
  <c r="P66" i="33"/>
  <c r="H66" i="33"/>
  <c r="D66" i="33"/>
  <c r="L66" i="33" s="1"/>
  <c r="B66" i="33"/>
  <c r="X65" i="33"/>
  <c r="Z65" i="33" s="1"/>
  <c r="N65" i="33"/>
  <c r="L65" i="33"/>
  <c r="B65" i="33"/>
  <c r="T64" i="33"/>
  <c r="P64" i="33"/>
  <c r="X64" i="33" s="1"/>
  <c r="Z64" i="33" s="1"/>
  <c r="N64" i="33"/>
  <c r="H64" i="33"/>
  <c r="D64" i="33"/>
  <c r="L64" i="33" s="1"/>
  <c r="B64" i="33"/>
  <c r="Z63" i="33"/>
  <c r="X63" i="33"/>
  <c r="L63" i="33"/>
  <c r="N63" i="33" s="1"/>
  <c r="B63" i="33"/>
  <c r="Z62" i="33"/>
  <c r="X62" i="33"/>
  <c r="N62" i="33"/>
  <c r="L62" i="33"/>
  <c r="B62" i="33"/>
  <c r="T61" i="33"/>
  <c r="P61" i="33"/>
  <c r="X61" i="33" s="1"/>
  <c r="H61" i="33"/>
  <c r="D61" i="33"/>
  <c r="L61" i="33" s="1"/>
  <c r="N61" i="33" s="1"/>
  <c r="B61" i="33"/>
  <c r="X60" i="33"/>
  <c r="Z60" i="33" s="1"/>
  <c r="L60" i="33"/>
  <c r="N60" i="33" s="1"/>
  <c r="B60" i="33"/>
  <c r="X59" i="33"/>
  <c r="Z59" i="33" s="1"/>
  <c r="T59" i="33"/>
  <c r="P59" i="33"/>
  <c r="L59" i="33"/>
  <c r="H59" i="33"/>
  <c r="N59" i="33" s="1"/>
  <c r="D59" i="33"/>
  <c r="B59" i="33"/>
  <c r="Z58" i="33"/>
  <c r="X58" i="33"/>
  <c r="N58" i="33"/>
  <c r="L58" i="33"/>
  <c r="B58" i="33"/>
  <c r="T57" i="33"/>
  <c r="P57" i="33"/>
  <c r="N57" i="33"/>
  <c r="L57" i="33"/>
  <c r="H57" i="33"/>
  <c r="D57" i="33"/>
  <c r="B57" i="33"/>
  <c r="Z56" i="33"/>
  <c r="X56" i="33"/>
  <c r="N56" i="33"/>
  <c r="L56" i="33"/>
  <c r="B56" i="33"/>
  <c r="Z55" i="33"/>
  <c r="T55" i="33"/>
  <c r="P55" i="33"/>
  <c r="X55" i="33" s="1"/>
  <c r="H55" i="33"/>
  <c r="N55" i="33" s="1"/>
  <c r="D55" i="33"/>
  <c r="L55" i="33" s="1"/>
  <c r="B55" i="33"/>
  <c r="Z54" i="33"/>
  <c r="X54" i="33"/>
  <c r="N54" i="33"/>
  <c r="L54" i="33"/>
  <c r="B54" i="33"/>
  <c r="X53" i="33"/>
  <c r="T53" i="33"/>
  <c r="Z53" i="33" s="1"/>
  <c r="P53" i="33"/>
  <c r="N53" i="33"/>
  <c r="L53" i="33"/>
  <c r="H53" i="33"/>
  <c r="D53" i="33"/>
  <c r="B53" i="33"/>
  <c r="X52" i="33"/>
  <c r="Z52" i="33" s="1"/>
  <c r="L52" i="33"/>
  <c r="N52" i="33" s="1"/>
  <c r="B52" i="33"/>
  <c r="Z51" i="33"/>
  <c r="X51" i="33"/>
  <c r="N51" i="33"/>
  <c r="L51" i="33"/>
  <c r="B51" i="33"/>
  <c r="Z50" i="33"/>
  <c r="X50" i="33"/>
  <c r="N50" i="33"/>
  <c r="L50" i="33"/>
  <c r="B50" i="33"/>
  <c r="X49" i="33"/>
  <c r="Z49" i="33" s="1"/>
  <c r="L49" i="33"/>
  <c r="N49" i="33" s="1"/>
  <c r="B49" i="33"/>
  <c r="T48" i="33"/>
  <c r="P48" i="33"/>
  <c r="X48" i="33" s="1"/>
  <c r="Z48" i="33" s="1"/>
  <c r="H48" i="33"/>
  <c r="D48" i="33"/>
  <c r="L48" i="33" s="1"/>
  <c r="N48" i="33" s="1"/>
  <c r="B48" i="33"/>
  <c r="Z47" i="33"/>
  <c r="X47" i="33"/>
  <c r="L47" i="33"/>
  <c r="N47" i="33" s="1"/>
  <c r="B47" i="33"/>
  <c r="Z46" i="33"/>
  <c r="X46" i="33"/>
  <c r="N46" i="33"/>
  <c r="L46" i="33"/>
  <c r="B46" i="33"/>
  <c r="X45" i="33"/>
  <c r="Z45" i="33" s="1"/>
  <c r="L45" i="33"/>
  <c r="N45" i="33" s="1"/>
  <c r="B45" i="33"/>
  <c r="X44" i="33"/>
  <c r="Z44" i="33" s="1"/>
  <c r="L44" i="33"/>
  <c r="N44" i="33" s="1"/>
  <c r="B44" i="33"/>
  <c r="Z43" i="33"/>
  <c r="X43" i="33"/>
  <c r="N43" i="33"/>
  <c r="L43" i="33"/>
  <c r="B43" i="33"/>
  <c r="Z42" i="33"/>
  <c r="X42" i="33"/>
  <c r="N42" i="33"/>
  <c r="L42" i="33"/>
  <c r="B42" i="33"/>
  <c r="X41" i="33"/>
  <c r="Z41" i="33" s="1"/>
  <c r="L41" i="33"/>
  <c r="N41" i="33" s="1"/>
  <c r="B41" i="33"/>
  <c r="X40" i="33"/>
  <c r="Z40" i="33" s="1"/>
  <c r="L40" i="33"/>
  <c r="N40" i="33" s="1"/>
  <c r="B40" i="33"/>
  <c r="T39" i="33"/>
  <c r="P39" i="33"/>
  <c r="X39" i="33" s="1"/>
  <c r="Z39" i="33" s="1"/>
  <c r="H39" i="33"/>
  <c r="N39" i="33" s="1"/>
  <c r="D39" i="33"/>
  <c r="L39" i="33" s="1"/>
  <c r="B39" i="33"/>
  <c r="T38" i="33"/>
  <c r="P38" i="33"/>
  <c r="H38" i="33"/>
  <c r="D38" i="33"/>
  <c r="L38" i="33" s="1"/>
  <c r="Z34" i="33"/>
  <c r="X34" i="33"/>
  <c r="N34" i="33"/>
  <c r="L34" i="33"/>
  <c r="B34" i="33"/>
  <c r="X33" i="33"/>
  <c r="Z33" i="33" s="1"/>
  <c r="L33" i="33"/>
  <c r="N33" i="33" s="1"/>
  <c r="B33" i="33"/>
  <c r="X32" i="33"/>
  <c r="Z32" i="33" s="1"/>
  <c r="L32" i="33"/>
  <c r="N32" i="33" s="1"/>
  <c r="B32" i="33"/>
  <c r="X31" i="33"/>
  <c r="Z31" i="33" s="1"/>
  <c r="N31" i="33"/>
  <c r="L31" i="33"/>
  <c r="B31" i="33"/>
  <c r="Z30" i="33"/>
  <c r="X30" i="33"/>
  <c r="N30" i="33"/>
  <c r="L30" i="33"/>
  <c r="B30" i="33"/>
  <c r="X29" i="33"/>
  <c r="T29" i="33"/>
  <c r="Z29" i="33" s="1"/>
  <c r="P29" i="33"/>
  <c r="L29" i="33"/>
  <c r="N29" i="33" s="1"/>
  <c r="H29" i="33"/>
  <c r="D29" i="33"/>
  <c r="T27" i="33"/>
  <c r="P27" i="33"/>
  <c r="H27" i="33"/>
  <c r="N27" i="33" s="1"/>
  <c r="D27" i="33"/>
  <c r="L27" i="33" s="1"/>
  <c r="B27" i="33"/>
  <c r="X26" i="33"/>
  <c r="T26" i="33"/>
  <c r="Z26" i="33" s="1"/>
  <c r="P26" i="33"/>
  <c r="L26" i="33"/>
  <c r="N26" i="33" s="1"/>
  <c r="H26" i="33"/>
  <c r="D26" i="33"/>
  <c r="B26" i="33"/>
  <c r="Z25" i="33"/>
  <c r="X25" i="33"/>
  <c r="T25" i="33"/>
  <c r="P25" i="33"/>
  <c r="N25" i="33"/>
  <c r="H25" i="33"/>
  <c r="D25" i="33"/>
  <c r="L25" i="33" s="1"/>
  <c r="B25" i="33"/>
  <c r="T24" i="33"/>
  <c r="P24" i="33"/>
  <c r="X24" i="33" s="1"/>
  <c r="Z24" i="33" s="1"/>
  <c r="N24" i="33"/>
  <c r="H24" i="33"/>
  <c r="D24" i="33"/>
  <c r="L24" i="33" s="1"/>
  <c r="B24" i="33"/>
  <c r="T23" i="33"/>
  <c r="P23" i="33"/>
  <c r="H23" i="33"/>
  <c r="D23" i="33"/>
  <c r="L23" i="33" s="1"/>
  <c r="B23" i="33"/>
  <c r="X22" i="33"/>
  <c r="T22" i="33"/>
  <c r="Z22" i="33" s="1"/>
  <c r="P22" i="33"/>
  <c r="L22" i="33"/>
  <c r="N22" i="33" s="1"/>
  <c r="H22" i="33"/>
  <c r="D22" i="33"/>
  <c r="B22" i="33"/>
  <c r="X21" i="33"/>
  <c r="Z21" i="33" s="1"/>
  <c r="T21" i="33"/>
  <c r="P21" i="33"/>
  <c r="N21" i="33"/>
  <c r="L21" i="33"/>
  <c r="H21" i="33"/>
  <c r="D21" i="33"/>
  <c r="B21" i="33"/>
  <c r="T20" i="33"/>
  <c r="P20" i="33"/>
  <c r="X20" i="33" s="1"/>
  <c r="Z20" i="33" s="1"/>
  <c r="N20" i="33"/>
  <c r="H20" i="33"/>
  <c r="D20" i="33"/>
  <c r="L20" i="33" s="1"/>
  <c r="B20" i="33"/>
  <c r="T19" i="33"/>
  <c r="P19" i="33"/>
  <c r="H19" i="33"/>
  <c r="D19" i="33"/>
  <c r="B19" i="33"/>
  <c r="X18" i="33"/>
  <c r="T18" i="33"/>
  <c r="Z18" i="33" s="1"/>
  <c r="P18" i="33"/>
  <c r="L18" i="33"/>
  <c r="N18" i="33" s="1"/>
  <c r="H18" i="33"/>
  <c r="D18" i="33"/>
  <c r="B18" i="33"/>
  <c r="X17" i="33"/>
  <c r="Z17" i="33" s="1"/>
  <c r="T17" i="33"/>
  <c r="P17" i="33"/>
  <c r="N17" i="33"/>
  <c r="L17" i="33"/>
  <c r="H17" i="33"/>
  <c r="D17" i="33"/>
  <c r="B17" i="33"/>
  <c r="T16" i="33"/>
  <c r="P16" i="33"/>
  <c r="X16" i="33" s="1"/>
  <c r="Z16" i="33" s="1"/>
  <c r="H16" i="33"/>
  <c r="D16" i="33"/>
  <c r="L16" i="33" s="1"/>
  <c r="N16" i="33" s="1"/>
  <c r="B16" i="33"/>
  <c r="T15" i="33"/>
  <c r="P15" i="33"/>
  <c r="H15" i="33"/>
  <c r="D15" i="33"/>
  <c r="B15" i="33"/>
  <c r="T14" i="33"/>
  <c r="P14" i="33"/>
  <c r="L14" i="33"/>
  <c r="N14" i="33" s="1"/>
  <c r="H14" i="33"/>
  <c r="D14" i="33"/>
  <c r="B14" i="33"/>
  <c r="Z13" i="33"/>
  <c r="X13" i="33"/>
  <c r="T13" i="33"/>
  <c r="P13" i="33"/>
  <c r="N13" i="33"/>
  <c r="L13" i="33"/>
  <c r="H13" i="33"/>
  <c r="D13" i="33"/>
  <c r="B13" i="33"/>
  <c r="D12" i="33"/>
  <c r="F90" i="33" s="1"/>
  <c r="D4" i="33"/>
  <c r="Z157" i="30"/>
  <c r="X157" i="30"/>
  <c r="L157" i="30"/>
  <c r="N157" i="30" s="1"/>
  <c r="T153" i="30"/>
  <c r="Z153" i="30" s="1"/>
  <c r="P153" i="30"/>
  <c r="H153" i="30"/>
  <c r="D153" i="30"/>
  <c r="B153" i="30"/>
  <c r="T152" i="30"/>
  <c r="P152" i="30"/>
  <c r="N152" i="30"/>
  <c r="H152" i="30"/>
  <c r="D152" i="30"/>
  <c r="D151" i="30" s="1"/>
  <c r="B152" i="30"/>
  <c r="P151" i="30"/>
  <c r="X149" i="30"/>
  <c r="Z149" i="30" s="1"/>
  <c r="L149" i="30"/>
  <c r="N149" i="30" s="1"/>
  <c r="B149" i="30"/>
  <c r="X148" i="30"/>
  <c r="T148" i="30"/>
  <c r="P148" i="30"/>
  <c r="H148" i="30"/>
  <c r="D148" i="30"/>
  <c r="L148" i="30" s="1"/>
  <c r="B148" i="30"/>
  <c r="X147" i="30"/>
  <c r="Z147" i="30" s="1"/>
  <c r="N147" i="30"/>
  <c r="L147" i="30"/>
  <c r="B147" i="30"/>
  <c r="Z146" i="30"/>
  <c r="X146" i="30"/>
  <c r="N146" i="30"/>
  <c r="L146" i="30"/>
  <c r="B146" i="30"/>
  <c r="T145" i="30"/>
  <c r="P145" i="30"/>
  <c r="L145" i="30"/>
  <c r="H145" i="30"/>
  <c r="N145" i="30" s="1"/>
  <c r="D145" i="30"/>
  <c r="B145" i="30"/>
  <c r="X144" i="30"/>
  <c r="Z144" i="30" s="1"/>
  <c r="L144" i="30"/>
  <c r="N144" i="30" s="1"/>
  <c r="B144" i="30"/>
  <c r="T143" i="30"/>
  <c r="P143" i="30"/>
  <c r="X143" i="30" s="1"/>
  <c r="Z143" i="30" s="1"/>
  <c r="H143" i="30"/>
  <c r="D143" i="30"/>
  <c r="L143" i="30" s="1"/>
  <c r="B143" i="30"/>
  <c r="Z142" i="30"/>
  <c r="X142" i="30"/>
  <c r="N142" i="30"/>
  <c r="L142" i="30"/>
  <c r="B142" i="30"/>
  <c r="X141" i="30"/>
  <c r="T141" i="30"/>
  <c r="Z141" i="30" s="1"/>
  <c r="P141" i="30"/>
  <c r="L141" i="30"/>
  <c r="N141" i="30" s="1"/>
  <c r="H141" i="30"/>
  <c r="D141" i="30"/>
  <c r="B141" i="30"/>
  <c r="X140" i="30"/>
  <c r="Z140" i="30" s="1"/>
  <c r="L140" i="30"/>
  <c r="N140" i="30" s="1"/>
  <c r="B140" i="30"/>
  <c r="X139" i="30"/>
  <c r="Z139" i="30" s="1"/>
  <c r="N139" i="30"/>
  <c r="L139" i="30"/>
  <c r="B139" i="30"/>
  <c r="Z138" i="30"/>
  <c r="X138" i="30"/>
  <c r="N138" i="30"/>
  <c r="L138" i="30"/>
  <c r="B138" i="30"/>
  <c r="Z137" i="30"/>
  <c r="X137" i="30"/>
  <c r="N137" i="30"/>
  <c r="L137" i="30"/>
  <c r="B137" i="30"/>
  <c r="X136" i="30"/>
  <c r="Z136" i="30" s="1"/>
  <c r="N136" i="30"/>
  <c r="L136" i="30"/>
  <c r="B136" i="30"/>
  <c r="T135" i="30"/>
  <c r="X135" i="30" s="1"/>
  <c r="Z135" i="30" s="1"/>
  <c r="P135" i="30"/>
  <c r="H135" i="30"/>
  <c r="D135" i="30"/>
  <c r="B135" i="30"/>
  <c r="Z134" i="30"/>
  <c r="X134" i="30"/>
  <c r="N134" i="30"/>
  <c r="L134" i="30"/>
  <c r="B134" i="30"/>
  <c r="T133" i="30"/>
  <c r="P133" i="30"/>
  <c r="X133" i="30" s="1"/>
  <c r="N133" i="30"/>
  <c r="H133" i="30"/>
  <c r="D133" i="30"/>
  <c r="L133" i="30" s="1"/>
  <c r="B133" i="30"/>
  <c r="X132" i="30"/>
  <c r="Z132" i="30" s="1"/>
  <c r="N132" i="30"/>
  <c r="L132" i="30"/>
  <c r="B132" i="30"/>
  <c r="X131" i="30"/>
  <c r="Z131" i="30" s="1"/>
  <c r="L131" i="30"/>
  <c r="N131" i="30" s="1"/>
  <c r="B131" i="30"/>
  <c r="Z130" i="30"/>
  <c r="X130" i="30"/>
  <c r="N130" i="30"/>
  <c r="L130" i="30"/>
  <c r="B130" i="30"/>
  <c r="X129" i="30"/>
  <c r="Z129" i="30" s="1"/>
  <c r="T129" i="30"/>
  <c r="P129" i="30"/>
  <c r="L129" i="30"/>
  <c r="N129" i="30" s="1"/>
  <c r="H129" i="30"/>
  <c r="D129" i="30"/>
  <c r="B129" i="30"/>
  <c r="X128" i="30"/>
  <c r="Z128" i="30" s="1"/>
  <c r="L128" i="30"/>
  <c r="N128" i="30" s="1"/>
  <c r="B128" i="30"/>
  <c r="Z127" i="30"/>
  <c r="X127" i="30"/>
  <c r="N127" i="30"/>
  <c r="L127" i="30"/>
  <c r="B127" i="30"/>
  <c r="T126" i="30"/>
  <c r="P126" i="30"/>
  <c r="X126" i="30" s="1"/>
  <c r="Z126" i="30" s="1"/>
  <c r="L126" i="30"/>
  <c r="N126" i="30" s="1"/>
  <c r="H126" i="30"/>
  <c r="D126" i="30"/>
  <c r="B126" i="30"/>
  <c r="X125" i="30"/>
  <c r="Z125" i="30" s="1"/>
  <c r="L125" i="30"/>
  <c r="N125" i="30" s="1"/>
  <c r="B125" i="30"/>
  <c r="X124" i="30"/>
  <c r="Z124" i="30" s="1"/>
  <c r="L124" i="30"/>
  <c r="N124" i="30" s="1"/>
  <c r="B124" i="30"/>
  <c r="Z123" i="30"/>
  <c r="T123" i="30"/>
  <c r="P123" i="30"/>
  <c r="X123" i="30" s="1"/>
  <c r="H123" i="30"/>
  <c r="D123" i="30"/>
  <c r="L123" i="30" s="1"/>
  <c r="B123" i="30"/>
  <c r="Z122" i="30"/>
  <c r="X122" i="30"/>
  <c r="N122" i="30"/>
  <c r="L122" i="30"/>
  <c r="B122" i="30"/>
  <c r="X121" i="30"/>
  <c r="Z121" i="30" s="1"/>
  <c r="T121" i="30"/>
  <c r="P121" i="30"/>
  <c r="N121" i="30"/>
  <c r="L121" i="30"/>
  <c r="H121" i="30"/>
  <c r="D121" i="30"/>
  <c r="B121" i="30"/>
  <c r="X120" i="30"/>
  <c r="Z120" i="30" s="1"/>
  <c r="N120" i="30"/>
  <c r="L120" i="30"/>
  <c r="B120" i="30"/>
  <c r="T119" i="30"/>
  <c r="P119" i="30"/>
  <c r="H119" i="30"/>
  <c r="D119" i="30"/>
  <c r="B119" i="30"/>
  <c r="Z118" i="30"/>
  <c r="X118" i="30"/>
  <c r="N118" i="30"/>
  <c r="L118" i="30"/>
  <c r="B118" i="30"/>
  <c r="T117" i="30"/>
  <c r="P117" i="30"/>
  <c r="X117" i="30" s="1"/>
  <c r="N117" i="30"/>
  <c r="H117" i="30"/>
  <c r="D117" i="30"/>
  <c r="L117" i="30" s="1"/>
  <c r="B117" i="30"/>
  <c r="X116" i="30"/>
  <c r="Z116" i="30" s="1"/>
  <c r="N116" i="30"/>
  <c r="L116" i="30"/>
  <c r="B116" i="30"/>
  <c r="T115" i="30"/>
  <c r="P115" i="30"/>
  <c r="X115" i="30" s="1"/>
  <c r="Z115" i="30" s="1"/>
  <c r="L115" i="30"/>
  <c r="N115" i="30" s="1"/>
  <c r="H115" i="30"/>
  <c r="D115" i="30"/>
  <c r="B115" i="30"/>
  <c r="Z114" i="30"/>
  <c r="X114" i="30"/>
  <c r="N114" i="30"/>
  <c r="L114" i="30"/>
  <c r="B114" i="30"/>
  <c r="X113" i="30"/>
  <c r="Z113" i="30" s="1"/>
  <c r="L113" i="30"/>
  <c r="N113" i="30" s="1"/>
  <c r="B113" i="30"/>
  <c r="X112" i="30"/>
  <c r="Z112" i="30" s="1"/>
  <c r="T112" i="30"/>
  <c r="P112" i="30"/>
  <c r="H112" i="30"/>
  <c r="N112" i="30" s="1"/>
  <c r="D112" i="30"/>
  <c r="L112" i="30" s="1"/>
  <c r="B112" i="30"/>
  <c r="Z111" i="30"/>
  <c r="X111" i="30"/>
  <c r="L111" i="30"/>
  <c r="N111" i="30" s="1"/>
  <c r="B111" i="30"/>
  <c r="T110" i="30"/>
  <c r="X110" i="30" s="1"/>
  <c r="P110" i="30"/>
  <c r="L110" i="30"/>
  <c r="N110" i="30" s="1"/>
  <c r="H110" i="30"/>
  <c r="D110" i="30"/>
  <c r="B110" i="30"/>
  <c r="X109" i="30"/>
  <c r="Z109" i="30" s="1"/>
  <c r="L109" i="30"/>
  <c r="N109" i="30" s="1"/>
  <c r="B109" i="30"/>
  <c r="X108" i="30"/>
  <c r="Z108" i="30" s="1"/>
  <c r="L108" i="30"/>
  <c r="N108" i="30" s="1"/>
  <c r="B108" i="30"/>
  <c r="T107" i="30"/>
  <c r="P107" i="30"/>
  <c r="X107" i="30" s="1"/>
  <c r="Z107" i="30" s="1"/>
  <c r="L107" i="30"/>
  <c r="N107" i="30" s="1"/>
  <c r="H107" i="30"/>
  <c r="D107" i="30"/>
  <c r="B107" i="30"/>
  <c r="Z106" i="30"/>
  <c r="X106" i="30"/>
  <c r="N106" i="30"/>
  <c r="L106" i="30"/>
  <c r="B106" i="30"/>
  <c r="T105" i="30"/>
  <c r="P105" i="30"/>
  <c r="L105" i="30"/>
  <c r="N105" i="30" s="1"/>
  <c r="H105" i="30"/>
  <c r="D105" i="30"/>
  <c r="B105" i="30"/>
  <c r="X104" i="30"/>
  <c r="Z104" i="30" s="1"/>
  <c r="L104" i="30"/>
  <c r="N104" i="30" s="1"/>
  <c r="B104" i="30"/>
  <c r="Z103" i="30"/>
  <c r="T103" i="30"/>
  <c r="P103" i="30"/>
  <c r="X103" i="30" s="1"/>
  <c r="H103" i="30"/>
  <c r="D103" i="30"/>
  <c r="L103" i="30" s="1"/>
  <c r="B103" i="30"/>
  <c r="Z102" i="30"/>
  <c r="X102" i="30"/>
  <c r="N102" i="30"/>
  <c r="L102" i="30"/>
  <c r="B102" i="30"/>
  <c r="X101" i="30"/>
  <c r="Z101" i="30" s="1"/>
  <c r="T101" i="30"/>
  <c r="P101" i="30"/>
  <c r="H101" i="30"/>
  <c r="D101" i="30"/>
  <c r="L101" i="30" s="1"/>
  <c r="N101" i="30" s="1"/>
  <c r="B101" i="30"/>
  <c r="X100" i="30"/>
  <c r="Z100" i="30" s="1"/>
  <c r="N100" i="30"/>
  <c r="L100" i="30"/>
  <c r="B100" i="30"/>
  <c r="Z99" i="30"/>
  <c r="X99" i="30"/>
  <c r="N99" i="30"/>
  <c r="L99" i="30"/>
  <c r="B99" i="30"/>
  <c r="Z98" i="30"/>
  <c r="X98" i="30"/>
  <c r="N98" i="30"/>
  <c r="L98" i="30"/>
  <c r="B98" i="30"/>
  <c r="X97" i="30"/>
  <c r="Z97" i="30" s="1"/>
  <c r="L97" i="30"/>
  <c r="N97" i="30" s="1"/>
  <c r="B97" i="30"/>
  <c r="Z96" i="30"/>
  <c r="X96" i="30"/>
  <c r="N96" i="30"/>
  <c r="L96" i="30"/>
  <c r="B96" i="30"/>
  <c r="X95" i="30"/>
  <c r="Z95" i="30" s="1"/>
  <c r="N95" i="30"/>
  <c r="L95" i="30"/>
  <c r="B95" i="30"/>
  <c r="T94" i="30"/>
  <c r="P94" i="30"/>
  <c r="H94" i="30"/>
  <c r="D94" i="30"/>
  <c r="L94" i="30" s="1"/>
  <c r="N94" i="30" s="1"/>
  <c r="B94" i="30"/>
  <c r="X93" i="30"/>
  <c r="Z93" i="30" s="1"/>
  <c r="N93" i="30"/>
  <c r="L93" i="30"/>
  <c r="B93" i="30"/>
  <c r="Z92" i="30"/>
  <c r="X92" i="30"/>
  <c r="N92" i="30"/>
  <c r="L92" i="30"/>
  <c r="B92" i="30"/>
  <c r="Z91" i="30"/>
  <c r="X91" i="30"/>
  <c r="L91" i="30"/>
  <c r="N91" i="30" s="1"/>
  <c r="B91" i="30"/>
  <c r="Z90" i="30"/>
  <c r="X90" i="30"/>
  <c r="N90" i="30"/>
  <c r="L90" i="30"/>
  <c r="B90" i="30"/>
  <c r="X89" i="30"/>
  <c r="Z89" i="30" s="1"/>
  <c r="N89" i="30"/>
  <c r="L89" i="30"/>
  <c r="B89" i="30"/>
  <c r="X88" i="30"/>
  <c r="Z88" i="30" s="1"/>
  <c r="L88" i="30"/>
  <c r="N88" i="30" s="1"/>
  <c r="B88" i="30"/>
  <c r="Z87" i="30"/>
  <c r="X87" i="30"/>
  <c r="L87" i="30"/>
  <c r="N87" i="30" s="1"/>
  <c r="B87" i="30"/>
  <c r="X86" i="30"/>
  <c r="Z86" i="30" s="1"/>
  <c r="N86" i="30"/>
  <c r="L86" i="30"/>
  <c r="B86" i="30"/>
  <c r="T85" i="30"/>
  <c r="P85" i="30"/>
  <c r="X85" i="30" s="1"/>
  <c r="H85" i="30"/>
  <c r="D85" i="30"/>
  <c r="B85" i="30"/>
  <c r="T84" i="30"/>
  <c r="P84" i="30"/>
  <c r="H84" i="30"/>
  <c r="D84" i="30"/>
  <c r="Z80" i="30"/>
  <c r="X80" i="30"/>
  <c r="L80" i="30"/>
  <c r="N80" i="30" s="1"/>
  <c r="B80" i="30"/>
  <c r="Z79" i="30"/>
  <c r="X79" i="30"/>
  <c r="N79" i="30"/>
  <c r="L79" i="30"/>
  <c r="B79" i="30"/>
  <c r="Z78" i="30"/>
  <c r="X78" i="30"/>
  <c r="N78" i="30"/>
  <c r="L78" i="30"/>
  <c r="B78" i="30"/>
  <c r="X77" i="30"/>
  <c r="Z77" i="30" s="1"/>
  <c r="L77" i="30"/>
  <c r="N77" i="30" s="1"/>
  <c r="B77" i="30"/>
  <c r="Z76" i="30"/>
  <c r="X76" i="30"/>
  <c r="L76" i="30"/>
  <c r="N76" i="30" s="1"/>
  <c r="B76" i="30"/>
  <c r="Z75" i="30"/>
  <c r="X75" i="30"/>
  <c r="N75" i="30"/>
  <c r="L75" i="30"/>
  <c r="B75" i="30"/>
  <c r="Z74" i="30"/>
  <c r="X74" i="30"/>
  <c r="N74" i="30"/>
  <c r="L74" i="30"/>
  <c r="B74" i="30"/>
  <c r="Z73" i="30"/>
  <c r="X73" i="30"/>
  <c r="N73" i="30"/>
  <c r="L73" i="30"/>
  <c r="B73" i="30"/>
  <c r="Z72" i="30"/>
  <c r="X72" i="30"/>
  <c r="N72" i="30"/>
  <c r="L72" i="30"/>
  <c r="B72" i="30"/>
  <c r="X71" i="30"/>
  <c r="Z71" i="30" s="1"/>
  <c r="N71" i="30"/>
  <c r="L71" i="30"/>
  <c r="B71" i="30"/>
  <c r="Z70" i="30"/>
  <c r="X70" i="30"/>
  <c r="N70" i="30"/>
  <c r="L70" i="30"/>
  <c r="B70" i="30"/>
  <c r="X69" i="30"/>
  <c r="Z69" i="30" s="1"/>
  <c r="L69" i="30"/>
  <c r="N69" i="30" s="1"/>
  <c r="B69" i="30"/>
  <c r="Z68" i="30"/>
  <c r="X68" i="30"/>
  <c r="N68" i="30"/>
  <c r="L68" i="30"/>
  <c r="B68" i="30"/>
  <c r="Z67" i="30"/>
  <c r="X67" i="30"/>
  <c r="N67" i="30"/>
  <c r="L67" i="30"/>
  <c r="B67" i="30"/>
  <c r="Z66" i="30"/>
  <c r="X66" i="30"/>
  <c r="N66" i="30"/>
  <c r="L66" i="30"/>
  <c r="B66" i="30"/>
  <c r="Z65" i="30"/>
  <c r="X65" i="30"/>
  <c r="L65" i="30"/>
  <c r="N65" i="30" s="1"/>
  <c r="B65" i="30"/>
  <c r="X64" i="30"/>
  <c r="Z64" i="30" s="1"/>
  <c r="N64" i="30"/>
  <c r="L64" i="30"/>
  <c r="B64" i="30"/>
  <c r="Z63" i="30"/>
  <c r="X63" i="30"/>
  <c r="L63" i="30"/>
  <c r="N63" i="30" s="1"/>
  <c r="B63" i="30"/>
  <c r="Z62" i="30"/>
  <c r="X62" i="30"/>
  <c r="L62" i="30"/>
  <c r="N62" i="30" s="1"/>
  <c r="B62" i="30"/>
  <c r="Z61" i="30"/>
  <c r="X61" i="30"/>
  <c r="L61" i="30"/>
  <c r="N61" i="30" s="1"/>
  <c r="B61" i="30"/>
  <c r="X60" i="30"/>
  <c r="Z60" i="30" s="1"/>
  <c r="L60" i="30"/>
  <c r="N60" i="30" s="1"/>
  <c r="B60" i="30"/>
  <c r="Z59" i="30"/>
  <c r="X59" i="30"/>
  <c r="N59" i="30"/>
  <c r="L59" i="30"/>
  <c r="B59" i="30"/>
  <c r="Z58" i="30"/>
  <c r="X58" i="30"/>
  <c r="N58" i="30"/>
  <c r="L58" i="30"/>
  <c r="B58" i="30"/>
  <c r="Z57" i="30"/>
  <c r="X57" i="30"/>
  <c r="N57" i="30"/>
  <c r="L57" i="30"/>
  <c r="B57" i="30"/>
  <c r="X56" i="30"/>
  <c r="Z56" i="30" s="1"/>
  <c r="L56" i="30"/>
  <c r="N56" i="30" s="1"/>
  <c r="B56" i="30"/>
  <c r="Z55" i="30"/>
  <c r="X55" i="30"/>
  <c r="L55" i="30"/>
  <c r="N55" i="30" s="1"/>
  <c r="B55" i="30"/>
  <c r="Z54" i="30"/>
  <c r="X54" i="30"/>
  <c r="N54" i="30"/>
  <c r="L54" i="30"/>
  <c r="B54" i="30"/>
  <c r="T53" i="30"/>
  <c r="P53" i="30"/>
  <c r="X53" i="30" s="1"/>
  <c r="H53" i="30"/>
  <c r="D53" i="30"/>
  <c r="L53" i="30" s="1"/>
  <c r="N53" i="30" s="1"/>
  <c r="T51" i="30"/>
  <c r="P51" i="30"/>
  <c r="X51" i="30" s="1"/>
  <c r="L51" i="30"/>
  <c r="H51" i="30"/>
  <c r="N51" i="30" s="1"/>
  <c r="D51" i="30"/>
  <c r="B51" i="30"/>
  <c r="T50" i="30"/>
  <c r="P50" i="30"/>
  <c r="X50" i="30" s="1"/>
  <c r="L50" i="30"/>
  <c r="H50" i="30"/>
  <c r="N50" i="30" s="1"/>
  <c r="D50" i="30"/>
  <c r="B50" i="30"/>
  <c r="T49" i="30"/>
  <c r="X49" i="30" s="1"/>
  <c r="Z49" i="30" s="1"/>
  <c r="P49" i="30"/>
  <c r="L49" i="30"/>
  <c r="H49" i="30"/>
  <c r="N49" i="30" s="1"/>
  <c r="D49" i="30"/>
  <c r="B49" i="30"/>
  <c r="T48" i="30"/>
  <c r="P48" i="30"/>
  <c r="X48" i="30" s="1"/>
  <c r="N48" i="30"/>
  <c r="L48" i="30"/>
  <c r="H48" i="30"/>
  <c r="D48" i="30"/>
  <c r="B48" i="30"/>
  <c r="T47" i="30"/>
  <c r="P47" i="30"/>
  <c r="X47" i="30" s="1"/>
  <c r="L47" i="30"/>
  <c r="H47" i="30"/>
  <c r="N47" i="30" s="1"/>
  <c r="D47" i="30"/>
  <c r="B47" i="30"/>
  <c r="T46" i="30"/>
  <c r="P46" i="30"/>
  <c r="X46" i="30" s="1"/>
  <c r="L46" i="30"/>
  <c r="H46" i="30"/>
  <c r="N46" i="30" s="1"/>
  <c r="D46" i="30"/>
  <c r="B46" i="30"/>
  <c r="T45" i="30"/>
  <c r="X45" i="30" s="1"/>
  <c r="Z45" i="30" s="1"/>
  <c r="P45" i="30"/>
  <c r="L45" i="30"/>
  <c r="H45" i="30"/>
  <c r="N45" i="30" s="1"/>
  <c r="D45" i="30"/>
  <c r="B45" i="30"/>
  <c r="T44" i="30"/>
  <c r="Z44" i="30" s="1"/>
  <c r="P44" i="30"/>
  <c r="X44" i="30" s="1"/>
  <c r="L44" i="30"/>
  <c r="N44" i="30" s="1"/>
  <c r="H44" i="30"/>
  <c r="D44" i="30"/>
  <c r="B44" i="30"/>
  <c r="T43" i="30"/>
  <c r="P43" i="30"/>
  <c r="X43" i="30" s="1"/>
  <c r="L43" i="30"/>
  <c r="H43" i="30"/>
  <c r="N43" i="30" s="1"/>
  <c r="D43" i="30"/>
  <c r="B43" i="30"/>
  <c r="T42" i="30"/>
  <c r="Z42" i="30" s="1"/>
  <c r="P42" i="30"/>
  <c r="X42" i="30" s="1"/>
  <c r="L42" i="30"/>
  <c r="H42" i="30"/>
  <c r="N42" i="30" s="1"/>
  <c r="D42" i="30"/>
  <c r="B42" i="30"/>
  <c r="Z41" i="30"/>
  <c r="T41" i="30"/>
  <c r="X41" i="30" s="1"/>
  <c r="P41" i="30"/>
  <c r="L41" i="30"/>
  <c r="H41" i="30"/>
  <c r="N41" i="30" s="1"/>
  <c r="D41" i="30"/>
  <c r="B41" i="30"/>
  <c r="T40" i="30"/>
  <c r="P40" i="30"/>
  <c r="X40" i="30" s="1"/>
  <c r="L40" i="30"/>
  <c r="N40" i="30" s="1"/>
  <c r="H40" i="30"/>
  <c r="D40" i="30"/>
  <c r="B40" i="30"/>
  <c r="T39" i="30"/>
  <c r="Z39" i="30" s="1"/>
  <c r="P39" i="30"/>
  <c r="X39" i="30" s="1"/>
  <c r="L39" i="30"/>
  <c r="H39" i="30"/>
  <c r="N39" i="30" s="1"/>
  <c r="D39" i="30"/>
  <c r="B39" i="30"/>
  <c r="T38" i="30"/>
  <c r="P38" i="30"/>
  <c r="X38" i="30" s="1"/>
  <c r="L38" i="30"/>
  <c r="H38" i="30"/>
  <c r="N38" i="30" s="1"/>
  <c r="D38" i="30"/>
  <c r="B38" i="30"/>
  <c r="Z37" i="30"/>
  <c r="T37" i="30"/>
  <c r="X37" i="30" s="1"/>
  <c r="P37" i="30"/>
  <c r="L37" i="30"/>
  <c r="H37" i="30"/>
  <c r="N37" i="30" s="1"/>
  <c r="D37" i="30"/>
  <c r="B37" i="30"/>
  <c r="T36" i="30"/>
  <c r="P36" i="30"/>
  <c r="L36" i="30"/>
  <c r="N36" i="30" s="1"/>
  <c r="H36" i="30"/>
  <c r="D36" i="30"/>
  <c r="B36" i="30"/>
  <c r="T35" i="30"/>
  <c r="Z35" i="30" s="1"/>
  <c r="P35" i="30"/>
  <c r="X35" i="30" s="1"/>
  <c r="L35" i="30"/>
  <c r="H35" i="30"/>
  <c r="D35" i="30"/>
  <c r="B35" i="30"/>
  <c r="T34" i="30"/>
  <c r="Z34" i="30" s="1"/>
  <c r="P34" i="30"/>
  <c r="X34" i="30" s="1"/>
  <c r="L34" i="30"/>
  <c r="H34" i="30"/>
  <c r="N34" i="30" s="1"/>
  <c r="D34" i="30"/>
  <c r="B34" i="30"/>
  <c r="T33" i="30"/>
  <c r="X33" i="30" s="1"/>
  <c r="P33" i="30"/>
  <c r="L33" i="30"/>
  <c r="H33" i="30"/>
  <c r="N33" i="30" s="1"/>
  <c r="D33" i="30"/>
  <c r="B33" i="30"/>
  <c r="T32" i="30"/>
  <c r="Z32" i="30" s="1"/>
  <c r="P32" i="30"/>
  <c r="N32" i="30"/>
  <c r="L32" i="30"/>
  <c r="H32" i="30"/>
  <c r="D32" i="30"/>
  <c r="B32" i="30"/>
  <c r="T31" i="30"/>
  <c r="Z31" i="30" s="1"/>
  <c r="P31" i="30"/>
  <c r="X31" i="30" s="1"/>
  <c r="L31" i="30"/>
  <c r="H31" i="30"/>
  <c r="N31" i="30" s="1"/>
  <c r="D31" i="30"/>
  <c r="B31" i="30"/>
  <c r="T30" i="30"/>
  <c r="Z30" i="30" s="1"/>
  <c r="P30" i="30"/>
  <c r="X30" i="30" s="1"/>
  <c r="L30" i="30"/>
  <c r="H30" i="30"/>
  <c r="N30" i="30" s="1"/>
  <c r="D30" i="30"/>
  <c r="B30" i="30"/>
  <c r="T29" i="30"/>
  <c r="X29" i="30" s="1"/>
  <c r="P29" i="30"/>
  <c r="L29" i="30"/>
  <c r="H29" i="30"/>
  <c r="N29" i="30" s="1"/>
  <c r="D29" i="30"/>
  <c r="B29" i="30"/>
  <c r="T28" i="30"/>
  <c r="Z28" i="30" s="1"/>
  <c r="P28" i="30"/>
  <c r="N28" i="30"/>
  <c r="L28" i="30"/>
  <c r="H28" i="30"/>
  <c r="D28" i="30"/>
  <c r="B28" i="30"/>
  <c r="T27" i="30"/>
  <c r="Z27" i="30" s="1"/>
  <c r="P27" i="30"/>
  <c r="X27" i="30" s="1"/>
  <c r="L27" i="30"/>
  <c r="H27" i="30"/>
  <c r="N27" i="30" s="1"/>
  <c r="D27" i="30"/>
  <c r="B27" i="30"/>
  <c r="T26" i="30"/>
  <c r="Z26" i="30" s="1"/>
  <c r="P26" i="30"/>
  <c r="X26" i="30" s="1"/>
  <c r="L26" i="30"/>
  <c r="H26" i="30"/>
  <c r="N26" i="30" s="1"/>
  <c r="D26" i="30"/>
  <c r="B26" i="30"/>
  <c r="T25" i="30"/>
  <c r="X25" i="30" s="1"/>
  <c r="P25" i="30"/>
  <c r="L25" i="30"/>
  <c r="H25" i="30"/>
  <c r="N25" i="30" s="1"/>
  <c r="D25" i="30"/>
  <c r="B25" i="30"/>
  <c r="T24" i="30"/>
  <c r="P24" i="30"/>
  <c r="L24" i="30"/>
  <c r="N24" i="30" s="1"/>
  <c r="H24" i="30"/>
  <c r="D24" i="30"/>
  <c r="B24" i="30"/>
  <c r="T23" i="30"/>
  <c r="Z23" i="30" s="1"/>
  <c r="P23" i="30"/>
  <c r="X23" i="30" s="1"/>
  <c r="L23" i="30"/>
  <c r="H23" i="30"/>
  <c r="D23" i="30"/>
  <c r="B23" i="30"/>
  <c r="T22" i="30"/>
  <c r="Z22" i="30" s="1"/>
  <c r="P22" i="30"/>
  <c r="X22" i="30" s="1"/>
  <c r="L22" i="30"/>
  <c r="H22" i="30"/>
  <c r="N22" i="30" s="1"/>
  <c r="D22" i="30"/>
  <c r="B22" i="30"/>
  <c r="T21" i="30"/>
  <c r="X21" i="30" s="1"/>
  <c r="P21" i="30"/>
  <c r="L21" i="30"/>
  <c r="H21" i="30"/>
  <c r="N21" i="30" s="1"/>
  <c r="D21" i="30"/>
  <c r="B21" i="30"/>
  <c r="T20" i="30"/>
  <c r="P20" i="30"/>
  <c r="L20" i="30"/>
  <c r="N20" i="30" s="1"/>
  <c r="H20" i="30"/>
  <c r="D20" i="30"/>
  <c r="B20" i="30"/>
  <c r="T19" i="30"/>
  <c r="Z19" i="30" s="1"/>
  <c r="P19" i="30"/>
  <c r="X19" i="30" s="1"/>
  <c r="L19" i="30"/>
  <c r="H19" i="30"/>
  <c r="N19" i="30" s="1"/>
  <c r="D19" i="30"/>
  <c r="B19" i="30"/>
  <c r="T18" i="30"/>
  <c r="Z18" i="30" s="1"/>
  <c r="P18" i="30"/>
  <c r="X18" i="30" s="1"/>
  <c r="L18" i="30"/>
  <c r="H18" i="30"/>
  <c r="N18" i="30" s="1"/>
  <c r="D18" i="30"/>
  <c r="B18" i="30"/>
  <c r="T17" i="30"/>
  <c r="X17" i="30" s="1"/>
  <c r="P17" i="30"/>
  <c r="L17" i="30"/>
  <c r="H17" i="30"/>
  <c r="N17" i="30" s="1"/>
  <c r="D17" i="30"/>
  <c r="B17" i="30"/>
  <c r="T16" i="30"/>
  <c r="Z16" i="30" s="1"/>
  <c r="P16" i="30"/>
  <c r="N16" i="30"/>
  <c r="L16" i="30"/>
  <c r="H16" i="30"/>
  <c r="D16" i="30"/>
  <c r="B16" i="30"/>
  <c r="T15" i="30"/>
  <c r="P15" i="30"/>
  <c r="X15" i="30" s="1"/>
  <c r="L15" i="30"/>
  <c r="H15" i="30"/>
  <c r="N15" i="30" s="1"/>
  <c r="D15" i="30"/>
  <c r="B15" i="30"/>
  <c r="T14" i="30"/>
  <c r="P14" i="30"/>
  <c r="X14" i="30" s="1"/>
  <c r="L14" i="30"/>
  <c r="H14" i="30"/>
  <c r="N14" i="30" s="1"/>
  <c r="D14" i="30"/>
  <c r="B14" i="30"/>
  <c r="T13" i="30"/>
  <c r="X13" i="30" s="1"/>
  <c r="P13" i="30"/>
  <c r="L13" i="30"/>
  <c r="H13" i="30"/>
  <c r="H12" i="30" s="1"/>
  <c r="D13" i="30"/>
  <c r="D12" i="30" s="1"/>
  <c r="B13" i="30"/>
  <c r="P12" i="30"/>
  <c r="D4" i="30"/>
  <c r="Z117" i="27"/>
  <c r="X117" i="27"/>
  <c r="N117" i="27"/>
  <c r="L117" i="27"/>
  <c r="X113" i="27"/>
  <c r="T113" i="27"/>
  <c r="P113" i="27"/>
  <c r="L113" i="27"/>
  <c r="N113" i="27" s="1"/>
  <c r="H113" i="27"/>
  <c r="D113" i="27"/>
  <c r="B113" i="27"/>
  <c r="T112" i="27"/>
  <c r="T110" i="27" s="1"/>
  <c r="P112" i="27"/>
  <c r="H112" i="27"/>
  <c r="H110" i="27" s="1"/>
  <c r="D112" i="27"/>
  <c r="B112" i="27"/>
  <c r="T111" i="27"/>
  <c r="P111" i="27"/>
  <c r="X111" i="27" s="1"/>
  <c r="H111" i="27"/>
  <c r="D111" i="27"/>
  <c r="B111" i="27"/>
  <c r="X108" i="27"/>
  <c r="Z108" i="27" s="1"/>
  <c r="L108" i="27"/>
  <c r="N108" i="27" s="1"/>
  <c r="B108" i="27"/>
  <c r="X107" i="27"/>
  <c r="T107" i="27"/>
  <c r="P107" i="27"/>
  <c r="L107" i="27"/>
  <c r="N107" i="27" s="1"/>
  <c r="H107" i="27"/>
  <c r="D107" i="27"/>
  <c r="B107" i="27"/>
  <c r="Z106" i="27"/>
  <c r="X106" i="27"/>
  <c r="N106" i="27"/>
  <c r="L106" i="27"/>
  <c r="B106" i="27"/>
  <c r="Z105" i="27"/>
  <c r="T105" i="27"/>
  <c r="P105" i="27"/>
  <c r="X105" i="27" s="1"/>
  <c r="H105" i="27"/>
  <c r="N105" i="27" s="1"/>
  <c r="D105" i="27"/>
  <c r="B105" i="27"/>
  <c r="X104" i="27"/>
  <c r="Z104" i="27" s="1"/>
  <c r="L104" i="27"/>
  <c r="N104" i="27" s="1"/>
  <c r="B104" i="27"/>
  <c r="Z103" i="27"/>
  <c r="X103" i="27"/>
  <c r="L103" i="27"/>
  <c r="N103" i="27" s="1"/>
  <c r="B103" i="27"/>
  <c r="T102" i="27"/>
  <c r="P102" i="27"/>
  <c r="H102" i="27"/>
  <c r="D102" i="27"/>
  <c r="L102" i="27" s="1"/>
  <c r="B102" i="27"/>
  <c r="X101" i="27"/>
  <c r="Z101" i="27" s="1"/>
  <c r="N101" i="27"/>
  <c r="L101" i="27"/>
  <c r="B101" i="27"/>
  <c r="X100" i="27"/>
  <c r="Z100" i="27" s="1"/>
  <c r="N100" i="27"/>
  <c r="L100" i="27"/>
  <c r="B100" i="27"/>
  <c r="X99" i="27"/>
  <c r="Z99" i="27" s="1"/>
  <c r="N99" i="27"/>
  <c r="L99" i="27"/>
  <c r="B99" i="27"/>
  <c r="X98" i="27"/>
  <c r="T98" i="27"/>
  <c r="P98" i="27"/>
  <c r="H98" i="27"/>
  <c r="D98" i="27"/>
  <c r="L98" i="27" s="1"/>
  <c r="B98" i="27"/>
  <c r="X97" i="27"/>
  <c r="Z97" i="27" s="1"/>
  <c r="N97" i="27"/>
  <c r="L97" i="27"/>
  <c r="B97" i="27"/>
  <c r="T96" i="27"/>
  <c r="P96" i="27"/>
  <c r="L96" i="27"/>
  <c r="H96" i="27"/>
  <c r="N96" i="27" s="1"/>
  <c r="D96" i="27"/>
  <c r="B96" i="27"/>
  <c r="Z95" i="27"/>
  <c r="X95" i="27"/>
  <c r="N95" i="27"/>
  <c r="L95" i="27"/>
  <c r="B95" i="27"/>
  <c r="X94" i="27"/>
  <c r="Z94" i="27" s="1"/>
  <c r="N94" i="27"/>
  <c r="L94" i="27"/>
  <c r="B94" i="27"/>
  <c r="T93" i="27"/>
  <c r="P93" i="27"/>
  <c r="X93" i="27" s="1"/>
  <c r="Z93" i="27" s="1"/>
  <c r="H93" i="27"/>
  <c r="D93" i="27"/>
  <c r="L93" i="27" s="1"/>
  <c r="N93" i="27" s="1"/>
  <c r="B93" i="27"/>
  <c r="X92" i="27"/>
  <c r="Z92" i="27" s="1"/>
  <c r="N92" i="27"/>
  <c r="L92" i="27"/>
  <c r="B92" i="27"/>
  <c r="T91" i="27"/>
  <c r="P91" i="27"/>
  <c r="X91" i="27" s="1"/>
  <c r="Z91" i="27" s="1"/>
  <c r="N91" i="27"/>
  <c r="L91" i="27"/>
  <c r="H91" i="27"/>
  <c r="D91" i="27"/>
  <c r="B91" i="27"/>
  <c r="X90" i="27"/>
  <c r="Z90" i="27" s="1"/>
  <c r="N90" i="27"/>
  <c r="L90" i="27"/>
  <c r="B90" i="27"/>
  <c r="T89" i="27"/>
  <c r="P89" i="27"/>
  <c r="H89" i="27"/>
  <c r="N89" i="27" s="1"/>
  <c r="D89" i="27"/>
  <c r="B89" i="27"/>
  <c r="X88" i="27"/>
  <c r="Z88" i="27" s="1"/>
  <c r="N88" i="27"/>
  <c r="L88" i="27"/>
  <c r="B88" i="27"/>
  <c r="Z87" i="27"/>
  <c r="X87" i="27"/>
  <c r="N87" i="27"/>
  <c r="L87" i="27"/>
  <c r="B87" i="27"/>
  <c r="X86" i="27"/>
  <c r="Z86" i="27" s="1"/>
  <c r="T86" i="27"/>
  <c r="P86" i="27"/>
  <c r="H86" i="27"/>
  <c r="N86" i="27" s="1"/>
  <c r="D86" i="27"/>
  <c r="L86" i="27" s="1"/>
  <c r="B86" i="27"/>
  <c r="Z85" i="27"/>
  <c r="X85" i="27"/>
  <c r="L85" i="27"/>
  <c r="N85" i="27" s="1"/>
  <c r="B85" i="27"/>
  <c r="T84" i="27"/>
  <c r="Z84" i="27" s="1"/>
  <c r="P84" i="27"/>
  <c r="X84" i="27" s="1"/>
  <c r="H84" i="27"/>
  <c r="N84" i="27" s="1"/>
  <c r="D84" i="27"/>
  <c r="L84" i="27" s="1"/>
  <c r="B84" i="27"/>
  <c r="Z83" i="27"/>
  <c r="X83" i="27"/>
  <c r="N83" i="27"/>
  <c r="L83" i="27"/>
  <c r="B83" i="27"/>
  <c r="X82" i="27"/>
  <c r="T82" i="27"/>
  <c r="Z82" i="27" s="1"/>
  <c r="P82" i="27"/>
  <c r="N82" i="27"/>
  <c r="L82" i="27"/>
  <c r="H82" i="27"/>
  <c r="D82" i="27"/>
  <c r="B82" i="27"/>
  <c r="Z81" i="27"/>
  <c r="X81" i="27"/>
  <c r="N81" i="27"/>
  <c r="L81" i="27"/>
  <c r="B81" i="27"/>
  <c r="X80" i="27"/>
  <c r="Z80" i="27" s="1"/>
  <c r="L80" i="27"/>
  <c r="N80" i="27" s="1"/>
  <c r="B80" i="27"/>
  <c r="T79" i="27"/>
  <c r="P79" i="27"/>
  <c r="X79" i="27" s="1"/>
  <c r="Z79" i="27" s="1"/>
  <c r="H79" i="27"/>
  <c r="D79" i="27"/>
  <c r="L79" i="27" s="1"/>
  <c r="N79" i="27" s="1"/>
  <c r="B79" i="27"/>
  <c r="X78" i="27"/>
  <c r="Z78" i="27" s="1"/>
  <c r="L78" i="27"/>
  <c r="N78" i="27" s="1"/>
  <c r="B78" i="27"/>
  <c r="X77" i="27"/>
  <c r="Z77" i="27" s="1"/>
  <c r="T77" i="27"/>
  <c r="P77" i="27"/>
  <c r="H77" i="27"/>
  <c r="D77" i="27"/>
  <c r="L77" i="27" s="1"/>
  <c r="N77" i="27" s="1"/>
  <c r="B77" i="27"/>
  <c r="Z76" i="27"/>
  <c r="X76" i="27"/>
  <c r="L76" i="27"/>
  <c r="N76" i="27" s="1"/>
  <c r="B76" i="27"/>
  <c r="Z75" i="27"/>
  <c r="X75" i="27"/>
  <c r="N75" i="27"/>
  <c r="L75" i="27"/>
  <c r="B75" i="27"/>
  <c r="X74" i="27"/>
  <c r="Z74" i="27" s="1"/>
  <c r="L74" i="27"/>
  <c r="N74" i="27" s="1"/>
  <c r="B74" i="27"/>
  <c r="X73" i="27"/>
  <c r="Z73" i="27" s="1"/>
  <c r="N73" i="27"/>
  <c r="L73" i="27"/>
  <c r="B73" i="27"/>
  <c r="Z72" i="27"/>
  <c r="X72" i="27"/>
  <c r="L72" i="27"/>
  <c r="N72" i="27" s="1"/>
  <c r="B72" i="27"/>
  <c r="Z71" i="27"/>
  <c r="X71" i="27"/>
  <c r="N71" i="27"/>
  <c r="L71" i="27"/>
  <c r="B71" i="27"/>
  <c r="X70" i="27"/>
  <c r="T70" i="27"/>
  <c r="Z70" i="27" s="1"/>
  <c r="P70" i="27"/>
  <c r="N70" i="27"/>
  <c r="L70" i="27"/>
  <c r="H70" i="27"/>
  <c r="D70" i="27"/>
  <c r="B70" i="27"/>
  <c r="Z69" i="27"/>
  <c r="X69" i="27"/>
  <c r="N69" i="27"/>
  <c r="L69" i="27"/>
  <c r="B69" i="27"/>
  <c r="X68" i="27"/>
  <c r="Z68" i="27" s="1"/>
  <c r="L68" i="27"/>
  <c r="N68" i="27" s="1"/>
  <c r="B68" i="27"/>
  <c r="Z67" i="27"/>
  <c r="X67" i="27"/>
  <c r="N67" i="27"/>
  <c r="L67" i="27"/>
  <c r="B67" i="27"/>
  <c r="X66" i="27"/>
  <c r="Z66" i="27" s="1"/>
  <c r="L66" i="27"/>
  <c r="N66" i="27" s="1"/>
  <c r="B66" i="27"/>
  <c r="Z65" i="27"/>
  <c r="X65" i="27"/>
  <c r="L65" i="27"/>
  <c r="N65" i="27" s="1"/>
  <c r="B65" i="27"/>
  <c r="X64" i="27"/>
  <c r="Z64" i="27" s="1"/>
  <c r="L64" i="27"/>
  <c r="N64" i="27" s="1"/>
  <c r="B64" i="27"/>
  <c r="Z63" i="27"/>
  <c r="X63" i="27"/>
  <c r="N63" i="27"/>
  <c r="L63" i="27"/>
  <c r="B63" i="27"/>
  <c r="X62" i="27"/>
  <c r="Z62" i="27" s="1"/>
  <c r="L62" i="27"/>
  <c r="N62" i="27" s="1"/>
  <c r="B62" i="27"/>
  <c r="Z61" i="27"/>
  <c r="X61" i="27"/>
  <c r="L61" i="27"/>
  <c r="N61" i="27" s="1"/>
  <c r="B61" i="27"/>
  <c r="T60" i="27"/>
  <c r="P60" i="27"/>
  <c r="X60" i="27" s="1"/>
  <c r="L60" i="27"/>
  <c r="H60" i="27"/>
  <c r="N60" i="27" s="1"/>
  <c r="D60" i="27"/>
  <c r="B60" i="27"/>
  <c r="T59" i="27"/>
  <c r="P59" i="27"/>
  <c r="X59" i="27" s="1"/>
  <c r="Z59" i="27" s="1"/>
  <c r="L59" i="27"/>
  <c r="N59" i="27" s="1"/>
  <c r="H59" i="27"/>
  <c r="D59" i="27"/>
  <c r="Z55" i="27"/>
  <c r="X55" i="27"/>
  <c r="L55" i="27"/>
  <c r="N55" i="27" s="1"/>
  <c r="B55" i="27"/>
  <c r="Z54" i="27"/>
  <c r="X54" i="27"/>
  <c r="L54" i="27"/>
  <c r="N54" i="27" s="1"/>
  <c r="B54" i="27"/>
  <c r="X53" i="27"/>
  <c r="Z53" i="27" s="1"/>
  <c r="L53" i="27"/>
  <c r="N53" i="27" s="1"/>
  <c r="B53" i="27"/>
  <c r="X52" i="27"/>
  <c r="Z52" i="27" s="1"/>
  <c r="N52" i="27"/>
  <c r="L52" i="27"/>
  <c r="B52" i="27"/>
  <c r="Z51" i="27"/>
  <c r="X51" i="27"/>
  <c r="L51" i="27"/>
  <c r="N51" i="27" s="1"/>
  <c r="B51" i="27"/>
  <c r="Z50" i="27"/>
  <c r="X50" i="27"/>
  <c r="L50" i="27"/>
  <c r="N50" i="27" s="1"/>
  <c r="B50" i="27"/>
  <c r="X49" i="27"/>
  <c r="Z49" i="27" s="1"/>
  <c r="L49" i="27"/>
  <c r="N49" i="27" s="1"/>
  <c r="B49" i="27"/>
  <c r="X48" i="27"/>
  <c r="Z48" i="27" s="1"/>
  <c r="N48" i="27"/>
  <c r="L48" i="27"/>
  <c r="B48" i="27"/>
  <c r="Z47" i="27"/>
  <c r="X47" i="27"/>
  <c r="L47" i="27"/>
  <c r="N47" i="27" s="1"/>
  <c r="B47" i="27"/>
  <c r="Z46" i="27"/>
  <c r="X46" i="27"/>
  <c r="L46" i="27"/>
  <c r="N46" i="27" s="1"/>
  <c r="B46" i="27"/>
  <c r="X45" i="27"/>
  <c r="Z45" i="27" s="1"/>
  <c r="N45" i="27"/>
  <c r="L45" i="27"/>
  <c r="B45" i="27"/>
  <c r="X44" i="27"/>
  <c r="Z44" i="27" s="1"/>
  <c r="N44" i="27"/>
  <c r="L44" i="27"/>
  <c r="B44" i="27"/>
  <c r="Z43" i="27"/>
  <c r="X43" i="27"/>
  <c r="L43" i="27"/>
  <c r="N43" i="27" s="1"/>
  <c r="B43" i="27"/>
  <c r="T42" i="27"/>
  <c r="Z42" i="27" s="1"/>
  <c r="P42" i="27"/>
  <c r="X42" i="27" s="1"/>
  <c r="H42" i="27"/>
  <c r="D42" i="27"/>
  <c r="L42" i="27" s="1"/>
  <c r="T40" i="27"/>
  <c r="Z40" i="27" s="1"/>
  <c r="P40" i="27"/>
  <c r="X40" i="27" s="1"/>
  <c r="L40" i="27"/>
  <c r="H40" i="27"/>
  <c r="N40" i="27" s="1"/>
  <c r="D40" i="27"/>
  <c r="B40" i="27"/>
  <c r="X39" i="27"/>
  <c r="T39" i="27"/>
  <c r="Z39" i="27" s="1"/>
  <c r="P39" i="27"/>
  <c r="L39" i="27"/>
  <c r="H39" i="27"/>
  <c r="N39" i="27" s="1"/>
  <c r="D39" i="27"/>
  <c r="B39" i="27"/>
  <c r="T38" i="27"/>
  <c r="P38" i="27"/>
  <c r="X38" i="27" s="1"/>
  <c r="N38" i="27"/>
  <c r="L38" i="27"/>
  <c r="H38" i="27"/>
  <c r="D38" i="27"/>
  <c r="B38" i="27"/>
  <c r="T37" i="27"/>
  <c r="P37" i="27"/>
  <c r="L37" i="27"/>
  <c r="H37" i="27"/>
  <c r="N37" i="27" s="1"/>
  <c r="D37" i="27"/>
  <c r="B37" i="27"/>
  <c r="T36" i="27"/>
  <c r="P36" i="27"/>
  <c r="X36" i="27" s="1"/>
  <c r="L36" i="27"/>
  <c r="N36" i="27" s="1"/>
  <c r="H36" i="27"/>
  <c r="D36" i="27"/>
  <c r="B36" i="27"/>
  <c r="X35" i="27"/>
  <c r="T35" i="27"/>
  <c r="Z35" i="27" s="1"/>
  <c r="P35" i="27"/>
  <c r="L35" i="27"/>
  <c r="H35" i="27"/>
  <c r="N35" i="27" s="1"/>
  <c r="D35" i="27"/>
  <c r="B35" i="27"/>
  <c r="T34" i="27"/>
  <c r="Z34" i="27" s="1"/>
  <c r="P34" i="27"/>
  <c r="X34" i="27" s="1"/>
  <c r="N34" i="27"/>
  <c r="L34" i="27"/>
  <c r="H34" i="27"/>
  <c r="D34" i="27"/>
  <c r="B34" i="27"/>
  <c r="T33" i="27"/>
  <c r="P33" i="27"/>
  <c r="L33" i="27"/>
  <c r="H33" i="27"/>
  <c r="N33" i="27" s="1"/>
  <c r="D33" i="27"/>
  <c r="B33" i="27"/>
  <c r="T32" i="27"/>
  <c r="P32" i="27"/>
  <c r="X32" i="27" s="1"/>
  <c r="N32" i="27"/>
  <c r="L32" i="27"/>
  <c r="H32" i="27"/>
  <c r="D32" i="27"/>
  <c r="B32" i="27"/>
  <c r="X31" i="27"/>
  <c r="T31" i="27"/>
  <c r="Z31" i="27" s="1"/>
  <c r="P31" i="27"/>
  <c r="L31" i="27"/>
  <c r="H31" i="27"/>
  <c r="N31" i="27" s="1"/>
  <c r="D31" i="27"/>
  <c r="B31" i="27"/>
  <c r="T30" i="27"/>
  <c r="P30" i="27"/>
  <c r="X30" i="27" s="1"/>
  <c r="N30" i="27"/>
  <c r="L30" i="27"/>
  <c r="H30" i="27"/>
  <c r="D30" i="27"/>
  <c r="B30" i="27"/>
  <c r="T29" i="27"/>
  <c r="P29" i="27"/>
  <c r="L29" i="27"/>
  <c r="H29" i="27"/>
  <c r="N29" i="27" s="1"/>
  <c r="D29" i="27"/>
  <c r="B29" i="27"/>
  <c r="T28" i="27"/>
  <c r="P28" i="27"/>
  <c r="X28" i="27" s="1"/>
  <c r="N28" i="27"/>
  <c r="L28" i="27"/>
  <c r="H28" i="27"/>
  <c r="D28" i="27"/>
  <c r="B28" i="27"/>
  <c r="T27" i="27"/>
  <c r="P27" i="27"/>
  <c r="L27" i="27"/>
  <c r="H27" i="27"/>
  <c r="N27" i="27" s="1"/>
  <c r="D27" i="27"/>
  <c r="B27" i="27"/>
  <c r="T26" i="27"/>
  <c r="Z26" i="27" s="1"/>
  <c r="P26" i="27"/>
  <c r="X26" i="27" s="1"/>
  <c r="L26" i="27"/>
  <c r="N26" i="27" s="1"/>
  <c r="H26" i="27"/>
  <c r="D26" i="27"/>
  <c r="B26" i="27"/>
  <c r="T25" i="27"/>
  <c r="P25" i="27"/>
  <c r="L25" i="27"/>
  <c r="H25" i="27"/>
  <c r="N25" i="27" s="1"/>
  <c r="D25" i="27"/>
  <c r="B25" i="27"/>
  <c r="T24" i="27"/>
  <c r="Z24" i="27" s="1"/>
  <c r="P24" i="27"/>
  <c r="X24" i="27" s="1"/>
  <c r="L24" i="27"/>
  <c r="N24" i="27" s="1"/>
  <c r="H24" i="27"/>
  <c r="D24" i="27"/>
  <c r="B24" i="27"/>
  <c r="T23" i="27"/>
  <c r="P23" i="27"/>
  <c r="L23" i="27"/>
  <c r="H23" i="27"/>
  <c r="N23" i="27" s="1"/>
  <c r="D23" i="27"/>
  <c r="B23" i="27"/>
  <c r="T22" i="27"/>
  <c r="Z22" i="27" s="1"/>
  <c r="P22" i="27"/>
  <c r="X22" i="27" s="1"/>
  <c r="L22" i="27"/>
  <c r="N22" i="27" s="1"/>
  <c r="H22" i="27"/>
  <c r="D22" i="27"/>
  <c r="B22" i="27"/>
  <c r="T21" i="27"/>
  <c r="P21" i="27"/>
  <c r="L21" i="27"/>
  <c r="H21" i="27"/>
  <c r="N21" i="27" s="1"/>
  <c r="D21" i="27"/>
  <c r="B21" i="27"/>
  <c r="T20" i="27"/>
  <c r="Z20" i="27" s="1"/>
  <c r="P20" i="27"/>
  <c r="X20" i="27" s="1"/>
  <c r="L20" i="27"/>
  <c r="N20" i="27" s="1"/>
  <c r="H20" i="27"/>
  <c r="D20" i="27"/>
  <c r="B20" i="27"/>
  <c r="T19" i="27"/>
  <c r="P19" i="27"/>
  <c r="L19" i="27"/>
  <c r="H19" i="27"/>
  <c r="N19" i="27" s="1"/>
  <c r="D19" i="27"/>
  <c r="B19" i="27"/>
  <c r="T18" i="27"/>
  <c r="Z18" i="27" s="1"/>
  <c r="P18" i="27"/>
  <c r="X18" i="27" s="1"/>
  <c r="N18" i="27"/>
  <c r="L18" i="27"/>
  <c r="H18" i="27"/>
  <c r="D18" i="27"/>
  <c r="B18" i="27"/>
  <c r="T17" i="27"/>
  <c r="P17" i="27"/>
  <c r="L17" i="27"/>
  <c r="H17" i="27"/>
  <c r="N17" i="27" s="1"/>
  <c r="D17" i="27"/>
  <c r="B17" i="27"/>
  <c r="T16" i="27"/>
  <c r="Z16" i="27" s="1"/>
  <c r="P16" i="27"/>
  <c r="X16" i="27" s="1"/>
  <c r="L16" i="27"/>
  <c r="N16" i="27" s="1"/>
  <c r="H16" i="27"/>
  <c r="D16" i="27"/>
  <c r="B16" i="27"/>
  <c r="T15" i="27"/>
  <c r="P15" i="27"/>
  <c r="L15" i="27"/>
  <c r="H15" i="27"/>
  <c r="N15" i="27" s="1"/>
  <c r="D15" i="27"/>
  <c r="B15" i="27"/>
  <c r="T14" i="27"/>
  <c r="P14" i="27"/>
  <c r="P12" i="27" s="1"/>
  <c r="L14" i="27"/>
  <c r="N14" i="27" s="1"/>
  <c r="H14" i="27"/>
  <c r="D14" i="27"/>
  <c r="B14" i="27"/>
  <c r="T13" i="27"/>
  <c r="T12" i="27" s="1"/>
  <c r="P13" i="27"/>
  <c r="L13" i="27"/>
  <c r="H13" i="27"/>
  <c r="H12" i="27" s="1"/>
  <c r="D13" i="27"/>
  <c r="D12" i="27" s="1"/>
  <c r="B13" i="27"/>
  <c r="D4" i="27"/>
  <c r="Z122" i="24"/>
  <c r="X122" i="24"/>
  <c r="N122" i="24"/>
  <c r="L122" i="24"/>
  <c r="X118" i="24"/>
  <c r="T118" i="24"/>
  <c r="Z118" i="24" s="1"/>
  <c r="P118" i="24"/>
  <c r="L118" i="24"/>
  <c r="H118" i="24"/>
  <c r="N118" i="24" s="1"/>
  <c r="D118" i="24"/>
  <c r="X116" i="24"/>
  <c r="Z116" i="24" s="1"/>
  <c r="N116" i="24"/>
  <c r="L116" i="24"/>
  <c r="B116" i="24"/>
  <c r="X115" i="24"/>
  <c r="T115" i="24"/>
  <c r="Z115" i="24" s="1"/>
  <c r="P115" i="24"/>
  <c r="L115" i="24"/>
  <c r="N115" i="24" s="1"/>
  <c r="H115" i="24"/>
  <c r="D115" i="24"/>
  <c r="B115" i="24"/>
  <c r="Z114" i="24"/>
  <c r="X114" i="24"/>
  <c r="L114" i="24"/>
  <c r="N114" i="24" s="1"/>
  <c r="B114" i="24"/>
  <c r="T113" i="24"/>
  <c r="P113" i="24"/>
  <c r="X113" i="24" s="1"/>
  <c r="H113" i="24"/>
  <c r="D113" i="24"/>
  <c r="B113" i="24"/>
  <c r="Z112" i="24"/>
  <c r="X112" i="24"/>
  <c r="L112" i="24"/>
  <c r="N112" i="24" s="1"/>
  <c r="B112" i="24"/>
  <c r="X111" i="24"/>
  <c r="Z111" i="24" s="1"/>
  <c r="L111" i="24"/>
  <c r="N111" i="24" s="1"/>
  <c r="B111" i="24"/>
  <c r="Z110" i="24"/>
  <c r="X110" i="24"/>
  <c r="N110" i="24"/>
  <c r="L110" i="24"/>
  <c r="B110" i="24"/>
  <c r="T109" i="24"/>
  <c r="P109" i="24"/>
  <c r="X109" i="24" s="1"/>
  <c r="H109" i="24"/>
  <c r="D109" i="24"/>
  <c r="L109" i="24" s="1"/>
  <c r="B109" i="24"/>
  <c r="X108" i="24"/>
  <c r="Z108" i="24" s="1"/>
  <c r="N108" i="24"/>
  <c r="L108" i="24"/>
  <c r="B108" i="24"/>
  <c r="X107" i="24"/>
  <c r="T107" i="24"/>
  <c r="Z107" i="24" s="1"/>
  <c r="P107" i="24"/>
  <c r="N107" i="24"/>
  <c r="L107" i="24"/>
  <c r="H107" i="24"/>
  <c r="D107" i="24"/>
  <c r="B107" i="24"/>
  <c r="Z106" i="24"/>
  <c r="X106" i="24"/>
  <c r="L106" i="24"/>
  <c r="N106" i="24" s="1"/>
  <c r="B106" i="24"/>
  <c r="Z105" i="24"/>
  <c r="X105" i="24"/>
  <c r="L105" i="24"/>
  <c r="N105" i="24" s="1"/>
  <c r="B105" i="24"/>
  <c r="T104" i="24"/>
  <c r="P104" i="24"/>
  <c r="X104" i="24" s="1"/>
  <c r="Z104" i="24" s="1"/>
  <c r="H104" i="24"/>
  <c r="D104" i="24"/>
  <c r="L104" i="24" s="1"/>
  <c r="N104" i="24" s="1"/>
  <c r="B104" i="24"/>
  <c r="X103" i="24"/>
  <c r="Z103" i="24" s="1"/>
  <c r="N103" i="24"/>
  <c r="L103" i="24"/>
  <c r="B103" i="24"/>
  <c r="X102" i="24"/>
  <c r="Z102" i="24" s="1"/>
  <c r="L102" i="24"/>
  <c r="N102" i="24" s="1"/>
  <c r="B102" i="24"/>
  <c r="T101" i="24"/>
  <c r="P101" i="24"/>
  <c r="X101" i="24" s="1"/>
  <c r="H101" i="24"/>
  <c r="D101" i="24"/>
  <c r="L101" i="24" s="1"/>
  <c r="B101" i="24"/>
  <c r="X100" i="24"/>
  <c r="Z100" i="24" s="1"/>
  <c r="N100" i="24"/>
  <c r="L100" i="24"/>
  <c r="B100" i="24"/>
  <c r="X99" i="24"/>
  <c r="T99" i="24"/>
  <c r="Z99" i="24" s="1"/>
  <c r="P99" i="24"/>
  <c r="N99" i="24"/>
  <c r="L99" i="24"/>
  <c r="H99" i="24"/>
  <c r="D99" i="24"/>
  <c r="B99" i="24"/>
  <c r="Z98" i="24"/>
  <c r="X98" i="24"/>
  <c r="L98" i="24"/>
  <c r="N98" i="24" s="1"/>
  <c r="B98" i="24"/>
  <c r="T97" i="24"/>
  <c r="P97" i="24"/>
  <c r="H97" i="24"/>
  <c r="L97" i="24" s="1"/>
  <c r="N97" i="24" s="1"/>
  <c r="D97" i="24"/>
  <c r="B97" i="24"/>
  <c r="Z96" i="24"/>
  <c r="X96" i="24"/>
  <c r="L96" i="24"/>
  <c r="N96" i="24" s="1"/>
  <c r="B96" i="24"/>
  <c r="X95" i="24"/>
  <c r="Z95" i="24" s="1"/>
  <c r="L95" i="24"/>
  <c r="N95" i="24" s="1"/>
  <c r="B95" i="24"/>
  <c r="X94" i="24"/>
  <c r="Z94" i="24" s="1"/>
  <c r="T94" i="24"/>
  <c r="P94" i="24"/>
  <c r="H94" i="24"/>
  <c r="D94" i="24"/>
  <c r="L94" i="24" s="1"/>
  <c r="N94" i="24" s="1"/>
  <c r="B94" i="24"/>
  <c r="X93" i="24"/>
  <c r="Z93" i="24" s="1"/>
  <c r="N93" i="24"/>
  <c r="L93" i="24"/>
  <c r="B93" i="24"/>
  <c r="X92" i="24"/>
  <c r="T92" i="24"/>
  <c r="Z92" i="24" s="1"/>
  <c r="P92" i="24"/>
  <c r="L92" i="24"/>
  <c r="H92" i="24"/>
  <c r="N92" i="24" s="1"/>
  <c r="D92" i="24"/>
  <c r="B92" i="24"/>
  <c r="Z91" i="24"/>
  <c r="X91" i="24"/>
  <c r="L91" i="24"/>
  <c r="N91" i="24" s="1"/>
  <c r="B91" i="24"/>
  <c r="T90" i="24"/>
  <c r="P90" i="24"/>
  <c r="X90" i="24" s="1"/>
  <c r="Z90" i="24" s="1"/>
  <c r="H90" i="24"/>
  <c r="D90" i="24"/>
  <c r="L90" i="24" s="1"/>
  <c r="N90" i="24" s="1"/>
  <c r="B90" i="24"/>
  <c r="X89" i="24"/>
  <c r="Z89" i="24" s="1"/>
  <c r="L89" i="24"/>
  <c r="N89" i="24" s="1"/>
  <c r="B89" i="24"/>
  <c r="Z88" i="24"/>
  <c r="X88" i="24"/>
  <c r="N88" i="24"/>
  <c r="L88" i="24"/>
  <c r="B88" i="24"/>
  <c r="X87" i="24"/>
  <c r="Z87" i="24" s="1"/>
  <c r="L87" i="24"/>
  <c r="N87" i="24" s="1"/>
  <c r="B87" i="24"/>
  <c r="X86" i="24"/>
  <c r="Z86" i="24" s="1"/>
  <c r="L86" i="24"/>
  <c r="N86" i="24" s="1"/>
  <c r="B86" i="24"/>
  <c r="T85" i="24"/>
  <c r="P85" i="24"/>
  <c r="X85" i="24" s="1"/>
  <c r="H85" i="24"/>
  <c r="N85" i="24" s="1"/>
  <c r="D85" i="24"/>
  <c r="L85" i="24" s="1"/>
  <c r="B85" i="24"/>
  <c r="X84" i="24"/>
  <c r="Z84" i="24" s="1"/>
  <c r="N84" i="24"/>
  <c r="L84" i="24"/>
  <c r="B84" i="24"/>
  <c r="X83" i="24"/>
  <c r="Z83" i="24" s="1"/>
  <c r="N83" i="24"/>
  <c r="L83" i="24"/>
  <c r="B83" i="24"/>
  <c r="X82" i="24"/>
  <c r="Z82" i="24" s="1"/>
  <c r="N82" i="24"/>
  <c r="L82" i="24"/>
  <c r="B82" i="24"/>
  <c r="X81" i="24"/>
  <c r="Z81" i="24" s="1"/>
  <c r="N81" i="24"/>
  <c r="L81" i="24"/>
  <c r="B81" i="24"/>
  <c r="X80" i="24"/>
  <c r="Z80" i="24" s="1"/>
  <c r="N80" i="24"/>
  <c r="L80" i="24"/>
  <c r="B80" i="24"/>
  <c r="X79" i="24"/>
  <c r="Z79" i="24" s="1"/>
  <c r="N79" i="24"/>
  <c r="L79" i="24"/>
  <c r="B79" i="24"/>
  <c r="X78" i="24"/>
  <c r="Z78" i="24" s="1"/>
  <c r="N78" i="24"/>
  <c r="L78" i="24"/>
  <c r="B78" i="24"/>
  <c r="X77" i="24"/>
  <c r="Z77" i="24" s="1"/>
  <c r="N77" i="24"/>
  <c r="L77" i="24"/>
  <c r="B77" i="24"/>
  <c r="X76" i="24"/>
  <c r="T76" i="24"/>
  <c r="Z76" i="24" s="1"/>
  <c r="P76" i="24"/>
  <c r="L76" i="24"/>
  <c r="H76" i="24"/>
  <c r="N76" i="24" s="1"/>
  <c r="D76" i="24"/>
  <c r="B76" i="24"/>
  <c r="T75" i="24"/>
  <c r="P75" i="24"/>
  <c r="H75" i="24"/>
  <c r="D75" i="24"/>
  <c r="Z71" i="24"/>
  <c r="X71" i="24"/>
  <c r="L71" i="24"/>
  <c r="N71" i="24" s="1"/>
  <c r="B71" i="24"/>
  <c r="Z70" i="24"/>
  <c r="X70" i="24"/>
  <c r="L70" i="24"/>
  <c r="N70" i="24" s="1"/>
  <c r="B70" i="24"/>
  <c r="Z69" i="24"/>
  <c r="X69" i="24"/>
  <c r="N69" i="24"/>
  <c r="L69" i="24"/>
  <c r="B69" i="24"/>
  <c r="Z68" i="24"/>
  <c r="X68" i="24"/>
  <c r="N68" i="24"/>
  <c r="L68" i="24"/>
  <c r="B68" i="24"/>
  <c r="Z67" i="24"/>
  <c r="X67" i="24"/>
  <c r="L67" i="24"/>
  <c r="N67" i="24" s="1"/>
  <c r="B67" i="24"/>
  <c r="Z66" i="24"/>
  <c r="X66" i="24"/>
  <c r="L66" i="24"/>
  <c r="N66" i="24" s="1"/>
  <c r="B66" i="24"/>
  <c r="Z65" i="24"/>
  <c r="X65" i="24"/>
  <c r="L65" i="24"/>
  <c r="N65" i="24" s="1"/>
  <c r="B65" i="24"/>
  <c r="Z64" i="24"/>
  <c r="X64" i="24"/>
  <c r="N64" i="24"/>
  <c r="L64" i="24"/>
  <c r="B64" i="24"/>
  <c r="Z63" i="24"/>
  <c r="X63" i="24"/>
  <c r="L63" i="24"/>
  <c r="N63" i="24" s="1"/>
  <c r="B63" i="24"/>
  <c r="Z62" i="24"/>
  <c r="X62" i="24"/>
  <c r="N62" i="24"/>
  <c r="L62" i="24"/>
  <c r="B62" i="24"/>
  <c r="Z61" i="24"/>
  <c r="X61" i="24"/>
  <c r="L61" i="24"/>
  <c r="N61" i="24" s="1"/>
  <c r="B61" i="24"/>
  <c r="Z60" i="24"/>
  <c r="X60" i="24"/>
  <c r="N60" i="24"/>
  <c r="L60" i="24"/>
  <c r="B60" i="24"/>
  <c r="Z59" i="24"/>
  <c r="X59" i="24"/>
  <c r="L59" i="24"/>
  <c r="N59" i="24" s="1"/>
  <c r="B59" i="24"/>
  <c r="Z58" i="24"/>
  <c r="X58" i="24"/>
  <c r="L58" i="24"/>
  <c r="N58" i="24" s="1"/>
  <c r="B58" i="24"/>
  <c r="Z57" i="24"/>
  <c r="X57" i="24"/>
  <c r="L57" i="24"/>
  <c r="N57" i="24" s="1"/>
  <c r="B57" i="24"/>
  <c r="Z56" i="24"/>
  <c r="X56" i="24"/>
  <c r="N56" i="24"/>
  <c r="L56" i="24"/>
  <c r="B56" i="24"/>
  <c r="Z55" i="24"/>
  <c r="X55" i="24"/>
  <c r="L55" i="24"/>
  <c r="N55" i="24" s="1"/>
  <c r="B55" i="24"/>
  <c r="Z54" i="24"/>
  <c r="X54" i="24"/>
  <c r="L54" i="24"/>
  <c r="N54" i="24" s="1"/>
  <c r="B54" i="24"/>
  <c r="Z53" i="24"/>
  <c r="X53" i="24"/>
  <c r="L53" i="24"/>
  <c r="N53" i="24" s="1"/>
  <c r="B53" i="24"/>
  <c r="Z52" i="24"/>
  <c r="X52" i="24"/>
  <c r="N52" i="24"/>
  <c r="L52" i="24"/>
  <c r="B52" i="24"/>
  <c r="Z51" i="24"/>
  <c r="X51" i="24"/>
  <c r="N51" i="24"/>
  <c r="L51" i="24"/>
  <c r="B51" i="24"/>
  <c r="Z50" i="24"/>
  <c r="X50" i="24"/>
  <c r="N50" i="24"/>
  <c r="L50" i="24"/>
  <c r="B50" i="24"/>
  <c r="Z49" i="24"/>
  <c r="X49" i="24"/>
  <c r="L49" i="24"/>
  <c r="N49" i="24" s="1"/>
  <c r="B49" i="24"/>
  <c r="T48" i="24"/>
  <c r="P48" i="24"/>
  <c r="X48" i="24" s="1"/>
  <c r="Z48" i="24" s="1"/>
  <c r="H48" i="24"/>
  <c r="D48" i="24"/>
  <c r="L48" i="24" s="1"/>
  <c r="N48" i="24" s="1"/>
  <c r="T46" i="24"/>
  <c r="P46" i="24"/>
  <c r="X46" i="24" s="1"/>
  <c r="Z46" i="24" s="1"/>
  <c r="H46" i="24"/>
  <c r="N46" i="24" s="1"/>
  <c r="D46" i="24"/>
  <c r="B46" i="24"/>
  <c r="T45" i="24"/>
  <c r="P45" i="24"/>
  <c r="X45" i="24" s="1"/>
  <c r="Z45" i="24" s="1"/>
  <c r="L45" i="24"/>
  <c r="H45" i="24"/>
  <c r="N45" i="24" s="1"/>
  <c r="D45" i="24"/>
  <c r="B45" i="24"/>
  <c r="T44" i="24"/>
  <c r="P44" i="24"/>
  <c r="X44" i="24" s="1"/>
  <c r="Z44" i="24" s="1"/>
  <c r="H44" i="24"/>
  <c r="D44" i="24"/>
  <c r="B44" i="24"/>
  <c r="T43" i="24"/>
  <c r="P43" i="24"/>
  <c r="X43" i="24" s="1"/>
  <c r="Z43" i="24" s="1"/>
  <c r="H43" i="24"/>
  <c r="D43" i="24"/>
  <c r="B43" i="24"/>
  <c r="T42" i="24"/>
  <c r="P42" i="24"/>
  <c r="X42" i="24" s="1"/>
  <c r="Z42" i="24" s="1"/>
  <c r="H42" i="24"/>
  <c r="D42" i="24"/>
  <c r="B42" i="24"/>
  <c r="T41" i="24"/>
  <c r="P41" i="24"/>
  <c r="X41" i="24" s="1"/>
  <c r="Z41" i="24" s="1"/>
  <c r="L41" i="24"/>
  <c r="H41" i="24"/>
  <c r="N41" i="24" s="1"/>
  <c r="D41" i="24"/>
  <c r="B41" i="24"/>
  <c r="T40" i="24"/>
  <c r="P40" i="24"/>
  <c r="X40" i="24" s="1"/>
  <c r="Z40" i="24" s="1"/>
  <c r="H40" i="24"/>
  <c r="D40" i="24"/>
  <c r="B40" i="24"/>
  <c r="T39" i="24"/>
  <c r="P39" i="24"/>
  <c r="X39" i="24" s="1"/>
  <c r="Z39" i="24" s="1"/>
  <c r="H39" i="24"/>
  <c r="D39" i="24"/>
  <c r="B39" i="24"/>
  <c r="T38" i="24"/>
  <c r="P38" i="24"/>
  <c r="X38" i="24" s="1"/>
  <c r="Z38" i="24" s="1"/>
  <c r="H38" i="24"/>
  <c r="D38" i="24"/>
  <c r="B38" i="24"/>
  <c r="T37" i="24"/>
  <c r="P37" i="24"/>
  <c r="X37" i="24" s="1"/>
  <c r="L37" i="24"/>
  <c r="H37" i="24"/>
  <c r="N37" i="24" s="1"/>
  <c r="D37" i="24"/>
  <c r="B37" i="24"/>
  <c r="T36" i="24"/>
  <c r="P36" i="24"/>
  <c r="X36" i="24" s="1"/>
  <c r="Z36" i="24" s="1"/>
  <c r="L36" i="24"/>
  <c r="H36" i="24"/>
  <c r="N36" i="24" s="1"/>
  <c r="D36" i="24"/>
  <c r="B36" i="24"/>
  <c r="T35" i="24"/>
  <c r="P35" i="24"/>
  <c r="X35" i="24" s="1"/>
  <c r="Z35" i="24" s="1"/>
  <c r="H35" i="24"/>
  <c r="D35" i="24"/>
  <c r="B35" i="24"/>
  <c r="T34" i="24"/>
  <c r="P34" i="24"/>
  <c r="X34" i="24" s="1"/>
  <c r="Z34" i="24" s="1"/>
  <c r="H34" i="24"/>
  <c r="D34" i="24"/>
  <c r="B34" i="24"/>
  <c r="T33" i="24"/>
  <c r="Z33" i="24" s="1"/>
  <c r="P33" i="24"/>
  <c r="X33" i="24" s="1"/>
  <c r="L33" i="24"/>
  <c r="H33" i="24"/>
  <c r="N33" i="24" s="1"/>
  <c r="D33" i="24"/>
  <c r="B33" i="24"/>
  <c r="T32" i="24"/>
  <c r="P32" i="24"/>
  <c r="X32" i="24" s="1"/>
  <c r="Z32" i="24" s="1"/>
  <c r="L32" i="24"/>
  <c r="H32" i="24"/>
  <c r="N32" i="24" s="1"/>
  <c r="D32" i="24"/>
  <c r="B32" i="24"/>
  <c r="T31" i="24"/>
  <c r="P31" i="24"/>
  <c r="X31" i="24" s="1"/>
  <c r="Z31" i="24" s="1"/>
  <c r="H31" i="24"/>
  <c r="D31" i="24"/>
  <c r="B31" i="24"/>
  <c r="T30" i="24"/>
  <c r="P30" i="24"/>
  <c r="X30" i="24" s="1"/>
  <c r="Z30" i="24" s="1"/>
  <c r="H30" i="24"/>
  <c r="N30" i="24" s="1"/>
  <c r="D30" i="24"/>
  <c r="B30" i="24"/>
  <c r="T29" i="24"/>
  <c r="P29" i="24"/>
  <c r="X29" i="24" s="1"/>
  <c r="L29" i="24"/>
  <c r="H29" i="24"/>
  <c r="N29" i="24" s="1"/>
  <c r="D29" i="24"/>
  <c r="B29" i="24"/>
  <c r="T28" i="24"/>
  <c r="P28" i="24"/>
  <c r="X28" i="24" s="1"/>
  <c r="Z28" i="24" s="1"/>
  <c r="L28" i="24"/>
  <c r="H28" i="24"/>
  <c r="N28" i="24" s="1"/>
  <c r="D28" i="24"/>
  <c r="B28" i="24"/>
  <c r="T27" i="24"/>
  <c r="P27" i="24"/>
  <c r="X27" i="24" s="1"/>
  <c r="H27" i="24"/>
  <c r="N27" i="24" s="1"/>
  <c r="D27" i="24"/>
  <c r="B27" i="24"/>
  <c r="T26" i="24"/>
  <c r="P26" i="24"/>
  <c r="X26" i="24" s="1"/>
  <c r="Z26" i="24" s="1"/>
  <c r="H26" i="24"/>
  <c r="D26" i="24"/>
  <c r="B26" i="24"/>
  <c r="T25" i="24"/>
  <c r="Z25" i="24" s="1"/>
  <c r="P25" i="24"/>
  <c r="X25" i="24" s="1"/>
  <c r="L25" i="24"/>
  <c r="H25" i="24"/>
  <c r="N25" i="24" s="1"/>
  <c r="D25" i="24"/>
  <c r="B25" i="24"/>
  <c r="T24" i="24"/>
  <c r="P24" i="24"/>
  <c r="X24" i="24" s="1"/>
  <c r="Z24" i="24" s="1"/>
  <c r="L24" i="24"/>
  <c r="H24" i="24"/>
  <c r="N24" i="24" s="1"/>
  <c r="D24" i="24"/>
  <c r="B24" i="24"/>
  <c r="T23" i="24"/>
  <c r="Z23" i="24" s="1"/>
  <c r="P23" i="24"/>
  <c r="X23" i="24" s="1"/>
  <c r="H23" i="24"/>
  <c r="D23" i="24"/>
  <c r="B23" i="24"/>
  <c r="T22" i="24"/>
  <c r="P22" i="24"/>
  <c r="X22" i="24" s="1"/>
  <c r="Z22" i="24" s="1"/>
  <c r="H22" i="24"/>
  <c r="D22" i="24"/>
  <c r="B22" i="24"/>
  <c r="T21" i="24"/>
  <c r="P21" i="24"/>
  <c r="X21" i="24" s="1"/>
  <c r="L21" i="24"/>
  <c r="H21" i="24"/>
  <c r="N21" i="24" s="1"/>
  <c r="D21" i="24"/>
  <c r="B21" i="24"/>
  <c r="T20" i="24"/>
  <c r="P20" i="24"/>
  <c r="X20" i="24" s="1"/>
  <c r="Z20" i="24" s="1"/>
  <c r="L20" i="24"/>
  <c r="H20" i="24"/>
  <c r="N20" i="24" s="1"/>
  <c r="D20" i="24"/>
  <c r="B20" i="24"/>
  <c r="T19" i="24"/>
  <c r="P19" i="24"/>
  <c r="X19" i="24" s="1"/>
  <c r="H19" i="24"/>
  <c r="D19" i="24"/>
  <c r="B19" i="24"/>
  <c r="T18" i="24"/>
  <c r="P18" i="24"/>
  <c r="X18" i="24" s="1"/>
  <c r="Z18" i="24" s="1"/>
  <c r="H18" i="24"/>
  <c r="D18" i="24"/>
  <c r="B18" i="24"/>
  <c r="T17" i="24"/>
  <c r="P17" i="24"/>
  <c r="X17" i="24" s="1"/>
  <c r="L17" i="24"/>
  <c r="H17" i="24"/>
  <c r="N17" i="24" s="1"/>
  <c r="D17" i="24"/>
  <c r="B17" i="24"/>
  <c r="T16" i="24"/>
  <c r="P16" i="24"/>
  <c r="X16" i="24" s="1"/>
  <c r="Z16" i="24" s="1"/>
  <c r="L16" i="24"/>
  <c r="H16" i="24"/>
  <c r="N16" i="24" s="1"/>
  <c r="D16" i="24"/>
  <c r="B16" i="24"/>
  <c r="T15" i="24"/>
  <c r="P15" i="24"/>
  <c r="X15" i="24" s="1"/>
  <c r="H15" i="24"/>
  <c r="D15" i="24"/>
  <c r="B15" i="24"/>
  <c r="T14" i="24"/>
  <c r="P14" i="24"/>
  <c r="X14" i="24" s="1"/>
  <c r="Z14" i="24" s="1"/>
  <c r="H14" i="24"/>
  <c r="H12" i="24" s="1"/>
  <c r="D14" i="24"/>
  <c r="B14" i="24"/>
  <c r="T13" i="24"/>
  <c r="T12" i="24" s="1"/>
  <c r="P13" i="24"/>
  <c r="X13" i="24" s="1"/>
  <c r="L13" i="24"/>
  <c r="H13" i="24"/>
  <c r="N13" i="24" s="1"/>
  <c r="D13" i="24"/>
  <c r="D12" i="24" s="1"/>
  <c r="B13" i="24"/>
  <c r="D4" i="24"/>
  <c r="X102" i="21"/>
  <c r="Z102" i="21" s="1"/>
  <c r="N102" i="21"/>
  <c r="L102" i="21"/>
  <c r="T98" i="21"/>
  <c r="Z98" i="21" s="1"/>
  <c r="P98" i="21"/>
  <c r="X98" i="21" s="1"/>
  <c r="H98" i="21"/>
  <c r="N98" i="21" s="1"/>
  <c r="D98" i="21"/>
  <c r="L98" i="21" s="1"/>
  <c r="X96" i="21"/>
  <c r="Z96" i="21" s="1"/>
  <c r="L96" i="21"/>
  <c r="N96" i="21" s="1"/>
  <c r="B96" i="21"/>
  <c r="X95" i="21"/>
  <c r="Z95" i="21" s="1"/>
  <c r="T95" i="21"/>
  <c r="P95" i="21"/>
  <c r="H95" i="21"/>
  <c r="D95" i="21"/>
  <c r="L95" i="21" s="1"/>
  <c r="N95" i="21" s="1"/>
  <c r="B95" i="21"/>
  <c r="Z94" i="21"/>
  <c r="X94" i="21"/>
  <c r="N94" i="21"/>
  <c r="L94" i="21"/>
  <c r="B94" i="21"/>
  <c r="T93" i="21"/>
  <c r="P93" i="21"/>
  <c r="N93" i="21"/>
  <c r="H93" i="21"/>
  <c r="L93" i="21" s="1"/>
  <c r="D93" i="21"/>
  <c r="B93" i="21"/>
  <c r="Z92" i="21"/>
  <c r="X92" i="21"/>
  <c r="L92" i="21"/>
  <c r="N92" i="21" s="1"/>
  <c r="B92" i="21"/>
  <c r="T91" i="21"/>
  <c r="P91" i="21"/>
  <c r="X91" i="21" s="1"/>
  <c r="Z91" i="21" s="1"/>
  <c r="H91" i="21"/>
  <c r="D91" i="21"/>
  <c r="L91" i="21" s="1"/>
  <c r="N91" i="21" s="1"/>
  <c r="B91" i="21"/>
  <c r="X90" i="21"/>
  <c r="Z90" i="21" s="1"/>
  <c r="N90" i="21"/>
  <c r="L90" i="21"/>
  <c r="B90" i="21"/>
  <c r="X89" i="21"/>
  <c r="Z89" i="21" s="1"/>
  <c r="L89" i="21"/>
  <c r="N89" i="21" s="1"/>
  <c r="B89" i="21"/>
  <c r="X88" i="21"/>
  <c r="Z88" i="21" s="1"/>
  <c r="L88" i="21"/>
  <c r="N88" i="21" s="1"/>
  <c r="B88" i="21"/>
  <c r="X87" i="21"/>
  <c r="Z87" i="21" s="1"/>
  <c r="N87" i="21"/>
  <c r="L87" i="21"/>
  <c r="B87" i="21"/>
  <c r="X86" i="21"/>
  <c r="Z86" i="21" s="1"/>
  <c r="N86" i="21"/>
  <c r="L86" i="21"/>
  <c r="B86" i="21"/>
  <c r="Z85" i="21"/>
  <c r="X85" i="21"/>
  <c r="N85" i="21"/>
  <c r="L85" i="21"/>
  <c r="B85" i="21"/>
  <c r="X84" i="21"/>
  <c r="Z84" i="21" s="1"/>
  <c r="N84" i="21"/>
  <c r="L84" i="21"/>
  <c r="B84" i="21"/>
  <c r="X83" i="21"/>
  <c r="Z83" i="21" s="1"/>
  <c r="T83" i="21"/>
  <c r="P83" i="21"/>
  <c r="H83" i="21"/>
  <c r="D83" i="21"/>
  <c r="L83" i="21" s="1"/>
  <c r="N83" i="21" s="1"/>
  <c r="B83" i="21"/>
  <c r="Z82" i="21"/>
  <c r="X82" i="21"/>
  <c r="N82" i="21"/>
  <c r="L82" i="21"/>
  <c r="B82" i="21"/>
  <c r="T81" i="21"/>
  <c r="P81" i="21"/>
  <c r="H81" i="21"/>
  <c r="L81" i="21" s="1"/>
  <c r="N81" i="21" s="1"/>
  <c r="D81" i="21"/>
  <c r="B81" i="21"/>
  <c r="Z80" i="21"/>
  <c r="X80" i="21"/>
  <c r="L80" i="21"/>
  <c r="N80" i="21" s="1"/>
  <c r="B80" i="21"/>
  <c r="Z79" i="21"/>
  <c r="X79" i="21"/>
  <c r="L79" i="21"/>
  <c r="N79" i="21" s="1"/>
  <c r="B79" i="21"/>
  <c r="Z78" i="21"/>
  <c r="X78" i="21"/>
  <c r="L78" i="21"/>
  <c r="N78" i="21" s="1"/>
  <c r="B78" i="21"/>
  <c r="Z77" i="21"/>
  <c r="X77" i="21"/>
  <c r="L77" i="21"/>
  <c r="N77" i="21" s="1"/>
  <c r="B77" i="21"/>
  <c r="T76" i="21"/>
  <c r="P76" i="21"/>
  <c r="X76" i="21" s="1"/>
  <c r="Z76" i="21" s="1"/>
  <c r="H76" i="21"/>
  <c r="D76" i="21"/>
  <c r="B76" i="21"/>
  <c r="X75" i="21"/>
  <c r="Z75" i="21" s="1"/>
  <c r="N75" i="21"/>
  <c r="L75" i="21"/>
  <c r="B75" i="21"/>
  <c r="T74" i="21"/>
  <c r="P74" i="21"/>
  <c r="X74" i="21" s="1"/>
  <c r="H74" i="21"/>
  <c r="N74" i="21" s="1"/>
  <c r="D74" i="21"/>
  <c r="L74" i="21" s="1"/>
  <c r="B74" i="21"/>
  <c r="X73" i="21"/>
  <c r="Z73" i="21" s="1"/>
  <c r="N73" i="21"/>
  <c r="L73" i="21"/>
  <c r="B73" i="21"/>
  <c r="X72" i="21"/>
  <c r="Z72" i="21" s="1"/>
  <c r="N72" i="21"/>
  <c r="L72" i="21"/>
  <c r="B72" i="21"/>
  <c r="Z71" i="21"/>
  <c r="X71" i="21"/>
  <c r="N71" i="21"/>
  <c r="L71" i="21"/>
  <c r="B71" i="21"/>
  <c r="Z70" i="21"/>
  <c r="X70" i="21"/>
  <c r="T70" i="21"/>
  <c r="P70" i="21"/>
  <c r="L70" i="21"/>
  <c r="H70" i="21"/>
  <c r="N70" i="21" s="1"/>
  <c r="D70" i="21"/>
  <c r="B70" i="21"/>
  <c r="Z69" i="21"/>
  <c r="X69" i="21"/>
  <c r="L69" i="21"/>
  <c r="N69" i="21" s="1"/>
  <c r="B69" i="21"/>
  <c r="T68" i="21"/>
  <c r="P68" i="21"/>
  <c r="X68" i="21" s="1"/>
  <c r="Z68" i="21" s="1"/>
  <c r="H68" i="21"/>
  <c r="D68" i="21"/>
  <c r="L68" i="21" s="1"/>
  <c r="B68" i="21"/>
  <c r="X67" i="21"/>
  <c r="Z67" i="21" s="1"/>
  <c r="N67" i="21"/>
  <c r="L67" i="21"/>
  <c r="B67" i="21"/>
  <c r="T66" i="21"/>
  <c r="Z66" i="21" s="1"/>
  <c r="P66" i="21"/>
  <c r="X66" i="21" s="1"/>
  <c r="H66" i="21"/>
  <c r="D66" i="21"/>
  <c r="L66" i="21" s="1"/>
  <c r="B66" i="21"/>
  <c r="X65" i="21"/>
  <c r="Z65" i="21" s="1"/>
  <c r="N65" i="21"/>
  <c r="L65" i="21"/>
  <c r="B65" i="21"/>
  <c r="X64" i="21"/>
  <c r="T64" i="21"/>
  <c r="P64" i="21"/>
  <c r="N64" i="21"/>
  <c r="L64" i="21"/>
  <c r="H64" i="21"/>
  <c r="D64" i="21"/>
  <c r="B64" i="21"/>
  <c r="Z63" i="21"/>
  <c r="X63" i="21"/>
  <c r="L63" i="21"/>
  <c r="N63" i="21" s="1"/>
  <c r="B63" i="21"/>
  <c r="T62" i="21"/>
  <c r="P62" i="21"/>
  <c r="H62" i="21"/>
  <c r="D62" i="21"/>
  <c r="L62" i="21" s="1"/>
  <c r="N62" i="21" s="1"/>
  <c r="B62" i="21"/>
  <c r="X61" i="21"/>
  <c r="Z61" i="21" s="1"/>
  <c r="L61" i="21"/>
  <c r="N61" i="21" s="1"/>
  <c r="B61" i="21"/>
  <c r="T60" i="21"/>
  <c r="P60" i="21"/>
  <c r="X60" i="21" s="1"/>
  <c r="H60" i="21"/>
  <c r="D60" i="21"/>
  <c r="L60" i="21" s="1"/>
  <c r="B60" i="21"/>
  <c r="Z59" i="21"/>
  <c r="X59" i="21"/>
  <c r="N59" i="21"/>
  <c r="L59" i="21"/>
  <c r="B59" i="21"/>
  <c r="Z58" i="21"/>
  <c r="X58" i="21"/>
  <c r="T58" i="21"/>
  <c r="P58" i="21"/>
  <c r="L58" i="21"/>
  <c r="H58" i="21"/>
  <c r="N58" i="21" s="1"/>
  <c r="D58" i="21"/>
  <c r="B58" i="21"/>
  <c r="Z57" i="21"/>
  <c r="X57" i="21"/>
  <c r="L57" i="21"/>
  <c r="N57" i="21" s="1"/>
  <c r="B57" i="21"/>
  <c r="T56" i="21"/>
  <c r="P56" i="21"/>
  <c r="X56" i="21" s="1"/>
  <c r="Z56" i="21" s="1"/>
  <c r="H56" i="21"/>
  <c r="D56" i="21"/>
  <c r="B56" i="21"/>
  <c r="X55" i="21"/>
  <c r="Z55" i="21" s="1"/>
  <c r="N55" i="21"/>
  <c r="L55" i="21"/>
  <c r="B55" i="21"/>
  <c r="T54" i="21"/>
  <c r="P54" i="21"/>
  <c r="X54" i="21" s="1"/>
  <c r="H54" i="21"/>
  <c r="D54" i="21"/>
  <c r="L54" i="21" s="1"/>
  <c r="N54" i="21" s="1"/>
  <c r="B54" i="21"/>
  <c r="X53" i="21"/>
  <c r="Z53" i="21" s="1"/>
  <c r="N53" i="21"/>
  <c r="L53" i="21"/>
  <c r="B53" i="21"/>
  <c r="X52" i="21"/>
  <c r="Z52" i="21" s="1"/>
  <c r="N52" i="21"/>
  <c r="L52" i="21"/>
  <c r="B52" i="21"/>
  <c r="T51" i="21"/>
  <c r="X51" i="21" s="1"/>
  <c r="Z51" i="21" s="1"/>
  <c r="P51" i="21"/>
  <c r="H51" i="21"/>
  <c r="D51" i="21"/>
  <c r="B51" i="21"/>
  <c r="X50" i="21"/>
  <c r="Z50" i="21" s="1"/>
  <c r="L50" i="21"/>
  <c r="N50" i="21" s="1"/>
  <c r="B50" i="21"/>
  <c r="Z49" i="21"/>
  <c r="X49" i="21"/>
  <c r="T49" i="21"/>
  <c r="P49" i="21"/>
  <c r="H49" i="21"/>
  <c r="D49" i="21"/>
  <c r="L49" i="21" s="1"/>
  <c r="N49" i="21" s="1"/>
  <c r="B49" i="21"/>
  <c r="X48" i="21"/>
  <c r="Z48" i="21" s="1"/>
  <c r="L48" i="21"/>
  <c r="N48" i="21" s="1"/>
  <c r="B48" i="21"/>
  <c r="X47" i="21"/>
  <c r="T47" i="21"/>
  <c r="Z47" i="21" s="1"/>
  <c r="P47" i="21"/>
  <c r="H47" i="21"/>
  <c r="D47" i="21"/>
  <c r="L47" i="21" s="1"/>
  <c r="N47" i="21" s="1"/>
  <c r="B47" i="21"/>
  <c r="Z46" i="21"/>
  <c r="X46" i="21"/>
  <c r="L46" i="21"/>
  <c r="N46" i="21" s="1"/>
  <c r="B46" i="21"/>
  <c r="X45" i="21"/>
  <c r="T45" i="21"/>
  <c r="Z45" i="21" s="1"/>
  <c r="P45" i="21"/>
  <c r="H45" i="21"/>
  <c r="L45" i="21" s="1"/>
  <c r="N45" i="21" s="1"/>
  <c r="D45" i="21"/>
  <c r="B45" i="21"/>
  <c r="Z44" i="21"/>
  <c r="X44" i="21"/>
  <c r="L44" i="21"/>
  <c r="N44" i="21" s="1"/>
  <c r="B44" i="21"/>
  <c r="Z43" i="21"/>
  <c r="X43" i="21"/>
  <c r="L43" i="21"/>
  <c r="N43" i="21" s="1"/>
  <c r="B43" i="21"/>
  <c r="X42" i="21"/>
  <c r="Z42" i="21" s="1"/>
  <c r="L42" i="21"/>
  <c r="N42" i="21" s="1"/>
  <c r="J42" i="21"/>
  <c r="B42" i="21"/>
  <c r="Z41" i="21"/>
  <c r="X41" i="21"/>
  <c r="N41" i="21"/>
  <c r="L41" i="21"/>
  <c r="B41" i="21"/>
  <c r="Z40" i="21"/>
  <c r="X40" i="21"/>
  <c r="N40" i="21"/>
  <c r="L40" i="21"/>
  <c r="B40" i="21"/>
  <c r="Z39" i="21"/>
  <c r="X39" i="21"/>
  <c r="L39" i="21"/>
  <c r="N39" i="21" s="1"/>
  <c r="B39" i="21"/>
  <c r="T38" i="21"/>
  <c r="P38" i="21"/>
  <c r="H38" i="21"/>
  <c r="D38" i="21"/>
  <c r="L38" i="21" s="1"/>
  <c r="N38" i="21" s="1"/>
  <c r="B38" i="21"/>
  <c r="X37" i="21"/>
  <c r="Z37" i="21" s="1"/>
  <c r="L37" i="21"/>
  <c r="N37" i="21" s="1"/>
  <c r="B37" i="21"/>
  <c r="X36" i="21"/>
  <c r="Z36" i="21" s="1"/>
  <c r="L36" i="21"/>
  <c r="N36" i="21" s="1"/>
  <c r="B36" i="21"/>
  <c r="X35" i="21"/>
  <c r="Z35" i="21" s="1"/>
  <c r="N35" i="21"/>
  <c r="L35" i="21"/>
  <c r="B35" i="21"/>
  <c r="X34" i="21"/>
  <c r="Z34" i="21" s="1"/>
  <c r="N34" i="21"/>
  <c r="L34" i="21"/>
  <c r="B34" i="21"/>
  <c r="X33" i="21"/>
  <c r="Z33" i="21" s="1"/>
  <c r="L33" i="21"/>
  <c r="N33" i="21" s="1"/>
  <c r="B33" i="21"/>
  <c r="X32" i="21"/>
  <c r="Z32" i="21" s="1"/>
  <c r="L32" i="21"/>
  <c r="N32" i="21" s="1"/>
  <c r="B32" i="21"/>
  <c r="X31" i="21"/>
  <c r="Z31" i="21" s="1"/>
  <c r="N31" i="21"/>
  <c r="L31" i="21"/>
  <c r="B31" i="21"/>
  <c r="X30" i="21"/>
  <c r="Z30" i="21" s="1"/>
  <c r="N30" i="21"/>
  <c r="L30" i="21"/>
  <c r="B30" i="21"/>
  <c r="T29" i="21"/>
  <c r="P29" i="21"/>
  <c r="X29" i="21" s="1"/>
  <c r="Z29" i="21" s="1"/>
  <c r="L29" i="21"/>
  <c r="N29" i="21" s="1"/>
  <c r="H29" i="21"/>
  <c r="D29" i="21"/>
  <c r="B29" i="21"/>
  <c r="T28" i="21"/>
  <c r="P28" i="21"/>
  <c r="X28" i="21" s="1"/>
  <c r="H28" i="21"/>
  <c r="D28" i="21"/>
  <c r="H26" i="21"/>
  <c r="X24" i="21"/>
  <c r="Z24" i="21" s="1"/>
  <c r="N24" i="21"/>
  <c r="L24" i="21"/>
  <c r="B24" i="21"/>
  <c r="Z23" i="21"/>
  <c r="X23" i="21"/>
  <c r="N23" i="21"/>
  <c r="L23" i="21"/>
  <c r="B23" i="21"/>
  <c r="T22" i="21"/>
  <c r="P22" i="21"/>
  <c r="L22" i="21"/>
  <c r="H22" i="21"/>
  <c r="D22" i="21"/>
  <c r="T20" i="21"/>
  <c r="P20" i="21"/>
  <c r="X20" i="21" s="1"/>
  <c r="Z20" i="21" s="1"/>
  <c r="H20" i="21"/>
  <c r="D20" i="21"/>
  <c r="L20" i="21" s="1"/>
  <c r="N20" i="21" s="1"/>
  <c r="B20" i="21"/>
  <c r="Z19" i="21"/>
  <c r="X19" i="21"/>
  <c r="T19" i="21"/>
  <c r="P19" i="21"/>
  <c r="H19" i="21"/>
  <c r="D19" i="21"/>
  <c r="B19" i="21"/>
  <c r="T18" i="21"/>
  <c r="P18" i="21"/>
  <c r="X18" i="21" s="1"/>
  <c r="Z18" i="21" s="1"/>
  <c r="N18" i="21"/>
  <c r="H18" i="21"/>
  <c r="D18" i="21"/>
  <c r="L18" i="21" s="1"/>
  <c r="B18" i="21"/>
  <c r="Z17" i="21"/>
  <c r="T17" i="21"/>
  <c r="X17" i="21" s="1"/>
  <c r="P17" i="21"/>
  <c r="H17" i="21"/>
  <c r="N17" i="21" s="1"/>
  <c r="D17" i="21"/>
  <c r="L17" i="21" s="1"/>
  <c r="B17" i="21"/>
  <c r="T16" i="21"/>
  <c r="P16" i="21"/>
  <c r="X16" i="21" s="1"/>
  <c r="Z16" i="21" s="1"/>
  <c r="L16" i="21"/>
  <c r="N16" i="21" s="1"/>
  <c r="H16" i="21"/>
  <c r="D16" i="21"/>
  <c r="B16" i="21"/>
  <c r="X15" i="21"/>
  <c r="Z15" i="21" s="1"/>
  <c r="T15" i="21"/>
  <c r="P15" i="21"/>
  <c r="H15" i="21"/>
  <c r="D15" i="21"/>
  <c r="L15" i="21" s="1"/>
  <c r="B15" i="21"/>
  <c r="X14" i="21"/>
  <c r="Z14" i="21" s="1"/>
  <c r="T14" i="21"/>
  <c r="P14" i="21"/>
  <c r="N14" i="21"/>
  <c r="H14" i="21"/>
  <c r="D14" i="21"/>
  <c r="L14" i="21" s="1"/>
  <c r="B14" i="21"/>
  <c r="T13" i="21"/>
  <c r="P13" i="21"/>
  <c r="H13" i="21"/>
  <c r="H12" i="21" s="1"/>
  <c r="J77" i="21" s="1"/>
  <c r="D13" i="21"/>
  <c r="L13" i="21" s="1"/>
  <c r="N13" i="21" s="1"/>
  <c r="B13" i="21"/>
  <c r="D4" i="21"/>
  <c r="X285" i="18"/>
  <c r="Z285" i="18" s="1"/>
  <c r="N285" i="18"/>
  <c r="L285" i="18"/>
  <c r="Z281" i="18"/>
  <c r="T281" i="18"/>
  <c r="P281" i="18"/>
  <c r="X281" i="18" s="1"/>
  <c r="H281" i="18"/>
  <c r="D281" i="18"/>
  <c r="L281" i="18" s="1"/>
  <c r="N281" i="18" s="1"/>
  <c r="B281" i="18"/>
  <c r="X280" i="18"/>
  <c r="T280" i="18"/>
  <c r="P280" i="18"/>
  <c r="H280" i="18"/>
  <c r="N280" i="18" s="1"/>
  <c r="D280" i="18"/>
  <c r="L280" i="18" s="1"/>
  <c r="B280" i="18"/>
  <c r="T279" i="18"/>
  <c r="X279" i="18" s="1"/>
  <c r="Z279" i="18" s="1"/>
  <c r="P279" i="18"/>
  <c r="H279" i="18"/>
  <c r="L279" i="18" s="1"/>
  <c r="N279" i="18" s="1"/>
  <c r="D279" i="18"/>
  <c r="B279" i="18"/>
  <c r="Z278" i="18"/>
  <c r="T278" i="18"/>
  <c r="P278" i="18"/>
  <c r="X278" i="18" s="1"/>
  <c r="L278" i="18"/>
  <c r="H278" i="18"/>
  <c r="D278" i="18"/>
  <c r="B278" i="18"/>
  <c r="Z277" i="18"/>
  <c r="X277" i="18"/>
  <c r="T277" i="18"/>
  <c r="P277" i="18"/>
  <c r="H277" i="18"/>
  <c r="D277" i="18"/>
  <c r="L277" i="18" s="1"/>
  <c r="N277" i="18" s="1"/>
  <c r="B277" i="18"/>
  <c r="T276" i="18"/>
  <c r="P276" i="18"/>
  <c r="H276" i="18"/>
  <c r="D276" i="18"/>
  <c r="L276" i="18" s="1"/>
  <c r="B276" i="18"/>
  <c r="T275" i="18"/>
  <c r="P275" i="18"/>
  <c r="X275" i="18" s="1"/>
  <c r="Z275" i="18" s="1"/>
  <c r="N275" i="18"/>
  <c r="H275" i="18"/>
  <c r="D275" i="18"/>
  <c r="L275" i="18" s="1"/>
  <c r="B275" i="18"/>
  <c r="T274" i="18"/>
  <c r="P274" i="18"/>
  <c r="X274" i="18" s="1"/>
  <c r="L274" i="18"/>
  <c r="H274" i="18"/>
  <c r="N274" i="18" s="1"/>
  <c r="D274" i="18"/>
  <c r="B274" i="18"/>
  <c r="T273" i="18"/>
  <c r="X273" i="18" s="1"/>
  <c r="Z273" i="18" s="1"/>
  <c r="P273" i="18"/>
  <c r="L273" i="18"/>
  <c r="N273" i="18" s="1"/>
  <c r="H273" i="18"/>
  <c r="D273" i="18"/>
  <c r="B273" i="18"/>
  <c r="T272" i="18"/>
  <c r="P272" i="18"/>
  <c r="X272" i="18" s="1"/>
  <c r="N272" i="18"/>
  <c r="H272" i="18"/>
  <c r="H271" i="18" s="1"/>
  <c r="D272" i="18"/>
  <c r="D271" i="18" s="1"/>
  <c r="L271" i="18" s="1"/>
  <c r="B272" i="18"/>
  <c r="Z269" i="18"/>
  <c r="X269" i="18"/>
  <c r="N269" i="18"/>
  <c r="L269" i="18"/>
  <c r="B269" i="18"/>
  <c r="T268" i="18"/>
  <c r="P268" i="18"/>
  <c r="X268" i="18" s="1"/>
  <c r="H268" i="18"/>
  <c r="D268" i="18"/>
  <c r="L268" i="18" s="1"/>
  <c r="B268" i="18"/>
  <c r="Z267" i="18"/>
  <c r="X267" i="18"/>
  <c r="N267" i="18"/>
  <c r="L267" i="18"/>
  <c r="B267" i="18"/>
  <c r="Z266" i="18"/>
  <c r="X266" i="18"/>
  <c r="L266" i="18"/>
  <c r="N266" i="18" s="1"/>
  <c r="B266" i="18"/>
  <c r="Z265" i="18"/>
  <c r="X265" i="18"/>
  <c r="N265" i="18"/>
  <c r="L265" i="18"/>
  <c r="B265" i="18"/>
  <c r="X264" i="18"/>
  <c r="T264" i="18"/>
  <c r="P264" i="18"/>
  <c r="H264" i="18"/>
  <c r="D264" i="18"/>
  <c r="L264" i="18" s="1"/>
  <c r="N264" i="18" s="1"/>
  <c r="B264" i="18"/>
  <c r="Z263" i="18"/>
  <c r="X263" i="18"/>
  <c r="L263" i="18"/>
  <c r="N263" i="18" s="1"/>
  <c r="B263" i="18"/>
  <c r="T262" i="18"/>
  <c r="P262" i="18"/>
  <c r="X262" i="18" s="1"/>
  <c r="H262" i="18"/>
  <c r="N262" i="18" s="1"/>
  <c r="D262" i="18"/>
  <c r="L262" i="18" s="1"/>
  <c r="B262" i="18"/>
  <c r="Z261" i="18"/>
  <c r="X261" i="18"/>
  <c r="L261" i="18"/>
  <c r="N261" i="18" s="1"/>
  <c r="B261" i="18"/>
  <c r="X260" i="18"/>
  <c r="Z260" i="18" s="1"/>
  <c r="L260" i="18"/>
  <c r="N260" i="18" s="1"/>
  <c r="B260" i="18"/>
  <c r="X259" i="18"/>
  <c r="Z259" i="18" s="1"/>
  <c r="T259" i="18"/>
  <c r="P259" i="18"/>
  <c r="N259" i="18"/>
  <c r="H259" i="18"/>
  <c r="D259" i="18"/>
  <c r="L259" i="18" s="1"/>
  <c r="B259" i="18"/>
  <c r="X258" i="18"/>
  <c r="Z258" i="18" s="1"/>
  <c r="L258" i="18"/>
  <c r="N258" i="18" s="1"/>
  <c r="B258" i="18"/>
  <c r="X257" i="18"/>
  <c r="Z257" i="18" s="1"/>
  <c r="N257" i="18"/>
  <c r="L257" i="18"/>
  <c r="B257" i="18"/>
  <c r="X256" i="18"/>
  <c r="Z256" i="18" s="1"/>
  <c r="L256" i="18"/>
  <c r="N256" i="18" s="1"/>
  <c r="B256" i="18"/>
  <c r="Z255" i="18"/>
  <c r="X255" i="18"/>
  <c r="N255" i="18"/>
  <c r="L255" i="18"/>
  <c r="B255" i="18"/>
  <c r="X254" i="18"/>
  <c r="Z254" i="18" s="1"/>
  <c r="L254" i="18"/>
  <c r="N254" i="18" s="1"/>
  <c r="B254" i="18"/>
  <c r="Z253" i="18"/>
  <c r="X253" i="18"/>
  <c r="N253" i="18"/>
  <c r="L253" i="18"/>
  <c r="B253" i="18"/>
  <c r="X252" i="18"/>
  <c r="Z252" i="18" s="1"/>
  <c r="N252" i="18"/>
  <c r="L252" i="18"/>
  <c r="B252" i="18"/>
  <c r="T251" i="18"/>
  <c r="X251" i="18" s="1"/>
  <c r="Z251" i="18" s="1"/>
  <c r="P251" i="18"/>
  <c r="N251" i="18"/>
  <c r="L251" i="18"/>
  <c r="H251" i="18"/>
  <c r="D251" i="18"/>
  <c r="B251" i="18"/>
  <c r="X250" i="18"/>
  <c r="Z250" i="18" s="1"/>
  <c r="L250" i="18"/>
  <c r="N250" i="18" s="1"/>
  <c r="B250" i="18"/>
  <c r="Z249" i="18"/>
  <c r="X249" i="18"/>
  <c r="L249" i="18"/>
  <c r="N249" i="18" s="1"/>
  <c r="B249" i="18"/>
  <c r="T248" i="18"/>
  <c r="Z248" i="18" s="1"/>
  <c r="P248" i="18"/>
  <c r="X248" i="18" s="1"/>
  <c r="L248" i="18"/>
  <c r="H248" i="18"/>
  <c r="D248" i="18"/>
  <c r="B248" i="18"/>
  <c r="X247" i="18"/>
  <c r="Z247" i="18" s="1"/>
  <c r="L247" i="18"/>
  <c r="N247" i="18" s="1"/>
  <c r="B247" i="18"/>
  <c r="X246" i="18"/>
  <c r="Z246" i="18" s="1"/>
  <c r="N246" i="18"/>
  <c r="L246" i="18"/>
  <c r="B246" i="18"/>
  <c r="X245" i="18"/>
  <c r="Z245" i="18" s="1"/>
  <c r="N245" i="18"/>
  <c r="L245" i="18"/>
  <c r="B245" i="18"/>
  <c r="X244" i="18"/>
  <c r="Z244" i="18" s="1"/>
  <c r="L244" i="18"/>
  <c r="N244" i="18" s="1"/>
  <c r="B244" i="18"/>
  <c r="X243" i="18"/>
  <c r="Z243" i="18" s="1"/>
  <c r="T243" i="18"/>
  <c r="P243" i="18"/>
  <c r="H243" i="18"/>
  <c r="D243" i="18"/>
  <c r="L243" i="18" s="1"/>
  <c r="N243" i="18" s="1"/>
  <c r="B243" i="18"/>
  <c r="Z242" i="18"/>
  <c r="X242" i="18"/>
  <c r="L242" i="18"/>
  <c r="N242" i="18" s="1"/>
  <c r="B242" i="18"/>
  <c r="X241" i="18"/>
  <c r="Z241" i="18" s="1"/>
  <c r="N241" i="18"/>
  <c r="L241" i="18"/>
  <c r="B241" i="18"/>
  <c r="X240" i="18"/>
  <c r="Z240" i="18" s="1"/>
  <c r="N240" i="18"/>
  <c r="L240" i="18"/>
  <c r="B240" i="18"/>
  <c r="T239" i="18"/>
  <c r="P239" i="18"/>
  <c r="H239" i="18"/>
  <c r="N239" i="18" s="1"/>
  <c r="D239" i="18"/>
  <c r="L239" i="18" s="1"/>
  <c r="B239" i="18"/>
  <c r="Z238" i="18"/>
  <c r="X238" i="18"/>
  <c r="L238" i="18"/>
  <c r="N238" i="18" s="1"/>
  <c r="B238" i="18"/>
  <c r="X237" i="18"/>
  <c r="Z237" i="18" s="1"/>
  <c r="L237" i="18"/>
  <c r="N237" i="18" s="1"/>
  <c r="B237" i="18"/>
  <c r="Z236" i="18"/>
  <c r="X236" i="18"/>
  <c r="N236" i="18"/>
  <c r="L236" i="18"/>
  <c r="B236" i="18"/>
  <c r="X235" i="18"/>
  <c r="Z235" i="18" s="1"/>
  <c r="L235" i="18"/>
  <c r="N235" i="18" s="1"/>
  <c r="B235" i="18"/>
  <c r="Z234" i="18"/>
  <c r="X234" i="18"/>
  <c r="T234" i="18"/>
  <c r="P234" i="18"/>
  <c r="H234" i="18"/>
  <c r="N234" i="18" s="1"/>
  <c r="D234" i="18"/>
  <c r="L234" i="18" s="1"/>
  <c r="B234" i="18"/>
  <c r="X233" i="18"/>
  <c r="Z233" i="18" s="1"/>
  <c r="L233" i="18"/>
  <c r="N233" i="18" s="1"/>
  <c r="B233" i="18"/>
  <c r="Z232" i="18"/>
  <c r="X232" i="18"/>
  <c r="T232" i="18"/>
  <c r="P232" i="18"/>
  <c r="H232" i="18"/>
  <c r="N232" i="18" s="1"/>
  <c r="D232" i="18"/>
  <c r="L232" i="18" s="1"/>
  <c r="B232" i="18"/>
  <c r="X231" i="18"/>
  <c r="Z231" i="18" s="1"/>
  <c r="N231" i="18"/>
  <c r="L231" i="18"/>
  <c r="B231" i="18"/>
  <c r="Z230" i="18"/>
  <c r="X230" i="18"/>
  <c r="T230" i="18"/>
  <c r="P230" i="18"/>
  <c r="N230" i="18"/>
  <c r="H230" i="18"/>
  <c r="D230" i="18"/>
  <c r="L230" i="18" s="1"/>
  <c r="B230" i="18"/>
  <c r="X229" i="18"/>
  <c r="Z229" i="18" s="1"/>
  <c r="L229" i="18"/>
  <c r="N229" i="18" s="1"/>
  <c r="B229" i="18"/>
  <c r="T228" i="18"/>
  <c r="P228" i="18"/>
  <c r="X228" i="18" s="1"/>
  <c r="H228" i="18"/>
  <c r="D228" i="18"/>
  <c r="L228" i="18" s="1"/>
  <c r="N228" i="18" s="1"/>
  <c r="B228" i="18"/>
  <c r="X227" i="18"/>
  <c r="Z227" i="18" s="1"/>
  <c r="N227" i="18"/>
  <c r="L227" i="18"/>
  <c r="B227" i="18"/>
  <c r="T226" i="18"/>
  <c r="P226" i="18"/>
  <c r="X226" i="18" s="1"/>
  <c r="N226" i="18"/>
  <c r="L226" i="18"/>
  <c r="H226" i="18"/>
  <c r="D226" i="18"/>
  <c r="B226" i="18"/>
  <c r="X225" i="18"/>
  <c r="Z225" i="18" s="1"/>
  <c r="N225" i="18"/>
  <c r="L225" i="18"/>
  <c r="B225" i="18"/>
  <c r="T224" i="18"/>
  <c r="P224" i="18"/>
  <c r="X224" i="18" s="1"/>
  <c r="Z224" i="18" s="1"/>
  <c r="N224" i="18"/>
  <c r="L224" i="18"/>
  <c r="H224" i="18"/>
  <c r="D224" i="18"/>
  <c r="B224" i="18"/>
  <c r="Z223" i="18"/>
  <c r="X223" i="18"/>
  <c r="L223" i="18"/>
  <c r="N223" i="18" s="1"/>
  <c r="B223" i="18"/>
  <c r="Z222" i="18"/>
  <c r="X222" i="18"/>
  <c r="L222" i="18"/>
  <c r="N222" i="18" s="1"/>
  <c r="B222" i="18"/>
  <c r="T221" i="18"/>
  <c r="P221" i="18"/>
  <c r="X221" i="18" s="1"/>
  <c r="Z221" i="18" s="1"/>
  <c r="H221" i="18"/>
  <c r="D221" i="18"/>
  <c r="L221" i="18" s="1"/>
  <c r="B221" i="18"/>
  <c r="Z220" i="18"/>
  <c r="X220" i="18"/>
  <c r="N220" i="18"/>
  <c r="L220" i="18"/>
  <c r="B220" i="18"/>
  <c r="X219" i="18"/>
  <c r="T219" i="18"/>
  <c r="Z219" i="18" s="1"/>
  <c r="P219" i="18"/>
  <c r="L219" i="18"/>
  <c r="N219" i="18" s="1"/>
  <c r="H219" i="18"/>
  <c r="D219" i="18"/>
  <c r="B219" i="18"/>
  <c r="Z218" i="18"/>
  <c r="X218" i="18"/>
  <c r="N218" i="18"/>
  <c r="L218" i="18"/>
  <c r="B218" i="18"/>
  <c r="T217" i="18"/>
  <c r="P217" i="18"/>
  <c r="X217" i="18" s="1"/>
  <c r="H217" i="18"/>
  <c r="D217" i="18"/>
  <c r="B217" i="18"/>
  <c r="X216" i="18"/>
  <c r="Z216" i="18" s="1"/>
  <c r="N216" i="18"/>
  <c r="L216" i="18"/>
  <c r="B216" i="18"/>
  <c r="T215" i="18"/>
  <c r="Z215" i="18" s="1"/>
  <c r="P215" i="18"/>
  <c r="X215" i="18" s="1"/>
  <c r="H215" i="18"/>
  <c r="D215" i="18"/>
  <c r="L215" i="18" s="1"/>
  <c r="N215" i="18" s="1"/>
  <c r="B215" i="18"/>
  <c r="X214" i="18"/>
  <c r="Z214" i="18" s="1"/>
  <c r="N214" i="18"/>
  <c r="L214" i="18"/>
  <c r="B214" i="18"/>
  <c r="X213" i="18"/>
  <c r="Z213" i="18" s="1"/>
  <c r="L213" i="18"/>
  <c r="N213" i="18" s="1"/>
  <c r="B213" i="18"/>
  <c r="Z212" i="18"/>
  <c r="X212" i="18"/>
  <c r="T212" i="18"/>
  <c r="P212" i="18"/>
  <c r="H212" i="18"/>
  <c r="N212" i="18" s="1"/>
  <c r="D212" i="18"/>
  <c r="L212" i="18" s="1"/>
  <c r="B212" i="18"/>
  <c r="Z211" i="18"/>
  <c r="X211" i="18"/>
  <c r="N211" i="18"/>
  <c r="L211" i="18"/>
  <c r="B211" i="18"/>
  <c r="Z210" i="18"/>
  <c r="X210" i="18"/>
  <c r="N210" i="18"/>
  <c r="L210" i="18"/>
  <c r="B210" i="18"/>
  <c r="T209" i="18"/>
  <c r="P209" i="18"/>
  <c r="X209" i="18" s="1"/>
  <c r="H209" i="18"/>
  <c r="D209" i="18"/>
  <c r="B209" i="18"/>
  <c r="X208" i="18"/>
  <c r="Z208" i="18" s="1"/>
  <c r="N208" i="18"/>
  <c r="L208" i="18"/>
  <c r="B208" i="18"/>
  <c r="T207" i="18"/>
  <c r="Z207" i="18" s="1"/>
  <c r="P207" i="18"/>
  <c r="X207" i="18" s="1"/>
  <c r="H207" i="18"/>
  <c r="D207" i="18"/>
  <c r="L207" i="18" s="1"/>
  <c r="N207" i="18" s="1"/>
  <c r="B207" i="18"/>
  <c r="X206" i="18"/>
  <c r="Z206" i="18" s="1"/>
  <c r="N206" i="18"/>
  <c r="L206" i="18"/>
  <c r="B206" i="18"/>
  <c r="X205" i="18"/>
  <c r="Z205" i="18" s="1"/>
  <c r="L205" i="18"/>
  <c r="N205" i="18" s="1"/>
  <c r="B205" i="18"/>
  <c r="Z204" i="18"/>
  <c r="X204" i="18"/>
  <c r="T204" i="18"/>
  <c r="P204" i="18"/>
  <c r="H204" i="18"/>
  <c r="D204" i="18"/>
  <c r="L204" i="18" s="1"/>
  <c r="B204" i="18"/>
  <c r="X203" i="18"/>
  <c r="Z203" i="18" s="1"/>
  <c r="N203" i="18"/>
  <c r="L203" i="18"/>
  <c r="B203" i="18"/>
  <c r="Z202" i="18"/>
  <c r="X202" i="18"/>
  <c r="T202" i="18"/>
  <c r="P202" i="18"/>
  <c r="H202" i="18"/>
  <c r="D202" i="18"/>
  <c r="L202" i="18" s="1"/>
  <c r="N202" i="18" s="1"/>
  <c r="B202" i="18"/>
  <c r="Z201" i="18"/>
  <c r="X201" i="18"/>
  <c r="L201" i="18"/>
  <c r="N201" i="18" s="1"/>
  <c r="B201" i="18"/>
  <c r="X200" i="18"/>
  <c r="Z200" i="18" s="1"/>
  <c r="N200" i="18"/>
  <c r="L200" i="18"/>
  <c r="B200" i="18"/>
  <c r="Z199" i="18"/>
  <c r="X199" i="18"/>
  <c r="N199" i="18"/>
  <c r="L199" i="18"/>
  <c r="B199" i="18"/>
  <c r="Z198" i="18"/>
  <c r="X198" i="18"/>
  <c r="L198" i="18"/>
  <c r="N198" i="18" s="1"/>
  <c r="B198" i="18"/>
  <c r="Z197" i="18"/>
  <c r="X197" i="18"/>
  <c r="L197" i="18"/>
  <c r="N197" i="18" s="1"/>
  <c r="B197" i="18"/>
  <c r="X196" i="18"/>
  <c r="Z196" i="18" s="1"/>
  <c r="N196" i="18"/>
  <c r="L196" i="18"/>
  <c r="B196" i="18"/>
  <c r="Z195" i="18"/>
  <c r="X195" i="18"/>
  <c r="L195" i="18"/>
  <c r="N195" i="18" s="1"/>
  <c r="B195" i="18"/>
  <c r="T194" i="18"/>
  <c r="P194" i="18"/>
  <c r="X194" i="18" s="1"/>
  <c r="Z194" i="18" s="1"/>
  <c r="L194" i="18"/>
  <c r="H194" i="18"/>
  <c r="N194" i="18" s="1"/>
  <c r="D194" i="18"/>
  <c r="B194" i="18"/>
  <c r="X193" i="18"/>
  <c r="Z193" i="18" s="1"/>
  <c r="N193" i="18"/>
  <c r="L193" i="18"/>
  <c r="B193" i="18"/>
  <c r="Z192" i="18"/>
  <c r="X192" i="18"/>
  <c r="N192" i="18"/>
  <c r="L192" i="18"/>
  <c r="B192" i="18"/>
  <c r="X191" i="18"/>
  <c r="Z191" i="18" s="1"/>
  <c r="L191" i="18"/>
  <c r="N191" i="18" s="1"/>
  <c r="B191" i="18"/>
  <c r="X190" i="18"/>
  <c r="Z190" i="18" s="1"/>
  <c r="N190" i="18"/>
  <c r="L190" i="18"/>
  <c r="B190" i="18"/>
  <c r="Z189" i="18"/>
  <c r="X189" i="18"/>
  <c r="N189" i="18"/>
  <c r="L189" i="18"/>
  <c r="B189" i="18"/>
  <c r="Z188" i="18"/>
  <c r="X188" i="18"/>
  <c r="N188" i="18"/>
  <c r="L188" i="18"/>
  <c r="B188" i="18"/>
  <c r="X187" i="18"/>
  <c r="Z187" i="18" s="1"/>
  <c r="L187" i="18"/>
  <c r="N187" i="18" s="1"/>
  <c r="B187" i="18"/>
  <c r="X186" i="18"/>
  <c r="Z186" i="18" s="1"/>
  <c r="N186" i="18"/>
  <c r="L186" i="18"/>
  <c r="B186" i="18"/>
  <c r="X185" i="18"/>
  <c r="Z185" i="18" s="1"/>
  <c r="L185" i="18"/>
  <c r="N185" i="18" s="1"/>
  <c r="B185" i="18"/>
  <c r="Z184" i="18"/>
  <c r="X184" i="18"/>
  <c r="N184" i="18"/>
  <c r="L184" i="18"/>
  <c r="B184" i="18"/>
  <c r="T183" i="18"/>
  <c r="P183" i="18"/>
  <c r="X183" i="18" s="1"/>
  <c r="Z183" i="18" s="1"/>
  <c r="L183" i="18"/>
  <c r="N183" i="18" s="1"/>
  <c r="H183" i="18"/>
  <c r="D183" i="18"/>
  <c r="B183" i="18"/>
  <c r="T182" i="18"/>
  <c r="P182" i="18"/>
  <c r="H182" i="18"/>
  <c r="D182" i="18"/>
  <c r="X178" i="18"/>
  <c r="Z178" i="18" s="1"/>
  <c r="N178" i="18"/>
  <c r="L178" i="18"/>
  <c r="B178" i="18"/>
  <c r="X177" i="18"/>
  <c r="Z177" i="18" s="1"/>
  <c r="N177" i="18"/>
  <c r="L177" i="18"/>
  <c r="B177" i="18"/>
  <c r="Z176" i="18"/>
  <c r="X176" i="18"/>
  <c r="N176" i="18"/>
  <c r="L176" i="18"/>
  <c r="B176" i="18"/>
  <c r="Z175" i="18"/>
  <c r="X175" i="18"/>
  <c r="N175" i="18"/>
  <c r="L175" i="18"/>
  <c r="B175" i="18"/>
  <c r="X174" i="18"/>
  <c r="Z174" i="18" s="1"/>
  <c r="N174" i="18"/>
  <c r="L174" i="18"/>
  <c r="B174" i="18"/>
  <c r="X173" i="18"/>
  <c r="Z173" i="18" s="1"/>
  <c r="N173" i="18"/>
  <c r="L173" i="18"/>
  <c r="B173" i="18"/>
  <c r="Z172" i="18"/>
  <c r="X172" i="18"/>
  <c r="L172" i="18"/>
  <c r="N172" i="18" s="1"/>
  <c r="B172" i="18"/>
  <c r="Z171" i="18"/>
  <c r="X171" i="18"/>
  <c r="N171" i="18"/>
  <c r="L171" i="18"/>
  <c r="B171" i="18"/>
  <c r="X170" i="18"/>
  <c r="Z170" i="18" s="1"/>
  <c r="N170" i="18"/>
  <c r="L170" i="18"/>
  <c r="B170" i="18"/>
  <c r="X169" i="18"/>
  <c r="Z169" i="18" s="1"/>
  <c r="N169" i="18"/>
  <c r="L169" i="18"/>
  <c r="B169" i="18"/>
  <c r="Z168" i="18"/>
  <c r="X168" i="18"/>
  <c r="L168" i="18"/>
  <c r="N168" i="18" s="1"/>
  <c r="B168" i="18"/>
  <c r="Z167" i="18"/>
  <c r="X167" i="18"/>
  <c r="N167" i="18"/>
  <c r="L167" i="18"/>
  <c r="B167" i="18"/>
  <c r="X166" i="18"/>
  <c r="Z166" i="18" s="1"/>
  <c r="N166" i="18"/>
  <c r="L166" i="18"/>
  <c r="B166" i="18"/>
  <c r="X165" i="18"/>
  <c r="Z165" i="18" s="1"/>
  <c r="N165" i="18"/>
  <c r="L165" i="18"/>
  <c r="B165" i="18"/>
  <c r="Z164" i="18"/>
  <c r="X164" i="18"/>
  <c r="L164" i="18"/>
  <c r="N164" i="18" s="1"/>
  <c r="B164" i="18"/>
  <c r="Z163" i="18"/>
  <c r="X163" i="18"/>
  <c r="L163" i="18"/>
  <c r="N163" i="18" s="1"/>
  <c r="B163" i="18"/>
  <c r="X162" i="18"/>
  <c r="Z162" i="18" s="1"/>
  <c r="L162" i="18"/>
  <c r="N162" i="18" s="1"/>
  <c r="B162" i="18"/>
  <c r="X161" i="18"/>
  <c r="Z161" i="18" s="1"/>
  <c r="N161" i="18"/>
  <c r="L161" i="18"/>
  <c r="B161" i="18"/>
  <c r="Z160" i="18"/>
  <c r="X160" i="18"/>
  <c r="L160" i="18"/>
  <c r="N160" i="18" s="1"/>
  <c r="B160" i="18"/>
  <c r="Z159" i="18"/>
  <c r="X159" i="18"/>
  <c r="L159" i="18"/>
  <c r="N159" i="18" s="1"/>
  <c r="B159" i="18"/>
  <c r="X158" i="18"/>
  <c r="Z158" i="18" s="1"/>
  <c r="L158" i="18"/>
  <c r="N158" i="18" s="1"/>
  <c r="B158" i="18"/>
  <c r="Z157" i="18"/>
  <c r="X157" i="18"/>
  <c r="N157" i="18"/>
  <c r="L157" i="18"/>
  <c r="B157" i="18"/>
  <c r="Z156" i="18"/>
  <c r="X156" i="18"/>
  <c r="L156" i="18"/>
  <c r="N156" i="18" s="1"/>
  <c r="B156" i="18"/>
  <c r="Z155" i="18"/>
  <c r="X155" i="18"/>
  <c r="N155" i="18"/>
  <c r="L155" i="18"/>
  <c r="B155" i="18"/>
  <c r="X154" i="18"/>
  <c r="Z154" i="18" s="1"/>
  <c r="L154" i="18"/>
  <c r="N154" i="18" s="1"/>
  <c r="B154" i="18"/>
  <c r="X153" i="18"/>
  <c r="Z153" i="18" s="1"/>
  <c r="L153" i="18"/>
  <c r="N153" i="18" s="1"/>
  <c r="B153" i="18"/>
  <c r="Z152" i="18"/>
  <c r="X152" i="18"/>
  <c r="L152" i="18"/>
  <c r="N152" i="18" s="1"/>
  <c r="B152" i="18"/>
  <c r="Z151" i="18"/>
  <c r="X151" i="18"/>
  <c r="L151" i="18"/>
  <c r="N151" i="18" s="1"/>
  <c r="B151" i="18"/>
  <c r="X150" i="18"/>
  <c r="Z150" i="18" s="1"/>
  <c r="L150" i="18"/>
  <c r="N150" i="18" s="1"/>
  <c r="B150" i="18"/>
  <c r="X149" i="18"/>
  <c r="Z149" i="18" s="1"/>
  <c r="L149" i="18"/>
  <c r="N149" i="18" s="1"/>
  <c r="B149" i="18"/>
  <c r="Z148" i="18"/>
  <c r="X148" i="18"/>
  <c r="L148" i="18"/>
  <c r="N148" i="18" s="1"/>
  <c r="B148" i="18"/>
  <c r="Z147" i="18"/>
  <c r="X147" i="18"/>
  <c r="L147" i="18"/>
  <c r="N147" i="18" s="1"/>
  <c r="B147" i="18"/>
  <c r="X146" i="18"/>
  <c r="Z146" i="18" s="1"/>
  <c r="L146" i="18"/>
  <c r="N146" i="18" s="1"/>
  <c r="B146" i="18"/>
  <c r="X145" i="18"/>
  <c r="Z145" i="18" s="1"/>
  <c r="L145" i="18"/>
  <c r="N145" i="18" s="1"/>
  <c r="B145" i="18"/>
  <c r="Z144" i="18"/>
  <c r="X144" i="18"/>
  <c r="L144" i="18"/>
  <c r="N144" i="18" s="1"/>
  <c r="B144" i="18"/>
  <c r="Z143" i="18"/>
  <c r="X143" i="18"/>
  <c r="L143" i="18"/>
  <c r="N143" i="18" s="1"/>
  <c r="B143" i="18"/>
  <c r="X142" i="18"/>
  <c r="Z142" i="18" s="1"/>
  <c r="L142" i="18"/>
  <c r="N142" i="18" s="1"/>
  <c r="B142" i="18"/>
  <c r="X141" i="18"/>
  <c r="Z141" i="18" s="1"/>
  <c r="L141" i="18"/>
  <c r="N141" i="18" s="1"/>
  <c r="B141" i="18"/>
  <c r="Z140" i="18"/>
  <c r="X140" i="18"/>
  <c r="L140" i="18"/>
  <c r="N140" i="18" s="1"/>
  <c r="B140" i="18"/>
  <c r="Z139" i="18"/>
  <c r="X139" i="18"/>
  <c r="L139" i="18"/>
  <c r="N139" i="18" s="1"/>
  <c r="B139" i="18"/>
  <c r="X138" i="18"/>
  <c r="Z138" i="18" s="1"/>
  <c r="L138" i="18"/>
  <c r="N138" i="18" s="1"/>
  <c r="B138" i="18"/>
  <c r="X137" i="18"/>
  <c r="Z137" i="18" s="1"/>
  <c r="L137" i="18"/>
  <c r="N137" i="18" s="1"/>
  <c r="B137" i="18"/>
  <c r="Z136" i="18"/>
  <c r="X136" i="18"/>
  <c r="L136" i="18"/>
  <c r="N136" i="18" s="1"/>
  <c r="B136" i="18"/>
  <c r="Z135" i="18"/>
  <c r="X135" i="18"/>
  <c r="L135" i="18"/>
  <c r="N135" i="18" s="1"/>
  <c r="B135" i="18"/>
  <c r="X134" i="18"/>
  <c r="Z134" i="18" s="1"/>
  <c r="L134" i="18"/>
  <c r="N134" i="18" s="1"/>
  <c r="B134" i="18"/>
  <c r="X133" i="18"/>
  <c r="Z133" i="18" s="1"/>
  <c r="N133" i="18"/>
  <c r="L133" i="18"/>
  <c r="B133" i="18"/>
  <c r="Z132" i="18"/>
  <c r="X132" i="18"/>
  <c r="L132" i="18"/>
  <c r="N132" i="18" s="1"/>
  <c r="B132" i="18"/>
  <c r="Z131" i="18"/>
  <c r="X131" i="18"/>
  <c r="N131" i="18"/>
  <c r="L131" i="18"/>
  <c r="B131" i="18"/>
  <c r="X130" i="18"/>
  <c r="Z130" i="18" s="1"/>
  <c r="L130" i="18"/>
  <c r="N130" i="18" s="1"/>
  <c r="B130" i="18"/>
  <c r="X129" i="18"/>
  <c r="Z129" i="18" s="1"/>
  <c r="L129" i="18"/>
  <c r="N129" i="18" s="1"/>
  <c r="B129" i="18"/>
  <c r="Z128" i="18"/>
  <c r="X128" i="18"/>
  <c r="L128" i="18"/>
  <c r="N128" i="18" s="1"/>
  <c r="B128" i="18"/>
  <c r="Z127" i="18"/>
  <c r="X127" i="18"/>
  <c r="L127" i="18"/>
  <c r="N127" i="18" s="1"/>
  <c r="B127" i="18"/>
  <c r="X126" i="18"/>
  <c r="Z126" i="18" s="1"/>
  <c r="N126" i="18"/>
  <c r="L126" i="18"/>
  <c r="B126" i="18"/>
  <c r="X125" i="18"/>
  <c r="Z125" i="18" s="1"/>
  <c r="L125" i="18"/>
  <c r="N125" i="18" s="1"/>
  <c r="B125" i="18"/>
  <c r="Z124" i="18"/>
  <c r="X124" i="18"/>
  <c r="L124" i="18"/>
  <c r="N124" i="18" s="1"/>
  <c r="B124" i="18"/>
  <c r="T123" i="18"/>
  <c r="P123" i="18"/>
  <c r="H123" i="18"/>
  <c r="N123" i="18" s="1"/>
  <c r="D123" i="18"/>
  <c r="L123" i="18" s="1"/>
  <c r="T121" i="18"/>
  <c r="P121" i="18"/>
  <c r="X121" i="18" s="1"/>
  <c r="H121" i="18"/>
  <c r="D121" i="18"/>
  <c r="L121" i="18" s="1"/>
  <c r="B121" i="18"/>
  <c r="T120" i="18"/>
  <c r="Z120" i="18" s="1"/>
  <c r="P120" i="18"/>
  <c r="X120" i="18" s="1"/>
  <c r="H120" i="18"/>
  <c r="D120" i="18"/>
  <c r="B120" i="18"/>
  <c r="T119" i="18"/>
  <c r="P119" i="18"/>
  <c r="L119" i="18"/>
  <c r="H119" i="18"/>
  <c r="N119" i="18" s="1"/>
  <c r="D119" i="18"/>
  <c r="B119" i="18"/>
  <c r="T118" i="18"/>
  <c r="P118" i="18"/>
  <c r="X118" i="18" s="1"/>
  <c r="Z118" i="18" s="1"/>
  <c r="N118" i="18"/>
  <c r="L118" i="18"/>
  <c r="H118" i="18"/>
  <c r="D118" i="18"/>
  <c r="B118" i="18"/>
  <c r="T117" i="18"/>
  <c r="Z117" i="18" s="1"/>
  <c r="P117" i="18"/>
  <c r="X117" i="18" s="1"/>
  <c r="H117" i="18"/>
  <c r="N117" i="18" s="1"/>
  <c r="D117" i="18"/>
  <c r="L117" i="18" s="1"/>
  <c r="B117" i="18"/>
  <c r="T116" i="18"/>
  <c r="P116" i="18"/>
  <c r="X116" i="18" s="1"/>
  <c r="H116" i="18"/>
  <c r="D116" i="18"/>
  <c r="B116" i="18"/>
  <c r="T115" i="18"/>
  <c r="P115" i="18"/>
  <c r="L115" i="18"/>
  <c r="H115" i="18"/>
  <c r="N115" i="18" s="1"/>
  <c r="D115" i="18"/>
  <c r="B115" i="18"/>
  <c r="T114" i="18"/>
  <c r="P114" i="18"/>
  <c r="X114" i="18" s="1"/>
  <c r="Z114" i="18" s="1"/>
  <c r="N114" i="18"/>
  <c r="L114" i="18"/>
  <c r="H114" i="18"/>
  <c r="D114" i="18"/>
  <c r="B114" i="18"/>
  <c r="T113" i="18"/>
  <c r="Z113" i="18" s="1"/>
  <c r="P113" i="18"/>
  <c r="X113" i="18" s="1"/>
  <c r="H113" i="18"/>
  <c r="D113" i="18"/>
  <c r="L113" i="18" s="1"/>
  <c r="B113" i="18"/>
  <c r="T112" i="18"/>
  <c r="Z112" i="18" s="1"/>
  <c r="P112" i="18"/>
  <c r="X112" i="18" s="1"/>
  <c r="H112" i="18"/>
  <c r="D112" i="18"/>
  <c r="B112" i="18"/>
  <c r="T111" i="18"/>
  <c r="P111" i="18"/>
  <c r="L111" i="18"/>
  <c r="H111" i="18"/>
  <c r="N111" i="18" s="1"/>
  <c r="D111" i="18"/>
  <c r="B111" i="18"/>
  <c r="T110" i="18"/>
  <c r="P110" i="18"/>
  <c r="X110" i="18" s="1"/>
  <c r="Z110" i="18" s="1"/>
  <c r="L110" i="18"/>
  <c r="N110" i="18" s="1"/>
  <c r="H110" i="18"/>
  <c r="D110" i="18"/>
  <c r="B110" i="18"/>
  <c r="T109" i="18"/>
  <c r="P109" i="18"/>
  <c r="X109" i="18" s="1"/>
  <c r="H109" i="18"/>
  <c r="D109" i="18"/>
  <c r="L109" i="18" s="1"/>
  <c r="B109" i="18"/>
  <c r="T108" i="18"/>
  <c r="Z108" i="18" s="1"/>
  <c r="P108" i="18"/>
  <c r="X108" i="18" s="1"/>
  <c r="L108" i="18"/>
  <c r="H108" i="18"/>
  <c r="N108" i="18" s="1"/>
  <c r="D108" i="18"/>
  <c r="B108" i="18"/>
  <c r="T107" i="18"/>
  <c r="P107" i="18"/>
  <c r="L107" i="18"/>
  <c r="H107" i="18"/>
  <c r="N107" i="18" s="1"/>
  <c r="D107" i="18"/>
  <c r="B107" i="18"/>
  <c r="T106" i="18"/>
  <c r="P106" i="18"/>
  <c r="X106" i="18" s="1"/>
  <c r="Z106" i="18" s="1"/>
  <c r="L106" i="18"/>
  <c r="N106" i="18" s="1"/>
  <c r="H106" i="18"/>
  <c r="D106" i="18"/>
  <c r="B106" i="18"/>
  <c r="T105" i="18"/>
  <c r="Z105" i="18" s="1"/>
  <c r="P105" i="18"/>
  <c r="X105" i="18" s="1"/>
  <c r="H105" i="18"/>
  <c r="D105" i="18"/>
  <c r="L105" i="18" s="1"/>
  <c r="B105" i="18"/>
  <c r="T104" i="18"/>
  <c r="P104" i="18"/>
  <c r="X104" i="18" s="1"/>
  <c r="L104" i="18"/>
  <c r="H104" i="18"/>
  <c r="N104" i="18" s="1"/>
  <c r="D104" i="18"/>
  <c r="B104" i="18"/>
  <c r="T103" i="18"/>
  <c r="P103" i="18"/>
  <c r="L103" i="18"/>
  <c r="H103" i="18"/>
  <c r="N103" i="18" s="1"/>
  <c r="D103" i="18"/>
  <c r="B103" i="18"/>
  <c r="T102" i="18"/>
  <c r="P102" i="18"/>
  <c r="X102" i="18" s="1"/>
  <c r="Z102" i="18" s="1"/>
  <c r="L102" i="18"/>
  <c r="N102" i="18" s="1"/>
  <c r="H102" i="18"/>
  <c r="D102" i="18"/>
  <c r="B102" i="18"/>
  <c r="T101" i="18"/>
  <c r="P101" i="18"/>
  <c r="X101" i="18" s="1"/>
  <c r="H101" i="18"/>
  <c r="D101" i="18"/>
  <c r="L101" i="18" s="1"/>
  <c r="B101" i="18"/>
  <c r="T100" i="18"/>
  <c r="Z100" i="18" s="1"/>
  <c r="P100" i="18"/>
  <c r="X100" i="18" s="1"/>
  <c r="L100" i="18"/>
  <c r="H100" i="18"/>
  <c r="N100" i="18" s="1"/>
  <c r="D100" i="18"/>
  <c r="B100" i="18"/>
  <c r="T99" i="18"/>
  <c r="P99" i="18"/>
  <c r="L99" i="18"/>
  <c r="H99" i="18"/>
  <c r="N99" i="18" s="1"/>
  <c r="D99" i="18"/>
  <c r="B99" i="18"/>
  <c r="T98" i="18"/>
  <c r="P98" i="18"/>
  <c r="X98" i="18" s="1"/>
  <c r="Z98" i="18" s="1"/>
  <c r="L98" i="18"/>
  <c r="N98" i="18" s="1"/>
  <c r="H98" i="18"/>
  <c r="D98" i="18"/>
  <c r="B98" i="18"/>
  <c r="T97" i="18"/>
  <c r="Z97" i="18" s="1"/>
  <c r="P97" i="18"/>
  <c r="X97" i="18" s="1"/>
  <c r="H97" i="18"/>
  <c r="N97" i="18" s="1"/>
  <c r="D97" i="18"/>
  <c r="L97" i="18" s="1"/>
  <c r="B97" i="18"/>
  <c r="T96" i="18"/>
  <c r="P96" i="18"/>
  <c r="X96" i="18" s="1"/>
  <c r="L96" i="18"/>
  <c r="H96" i="18"/>
  <c r="N96" i="18" s="1"/>
  <c r="D96" i="18"/>
  <c r="B96" i="18"/>
  <c r="T95" i="18"/>
  <c r="P95" i="18"/>
  <c r="L95" i="18"/>
  <c r="H95" i="18"/>
  <c r="N95" i="18" s="1"/>
  <c r="D95" i="18"/>
  <c r="B95" i="18"/>
  <c r="T94" i="18"/>
  <c r="P94" i="18"/>
  <c r="X94" i="18" s="1"/>
  <c r="Z94" i="18" s="1"/>
  <c r="L94" i="18"/>
  <c r="N94" i="18" s="1"/>
  <c r="H94" i="18"/>
  <c r="D94" i="18"/>
  <c r="B94" i="18"/>
  <c r="T93" i="18"/>
  <c r="P93" i="18"/>
  <c r="X93" i="18" s="1"/>
  <c r="H93" i="18"/>
  <c r="D93" i="18"/>
  <c r="L93" i="18" s="1"/>
  <c r="B93" i="18"/>
  <c r="T92" i="18"/>
  <c r="P92" i="18"/>
  <c r="X92" i="18" s="1"/>
  <c r="L92" i="18"/>
  <c r="H92" i="18"/>
  <c r="N92" i="18" s="1"/>
  <c r="D92" i="18"/>
  <c r="B92" i="18"/>
  <c r="T91" i="18"/>
  <c r="P91" i="18"/>
  <c r="L91" i="18"/>
  <c r="H91" i="18"/>
  <c r="N91" i="18" s="1"/>
  <c r="D91" i="18"/>
  <c r="B91" i="18"/>
  <c r="T90" i="18"/>
  <c r="P90" i="18"/>
  <c r="X90" i="18" s="1"/>
  <c r="Z90" i="18" s="1"/>
  <c r="L90" i="18"/>
  <c r="N90" i="18" s="1"/>
  <c r="H90" i="18"/>
  <c r="D90" i="18"/>
  <c r="B90" i="18"/>
  <c r="T89" i="18"/>
  <c r="Z89" i="18" s="1"/>
  <c r="P89" i="18"/>
  <c r="X89" i="18" s="1"/>
  <c r="H89" i="18"/>
  <c r="N89" i="18" s="1"/>
  <c r="D89" i="18"/>
  <c r="L89" i="18" s="1"/>
  <c r="B89" i="18"/>
  <c r="T88" i="18"/>
  <c r="P88" i="18"/>
  <c r="X88" i="18" s="1"/>
  <c r="L88" i="18"/>
  <c r="H88" i="18"/>
  <c r="N88" i="18" s="1"/>
  <c r="D88" i="18"/>
  <c r="B88" i="18"/>
  <c r="T87" i="18"/>
  <c r="P87" i="18"/>
  <c r="L87" i="18"/>
  <c r="H87" i="18"/>
  <c r="N87" i="18" s="1"/>
  <c r="D87" i="18"/>
  <c r="B87" i="18"/>
  <c r="T86" i="18"/>
  <c r="P86" i="18"/>
  <c r="X86" i="18" s="1"/>
  <c r="Z86" i="18" s="1"/>
  <c r="L86" i="18"/>
  <c r="N86" i="18" s="1"/>
  <c r="H86" i="18"/>
  <c r="D86" i="18"/>
  <c r="B86" i="18"/>
  <c r="T85" i="18"/>
  <c r="P85" i="18"/>
  <c r="X85" i="18" s="1"/>
  <c r="H85" i="18"/>
  <c r="N85" i="18" s="1"/>
  <c r="D85" i="18"/>
  <c r="L85" i="18" s="1"/>
  <c r="B85" i="18"/>
  <c r="T84" i="18"/>
  <c r="P84" i="18"/>
  <c r="X84" i="18" s="1"/>
  <c r="L84" i="18"/>
  <c r="H84" i="18"/>
  <c r="N84" i="18" s="1"/>
  <c r="D84" i="18"/>
  <c r="B84" i="18"/>
  <c r="T83" i="18"/>
  <c r="P83" i="18"/>
  <c r="L83" i="18"/>
  <c r="H83" i="18"/>
  <c r="N83" i="18" s="1"/>
  <c r="D83" i="18"/>
  <c r="B83" i="18"/>
  <c r="T82" i="18"/>
  <c r="P82" i="18"/>
  <c r="X82" i="18" s="1"/>
  <c r="Z82" i="18" s="1"/>
  <c r="N82" i="18"/>
  <c r="L82" i="18"/>
  <c r="H82" i="18"/>
  <c r="D82" i="18"/>
  <c r="B82" i="18"/>
  <c r="T81" i="18"/>
  <c r="P81" i="18"/>
  <c r="X81" i="18" s="1"/>
  <c r="H81" i="18"/>
  <c r="D81" i="18"/>
  <c r="L81" i="18" s="1"/>
  <c r="B81" i="18"/>
  <c r="T80" i="18"/>
  <c r="P80" i="18"/>
  <c r="X80" i="18" s="1"/>
  <c r="L80" i="18"/>
  <c r="H80" i="18"/>
  <c r="N80" i="18" s="1"/>
  <c r="D80" i="18"/>
  <c r="B80" i="18"/>
  <c r="T79" i="18"/>
  <c r="P79" i="18"/>
  <c r="L79" i="18"/>
  <c r="H79" i="18"/>
  <c r="N79" i="18" s="1"/>
  <c r="D79" i="18"/>
  <c r="B79" i="18"/>
  <c r="T78" i="18"/>
  <c r="P78" i="18"/>
  <c r="X78" i="18" s="1"/>
  <c r="Z78" i="18" s="1"/>
  <c r="L78" i="18"/>
  <c r="N78" i="18" s="1"/>
  <c r="H78" i="18"/>
  <c r="D78" i="18"/>
  <c r="B78" i="18"/>
  <c r="T77" i="18"/>
  <c r="Z77" i="18" s="1"/>
  <c r="P77" i="18"/>
  <c r="X77" i="18" s="1"/>
  <c r="H77" i="18"/>
  <c r="N77" i="18" s="1"/>
  <c r="D77" i="18"/>
  <c r="L77" i="18" s="1"/>
  <c r="B77" i="18"/>
  <c r="T76" i="18"/>
  <c r="P76" i="18"/>
  <c r="X76" i="18" s="1"/>
  <c r="L76" i="18"/>
  <c r="H76" i="18"/>
  <c r="N76" i="18" s="1"/>
  <c r="D76" i="18"/>
  <c r="B76" i="18"/>
  <c r="T75" i="18"/>
  <c r="P75" i="18"/>
  <c r="L75" i="18"/>
  <c r="H75" i="18"/>
  <c r="N75" i="18" s="1"/>
  <c r="D75" i="18"/>
  <c r="B75" i="18"/>
  <c r="T74" i="18"/>
  <c r="P74" i="18"/>
  <c r="X74" i="18" s="1"/>
  <c r="Z74" i="18" s="1"/>
  <c r="L74" i="18"/>
  <c r="N74" i="18" s="1"/>
  <c r="H74" i="18"/>
  <c r="D74" i="18"/>
  <c r="B74" i="18"/>
  <c r="T73" i="18"/>
  <c r="P73" i="18"/>
  <c r="X73" i="18" s="1"/>
  <c r="H73" i="18"/>
  <c r="N73" i="18" s="1"/>
  <c r="D73" i="18"/>
  <c r="L73" i="18" s="1"/>
  <c r="B73" i="18"/>
  <c r="T72" i="18"/>
  <c r="Z72" i="18" s="1"/>
  <c r="P72" i="18"/>
  <c r="X72" i="18" s="1"/>
  <c r="L72" i="18"/>
  <c r="H72" i="18"/>
  <c r="N72" i="18" s="1"/>
  <c r="D72" i="18"/>
  <c r="B72" i="18"/>
  <c r="T71" i="18"/>
  <c r="P71" i="18"/>
  <c r="L71" i="18"/>
  <c r="H71" i="18"/>
  <c r="N71" i="18" s="1"/>
  <c r="D71" i="18"/>
  <c r="B71" i="18"/>
  <c r="T70" i="18"/>
  <c r="P70" i="18"/>
  <c r="X70" i="18" s="1"/>
  <c r="Z70" i="18" s="1"/>
  <c r="L70" i="18"/>
  <c r="N70" i="18" s="1"/>
  <c r="H70" i="18"/>
  <c r="D70" i="18"/>
  <c r="B70" i="18"/>
  <c r="T69" i="18"/>
  <c r="Z69" i="18" s="1"/>
  <c r="P69" i="18"/>
  <c r="X69" i="18" s="1"/>
  <c r="H69" i="18"/>
  <c r="N69" i="18" s="1"/>
  <c r="D69" i="18"/>
  <c r="L69" i="18" s="1"/>
  <c r="B69" i="18"/>
  <c r="T68" i="18"/>
  <c r="P68" i="18"/>
  <c r="X68" i="18" s="1"/>
  <c r="L68" i="18"/>
  <c r="H68" i="18"/>
  <c r="N68" i="18" s="1"/>
  <c r="D68" i="18"/>
  <c r="B68" i="18"/>
  <c r="T67" i="18"/>
  <c r="P67" i="18"/>
  <c r="L67" i="18"/>
  <c r="H67" i="18"/>
  <c r="N67" i="18" s="1"/>
  <c r="D67" i="18"/>
  <c r="B67" i="18"/>
  <c r="T66" i="18"/>
  <c r="P66" i="18"/>
  <c r="X66" i="18" s="1"/>
  <c r="Z66" i="18" s="1"/>
  <c r="L66" i="18"/>
  <c r="N66" i="18" s="1"/>
  <c r="H66" i="18"/>
  <c r="D66" i="18"/>
  <c r="B66" i="18"/>
  <c r="T65" i="18"/>
  <c r="Z65" i="18" s="1"/>
  <c r="P65" i="18"/>
  <c r="X65" i="18" s="1"/>
  <c r="H65" i="18"/>
  <c r="N65" i="18" s="1"/>
  <c r="D65" i="18"/>
  <c r="L65" i="18" s="1"/>
  <c r="B65" i="18"/>
  <c r="T64" i="18"/>
  <c r="Z64" i="18" s="1"/>
  <c r="P64" i="18"/>
  <c r="X64" i="18" s="1"/>
  <c r="L64" i="18"/>
  <c r="H64" i="18"/>
  <c r="N64" i="18" s="1"/>
  <c r="D64" i="18"/>
  <c r="B64" i="18"/>
  <c r="T63" i="18"/>
  <c r="P63" i="18"/>
  <c r="L63" i="18"/>
  <c r="H63" i="18"/>
  <c r="N63" i="18" s="1"/>
  <c r="D63" i="18"/>
  <c r="B63" i="18"/>
  <c r="T62" i="18"/>
  <c r="P62" i="18"/>
  <c r="X62" i="18" s="1"/>
  <c r="Z62" i="18" s="1"/>
  <c r="L62" i="18"/>
  <c r="N62" i="18" s="1"/>
  <c r="H62" i="18"/>
  <c r="D62" i="18"/>
  <c r="B62" i="18"/>
  <c r="T61" i="18"/>
  <c r="P61" i="18"/>
  <c r="X61" i="18" s="1"/>
  <c r="H61" i="18"/>
  <c r="N61" i="18" s="1"/>
  <c r="D61" i="18"/>
  <c r="L61" i="18" s="1"/>
  <c r="B61" i="18"/>
  <c r="T60" i="18"/>
  <c r="P60" i="18"/>
  <c r="X60" i="18" s="1"/>
  <c r="L60" i="18"/>
  <c r="H60" i="18"/>
  <c r="N60" i="18" s="1"/>
  <c r="D60" i="18"/>
  <c r="B60" i="18"/>
  <c r="T59" i="18"/>
  <c r="P59" i="18"/>
  <c r="L59" i="18"/>
  <c r="H59" i="18"/>
  <c r="D59" i="18"/>
  <c r="B59" i="18"/>
  <c r="T58" i="18"/>
  <c r="P58" i="18"/>
  <c r="X58" i="18" s="1"/>
  <c r="Z58" i="18" s="1"/>
  <c r="N58" i="18"/>
  <c r="L58" i="18"/>
  <c r="H58" i="18"/>
  <c r="D58" i="18"/>
  <c r="B58" i="18"/>
  <c r="T57" i="18"/>
  <c r="P57" i="18"/>
  <c r="X57" i="18" s="1"/>
  <c r="H57" i="18"/>
  <c r="N57" i="18" s="1"/>
  <c r="D57" i="18"/>
  <c r="L57" i="18" s="1"/>
  <c r="B57" i="18"/>
  <c r="T56" i="18"/>
  <c r="P56" i="18"/>
  <c r="X56" i="18" s="1"/>
  <c r="L56" i="18"/>
  <c r="H56" i="18"/>
  <c r="N56" i="18" s="1"/>
  <c r="D56" i="18"/>
  <c r="B56" i="18"/>
  <c r="T55" i="18"/>
  <c r="P55" i="18"/>
  <c r="L55" i="18"/>
  <c r="H55" i="18"/>
  <c r="D55" i="18"/>
  <c r="B55" i="18"/>
  <c r="T54" i="18"/>
  <c r="P54" i="18"/>
  <c r="X54" i="18" s="1"/>
  <c r="Z54" i="18" s="1"/>
  <c r="L54" i="18"/>
  <c r="N54" i="18" s="1"/>
  <c r="H54" i="18"/>
  <c r="D54" i="18"/>
  <c r="B54" i="18"/>
  <c r="T53" i="18"/>
  <c r="P53" i="18"/>
  <c r="H53" i="18"/>
  <c r="N53" i="18" s="1"/>
  <c r="D53" i="18"/>
  <c r="L53" i="18" s="1"/>
  <c r="B53" i="18"/>
  <c r="T52" i="18"/>
  <c r="P52" i="18"/>
  <c r="L52" i="18"/>
  <c r="H52" i="18"/>
  <c r="D52" i="18"/>
  <c r="B52" i="18"/>
  <c r="T51" i="18"/>
  <c r="P51" i="18"/>
  <c r="L51" i="18"/>
  <c r="H51" i="18"/>
  <c r="N51" i="18" s="1"/>
  <c r="D51" i="18"/>
  <c r="B51" i="18"/>
  <c r="T50" i="18"/>
  <c r="P50" i="18"/>
  <c r="X50" i="18" s="1"/>
  <c r="Z50" i="18" s="1"/>
  <c r="L50" i="18"/>
  <c r="N50" i="18" s="1"/>
  <c r="H50" i="18"/>
  <c r="D50" i="18"/>
  <c r="B50" i="18"/>
  <c r="T49" i="18"/>
  <c r="P49" i="18"/>
  <c r="X49" i="18" s="1"/>
  <c r="H49" i="18"/>
  <c r="D49" i="18"/>
  <c r="L49" i="18" s="1"/>
  <c r="B49" i="18"/>
  <c r="T48" i="18"/>
  <c r="P48" i="18"/>
  <c r="X48" i="18" s="1"/>
  <c r="L48" i="18"/>
  <c r="H48" i="18"/>
  <c r="N48" i="18" s="1"/>
  <c r="D48" i="18"/>
  <c r="B48" i="18"/>
  <c r="T47" i="18"/>
  <c r="P47" i="18"/>
  <c r="L47" i="18"/>
  <c r="H47" i="18"/>
  <c r="D47" i="18"/>
  <c r="B47" i="18"/>
  <c r="T46" i="18"/>
  <c r="P46" i="18"/>
  <c r="X46" i="18" s="1"/>
  <c r="Z46" i="18" s="1"/>
  <c r="L46" i="18"/>
  <c r="N46" i="18" s="1"/>
  <c r="H46" i="18"/>
  <c r="D46" i="18"/>
  <c r="B46" i="18"/>
  <c r="T45" i="18"/>
  <c r="P45" i="18"/>
  <c r="X45" i="18" s="1"/>
  <c r="H45" i="18"/>
  <c r="N45" i="18" s="1"/>
  <c r="D45" i="18"/>
  <c r="L45" i="18" s="1"/>
  <c r="B45" i="18"/>
  <c r="T44" i="18"/>
  <c r="P44" i="18"/>
  <c r="L44" i="18"/>
  <c r="H44" i="18"/>
  <c r="N44" i="18" s="1"/>
  <c r="D44" i="18"/>
  <c r="B44" i="18"/>
  <c r="T43" i="18"/>
  <c r="P43" i="18"/>
  <c r="L43" i="18"/>
  <c r="H43" i="18"/>
  <c r="N43" i="18" s="1"/>
  <c r="D43" i="18"/>
  <c r="B43" i="18"/>
  <c r="T42" i="18"/>
  <c r="P42" i="18"/>
  <c r="X42" i="18" s="1"/>
  <c r="Z42" i="18" s="1"/>
  <c r="L42" i="18"/>
  <c r="N42" i="18" s="1"/>
  <c r="H42" i="18"/>
  <c r="D42" i="18"/>
  <c r="B42" i="18"/>
  <c r="T41" i="18"/>
  <c r="P41" i="18"/>
  <c r="H41" i="18"/>
  <c r="D41" i="18"/>
  <c r="L41" i="18" s="1"/>
  <c r="B41" i="18"/>
  <c r="T40" i="18"/>
  <c r="P40" i="18"/>
  <c r="L40" i="18"/>
  <c r="H40" i="18"/>
  <c r="N40" i="18" s="1"/>
  <c r="D40" i="18"/>
  <c r="B40" i="18"/>
  <c r="T39" i="18"/>
  <c r="P39" i="18"/>
  <c r="L39" i="18"/>
  <c r="H39" i="18"/>
  <c r="N39" i="18" s="1"/>
  <c r="D39" i="18"/>
  <c r="B39" i="18"/>
  <c r="T38" i="18"/>
  <c r="P38" i="18"/>
  <c r="X38" i="18" s="1"/>
  <c r="Z38" i="18" s="1"/>
  <c r="L38" i="18"/>
  <c r="N38" i="18" s="1"/>
  <c r="H38" i="18"/>
  <c r="D38" i="18"/>
  <c r="B38" i="18"/>
  <c r="T37" i="18"/>
  <c r="P37" i="18"/>
  <c r="X37" i="18" s="1"/>
  <c r="L37" i="18"/>
  <c r="H37" i="18"/>
  <c r="N37" i="18" s="1"/>
  <c r="D37" i="18"/>
  <c r="B37" i="18"/>
  <c r="T36" i="18"/>
  <c r="P36" i="18"/>
  <c r="L36" i="18"/>
  <c r="H36" i="18"/>
  <c r="N36" i="18" s="1"/>
  <c r="D36" i="18"/>
  <c r="B36" i="18"/>
  <c r="T35" i="18"/>
  <c r="P35" i="18"/>
  <c r="L35" i="18"/>
  <c r="H35" i="18"/>
  <c r="N35" i="18" s="1"/>
  <c r="D35" i="18"/>
  <c r="B35" i="18"/>
  <c r="T34" i="18"/>
  <c r="P34" i="18"/>
  <c r="X34" i="18" s="1"/>
  <c r="Z34" i="18" s="1"/>
  <c r="L34" i="18"/>
  <c r="N34" i="18" s="1"/>
  <c r="H34" i="18"/>
  <c r="D34" i="18"/>
  <c r="B34" i="18"/>
  <c r="T33" i="18"/>
  <c r="P33" i="18"/>
  <c r="X33" i="18" s="1"/>
  <c r="L33" i="18"/>
  <c r="H33" i="18"/>
  <c r="N33" i="18" s="1"/>
  <c r="D33" i="18"/>
  <c r="B33" i="18"/>
  <c r="T32" i="18"/>
  <c r="P32" i="18"/>
  <c r="L32" i="18"/>
  <c r="H32" i="18"/>
  <c r="N32" i="18" s="1"/>
  <c r="D32" i="18"/>
  <c r="B32" i="18"/>
  <c r="T31" i="18"/>
  <c r="P31" i="18"/>
  <c r="L31" i="18"/>
  <c r="H31" i="18"/>
  <c r="N31" i="18" s="1"/>
  <c r="D31" i="18"/>
  <c r="B31" i="18"/>
  <c r="T30" i="18"/>
  <c r="P30" i="18"/>
  <c r="X30" i="18" s="1"/>
  <c r="Z30" i="18" s="1"/>
  <c r="L30" i="18"/>
  <c r="N30" i="18" s="1"/>
  <c r="H30" i="18"/>
  <c r="D30" i="18"/>
  <c r="B30" i="18"/>
  <c r="T29" i="18"/>
  <c r="P29" i="18"/>
  <c r="X29" i="18" s="1"/>
  <c r="L29" i="18"/>
  <c r="H29" i="18"/>
  <c r="N29" i="18" s="1"/>
  <c r="D29" i="18"/>
  <c r="B29" i="18"/>
  <c r="T28" i="18"/>
  <c r="P28" i="18"/>
  <c r="L28" i="18"/>
  <c r="H28" i="18"/>
  <c r="N28" i="18" s="1"/>
  <c r="D28" i="18"/>
  <c r="B28" i="18"/>
  <c r="T27" i="18"/>
  <c r="P27" i="18"/>
  <c r="L27" i="18"/>
  <c r="H27" i="18"/>
  <c r="N27" i="18" s="1"/>
  <c r="D27" i="18"/>
  <c r="B27" i="18"/>
  <c r="T26" i="18"/>
  <c r="Z26" i="18" s="1"/>
  <c r="P26" i="18"/>
  <c r="X26" i="18" s="1"/>
  <c r="L26" i="18"/>
  <c r="N26" i="18" s="1"/>
  <c r="H26" i="18"/>
  <c r="D26" i="18"/>
  <c r="B26" i="18"/>
  <c r="T25" i="18"/>
  <c r="P25" i="18"/>
  <c r="X25" i="18" s="1"/>
  <c r="L25" i="18"/>
  <c r="H25" i="18"/>
  <c r="N25" i="18" s="1"/>
  <c r="D25" i="18"/>
  <c r="B25" i="18"/>
  <c r="T24" i="18"/>
  <c r="P24" i="18"/>
  <c r="L24" i="18"/>
  <c r="H24" i="18"/>
  <c r="N24" i="18" s="1"/>
  <c r="D24" i="18"/>
  <c r="B24" i="18"/>
  <c r="T23" i="18"/>
  <c r="P23" i="18"/>
  <c r="L23" i="18"/>
  <c r="H23" i="18"/>
  <c r="N23" i="18" s="1"/>
  <c r="D23" i="18"/>
  <c r="B23" i="18"/>
  <c r="T22" i="18"/>
  <c r="Z22" i="18" s="1"/>
  <c r="P22" i="18"/>
  <c r="X22" i="18" s="1"/>
  <c r="L22" i="18"/>
  <c r="N22" i="18" s="1"/>
  <c r="H22" i="18"/>
  <c r="D22" i="18"/>
  <c r="B22" i="18"/>
  <c r="T21" i="18"/>
  <c r="P21" i="18"/>
  <c r="X21" i="18" s="1"/>
  <c r="L21" i="18"/>
  <c r="H21" i="18"/>
  <c r="N21" i="18" s="1"/>
  <c r="D21" i="18"/>
  <c r="B21" i="18"/>
  <c r="T20" i="18"/>
  <c r="P20" i="18"/>
  <c r="L20" i="18"/>
  <c r="H20" i="18"/>
  <c r="N20" i="18" s="1"/>
  <c r="D20" i="18"/>
  <c r="B20" i="18"/>
  <c r="T19" i="18"/>
  <c r="P19" i="18"/>
  <c r="L19" i="18"/>
  <c r="H19" i="18"/>
  <c r="N19" i="18" s="1"/>
  <c r="D19" i="18"/>
  <c r="B19" i="18"/>
  <c r="T18" i="18"/>
  <c r="P18" i="18"/>
  <c r="N18" i="18"/>
  <c r="L18" i="18"/>
  <c r="H18" i="18"/>
  <c r="D18" i="18"/>
  <c r="B18" i="18"/>
  <c r="T17" i="18"/>
  <c r="P17" i="18"/>
  <c r="L17" i="18"/>
  <c r="H17" i="18"/>
  <c r="D17" i="18"/>
  <c r="B17" i="18"/>
  <c r="T16" i="18"/>
  <c r="P16" i="18"/>
  <c r="L16" i="18"/>
  <c r="H16" i="18"/>
  <c r="D16" i="18"/>
  <c r="B16" i="18"/>
  <c r="T15" i="18"/>
  <c r="P15" i="18"/>
  <c r="L15" i="18"/>
  <c r="H15" i="18"/>
  <c r="D15" i="18"/>
  <c r="B15" i="18"/>
  <c r="T14" i="18"/>
  <c r="P14" i="18"/>
  <c r="L14" i="18"/>
  <c r="N14" i="18" s="1"/>
  <c r="H14" i="18"/>
  <c r="D14" i="18"/>
  <c r="B14" i="18"/>
  <c r="T13" i="18"/>
  <c r="Z13" i="18" s="1"/>
  <c r="P13" i="18"/>
  <c r="P12" i="18" s="1"/>
  <c r="L13" i="18"/>
  <c r="H13" i="18"/>
  <c r="N13" i="18" s="1"/>
  <c r="D13" i="18"/>
  <c r="D12" i="18" s="1"/>
  <c r="L12" i="18" s="1"/>
  <c r="B13" i="18"/>
  <c r="H12" i="18"/>
  <c r="D4" i="18"/>
  <c r="Z258" i="15"/>
  <c r="X258" i="15"/>
  <c r="L258" i="15"/>
  <c r="N258" i="15" s="1"/>
  <c r="X254" i="15"/>
  <c r="T254" i="15"/>
  <c r="P254" i="15"/>
  <c r="J254" i="15"/>
  <c r="H254" i="15"/>
  <c r="L254" i="15" s="1"/>
  <c r="N254" i="15" s="1"/>
  <c r="D254" i="15"/>
  <c r="B254" i="15"/>
  <c r="T253" i="15"/>
  <c r="P253" i="15"/>
  <c r="H253" i="15"/>
  <c r="D253" i="15"/>
  <c r="B253" i="15"/>
  <c r="T252" i="15"/>
  <c r="P252" i="15"/>
  <c r="X252" i="15" s="1"/>
  <c r="H252" i="15"/>
  <c r="D252" i="15"/>
  <c r="B252" i="15"/>
  <c r="T251" i="15"/>
  <c r="P251" i="15"/>
  <c r="X251" i="15" s="1"/>
  <c r="L251" i="15"/>
  <c r="N251" i="15" s="1"/>
  <c r="H251" i="15"/>
  <c r="D251" i="15"/>
  <c r="B251" i="15"/>
  <c r="T250" i="15"/>
  <c r="Z250" i="15" s="1"/>
  <c r="P250" i="15"/>
  <c r="X250" i="15" s="1"/>
  <c r="H250" i="15"/>
  <c r="D250" i="15"/>
  <c r="B250" i="15"/>
  <c r="T249" i="15"/>
  <c r="Z249" i="15" s="1"/>
  <c r="P249" i="15"/>
  <c r="X249" i="15" s="1"/>
  <c r="N249" i="15"/>
  <c r="H249" i="15"/>
  <c r="D249" i="15"/>
  <c r="L249" i="15" s="1"/>
  <c r="B249" i="15"/>
  <c r="T248" i="15"/>
  <c r="Z248" i="15" s="1"/>
  <c r="P248" i="15"/>
  <c r="X248" i="15" s="1"/>
  <c r="H248" i="15"/>
  <c r="N248" i="15" s="1"/>
  <c r="D248" i="15"/>
  <c r="L248" i="15" s="1"/>
  <c r="B248" i="15"/>
  <c r="Z247" i="15"/>
  <c r="X247" i="15"/>
  <c r="T247" i="15"/>
  <c r="P247" i="15"/>
  <c r="H247" i="15"/>
  <c r="N247" i="15" s="1"/>
  <c r="D247" i="15"/>
  <c r="B247" i="15"/>
  <c r="P246" i="15"/>
  <c r="Z244" i="15"/>
  <c r="X244" i="15"/>
  <c r="L244" i="15"/>
  <c r="N244" i="15" s="1"/>
  <c r="B244" i="15"/>
  <c r="T243" i="15"/>
  <c r="Z243" i="15" s="1"/>
  <c r="P243" i="15"/>
  <c r="X243" i="15" s="1"/>
  <c r="N243" i="15"/>
  <c r="H243" i="15"/>
  <c r="D243" i="15"/>
  <c r="L243" i="15" s="1"/>
  <c r="B243" i="15"/>
  <c r="Z242" i="15"/>
  <c r="X242" i="15"/>
  <c r="N242" i="15"/>
  <c r="L242" i="15"/>
  <c r="B242" i="15"/>
  <c r="Z241" i="15"/>
  <c r="X241" i="15"/>
  <c r="N241" i="15"/>
  <c r="L241" i="15"/>
  <c r="B241" i="15"/>
  <c r="X240" i="15"/>
  <c r="Z240" i="15" s="1"/>
  <c r="N240" i="15"/>
  <c r="L240" i="15"/>
  <c r="B240" i="15"/>
  <c r="T239" i="15"/>
  <c r="R239" i="15"/>
  <c r="P239" i="15"/>
  <c r="X239" i="15" s="1"/>
  <c r="Z239" i="15" s="1"/>
  <c r="H239" i="15"/>
  <c r="D239" i="15"/>
  <c r="L239" i="15" s="1"/>
  <c r="N239" i="15" s="1"/>
  <c r="B239" i="15"/>
  <c r="X238" i="15"/>
  <c r="Z238" i="15" s="1"/>
  <c r="N238" i="15"/>
  <c r="L238" i="15"/>
  <c r="B238" i="15"/>
  <c r="X237" i="15"/>
  <c r="T237" i="15"/>
  <c r="Z237" i="15" s="1"/>
  <c r="P237" i="15"/>
  <c r="L237" i="15"/>
  <c r="N237" i="15" s="1"/>
  <c r="H237" i="15"/>
  <c r="D237" i="15"/>
  <c r="B237" i="15"/>
  <c r="Z236" i="15"/>
  <c r="X236" i="15"/>
  <c r="L236" i="15"/>
  <c r="N236" i="15" s="1"/>
  <c r="B236" i="15"/>
  <c r="Z235" i="15"/>
  <c r="X235" i="15"/>
  <c r="N235" i="15"/>
  <c r="L235" i="15"/>
  <c r="B235" i="15"/>
  <c r="T234" i="15"/>
  <c r="X234" i="15" s="1"/>
  <c r="Z234" i="15" s="1"/>
  <c r="P234" i="15"/>
  <c r="H234" i="15"/>
  <c r="N234" i="15" s="1"/>
  <c r="D234" i="15"/>
  <c r="L234" i="15" s="1"/>
  <c r="B234" i="15"/>
  <c r="Z233" i="15"/>
  <c r="X233" i="15"/>
  <c r="N233" i="15"/>
  <c r="L233" i="15"/>
  <c r="B233" i="15"/>
  <c r="X232" i="15"/>
  <c r="Z232" i="15" s="1"/>
  <c r="N232" i="15"/>
  <c r="L232" i="15"/>
  <c r="J232" i="15"/>
  <c r="B232" i="15"/>
  <c r="Z231" i="15"/>
  <c r="X231" i="15"/>
  <c r="N231" i="15"/>
  <c r="L231" i="15"/>
  <c r="B231" i="15"/>
  <c r="X230" i="15"/>
  <c r="Z230" i="15" s="1"/>
  <c r="N230" i="15"/>
  <c r="L230" i="15"/>
  <c r="B230" i="15"/>
  <c r="Z229" i="15"/>
  <c r="X229" i="15"/>
  <c r="L229" i="15"/>
  <c r="N229" i="15" s="1"/>
  <c r="B229" i="15"/>
  <c r="Z228" i="15"/>
  <c r="X228" i="15"/>
  <c r="N228" i="15"/>
  <c r="L228" i="15"/>
  <c r="B228" i="15"/>
  <c r="Z227" i="15"/>
  <c r="X227" i="15"/>
  <c r="N227" i="15"/>
  <c r="L227" i="15"/>
  <c r="B227" i="15"/>
  <c r="T226" i="15"/>
  <c r="P226" i="15"/>
  <c r="H226" i="15"/>
  <c r="D226" i="15"/>
  <c r="L226" i="15" s="1"/>
  <c r="B226" i="15"/>
  <c r="X225" i="15"/>
  <c r="Z225" i="15" s="1"/>
  <c r="R225" i="15"/>
  <c r="N225" i="15"/>
  <c r="L225" i="15"/>
  <c r="B225" i="15"/>
  <c r="Z224" i="15"/>
  <c r="X224" i="15"/>
  <c r="N224" i="15"/>
  <c r="L224" i="15"/>
  <c r="J224" i="15"/>
  <c r="B224" i="15"/>
  <c r="T223" i="15"/>
  <c r="Z223" i="15" s="1"/>
  <c r="P223" i="15"/>
  <c r="X223" i="15" s="1"/>
  <c r="H223" i="15"/>
  <c r="D223" i="15"/>
  <c r="B223" i="15"/>
  <c r="X222" i="15"/>
  <c r="Z222" i="15" s="1"/>
  <c r="N222" i="15"/>
  <c r="L222" i="15"/>
  <c r="B222" i="15"/>
  <c r="Z221" i="15"/>
  <c r="X221" i="15"/>
  <c r="L221" i="15"/>
  <c r="N221" i="15" s="1"/>
  <c r="B221" i="15"/>
  <c r="Z220" i="15"/>
  <c r="X220" i="15"/>
  <c r="N220" i="15"/>
  <c r="L220" i="15"/>
  <c r="B220" i="15"/>
  <c r="Z219" i="15"/>
  <c r="X219" i="15"/>
  <c r="L219" i="15"/>
  <c r="N219" i="15" s="1"/>
  <c r="B219" i="15"/>
  <c r="T218" i="15"/>
  <c r="P218" i="15"/>
  <c r="X218" i="15" s="1"/>
  <c r="J218" i="15"/>
  <c r="H218" i="15"/>
  <c r="L218" i="15" s="1"/>
  <c r="N218" i="15" s="1"/>
  <c r="D218" i="15"/>
  <c r="B218" i="15"/>
  <c r="X217" i="15"/>
  <c r="Z217" i="15" s="1"/>
  <c r="L217" i="15"/>
  <c r="N217" i="15" s="1"/>
  <c r="B217" i="15"/>
  <c r="Z216" i="15"/>
  <c r="X216" i="15"/>
  <c r="N216" i="15"/>
  <c r="L216" i="15"/>
  <c r="B216" i="15"/>
  <c r="X215" i="15"/>
  <c r="Z215" i="15" s="1"/>
  <c r="N215" i="15"/>
  <c r="L215" i="15"/>
  <c r="B215" i="15"/>
  <c r="T214" i="15"/>
  <c r="P214" i="15"/>
  <c r="X214" i="15" s="1"/>
  <c r="Z214" i="15" s="1"/>
  <c r="H214" i="15"/>
  <c r="D214" i="15"/>
  <c r="L214" i="15" s="1"/>
  <c r="N214" i="15" s="1"/>
  <c r="B214" i="15"/>
  <c r="X213" i="15"/>
  <c r="Z213" i="15" s="1"/>
  <c r="N213" i="15"/>
  <c r="L213" i="15"/>
  <c r="B213" i="15"/>
  <c r="Z212" i="15"/>
  <c r="X212" i="15"/>
  <c r="N212" i="15"/>
  <c r="L212" i="15"/>
  <c r="J212" i="15"/>
  <c r="B212" i="15"/>
  <c r="Z211" i="15"/>
  <c r="X211" i="15"/>
  <c r="N211" i="15"/>
  <c r="L211" i="15"/>
  <c r="B211" i="15"/>
  <c r="Z210" i="15"/>
  <c r="X210" i="15"/>
  <c r="L210" i="15"/>
  <c r="N210" i="15" s="1"/>
  <c r="B210" i="15"/>
  <c r="T209" i="15"/>
  <c r="P209" i="15"/>
  <c r="H209" i="15"/>
  <c r="D209" i="15"/>
  <c r="L209" i="15" s="1"/>
  <c r="B209" i="15"/>
  <c r="Z208" i="15"/>
  <c r="X208" i="15"/>
  <c r="N208" i="15"/>
  <c r="L208" i="15"/>
  <c r="B208" i="15"/>
  <c r="T207" i="15"/>
  <c r="P207" i="15"/>
  <c r="X207" i="15" s="1"/>
  <c r="H207" i="15"/>
  <c r="D207" i="15"/>
  <c r="L207" i="15" s="1"/>
  <c r="N207" i="15" s="1"/>
  <c r="B207" i="15"/>
  <c r="Z206" i="15"/>
  <c r="X206" i="15"/>
  <c r="N206" i="15"/>
  <c r="L206" i="15"/>
  <c r="B206" i="15"/>
  <c r="T205" i="15"/>
  <c r="Z205" i="15" s="1"/>
  <c r="P205" i="15"/>
  <c r="X205" i="15" s="1"/>
  <c r="N205" i="15"/>
  <c r="L205" i="15"/>
  <c r="H205" i="15"/>
  <c r="D205" i="15"/>
  <c r="B205" i="15"/>
  <c r="Z204" i="15"/>
  <c r="X204" i="15"/>
  <c r="N204" i="15"/>
  <c r="L204" i="15"/>
  <c r="J204" i="15"/>
  <c r="B204" i="15"/>
  <c r="T203" i="15"/>
  <c r="P203" i="15"/>
  <c r="X203" i="15" s="1"/>
  <c r="H203" i="15"/>
  <c r="D203" i="15"/>
  <c r="B203" i="15"/>
  <c r="X202" i="15"/>
  <c r="Z202" i="15" s="1"/>
  <c r="N202" i="15"/>
  <c r="L202" i="15"/>
  <c r="B202" i="15"/>
  <c r="T201" i="15"/>
  <c r="P201" i="15"/>
  <c r="X201" i="15" s="1"/>
  <c r="Z201" i="15" s="1"/>
  <c r="H201" i="15"/>
  <c r="N201" i="15" s="1"/>
  <c r="D201" i="15"/>
  <c r="L201" i="15" s="1"/>
  <c r="B201" i="15"/>
  <c r="X200" i="15"/>
  <c r="Z200" i="15" s="1"/>
  <c r="N200" i="15"/>
  <c r="L200" i="15"/>
  <c r="B200" i="15"/>
  <c r="X199" i="15"/>
  <c r="T199" i="15"/>
  <c r="P199" i="15"/>
  <c r="H199" i="15"/>
  <c r="D199" i="15"/>
  <c r="L199" i="15" s="1"/>
  <c r="B199" i="15"/>
  <c r="Z198" i="15"/>
  <c r="X198" i="15"/>
  <c r="N198" i="15"/>
  <c r="L198" i="15"/>
  <c r="B198" i="15"/>
  <c r="X197" i="15"/>
  <c r="Z197" i="15" s="1"/>
  <c r="L197" i="15"/>
  <c r="N197" i="15" s="1"/>
  <c r="B197" i="15"/>
  <c r="Z196" i="15"/>
  <c r="X196" i="15"/>
  <c r="T196" i="15"/>
  <c r="P196" i="15"/>
  <c r="H196" i="15"/>
  <c r="L196" i="15" s="1"/>
  <c r="N196" i="15" s="1"/>
  <c r="D196" i="15"/>
  <c r="B196" i="15"/>
  <c r="Z195" i="15"/>
  <c r="X195" i="15"/>
  <c r="L195" i="15"/>
  <c r="N195" i="15" s="1"/>
  <c r="B195" i="15"/>
  <c r="T194" i="15"/>
  <c r="P194" i="15"/>
  <c r="X194" i="15" s="1"/>
  <c r="J194" i="15"/>
  <c r="H194" i="15"/>
  <c r="D194" i="15"/>
  <c r="L194" i="15" s="1"/>
  <c r="N194" i="15" s="1"/>
  <c r="B194" i="15"/>
  <c r="X193" i="15"/>
  <c r="Z193" i="15" s="1"/>
  <c r="L193" i="15"/>
  <c r="N193" i="15" s="1"/>
  <c r="B193" i="15"/>
  <c r="X192" i="15"/>
  <c r="Z192" i="15" s="1"/>
  <c r="T192" i="15"/>
  <c r="P192" i="15"/>
  <c r="H192" i="15"/>
  <c r="D192" i="15"/>
  <c r="L192" i="15" s="1"/>
  <c r="N192" i="15" s="1"/>
  <c r="B192" i="15"/>
  <c r="Z191" i="15"/>
  <c r="X191" i="15"/>
  <c r="N191" i="15"/>
  <c r="L191" i="15"/>
  <c r="B191" i="15"/>
  <c r="T190" i="15"/>
  <c r="X190" i="15" s="1"/>
  <c r="Z190" i="15" s="1"/>
  <c r="P190" i="15"/>
  <c r="N190" i="15"/>
  <c r="L190" i="15"/>
  <c r="H190" i="15"/>
  <c r="D190" i="15"/>
  <c r="B190" i="15"/>
  <c r="X189" i="15"/>
  <c r="Z189" i="15" s="1"/>
  <c r="L189" i="15"/>
  <c r="N189" i="15" s="1"/>
  <c r="B189" i="15"/>
  <c r="Z188" i="15"/>
  <c r="X188" i="15"/>
  <c r="L188" i="15"/>
  <c r="N188" i="15" s="1"/>
  <c r="B188" i="15"/>
  <c r="T187" i="15"/>
  <c r="Z187" i="15" s="1"/>
  <c r="P187" i="15"/>
  <c r="X187" i="15" s="1"/>
  <c r="H187" i="15"/>
  <c r="D187" i="15"/>
  <c r="L187" i="15" s="1"/>
  <c r="N187" i="15" s="1"/>
  <c r="B187" i="15"/>
  <c r="Z186" i="15"/>
  <c r="X186" i="15"/>
  <c r="N186" i="15"/>
  <c r="L186" i="15"/>
  <c r="B186" i="15"/>
  <c r="X185" i="15"/>
  <c r="Z185" i="15" s="1"/>
  <c r="L185" i="15"/>
  <c r="N185" i="15" s="1"/>
  <c r="B185" i="15"/>
  <c r="T184" i="15"/>
  <c r="P184" i="15"/>
  <c r="X184" i="15" s="1"/>
  <c r="Z184" i="15" s="1"/>
  <c r="H184" i="15"/>
  <c r="N184" i="15" s="1"/>
  <c r="D184" i="15"/>
  <c r="L184" i="15" s="1"/>
  <c r="B184" i="15"/>
  <c r="Z183" i="15"/>
  <c r="X183" i="15"/>
  <c r="N183" i="15"/>
  <c r="L183" i="15"/>
  <c r="B183" i="15"/>
  <c r="Z182" i="15"/>
  <c r="T182" i="15"/>
  <c r="X182" i="15" s="1"/>
  <c r="P182" i="15"/>
  <c r="N182" i="15"/>
  <c r="L182" i="15"/>
  <c r="H182" i="15"/>
  <c r="D182" i="15"/>
  <c r="B182" i="15"/>
  <c r="Z181" i="15"/>
  <c r="X181" i="15"/>
  <c r="L181" i="15"/>
  <c r="N181" i="15" s="1"/>
  <c r="B181" i="15"/>
  <c r="Z180" i="15"/>
  <c r="X180" i="15"/>
  <c r="L180" i="15"/>
  <c r="N180" i="15" s="1"/>
  <c r="B180" i="15"/>
  <c r="T179" i="15"/>
  <c r="P179" i="15"/>
  <c r="X179" i="15" s="1"/>
  <c r="H179" i="15"/>
  <c r="D179" i="15"/>
  <c r="L179" i="15" s="1"/>
  <c r="N179" i="15" s="1"/>
  <c r="B179" i="15"/>
  <c r="Z178" i="15"/>
  <c r="X178" i="15"/>
  <c r="N178" i="15"/>
  <c r="L178" i="15"/>
  <c r="B178" i="15"/>
  <c r="T177" i="15"/>
  <c r="Z177" i="15" s="1"/>
  <c r="P177" i="15"/>
  <c r="X177" i="15" s="1"/>
  <c r="L177" i="15"/>
  <c r="N177" i="15" s="1"/>
  <c r="H177" i="15"/>
  <c r="D177" i="15"/>
  <c r="B177" i="15"/>
  <c r="Z176" i="15"/>
  <c r="X176" i="15"/>
  <c r="N176" i="15"/>
  <c r="L176" i="15"/>
  <c r="J176" i="15"/>
  <c r="B176" i="15"/>
  <c r="Z175" i="15"/>
  <c r="X175" i="15"/>
  <c r="N175" i="15"/>
  <c r="L175" i="15"/>
  <c r="B175" i="15"/>
  <c r="Z174" i="15"/>
  <c r="X174" i="15"/>
  <c r="N174" i="15"/>
  <c r="L174" i="15"/>
  <c r="B174" i="15"/>
  <c r="X173" i="15"/>
  <c r="Z173" i="15" s="1"/>
  <c r="L173" i="15"/>
  <c r="N173" i="15" s="1"/>
  <c r="B173" i="15"/>
  <c r="Z172" i="15"/>
  <c r="X172" i="15"/>
  <c r="N172" i="15"/>
  <c r="L172" i="15"/>
  <c r="J172" i="15"/>
  <c r="B172" i="15"/>
  <c r="Z171" i="15"/>
  <c r="X171" i="15"/>
  <c r="N171" i="15"/>
  <c r="L171" i="15"/>
  <c r="B171" i="15"/>
  <c r="Z170" i="15"/>
  <c r="X170" i="15"/>
  <c r="L170" i="15"/>
  <c r="N170" i="15" s="1"/>
  <c r="B170" i="15"/>
  <c r="T169" i="15"/>
  <c r="P169" i="15"/>
  <c r="H169" i="15"/>
  <c r="D169" i="15"/>
  <c r="L169" i="15" s="1"/>
  <c r="B169" i="15"/>
  <c r="Z168" i="15"/>
  <c r="X168" i="15"/>
  <c r="L168" i="15"/>
  <c r="N168" i="15" s="1"/>
  <c r="B168" i="15"/>
  <c r="Z167" i="15"/>
  <c r="X167" i="15"/>
  <c r="L167" i="15"/>
  <c r="N167" i="15" s="1"/>
  <c r="B167" i="15"/>
  <c r="X166" i="15"/>
  <c r="Z166" i="15" s="1"/>
  <c r="N166" i="15"/>
  <c r="L166" i="15"/>
  <c r="B166" i="15"/>
  <c r="X165" i="15"/>
  <c r="Z165" i="15" s="1"/>
  <c r="L165" i="15"/>
  <c r="N165" i="15" s="1"/>
  <c r="B165" i="15"/>
  <c r="Z164" i="15"/>
  <c r="X164" i="15"/>
  <c r="N164" i="15"/>
  <c r="L164" i="15"/>
  <c r="B164" i="15"/>
  <c r="Z163" i="15"/>
  <c r="X163" i="15"/>
  <c r="L163" i="15"/>
  <c r="N163" i="15" s="1"/>
  <c r="B163" i="15"/>
  <c r="X162" i="15"/>
  <c r="Z162" i="15" s="1"/>
  <c r="N162" i="15"/>
  <c r="L162" i="15"/>
  <c r="B162" i="15"/>
  <c r="X161" i="15"/>
  <c r="Z161" i="15" s="1"/>
  <c r="L161" i="15"/>
  <c r="N161" i="15" s="1"/>
  <c r="B161" i="15"/>
  <c r="Z160" i="15"/>
  <c r="X160" i="15"/>
  <c r="L160" i="15"/>
  <c r="N160" i="15" s="1"/>
  <c r="B160" i="15"/>
  <c r="Z159" i="15"/>
  <c r="X159" i="15"/>
  <c r="L159" i="15"/>
  <c r="N159" i="15" s="1"/>
  <c r="B159" i="15"/>
  <c r="T158" i="15"/>
  <c r="P158" i="15"/>
  <c r="X158" i="15" s="1"/>
  <c r="J158" i="15"/>
  <c r="H158" i="15"/>
  <c r="D158" i="15"/>
  <c r="L158" i="15" s="1"/>
  <c r="N158" i="15" s="1"/>
  <c r="B158" i="15"/>
  <c r="T157" i="15"/>
  <c r="P157" i="15"/>
  <c r="X157" i="15" s="1"/>
  <c r="H157" i="15"/>
  <c r="D157" i="15"/>
  <c r="L157" i="15" s="1"/>
  <c r="X153" i="15"/>
  <c r="Z153" i="15" s="1"/>
  <c r="N153" i="15"/>
  <c r="L153" i="15"/>
  <c r="B153" i="15"/>
  <c r="Z152" i="15"/>
  <c r="X152" i="15"/>
  <c r="N152" i="15"/>
  <c r="L152" i="15"/>
  <c r="B152" i="15"/>
  <c r="X151" i="15"/>
  <c r="Z151" i="15" s="1"/>
  <c r="N151" i="15"/>
  <c r="L151" i="15"/>
  <c r="B151" i="15"/>
  <c r="Z150" i="15"/>
  <c r="X150" i="15"/>
  <c r="N150" i="15"/>
  <c r="L150" i="15"/>
  <c r="B150" i="15"/>
  <c r="X149" i="15"/>
  <c r="Z149" i="15" s="1"/>
  <c r="L149" i="15"/>
  <c r="N149" i="15" s="1"/>
  <c r="B149" i="15"/>
  <c r="Z148" i="15"/>
  <c r="X148" i="15"/>
  <c r="N148" i="15"/>
  <c r="L148" i="15"/>
  <c r="B148" i="15"/>
  <c r="X147" i="15"/>
  <c r="Z147" i="15" s="1"/>
  <c r="N147" i="15"/>
  <c r="L147" i="15"/>
  <c r="B147" i="15"/>
  <c r="Z146" i="15"/>
  <c r="X146" i="15"/>
  <c r="N146" i="15"/>
  <c r="L146" i="15"/>
  <c r="B146" i="15"/>
  <c r="X145" i="15"/>
  <c r="Z145" i="15" s="1"/>
  <c r="L145" i="15"/>
  <c r="N145" i="15" s="1"/>
  <c r="B145" i="15"/>
  <c r="Z144" i="15"/>
  <c r="X144" i="15"/>
  <c r="N144" i="15"/>
  <c r="L144" i="15"/>
  <c r="B144" i="15"/>
  <c r="X143" i="15"/>
  <c r="Z143" i="15" s="1"/>
  <c r="N143" i="15"/>
  <c r="L143" i="15"/>
  <c r="B143" i="15"/>
  <c r="Z142" i="15"/>
  <c r="X142" i="15"/>
  <c r="N142" i="15"/>
  <c r="L142" i="15"/>
  <c r="B142" i="15"/>
  <c r="X141" i="15"/>
  <c r="Z141" i="15" s="1"/>
  <c r="L141" i="15"/>
  <c r="N141" i="15" s="1"/>
  <c r="B141" i="15"/>
  <c r="Z140" i="15"/>
  <c r="X140" i="15"/>
  <c r="N140" i="15"/>
  <c r="L140" i="15"/>
  <c r="B140" i="15"/>
  <c r="X139" i="15"/>
  <c r="Z139" i="15" s="1"/>
  <c r="N139" i="15"/>
  <c r="L139" i="15"/>
  <c r="B139" i="15"/>
  <c r="Z138" i="15"/>
  <c r="X138" i="15"/>
  <c r="N138" i="15"/>
  <c r="L138" i="15"/>
  <c r="B138" i="15"/>
  <c r="X137" i="15"/>
  <c r="Z137" i="15" s="1"/>
  <c r="L137" i="15"/>
  <c r="N137" i="15" s="1"/>
  <c r="B137" i="15"/>
  <c r="Z136" i="15"/>
  <c r="X136" i="15"/>
  <c r="N136" i="15"/>
  <c r="L136" i="15"/>
  <c r="B136" i="15"/>
  <c r="X135" i="15"/>
  <c r="Z135" i="15" s="1"/>
  <c r="N135" i="15"/>
  <c r="L135" i="15"/>
  <c r="B135" i="15"/>
  <c r="Z134" i="15"/>
  <c r="X134" i="15"/>
  <c r="N134" i="15"/>
  <c r="L134" i="15"/>
  <c r="B134" i="15"/>
  <c r="X133" i="15"/>
  <c r="Z133" i="15" s="1"/>
  <c r="L133" i="15"/>
  <c r="N133" i="15" s="1"/>
  <c r="B133" i="15"/>
  <c r="Z132" i="15"/>
  <c r="X132" i="15"/>
  <c r="N132" i="15"/>
  <c r="L132" i="15"/>
  <c r="B132" i="15"/>
  <c r="X131" i="15"/>
  <c r="Z131" i="15" s="1"/>
  <c r="N131" i="15"/>
  <c r="L131" i="15"/>
  <c r="B131" i="15"/>
  <c r="Z130" i="15"/>
  <c r="X130" i="15"/>
  <c r="N130" i="15"/>
  <c r="L130" i="15"/>
  <c r="B130" i="15"/>
  <c r="X129" i="15"/>
  <c r="Z129" i="15" s="1"/>
  <c r="L129" i="15"/>
  <c r="N129" i="15" s="1"/>
  <c r="B129" i="15"/>
  <c r="Z128" i="15"/>
  <c r="X128" i="15"/>
  <c r="N128" i="15"/>
  <c r="L128" i="15"/>
  <c r="B128" i="15"/>
  <c r="X127" i="15"/>
  <c r="Z127" i="15" s="1"/>
  <c r="N127" i="15"/>
  <c r="L127" i="15"/>
  <c r="B127" i="15"/>
  <c r="Z126" i="15"/>
  <c r="X126" i="15"/>
  <c r="N126" i="15"/>
  <c r="L126" i="15"/>
  <c r="B126" i="15"/>
  <c r="X125" i="15"/>
  <c r="Z125" i="15" s="1"/>
  <c r="L125" i="15"/>
  <c r="N125" i="15" s="1"/>
  <c r="B125" i="15"/>
  <c r="Z124" i="15"/>
  <c r="X124" i="15"/>
  <c r="N124" i="15"/>
  <c r="L124" i="15"/>
  <c r="B124" i="15"/>
  <c r="X123" i="15"/>
  <c r="Z123" i="15" s="1"/>
  <c r="N123" i="15"/>
  <c r="L123" i="15"/>
  <c r="B123" i="15"/>
  <c r="Z122" i="15"/>
  <c r="X122" i="15"/>
  <c r="N122" i="15"/>
  <c r="L122" i="15"/>
  <c r="B122" i="15"/>
  <c r="X121" i="15"/>
  <c r="Z121" i="15" s="1"/>
  <c r="L121" i="15"/>
  <c r="N121" i="15" s="1"/>
  <c r="B121" i="15"/>
  <c r="Z120" i="15"/>
  <c r="X120" i="15"/>
  <c r="N120" i="15"/>
  <c r="L120" i="15"/>
  <c r="B120" i="15"/>
  <c r="X119" i="15"/>
  <c r="Z119" i="15" s="1"/>
  <c r="N119" i="15"/>
  <c r="L119" i="15"/>
  <c r="B119" i="15"/>
  <c r="Z118" i="15"/>
  <c r="X118" i="15"/>
  <c r="N118" i="15"/>
  <c r="L118" i="15"/>
  <c r="B118" i="15"/>
  <c r="X117" i="15"/>
  <c r="Z117" i="15" s="1"/>
  <c r="L117" i="15"/>
  <c r="N117" i="15" s="1"/>
  <c r="B117" i="15"/>
  <c r="Z116" i="15"/>
  <c r="X116" i="15"/>
  <c r="N116" i="15"/>
  <c r="L116" i="15"/>
  <c r="B116" i="15"/>
  <c r="X115" i="15"/>
  <c r="Z115" i="15" s="1"/>
  <c r="N115" i="15"/>
  <c r="L115" i="15"/>
  <c r="B115" i="15"/>
  <c r="Z114" i="15"/>
  <c r="X114" i="15"/>
  <c r="N114" i="15"/>
  <c r="L114" i="15"/>
  <c r="B114" i="15"/>
  <c r="Z113" i="15"/>
  <c r="X113" i="15"/>
  <c r="N113" i="15"/>
  <c r="L113" i="15"/>
  <c r="B113" i="15"/>
  <c r="Z112" i="15"/>
  <c r="X112" i="15"/>
  <c r="N112" i="15"/>
  <c r="L112" i="15"/>
  <c r="B112" i="15"/>
  <c r="X111" i="15"/>
  <c r="Z111" i="15" s="1"/>
  <c r="N111" i="15"/>
  <c r="L111" i="15"/>
  <c r="B111" i="15"/>
  <c r="Z110" i="15"/>
  <c r="X110" i="15"/>
  <c r="N110" i="15"/>
  <c r="L110" i="15"/>
  <c r="B110" i="15"/>
  <c r="X109" i="15"/>
  <c r="Z109" i="15" s="1"/>
  <c r="L109" i="15"/>
  <c r="N109" i="15" s="1"/>
  <c r="B109" i="15"/>
  <c r="Z108" i="15"/>
  <c r="X108" i="15"/>
  <c r="N108" i="15"/>
  <c r="L108" i="15"/>
  <c r="B108" i="15"/>
  <c r="X107" i="15"/>
  <c r="Z107" i="15" s="1"/>
  <c r="N107" i="15"/>
  <c r="L107" i="15"/>
  <c r="B107" i="15"/>
  <c r="Z106" i="15"/>
  <c r="X106" i="15"/>
  <c r="N106" i="15"/>
  <c r="L106" i="15"/>
  <c r="B106" i="15"/>
  <c r="T105" i="15"/>
  <c r="P105" i="15"/>
  <c r="X105" i="15" s="1"/>
  <c r="L105" i="15"/>
  <c r="H105" i="15"/>
  <c r="N105" i="15" s="1"/>
  <c r="D105" i="15"/>
  <c r="X103" i="15"/>
  <c r="T103" i="15"/>
  <c r="Z103" i="15" s="1"/>
  <c r="P103" i="15"/>
  <c r="H103" i="15"/>
  <c r="N103" i="15" s="1"/>
  <c r="D103" i="15"/>
  <c r="L103" i="15" s="1"/>
  <c r="B103" i="15"/>
  <c r="T102" i="15"/>
  <c r="X102" i="15" s="1"/>
  <c r="Z102" i="15" s="1"/>
  <c r="P102" i="15"/>
  <c r="N102" i="15"/>
  <c r="L102" i="15"/>
  <c r="H102" i="15"/>
  <c r="D102" i="15"/>
  <c r="B102" i="15"/>
  <c r="X101" i="15"/>
  <c r="T101" i="15"/>
  <c r="Z101" i="15" s="1"/>
  <c r="P101" i="15"/>
  <c r="H101" i="15"/>
  <c r="D101" i="15"/>
  <c r="L101" i="15" s="1"/>
  <c r="N101" i="15" s="1"/>
  <c r="B101" i="15"/>
  <c r="T100" i="15"/>
  <c r="P100" i="15"/>
  <c r="X100" i="15" s="1"/>
  <c r="N100" i="15"/>
  <c r="H100" i="15"/>
  <c r="L100" i="15" s="1"/>
  <c r="D100" i="15"/>
  <c r="B100" i="15"/>
  <c r="X99" i="15"/>
  <c r="T99" i="15"/>
  <c r="Z99" i="15" s="1"/>
  <c r="P99" i="15"/>
  <c r="H99" i="15"/>
  <c r="N99" i="15" s="1"/>
  <c r="D99" i="15"/>
  <c r="L99" i="15" s="1"/>
  <c r="B99" i="15"/>
  <c r="T98" i="15"/>
  <c r="X98" i="15" s="1"/>
  <c r="Z98" i="15" s="1"/>
  <c r="P98" i="15"/>
  <c r="N98" i="15"/>
  <c r="L98" i="15"/>
  <c r="H98" i="15"/>
  <c r="D98" i="15"/>
  <c r="B98" i="15"/>
  <c r="X97" i="15"/>
  <c r="T97" i="15"/>
  <c r="Z97" i="15" s="1"/>
  <c r="P97" i="15"/>
  <c r="H97" i="15"/>
  <c r="D97" i="15"/>
  <c r="L97" i="15" s="1"/>
  <c r="N97" i="15" s="1"/>
  <c r="B97" i="15"/>
  <c r="T96" i="15"/>
  <c r="Z96" i="15" s="1"/>
  <c r="P96" i="15"/>
  <c r="X96" i="15" s="1"/>
  <c r="N96" i="15"/>
  <c r="H96" i="15"/>
  <c r="L96" i="15" s="1"/>
  <c r="D96" i="15"/>
  <c r="B96" i="15"/>
  <c r="T95" i="15"/>
  <c r="P95" i="15"/>
  <c r="H95" i="15"/>
  <c r="D95" i="15"/>
  <c r="L95" i="15" s="1"/>
  <c r="B95" i="15"/>
  <c r="T94" i="15"/>
  <c r="X94" i="15" s="1"/>
  <c r="Z94" i="15" s="1"/>
  <c r="P94" i="15"/>
  <c r="L94" i="15"/>
  <c r="N94" i="15" s="1"/>
  <c r="H94" i="15"/>
  <c r="D94" i="15"/>
  <c r="B94" i="15"/>
  <c r="X93" i="15"/>
  <c r="T93" i="15"/>
  <c r="Z93" i="15" s="1"/>
  <c r="P93" i="15"/>
  <c r="N93" i="15"/>
  <c r="H93" i="15"/>
  <c r="D93" i="15"/>
  <c r="L93" i="15" s="1"/>
  <c r="B93" i="15"/>
  <c r="T92" i="15"/>
  <c r="Z92" i="15" s="1"/>
  <c r="P92" i="15"/>
  <c r="X92" i="15" s="1"/>
  <c r="H92" i="15"/>
  <c r="L92" i="15" s="1"/>
  <c r="N92" i="15" s="1"/>
  <c r="D92" i="15"/>
  <c r="B92" i="15"/>
  <c r="T91" i="15"/>
  <c r="P91" i="15"/>
  <c r="H91" i="15"/>
  <c r="D91" i="15"/>
  <c r="L91" i="15" s="1"/>
  <c r="B91" i="15"/>
  <c r="T90" i="15"/>
  <c r="X90" i="15" s="1"/>
  <c r="Z90" i="15" s="1"/>
  <c r="P90" i="15"/>
  <c r="N90" i="15"/>
  <c r="L90" i="15"/>
  <c r="H90" i="15"/>
  <c r="D90" i="15"/>
  <c r="B90" i="15"/>
  <c r="X89" i="15"/>
  <c r="T89" i="15"/>
  <c r="Z89" i="15" s="1"/>
  <c r="P89" i="15"/>
  <c r="H89" i="15"/>
  <c r="D89" i="15"/>
  <c r="L89" i="15" s="1"/>
  <c r="N89" i="15" s="1"/>
  <c r="B89" i="15"/>
  <c r="T88" i="15"/>
  <c r="Z88" i="15" s="1"/>
  <c r="P88" i="15"/>
  <c r="X88" i="15" s="1"/>
  <c r="N88" i="15"/>
  <c r="H88" i="15"/>
  <c r="L88" i="15" s="1"/>
  <c r="D88" i="15"/>
  <c r="B88" i="15"/>
  <c r="T87" i="15"/>
  <c r="P87" i="15"/>
  <c r="H87" i="15"/>
  <c r="D87" i="15"/>
  <c r="L87" i="15" s="1"/>
  <c r="B87" i="15"/>
  <c r="T86" i="15"/>
  <c r="X86" i="15" s="1"/>
  <c r="Z86" i="15" s="1"/>
  <c r="P86" i="15"/>
  <c r="L86" i="15"/>
  <c r="N86" i="15" s="1"/>
  <c r="H86" i="15"/>
  <c r="D86" i="15"/>
  <c r="B86" i="15"/>
  <c r="X85" i="15"/>
  <c r="T85" i="15"/>
  <c r="Z85" i="15" s="1"/>
  <c r="P85" i="15"/>
  <c r="H85" i="15"/>
  <c r="D85" i="15"/>
  <c r="L85" i="15" s="1"/>
  <c r="N85" i="15" s="1"/>
  <c r="B85" i="15"/>
  <c r="T84" i="15"/>
  <c r="P84" i="15"/>
  <c r="X84" i="15" s="1"/>
  <c r="H84" i="15"/>
  <c r="L84" i="15" s="1"/>
  <c r="N84" i="15" s="1"/>
  <c r="D84" i="15"/>
  <c r="B84" i="15"/>
  <c r="T83" i="15"/>
  <c r="P83" i="15"/>
  <c r="H83" i="15"/>
  <c r="D83" i="15"/>
  <c r="L83" i="15" s="1"/>
  <c r="B83" i="15"/>
  <c r="T82" i="15"/>
  <c r="X82" i="15" s="1"/>
  <c r="Z82" i="15" s="1"/>
  <c r="P82" i="15"/>
  <c r="L82" i="15"/>
  <c r="N82" i="15" s="1"/>
  <c r="H82" i="15"/>
  <c r="D82" i="15"/>
  <c r="B82" i="15"/>
  <c r="X81" i="15"/>
  <c r="T81" i="15"/>
  <c r="P81" i="15"/>
  <c r="H81" i="15"/>
  <c r="D81" i="15"/>
  <c r="L81" i="15" s="1"/>
  <c r="N81" i="15" s="1"/>
  <c r="B81" i="15"/>
  <c r="T80" i="15"/>
  <c r="Z80" i="15" s="1"/>
  <c r="P80" i="15"/>
  <c r="X80" i="15" s="1"/>
  <c r="N80" i="15"/>
  <c r="H80" i="15"/>
  <c r="L80" i="15" s="1"/>
  <c r="D80" i="15"/>
  <c r="B80" i="15"/>
  <c r="T79" i="15"/>
  <c r="P79" i="15"/>
  <c r="H79" i="15"/>
  <c r="D79" i="15"/>
  <c r="L79" i="15" s="1"/>
  <c r="B79" i="15"/>
  <c r="T78" i="15"/>
  <c r="X78" i="15" s="1"/>
  <c r="Z78" i="15" s="1"/>
  <c r="P78" i="15"/>
  <c r="L78" i="15"/>
  <c r="N78" i="15" s="1"/>
  <c r="H78" i="15"/>
  <c r="D78" i="15"/>
  <c r="B78" i="15"/>
  <c r="X77" i="15"/>
  <c r="T77" i="15"/>
  <c r="P77" i="15"/>
  <c r="H77" i="15"/>
  <c r="D77" i="15"/>
  <c r="L77" i="15" s="1"/>
  <c r="N77" i="15" s="1"/>
  <c r="B77" i="15"/>
  <c r="T76" i="15"/>
  <c r="Z76" i="15" s="1"/>
  <c r="P76" i="15"/>
  <c r="X76" i="15" s="1"/>
  <c r="N76" i="15"/>
  <c r="H76" i="15"/>
  <c r="L76" i="15" s="1"/>
  <c r="D76" i="15"/>
  <c r="B76" i="15"/>
  <c r="T75" i="15"/>
  <c r="P75" i="15"/>
  <c r="H75" i="15"/>
  <c r="D75" i="15"/>
  <c r="L75" i="15" s="1"/>
  <c r="B75" i="15"/>
  <c r="T74" i="15"/>
  <c r="X74" i="15" s="1"/>
  <c r="Z74" i="15" s="1"/>
  <c r="P74" i="15"/>
  <c r="L74" i="15"/>
  <c r="N74" i="15" s="1"/>
  <c r="H74" i="15"/>
  <c r="D74" i="15"/>
  <c r="B74" i="15"/>
  <c r="X73" i="15"/>
  <c r="T73" i="15"/>
  <c r="Z73" i="15" s="1"/>
  <c r="P73" i="15"/>
  <c r="H73" i="15"/>
  <c r="D73" i="15"/>
  <c r="L73" i="15" s="1"/>
  <c r="N73" i="15" s="1"/>
  <c r="B73" i="15"/>
  <c r="T72" i="15"/>
  <c r="P72" i="15"/>
  <c r="X72" i="15" s="1"/>
  <c r="N72" i="15"/>
  <c r="H72" i="15"/>
  <c r="L72" i="15" s="1"/>
  <c r="D72" i="15"/>
  <c r="B72" i="15"/>
  <c r="T71" i="15"/>
  <c r="P71" i="15"/>
  <c r="H71" i="15"/>
  <c r="D71" i="15"/>
  <c r="L71" i="15" s="1"/>
  <c r="B71" i="15"/>
  <c r="T70" i="15"/>
  <c r="X70" i="15" s="1"/>
  <c r="Z70" i="15" s="1"/>
  <c r="P70" i="15"/>
  <c r="N70" i="15"/>
  <c r="L70" i="15"/>
  <c r="H70" i="15"/>
  <c r="D70" i="15"/>
  <c r="B70" i="15"/>
  <c r="X69" i="15"/>
  <c r="T69" i="15"/>
  <c r="Z69" i="15" s="1"/>
  <c r="P69" i="15"/>
  <c r="H69" i="15"/>
  <c r="D69" i="15"/>
  <c r="L69" i="15" s="1"/>
  <c r="N69" i="15" s="1"/>
  <c r="B69" i="15"/>
  <c r="T68" i="15"/>
  <c r="Z68" i="15" s="1"/>
  <c r="P68" i="15"/>
  <c r="X68" i="15" s="1"/>
  <c r="N68" i="15"/>
  <c r="H68" i="15"/>
  <c r="L68" i="15" s="1"/>
  <c r="D68" i="15"/>
  <c r="B68" i="15"/>
  <c r="T67" i="15"/>
  <c r="P67" i="15"/>
  <c r="H67" i="15"/>
  <c r="D67" i="15"/>
  <c r="L67" i="15" s="1"/>
  <c r="B67" i="15"/>
  <c r="T66" i="15"/>
  <c r="X66" i="15" s="1"/>
  <c r="Z66" i="15" s="1"/>
  <c r="P66" i="15"/>
  <c r="L66" i="15"/>
  <c r="N66" i="15" s="1"/>
  <c r="H66" i="15"/>
  <c r="D66" i="15"/>
  <c r="B66" i="15"/>
  <c r="X65" i="15"/>
  <c r="T65" i="15"/>
  <c r="Z65" i="15" s="1"/>
  <c r="P65" i="15"/>
  <c r="H65" i="15"/>
  <c r="D65" i="15"/>
  <c r="L65" i="15" s="1"/>
  <c r="N65" i="15" s="1"/>
  <c r="B65" i="15"/>
  <c r="T64" i="15"/>
  <c r="Z64" i="15" s="1"/>
  <c r="P64" i="15"/>
  <c r="X64" i="15" s="1"/>
  <c r="N64" i="15"/>
  <c r="H64" i="15"/>
  <c r="L64" i="15" s="1"/>
  <c r="D64" i="15"/>
  <c r="B64" i="15"/>
  <c r="T63" i="15"/>
  <c r="P63" i="15"/>
  <c r="H63" i="15"/>
  <c r="N63" i="15" s="1"/>
  <c r="D63" i="15"/>
  <c r="L63" i="15" s="1"/>
  <c r="B63" i="15"/>
  <c r="Z62" i="15"/>
  <c r="T62" i="15"/>
  <c r="X62" i="15" s="1"/>
  <c r="P62" i="15"/>
  <c r="N62" i="15"/>
  <c r="L62" i="15"/>
  <c r="H62" i="15"/>
  <c r="D62" i="15"/>
  <c r="B62" i="15"/>
  <c r="X61" i="15"/>
  <c r="T61" i="15"/>
  <c r="Z61" i="15" s="1"/>
  <c r="P61" i="15"/>
  <c r="H61" i="15"/>
  <c r="D61" i="15"/>
  <c r="L61" i="15" s="1"/>
  <c r="N61" i="15" s="1"/>
  <c r="B61" i="15"/>
  <c r="T60" i="15"/>
  <c r="P60" i="15"/>
  <c r="X60" i="15" s="1"/>
  <c r="N60" i="15"/>
  <c r="H60" i="15"/>
  <c r="L60" i="15" s="1"/>
  <c r="D60" i="15"/>
  <c r="B60" i="15"/>
  <c r="T59" i="15"/>
  <c r="P59" i="15"/>
  <c r="H59" i="15"/>
  <c r="D59" i="15"/>
  <c r="L59" i="15" s="1"/>
  <c r="B59" i="15"/>
  <c r="T58" i="15"/>
  <c r="X58" i="15" s="1"/>
  <c r="Z58" i="15" s="1"/>
  <c r="P58" i="15"/>
  <c r="L58" i="15"/>
  <c r="N58" i="15" s="1"/>
  <c r="H58" i="15"/>
  <c r="D58" i="15"/>
  <c r="B58" i="15"/>
  <c r="X57" i="15"/>
  <c r="T57" i="15"/>
  <c r="Z57" i="15" s="1"/>
  <c r="P57" i="15"/>
  <c r="H57" i="15"/>
  <c r="D57" i="15"/>
  <c r="L57" i="15" s="1"/>
  <c r="N57" i="15" s="1"/>
  <c r="B57" i="15"/>
  <c r="T56" i="15"/>
  <c r="P56" i="15"/>
  <c r="X56" i="15" s="1"/>
  <c r="N56" i="15"/>
  <c r="H56" i="15"/>
  <c r="L56" i="15" s="1"/>
  <c r="D56" i="15"/>
  <c r="B56" i="15"/>
  <c r="T55" i="15"/>
  <c r="P55" i="15"/>
  <c r="H55" i="15"/>
  <c r="N55" i="15" s="1"/>
  <c r="D55" i="15"/>
  <c r="L55" i="15" s="1"/>
  <c r="B55" i="15"/>
  <c r="T54" i="15"/>
  <c r="X54" i="15" s="1"/>
  <c r="Z54" i="15" s="1"/>
  <c r="P54" i="15"/>
  <c r="N54" i="15"/>
  <c r="L54" i="15"/>
  <c r="H54" i="15"/>
  <c r="D54" i="15"/>
  <c r="B54" i="15"/>
  <c r="X53" i="15"/>
  <c r="T53" i="15"/>
  <c r="P53" i="15"/>
  <c r="N53" i="15"/>
  <c r="H53" i="15"/>
  <c r="D53" i="15"/>
  <c r="L53" i="15" s="1"/>
  <c r="B53" i="15"/>
  <c r="T52" i="15"/>
  <c r="P52" i="15"/>
  <c r="N52" i="15"/>
  <c r="H52" i="15"/>
  <c r="L52" i="15" s="1"/>
  <c r="D52" i="15"/>
  <c r="B52" i="15"/>
  <c r="T51" i="15"/>
  <c r="P51" i="15"/>
  <c r="H51" i="15"/>
  <c r="D51" i="15"/>
  <c r="L51" i="15" s="1"/>
  <c r="B51" i="15"/>
  <c r="T50" i="15"/>
  <c r="X50" i="15" s="1"/>
  <c r="Z50" i="15" s="1"/>
  <c r="P50" i="15"/>
  <c r="N50" i="15"/>
  <c r="L50" i="15"/>
  <c r="H50" i="15"/>
  <c r="D50" i="15"/>
  <c r="B50" i="15"/>
  <c r="X49" i="15"/>
  <c r="T49" i="15"/>
  <c r="Z49" i="15" s="1"/>
  <c r="P49" i="15"/>
  <c r="H49" i="15"/>
  <c r="D49" i="15"/>
  <c r="L49" i="15" s="1"/>
  <c r="N49" i="15" s="1"/>
  <c r="B49" i="15"/>
  <c r="T48" i="15"/>
  <c r="P48" i="15"/>
  <c r="X48" i="15" s="1"/>
  <c r="H48" i="15"/>
  <c r="L48" i="15" s="1"/>
  <c r="N48" i="15" s="1"/>
  <c r="D48" i="15"/>
  <c r="B48" i="15"/>
  <c r="T47" i="15"/>
  <c r="P47" i="15"/>
  <c r="H47" i="15"/>
  <c r="D47" i="15"/>
  <c r="L47" i="15" s="1"/>
  <c r="B47" i="15"/>
  <c r="T46" i="15"/>
  <c r="X46" i="15" s="1"/>
  <c r="Z46" i="15" s="1"/>
  <c r="P46" i="15"/>
  <c r="L46" i="15"/>
  <c r="N46" i="15" s="1"/>
  <c r="H46" i="15"/>
  <c r="D46" i="15"/>
  <c r="B46" i="15"/>
  <c r="X45" i="15"/>
  <c r="T45" i="15"/>
  <c r="Z45" i="15" s="1"/>
  <c r="P45" i="15"/>
  <c r="H45" i="15"/>
  <c r="D45" i="15"/>
  <c r="L45" i="15" s="1"/>
  <c r="N45" i="15" s="1"/>
  <c r="B45" i="15"/>
  <c r="T44" i="15"/>
  <c r="P44" i="15"/>
  <c r="X44" i="15" s="1"/>
  <c r="H44" i="15"/>
  <c r="L44" i="15" s="1"/>
  <c r="N44" i="15" s="1"/>
  <c r="D44" i="15"/>
  <c r="B44" i="15"/>
  <c r="T43" i="15"/>
  <c r="P43" i="15"/>
  <c r="H43" i="15"/>
  <c r="D43" i="15"/>
  <c r="L43" i="15" s="1"/>
  <c r="B43" i="15"/>
  <c r="T42" i="15"/>
  <c r="X42" i="15" s="1"/>
  <c r="Z42" i="15" s="1"/>
  <c r="P42" i="15"/>
  <c r="N42" i="15"/>
  <c r="L42" i="15"/>
  <c r="H42" i="15"/>
  <c r="D42" i="15"/>
  <c r="B42" i="15"/>
  <c r="X41" i="15"/>
  <c r="T41" i="15"/>
  <c r="P41" i="15"/>
  <c r="H41" i="15"/>
  <c r="D41" i="15"/>
  <c r="L41" i="15" s="1"/>
  <c r="N41" i="15" s="1"/>
  <c r="B41" i="15"/>
  <c r="T40" i="15"/>
  <c r="P40" i="15"/>
  <c r="H40" i="15"/>
  <c r="L40" i="15" s="1"/>
  <c r="N40" i="15" s="1"/>
  <c r="D40" i="15"/>
  <c r="B40" i="15"/>
  <c r="T39" i="15"/>
  <c r="P39" i="15"/>
  <c r="L39" i="15"/>
  <c r="H39" i="15"/>
  <c r="N39" i="15" s="1"/>
  <c r="D39" i="15"/>
  <c r="B39" i="15"/>
  <c r="T38" i="15"/>
  <c r="X38" i="15" s="1"/>
  <c r="Z38" i="15" s="1"/>
  <c r="P38" i="15"/>
  <c r="L38" i="15"/>
  <c r="N38" i="15" s="1"/>
  <c r="H38" i="15"/>
  <c r="D38" i="15"/>
  <c r="B38" i="15"/>
  <c r="X37" i="15"/>
  <c r="T37" i="15"/>
  <c r="P37" i="15"/>
  <c r="H37" i="15"/>
  <c r="D37" i="15"/>
  <c r="L37" i="15" s="1"/>
  <c r="N37" i="15" s="1"/>
  <c r="B37" i="15"/>
  <c r="T36" i="15"/>
  <c r="P36" i="15"/>
  <c r="H36" i="15"/>
  <c r="L36" i="15" s="1"/>
  <c r="N36" i="15" s="1"/>
  <c r="D36" i="15"/>
  <c r="B36" i="15"/>
  <c r="T35" i="15"/>
  <c r="P35" i="15"/>
  <c r="L35" i="15"/>
  <c r="H35" i="15"/>
  <c r="N35" i="15" s="1"/>
  <c r="D35" i="15"/>
  <c r="B35" i="15"/>
  <c r="T34" i="15"/>
  <c r="X34" i="15" s="1"/>
  <c r="Z34" i="15" s="1"/>
  <c r="P34" i="15"/>
  <c r="L34" i="15"/>
  <c r="N34" i="15" s="1"/>
  <c r="H34" i="15"/>
  <c r="D34" i="15"/>
  <c r="B34" i="15"/>
  <c r="X33" i="15"/>
  <c r="T33" i="15"/>
  <c r="P33" i="15"/>
  <c r="H33" i="15"/>
  <c r="D33" i="15"/>
  <c r="L33" i="15" s="1"/>
  <c r="N33" i="15" s="1"/>
  <c r="B33" i="15"/>
  <c r="T32" i="15"/>
  <c r="P32" i="15"/>
  <c r="H32" i="15"/>
  <c r="L32" i="15" s="1"/>
  <c r="N32" i="15" s="1"/>
  <c r="D32" i="15"/>
  <c r="B32" i="15"/>
  <c r="T31" i="15"/>
  <c r="P31" i="15"/>
  <c r="L31" i="15"/>
  <c r="H31" i="15"/>
  <c r="N31" i="15" s="1"/>
  <c r="D31" i="15"/>
  <c r="B31" i="15"/>
  <c r="T30" i="15"/>
  <c r="X30" i="15" s="1"/>
  <c r="Z30" i="15" s="1"/>
  <c r="P30" i="15"/>
  <c r="L30" i="15"/>
  <c r="N30" i="15" s="1"/>
  <c r="H30" i="15"/>
  <c r="D30" i="15"/>
  <c r="B30" i="15"/>
  <c r="X29" i="15"/>
  <c r="T29" i="15"/>
  <c r="P29" i="15"/>
  <c r="H29" i="15"/>
  <c r="D29" i="15"/>
  <c r="L29" i="15" s="1"/>
  <c r="N29" i="15" s="1"/>
  <c r="B29" i="15"/>
  <c r="T28" i="15"/>
  <c r="P28" i="15"/>
  <c r="H28" i="15"/>
  <c r="L28" i="15" s="1"/>
  <c r="N28" i="15" s="1"/>
  <c r="D28" i="15"/>
  <c r="B28" i="15"/>
  <c r="T27" i="15"/>
  <c r="P27" i="15"/>
  <c r="L27" i="15"/>
  <c r="H27" i="15"/>
  <c r="N27" i="15" s="1"/>
  <c r="D27" i="15"/>
  <c r="B27" i="15"/>
  <c r="T26" i="15"/>
  <c r="X26" i="15" s="1"/>
  <c r="Z26" i="15" s="1"/>
  <c r="P26" i="15"/>
  <c r="L26" i="15"/>
  <c r="N26" i="15" s="1"/>
  <c r="H26" i="15"/>
  <c r="D26" i="15"/>
  <c r="B26" i="15"/>
  <c r="X25" i="15"/>
  <c r="T25" i="15"/>
  <c r="P25" i="15"/>
  <c r="H25" i="15"/>
  <c r="D25" i="15"/>
  <c r="L25" i="15" s="1"/>
  <c r="N25" i="15" s="1"/>
  <c r="B25" i="15"/>
  <c r="T24" i="15"/>
  <c r="P24" i="15"/>
  <c r="H24" i="15"/>
  <c r="L24" i="15" s="1"/>
  <c r="N24" i="15" s="1"/>
  <c r="D24" i="15"/>
  <c r="B24" i="15"/>
  <c r="T23" i="15"/>
  <c r="P23" i="15"/>
  <c r="L23" i="15"/>
  <c r="H23" i="15"/>
  <c r="N23" i="15" s="1"/>
  <c r="D23" i="15"/>
  <c r="B23" i="15"/>
  <c r="T22" i="15"/>
  <c r="X22" i="15" s="1"/>
  <c r="Z22" i="15" s="1"/>
  <c r="P22" i="15"/>
  <c r="L22" i="15"/>
  <c r="N22" i="15" s="1"/>
  <c r="H22" i="15"/>
  <c r="D22" i="15"/>
  <c r="B22" i="15"/>
  <c r="X21" i="15"/>
  <c r="T21" i="15"/>
  <c r="P21" i="15"/>
  <c r="L21" i="15"/>
  <c r="N21" i="15" s="1"/>
  <c r="H21" i="15"/>
  <c r="D21" i="15"/>
  <c r="B21" i="15"/>
  <c r="T20" i="15"/>
  <c r="P20" i="15"/>
  <c r="X20" i="15" s="1"/>
  <c r="N20" i="15"/>
  <c r="H20" i="15"/>
  <c r="L20" i="15" s="1"/>
  <c r="D20" i="15"/>
  <c r="B20" i="15"/>
  <c r="T19" i="15"/>
  <c r="P19" i="15"/>
  <c r="L19" i="15"/>
  <c r="H19" i="15"/>
  <c r="D19" i="15"/>
  <c r="B19" i="15"/>
  <c r="T18" i="15"/>
  <c r="X18" i="15" s="1"/>
  <c r="Z18" i="15" s="1"/>
  <c r="P18" i="15"/>
  <c r="N18" i="15"/>
  <c r="L18" i="15"/>
  <c r="H18" i="15"/>
  <c r="D18" i="15"/>
  <c r="B18" i="15"/>
  <c r="X17" i="15"/>
  <c r="T17" i="15"/>
  <c r="Z17" i="15" s="1"/>
  <c r="P17" i="15"/>
  <c r="L17" i="15"/>
  <c r="N17" i="15" s="1"/>
  <c r="H17" i="15"/>
  <c r="D17" i="15"/>
  <c r="B17" i="15"/>
  <c r="T16" i="15"/>
  <c r="P16" i="15"/>
  <c r="N16" i="15"/>
  <c r="H16" i="15"/>
  <c r="L16" i="15" s="1"/>
  <c r="D16" i="15"/>
  <c r="B16" i="15"/>
  <c r="T15" i="15"/>
  <c r="P15" i="15"/>
  <c r="H15" i="15"/>
  <c r="D15" i="15"/>
  <c r="L15" i="15" s="1"/>
  <c r="B15" i="15"/>
  <c r="T14" i="15"/>
  <c r="X14" i="15" s="1"/>
  <c r="P14" i="15"/>
  <c r="L14" i="15"/>
  <c r="N14" i="15" s="1"/>
  <c r="H14" i="15"/>
  <c r="D14" i="15"/>
  <c r="B14" i="15"/>
  <c r="X13" i="15"/>
  <c r="T13" i="15"/>
  <c r="Z13" i="15" s="1"/>
  <c r="P13" i="15"/>
  <c r="P12" i="15" s="1"/>
  <c r="R214" i="15" s="1"/>
  <c r="N13" i="15"/>
  <c r="L13" i="15"/>
  <c r="H13" i="15"/>
  <c r="D13" i="15"/>
  <c r="B13" i="15"/>
  <c r="H12" i="15"/>
  <c r="D4" i="15"/>
  <c r="Z266" i="12"/>
  <c r="X266" i="12"/>
  <c r="L266" i="12"/>
  <c r="N266" i="12" s="1"/>
  <c r="X262" i="12"/>
  <c r="T262" i="12"/>
  <c r="Z262" i="12" s="1"/>
  <c r="P262" i="12"/>
  <c r="H262" i="12"/>
  <c r="L262" i="12" s="1"/>
  <c r="D262" i="12"/>
  <c r="B262" i="12"/>
  <c r="T261" i="12"/>
  <c r="Z261" i="12" s="1"/>
  <c r="P261" i="12"/>
  <c r="X261" i="12" s="1"/>
  <c r="N261" i="12"/>
  <c r="H261" i="12"/>
  <c r="D261" i="12"/>
  <c r="L261" i="12" s="1"/>
  <c r="B261" i="12"/>
  <c r="T260" i="12"/>
  <c r="P260" i="12"/>
  <c r="X260" i="12" s="1"/>
  <c r="L260" i="12"/>
  <c r="H260" i="12"/>
  <c r="D260" i="12"/>
  <c r="B260" i="12"/>
  <c r="X259" i="12"/>
  <c r="Z259" i="12" s="1"/>
  <c r="T259" i="12"/>
  <c r="P259" i="12"/>
  <c r="N259" i="12"/>
  <c r="L259" i="12"/>
  <c r="H259" i="12"/>
  <c r="D259" i="12"/>
  <c r="B259" i="12"/>
  <c r="T258" i="12"/>
  <c r="P258" i="12"/>
  <c r="H258" i="12"/>
  <c r="D258" i="12"/>
  <c r="B258" i="12"/>
  <c r="T257" i="12"/>
  <c r="P257" i="12"/>
  <c r="X257" i="12" s="1"/>
  <c r="Z257" i="12" s="1"/>
  <c r="N257" i="12"/>
  <c r="H257" i="12"/>
  <c r="D257" i="12"/>
  <c r="L257" i="12" s="1"/>
  <c r="B257" i="12"/>
  <c r="T256" i="12"/>
  <c r="P256" i="12"/>
  <c r="L256" i="12"/>
  <c r="H256" i="12"/>
  <c r="N256" i="12" s="1"/>
  <c r="D256" i="12"/>
  <c r="B256" i="12"/>
  <c r="Z255" i="12"/>
  <c r="T255" i="12"/>
  <c r="P255" i="12"/>
  <c r="X255" i="12" s="1"/>
  <c r="H255" i="12"/>
  <c r="N255" i="12" s="1"/>
  <c r="D255" i="12"/>
  <c r="L255" i="12" s="1"/>
  <c r="B255" i="12"/>
  <c r="D254" i="12"/>
  <c r="X252" i="12"/>
  <c r="Z252" i="12" s="1"/>
  <c r="L252" i="12"/>
  <c r="N252" i="12" s="1"/>
  <c r="B252" i="12"/>
  <c r="T251" i="12"/>
  <c r="P251" i="12"/>
  <c r="X251" i="12" s="1"/>
  <c r="Z251" i="12" s="1"/>
  <c r="H251" i="12"/>
  <c r="D251" i="12"/>
  <c r="L251" i="12" s="1"/>
  <c r="N251" i="12" s="1"/>
  <c r="B251" i="12"/>
  <c r="X250" i="12"/>
  <c r="Z250" i="12" s="1"/>
  <c r="N250" i="12"/>
  <c r="L250" i="12"/>
  <c r="B250" i="12"/>
  <c r="X249" i="12"/>
  <c r="Z249" i="12" s="1"/>
  <c r="N249" i="12"/>
  <c r="L249" i="12"/>
  <c r="B249" i="12"/>
  <c r="X248" i="12"/>
  <c r="Z248" i="12" s="1"/>
  <c r="N248" i="12"/>
  <c r="L248" i="12"/>
  <c r="B248" i="12"/>
  <c r="Z247" i="12"/>
  <c r="X247" i="12"/>
  <c r="T247" i="12"/>
  <c r="P247" i="12"/>
  <c r="L247" i="12"/>
  <c r="N247" i="12" s="1"/>
  <c r="H247" i="12"/>
  <c r="D247" i="12"/>
  <c r="B247" i="12"/>
  <c r="X246" i="12"/>
  <c r="Z246" i="12" s="1"/>
  <c r="L246" i="12"/>
  <c r="N246" i="12" s="1"/>
  <c r="B246" i="12"/>
  <c r="Z245" i="12"/>
  <c r="T245" i="12"/>
  <c r="P245" i="12"/>
  <c r="X245" i="12" s="1"/>
  <c r="H245" i="12"/>
  <c r="D245" i="12"/>
  <c r="L245" i="12" s="1"/>
  <c r="B245" i="12"/>
  <c r="X244" i="12"/>
  <c r="Z244" i="12" s="1"/>
  <c r="L244" i="12"/>
  <c r="N244" i="12" s="1"/>
  <c r="B244" i="12"/>
  <c r="Z243" i="12"/>
  <c r="X243" i="12"/>
  <c r="N243" i="12"/>
  <c r="L243" i="12"/>
  <c r="B243" i="12"/>
  <c r="T242" i="12"/>
  <c r="P242" i="12"/>
  <c r="X242" i="12" s="1"/>
  <c r="L242" i="12"/>
  <c r="H242" i="12"/>
  <c r="N242" i="12" s="1"/>
  <c r="D242" i="12"/>
  <c r="B242" i="12"/>
  <c r="X241" i="12"/>
  <c r="Z241" i="12" s="1"/>
  <c r="N241" i="12"/>
  <c r="L241" i="12"/>
  <c r="B241" i="12"/>
  <c r="X240" i="12"/>
  <c r="Z240" i="12" s="1"/>
  <c r="N240" i="12"/>
  <c r="L240" i="12"/>
  <c r="B240" i="12"/>
  <c r="Z239" i="12"/>
  <c r="X239" i="12"/>
  <c r="N239" i="12"/>
  <c r="L239" i="12"/>
  <c r="B239" i="12"/>
  <c r="X238" i="12"/>
  <c r="Z238" i="12" s="1"/>
  <c r="L238" i="12"/>
  <c r="N238" i="12" s="1"/>
  <c r="B238" i="12"/>
  <c r="X237" i="12"/>
  <c r="Z237" i="12" s="1"/>
  <c r="N237" i="12"/>
  <c r="L237" i="12"/>
  <c r="B237" i="12"/>
  <c r="Z236" i="12"/>
  <c r="X236" i="12"/>
  <c r="N236" i="12"/>
  <c r="L236" i="12"/>
  <c r="B236" i="12"/>
  <c r="Z235" i="12"/>
  <c r="X235" i="12"/>
  <c r="N235" i="12"/>
  <c r="L235" i="12"/>
  <c r="B235" i="12"/>
  <c r="T234" i="12"/>
  <c r="P234" i="12"/>
  <c r="L234" i="12"/>
  <c r="H234" i="12"/>
  <c r="N234" i="12" s="1"/>
  <c r="D234" i="12"/>
  <c r="B234" i="12"/>
  <c r="Z233" i="12"/>
  <c r="X233" i="12"/>
  <c r="N233" i="12"/>
  <c r="L233" i="12"/>
  <c r="B233" i="12"/>
  <c r="Z232" i="12"/>
  <c r="X232" i="12"/>
  <c r="L232" i="12"/>
  <c r="N232" i="12" s="1"/>
  <c r="B232" i="12"/>
  <c r="T231" i="12"/>
  <c r="P231" i="12"/>
  <c r="X231" i="12" s="1"/>
  <c r="H231" i="12"/>
  <c r="D231" i="12"/>
  <c r="L231" i="12" s="1"/>
  <c r="N231" i="12" s="1"/>
  <c r="B231" i="12"/>
  <c r="X230" i="12"/>
  <c r="Z230" i="12" s="1"/>
  <c r="L230" i="12"/>
  <c r="N230" i="12" s="1"/>
  <c r="B230" i="12"/>
  <c r="Z229" i="12"/>
  <c r="X229" i="12"/>
  <c r="L229" i="12"/>
  <c r="N229" i="12" s="1"/>
  <c r="B229" i="12"/>
  <c r="X228" i="12"/>
  <c r="Z228" i="12" s="1"/>
  <c r="L228" i="12"/>
  <c r="N228" i="12" s="1"/>
  <c r="B228" i="12"/>
  <c r="Z227" i="12"/>
  <c r="X227" i="12"/>
  <c r="N227" i="12"/>
  <c r="L227" i="12"/>
  <c r="B227" i="12"/>
  <c r="X226" i="12"/>
  <c r="Z226" i="12" s="1"/>
  <c r="L226" i="12"/>
  <c r="N226" i="12" s="1"/>
  <c r="B226" i="12"/>
  <c r="T225" i="12"/>
  <c r="P225" i="12"/>
  <c r="X225" i="12" s="1"/>
  <c r="Z225" i="12" s="1"/>
  <c r="H225" i="12"/>
  <c r="D225" i="12"/>
  <c r="L225" i="12" s="1"/>
  <c r="N225" i="12" s="1"/>
  <c r="B225" i="12"/>
  <c r="X224" i="12"/>
  <c r="Z224" i="12" s="1"/>
  <c r="N224" i="12"/>
  <c r="L224" i="12"/>
  <c r="B224" i="12"/>
  <c r="Z223" i="12"/>
  <c r="X223" i="12"/>
  <c r="N223" i="12"/>
  <c r="L223" i="12"/>
  <c r="B223" i="12"/>
  <c r="X222" i="12"/>
  <c r="Z222" i="12" s="1"/>
  <c r="N222" i="12"/>
  <c r="L222" i="12"/>
  <c r="B222" i="12"/>
  <c r="X221" i="12"/>
  <c r="Z221" i="12" s="1"/>
  <c r="T221" i="12"/>
  <c r="P221" i="12"/>
  <c r="N221" i="12"/>
  <c r="L221" i="12"/>
  <c r="H221" i="12"/>
  <c r="D221" i="12"/>
  <c r="B221" i="12"/>
  <c r="Z220" i="12"/>
  <c r="X220" i="12"/>
  <c r="L220" i="12"/>
  <c r="N220" i="12" s="1"/>
  <c r="B220" i="12"/>
  <c r="Z219" i="12"/>
  <c r="X219" i="12"/>
  <c r="N219" i="12"/>
  <c r="L219" i="12"/>
  <c r="B219" i="12"/>
  <c r="Z218" i="12"/>
  <c r="X218" i="12"/>
  <c r="N218" i="12"/>
  <c r="L218" i="12"/>
  <c r="B218" i="12"/>
  <c r="Z217" i="12"/>
  <c r="X217" i="12"/>
  <c r="N217" i="12"/>
  <c r="L217" i="12"/>
  <c r="B217" i="12"/>
  <c r="T216" i="12"/>
  <c r="P216" i="12"/>
  <c r="L216" i="12"/>
  <c r="H216" i="12"/>
  <c r="N216" i="12" s="1"/>
  <c r="D216" i="12"/>
  <c r="B216" i="12"/>
  <c r="Z215" i="12"/>
  <c r="X215" i="12"/>
  <c r="N215" i="12"/>
  <c r="L215" i="12"/>
  <c r="B215" i="12"/>
  <c r="T214" i="12"/>
  <c r="Z214" i="12" s="1"/>
  <c r="P214" i="12"/>
  <c r="X214" i="12" s="1"/>
  <c r="L214" i="12"/>
  <c r="H214" i="12"/>
  <c r="D214" i="12"/>
  <c r="B214" i="12"/>
  <c r="X213" i="12"/>
  <c r="Z213" i="12" s="1"/>
  <c r="N213" i="12"/>
  <c r="L213" i="12"/>
  <c r="B213" i="12"/>
  <c r="X212" i="12"/>
  <c r="T212" i="12"/>
  <c r="Z212" i="12" s="1"/>
  <c r="P212" i="12"/>
  <c r="L212" i="12"/>
  <c r="H212" i="12"/>
  <c r="N212" i="12" s="1"/>
  <c r="D212" i="12"/>
  <c r="B212" i="12"/>
  <c r="Z211" i="12"/>
  <c r="X211" i="12"/>
  <c r="N211" i="12"/>
  <c r="L211" i="12"/>
  <c r="B211" i="12"/>
  <c r="T210" i="12"/>
  <c r="P210" i="12"/>
  <c r="H210" i="12"/>
  <c r="D210" i="12"/>
  <c r="B210" i="12"/>
  <c r="Z209" i="12"/>
  <c r="X209" i="12"/>
  <c r="L209" i="12"/>
  <c r="N209" i="12" s="1"/>
  <c r="B209" i="12"/>
  <c r="X208" i="12"/>
  <c r="T208" i="12"/>
  <c r="Z208" i="12" s="1"/>
  <c r="P208" i="12"/>
  <c r="H208" i="12"/>
  <c r="N208" i="12" s="1"/>
  <c r="D208" i="12"/>
  <c r="L208" i="12" s="1"/>
  <c r="B208" i="12"/>
  <c r="Z207" i="12"/>
  <c r="X207" i="12"/>
  <c r="N207" i="12"/>
  <c r="L207" i="12"/>
  <c r="B207" i="12"/>
  <c r="X206" i="12"/>
  <c r="T206" i="12"/>
  <c r="P206" i="12"/>
  <c r="L206" i="12"/>
  <c r="H206" i="12"/>
  <c r="N206" i="12" s="1"/>
  <c r="D206" i="12"/>
  <c r="B206" i="12"/>
  <c r="Z205" i="12"/>
  <c r="X205" i="12"/>
  <c r="N205" i="12"/>
  <c r="L205" i="12"/>
  <c r="B205" i="12"/>
  <c r="T204" i="12"/>
  <c r="P204" i="12"/>
  <c r="X204" i="12" s="1"/>
  <c r="H204" i="12"/>
  <c r="D204" i="12"/>
  <c r="B204" i="12"/>
  <c r="Z203" i="12"/>
  <c r="X203" i="12"/>
  <c r="N203" i="12"/>
  <c r="L203" i="12"/>
  <c r="B203" i="12"/>
  <c r="X202" i="12"/>
  <c r="Z202" i="12" s="1"/>
  <c r="L202" i="12"/>
  <c r="N202" i="12" s="1"/>
  <c r="B202" i="12"/>
  <c r="T201" i="12"/>
  <c r="P201" i="12"/>
  <c r="X201" i="12" s="1"/>
  <c r="Z201" i="12" s="1"/>
  <c r="H201" i="12"/>
  <c r="D201" i="12"/>
  <c r="L201" i="12" s="1"/>
  <c r="N201" i="12" s="1"/>
  <c r="B201" i="12"/>
  <c r="X200" i="12"/>
  <c r="Z200" i="12" s="1"/>
  <c r="N200" i="12"/>
  <c r="L200" i="12"/>
  <c r="B200" i="12"/>
  <c r="Z199" i="12"/>
  <c r="X199" i="12"/>
  <c r="T199" i="12"/>
  <c r="P199" i="12"/>
  <c r="L199" i="12"/>
  <c r="N199" i="12" s="1"/>
  <c r="H199" i="12"/>
  <c r="D199" i="12"/>
  <c r="B199" i="12"/>
  <c r="X198" i="12"/>
  <c r="Z198" i="12" s="1"/>
  <c r="L198" i="12"/>
  <c r="N198" i="12" s="1"/>
  <c r="B198" i="12"/>
  <c r="T197" i="12"/>
  <c r="X197" i="12" s="1"/>
  <c r="Z197" i="12" s="1"/>
  <c r="P197" i="12"/>
  <c r="H197" i="12"/>
  <c r="D197" i="12"/>
  <c r="L197" i="12" s="1"/>
  <c r="B197" i="12"/>
  <c r="X196" i="12"/>
  <c r="Z196" i="12" s="1"/>
  <c r="L196" i="12"/>
  <c r="N196" i="12" s="1"/>
  <c r="B196" i="12"/>
  <c r="T195" i="12"/>
  <c r="P195" i="12"/>
  <c r="X195" i="12" s="1"/>
  <c r="Z195" i="12" s="1"/>
  <c r="H195" i="12"/>
  <c r="D195" i="12"/>
  <c r="L195" i="12" s="1"/>
  <c r="N195" i="12" s="1"/>
  <c r="B195" i="12"/>
  <c r="X194" i="12"/>
  <c r="Z194" i="12" s="1"/>
  <c r="L194" i="12"/>
  <c r="N194" i="12" s="1"/>
  <c r="B194" i="12"/>
  <c r="X193" i="12"/>
  <c r="Z193" i="12" s="1"/>
  <c r="N193" i="12"/>
  <c r="L193" i="12"/>
  <c r="B193" i="12"/>
  <c r="X192" i="12"/>
  <c r="T192" i="12"/>
  <c r="Z192" i="12" s="1"/>
  <c r="P192" i="12"/>
  <c r="L192" i="12"/>
  <c r="H192" i="12"/>
  <c r="D192" i="12"/>
  <c r="B192" i="12"/>
  <c r="Z191" i="12"/>
  <c r="X191" i="12"/>
  <c r="N191" i="12"/>
  <c r="L191" i="12"/>
  <c r="B191" i="12"/>
  <c r="X190" i="12"/>
  <c r="Z190" i="12" s="1"/>
  <c r="L190" i="12"/>
  <c r="N190" i="12" s="1"/>
  <c r="B190" i="12"/>
  <c r="T189" i="12"/>
  <c r="X189" i="12" s="1"/>
  <c r="Z189" i="12" s="1"/>
  <c r="P189" i="12"/>
  <c r="H189" i="12"/>
  <c r="D189" i="12"/>
  <c r="L189" i="12" s="1"/>
  <c r="B189" i="12"/>
  <c r="X188" i="12"/>
  <c r="Z188" i="12" s="1"/>
  <c r="L188" i="12"/>
  <c r="N188" i="12" s="1"/>
  <c r="B188" i="12"/>
  <c r="T187" i="12"/>
  <c r="P187" i="12"/>
  <c r="X187" i="12" s="1"/>
  <c r="Z187" i="12" s="1"/>
  <c r="H187" i="12"/>
  <c r="D187" i="12"/>
  <c r="L187" i="12" s="1"/>
  <c r="N187" i="12" s="1"/>
  <c r="B187" i="12"/>
  <c r="X186" i="12"/>
  <c r="Z186" i="12" s="1"/>
  <c r="L186" i="12"/>
  <c r="N186" i="12" s="1"/>
  <c r="B186" i="12"/>
  <c r="X185" i="12"/>
  <c r="Z185" i="12" s="1"/>
  <c r="N185" i="12"/>
  <c r="L185" i="12"/>
  <c r="B185" i="12"/>
  <c r="X184" i="12"/>
  <c r="T184" i="12"/>
  <c r="Z184" i="12" s="1"/>
  <c r="P184" i="12"/>
  <c r="L184" i="12"/>
  <c r="H184" i="12"/>
  <c r="D184" i="12"/>
  <c r="B184" i="12"/>
  <c r="Z183" i="12"/>
  <c r="X183" i="12"/>
  <c r="L183" i="12"/>
  <c r="N183" i="12" s="1"/>
  <c r="B183" i="12"/>
  <c r="X182" i="12"/>
  <c r="T182" i="12"/>
  <c r="Z182" i="12" s="1"/>
  <c r="P182" i="12"/>
  <c r="H182" i="12"/>
  <c r="D182" i="12"/>
  <c r="B182" i="12"/>
  <c r="Z181" i="12"/>
  <c r="X181" i="12"/>
  <c r="L181" i="12"/>
  <c r="N181" i="12" s="1"/>
  <c r="B181" i="12"/>
  <c r="X180" i="12"/>
  <c r="Z180" i="12" s="1"/>
  <c r="L180" i="12"/>
  <c r="N180" i="12" s="1"/>
  <c r="B180" i="12"/>
  <c r="X179" i="12"/>
  <c r="Z179" i="12" s="1"/>
  <c r="N179" i="12"/>
  <c r="L179" i="12"/>
  <c r="B179" i="12"/>
  <c r="X178" i="12"/>
  <c r="Z178" i="12" s="1"/>
  <c r="L178" i="12"/>
  <c r="N178" i="12" s="1"/>
  <c r="B178" i="12"/>
  <c r="Z177" i="12"/>
  <c r="X177" i="12"/>
  <c r="L177" i="12"/>
  <c r="N177" i="12" s="1"/>
  <c r="B177" i="12"/>
  <c r="X176" i="12"/>
  <c r="Z176" i="12" s="1"/>
  <c r="L176" i="12"/>
  <c r="N176" i="12" s="1"/>
  <c r="B176" i="12"/>
  <c r="X175" i="12"/>
  <c r="Z175" i="12" s="1"/>
  <c r="N175" i="12"/>
  <c r="L175" i="12"/>
  <c r="B175" i="12"/>
  <c r="T174" i="12"/>
  <c r="P174" i="12"/>
  <c r="X174" i="12" s="1"/>
  <c r="L174" i="12"/>
  <c r="H174" i="12"/>
  <c r="D174" i="12"/>
  <c r="B174" i="12"/>
  <c r="X173" i="12"/>
  <c r="Z173" i="12" s="1"/>
  <c r="N173" i="12"/>
  <c r="L173" i="12"/>
  <c r="B173" i="12"/>
  <c r="X172" i="12"/>
  <c r="Z172" i="12" s="1"/>
  <c r="N172" i="12"/>
  <c r="L172" i="12"/>
  <c r="B172" i="12"/>
  <c r="Z171" i="12"/>
  <c r="X171" i="12"/>
  <c r="N171" i="12"/>
  <c r="L171" i="12"/>
  <c r="B171" i="12"/>
  <c r="X170" i="12"/>
  <c r="Z170" i="12" s="1"/>
  <c r="L170" i="12"/>
  <c r="N170" i="12" s="1"/>
  <c r="B170" i="12"/>
  <c r="Z169" i="12"/>
  <c r="X169" i="12"/>
  <c r="N169" i="12"/>
  <c r="L169" i="12"/>
  <c r="B169" i="12"/>
  <c r="X168" i="12"/>
  <c r="Z168" i="12" s="1"/>
  <c r="N168" i="12"/>
  <c r="L168" i="12"/>
  <c r="B168" i="12"/>
  <c r="Z167" i="12"/>
  <c r="X167" i="12"/>
  <c r="N167" i="12"/>
  <c r="L167" i="12"/>
  <c r="B167" i="12"/>
  <c r="X166" i="12"/>
  <c r="Z166" i="12" s="1"/>
  <c r="L166" i="12"/>
  <c r="N166" i="12" s="1"/>
  <c r="B166" i="12"/>
  <c r="X165" i="12"/>
  <c r="Z165" i="12" s="1"/>
  <c r="N165" i="12"/>
  <c r="L165" i="12"/>
  <c r="B165" i="12"/>
  <c r="X164" i="12"/>
  <c r="Z164" i="12" s="1"/>
  <c r="N164" i="12"/>
  <c r="L164" i="12"/>
  <c r="B164" i="12"/>
  <c r="Z163" i="12"/>
  <c r="X163" i="12"/>
  <c r="T163" i="12"/>
  <c r="P163" i="12"/>
  <c r="L163" i="12"/>
  <c r="N163" i="12" s="1"/>
  <c r="H163" i="12"/>
  <c r="D163" i="12"/>
  <c r="B163" i="12"/>
  <c r="T162" i="12"/>
  <c r="P162" i="12"/>
  <c r="X162" i="12" s="1"/>
  <c r="H162" i="12"/>
  <c r="D162" i="12"/>
  <c r="X158" i="12"/>
  <c r="Z158" i="12" s="1"/>
  <c r="N158" i="12"/>
  <c r="L158" i="12"/>
  <c r="B158" i="12"/>
  <c r="Z157" i="12"/>
  <c r="X157" i="12"/>
  <c r="N157" i="12"/>
  <c r="L157" i="12"/>
  <c r="B157" i="12"/>
  <c r="Z156" i="12"/>
  <c r="X156" i="12"/>
  <c r="L156" i="12"/>
  <c r="N156" i="12" s="1"/>
  <c r="B156" i="12"/>
  <c r="Z155" i="12"/>
  <c r="X155" i="12"/>
  <c r="N155" i="12"/>
  <c r="L155" i="12"/>
  <c r="B155" i="12"/>
  <c r="X154" i="12"/>
  <c r="Z154" i="12" s="1"/>
  <c r="L154" i="12"/>
  <c r="N154" i="12" s="1"/>
  <c r="B154" i="12"/>
  <c r="Z153" i="12"/>
  <c r="X153" i="12"/>
  <c r="N153" i="12"/>
  <c r="L153" i="12"/>
  <c r="B153" i="12"/>
  <c r="Z152" i="12"/>
  <c r="X152" i="12"/>
  <c r="L152" i="12"/>
  <c r="N152" i="12" s="1"/>
  <c r="B152" i="12"/>
  <c r="Z151" i="12"/>
  <c r="X151" i="12"/>
  <c r="L151" i="12"/>
  <c r="N151" i="12" s="1"/>
  <c r="B151" i="12"/>
  <c r="X150" i="12"/>
  <c r="Z150" i="12" s="1"/>
  <c r="L150" i="12"/>
  <c r="N150" i="12" s="1"/>
  <c r="B150" i="12"/>
  <c r="Z149" i="12"/>
  <c r="X149" i="12"/>
  <c r="N149" i="12"/>
  <c r="L149" i="12"/>
  <c r="B149" i="12"/>
  <c r="Z148" i="12"/>
  <c r="X148" i="12"/>
  <c r="L148" i="12"/>
  <c r="N148" i="12" s="1"/>
  <c r="B148" i="12"/>
  <c r="Z147" i="12"/>
  <c r="X147" i="12"/>
  <c r="L147" i="12"/>
  <c r="N147" i="12" s="1"/>
  <c r="B147" i="12"/>
  <c r="X146" i="12"/>
  <c r="Z146" i="12" s="1"/>
  <c r="L146" i="12"/>
  <c r="N146" i="12" s="1"/>
  <c r="B146" i="12"/>
  <c r="Z145" i="12"/>
  <c r="X145" i="12"/>
  <c r="N145" i="12"/>
  <c r="L145" i="12"/>
  <c r="B145" i="12"/>
  <c r="Z144" i="12"/>
  <c r="X144" i="12"/>
  <c r="L144" i="12"/>
  <c r="N144" i="12" s="1"/>
  <c r="B144" i="12"/>
  <c r="Z143" i="12"/>
  <c r="X143" i="12"/>
  <c r="L143" i="12"/>
  <c r="N143" i="12" s="1"/>
  <c r="B143" i="12"/>
  <c r="X142" i="12"/>
  <c r="Z142" i="12" s="1"/>
  <c r="L142" i="12"/>
  <c r="N142" i="12" s="1"/>
  <c r="B142" i="12"/>
  <c r="Z141" i="12"/>
  <c r="X141" i="12"/>
  <c r="N141" i="12"/>
  <c r="L141" i="12"/>
  <c r="B141" i="12"/>
  <c r="Z140" i="12"/>
  <c r="X140" i="12"/>
  <c r="L140" i="12"/>
  <c r="N140" i="12" s="1"/>
  <c r="B140" i="12"/>
  <c r="Z139" i="12"/>
  <c r="X139" i="12"/>
  <c r="L139" i="12"/>
  <c r="N139" i="12" s="1"/>
  <c r="B139" i="12"/>
  <c r="X138" i="12"/>
  <c r="Z138" i="12" s="1"/>
  <c r="L138" i="12"/>
  <c r="N138" i="12" s="1"/>
  <c r="B138" i="12"/>
  <c r="Z137" i="12"/>
  <c r="X137" i="12"/>
  <c r="N137" i="12"/>
  <c r="L137" i="12"/>
  <c r="B137" i="12"/>
  <c r="Z136" i="12"/>
  <c r="X136" i="12"/>
  <c r="L136" i="12"/>
  <c r="N136" i="12" s="1"/>
  <c r="B136" i="12"/>
  <c r="Z135" i="12"/>
  <c r="X135" i="12"/>
  <c r="L135" i="12"/>
  <c r="N135" i="12" s="1"/>
  <c r="B135" i="12"/>
  <c r="X134" i="12"/>
  <c r="Z134" i="12" s="1"/>
  <c r="L134" i="12"/>
  <c r="N134" i="12" s="1"/>
  <c r="B134" i="12"/>
  <c r="Z133" i="12"/>
  <c r="X133" i="12"/>
  <c r="N133" i="12"/>
  <c r="L133" i="12"/>
  <c r="B133" i="12"/>
  <c r="Z132" i="12"/>
  <c r="X132" i="12"/>
  <c r="L132" i="12"/>
  <c r="N132" i="12" s="1"/>
  <c r="B132" i="12"/>
  <c r="Z131" i="12"/>
  <c r="X131" i="12"/>
  <c r="L131" i="12"/>
  <c r="N131" i="12" s="1"/>
  <c r="B131" i="12"/>
  <c r="X130" i="12"/>
  <c r="Z130" i="12" s="1"/>
  <c r="L130" i="12"/>
  <c r="N130" i="12" s="1"/>
  <c r="B130" i="12"/>
  <c r="Z129" i="12"/>
  <c r="X129" i="12"/>
  <c r="N129" i="12"/>
  <c r="L129" i="12"/>
  <c r="B129" i="12"/>
  <c r="Z128" i="12"/>
  <c r="X128" i="12"/>
  <c r="L128" i="12"/>
  <c r="N128" i="12" s="1"/>
  <c r="B128" i="12"/>
  <c r="Z127" i="12"/>
  <c r="X127" i="12"/>
  <c r="L127" i="12"/>
  <c r="N127" i="12" s="1"/>
  <c r="B127" i="12"/>
  <c r="X126" i="12"/>
  <c r="Z126" i="12" s="1"/>
  <c r="L126" i="12"/>
  <c r="N126" i="12" s="1"/>
  <c r="B126" i="12"/>
  <c r="Z125" i="12"/>
  <c r="X125" i="12"/>
  <c r="N125" i="12"/>
  <c r="L125" i="12"/>
  <c r="B125" i="12"/>
  <c r="Z124" i="12"/>
  <c r="X124" i="12"/>
  <c r="L124" i="12"/>
  <c r="N124" i="12" s="1"/>
  <c r="B124" i="12"/>
  <c r="Z123" i="12"/>
  <c r="X123" i="12"/>
  <c r="L123" i="12"/>
  <c r="N123" i="12" s="1"/>
  <c r="B123" i="12"/>
  <c r="X122" i="12"/>
  <c r="Z122" i="12" s="1"/>
  <c r="L122" i="12"/>
  <c r="N122" i="12" s="1"/>
  <c r="B122" i="12"/>
  <c r="Z121" i="12"/>
  <c r="X121" i="12"/>
  <c r="N121" i="12"/>
  <c r="L121" i="12"/>
  <c r="B121" i="12"/>
  <c r="Z120" i="12"/>
  <c r="X120" i="12"/>
  <c r="L120" i="12"/>
  <c r="N120" i="12" s="1"/>
  <c r="B120" i="12"/>
  <c r="Z119" i="12"/>
  <c r="X119" i="12"/>
  <c r="L119" i="12"/>
  <c r="N119" i="12" s="1"/>
  <c r="B119" i="12"/>
  <c r="X118" i="12"/>
  <c r="Z118" i="12" s="1"/>
  <c r="N118" i="12"/>
  <c r="L118" i="12"/>
  <c r="B118" i="12"/>
  <c r="Z117" i="12"/>
  <c r="X117" i="12"/>
  <c r="N117" i="12"/>
  <c r="L117" i="12"/>
  <c r="B117" i="12"/>
  <c r="Z116" i="12"/>
  <c r="X116" i="12"/>
  <c r="N116" i="12"/>
  <c r="L116" i="12"/>
  <c r="B116" i="12"/>
  <c r="Z115" i="12"/>
  <c r="X115" i="12"/>
  <c r="L115" i="12"/>
  <c r="N115" i="12" s="1"/>
  <c r="B115" i="12"/>
  <c r="X114" i="12"/>
  <c r="Z114" i="12" s="1"/>
  <c r="L114" i="12"/>
  <c r="N114" i="12" s="1"/>
  <c r="B114" i="12"/>
  <c r="Z113" i="12"/>
  <c r="X113" i="12"/>
  <c r="N113" i="12"/>
  <c r="L113" i="12"/>
  <c r="B113" i="12"/>
  <c r="Z112" i="12"/>
  <c r="X112" i="12"/>
  <c r="L112" i="12"/>
  <c r="N112" i="12" s="1"/>
  <c r="B112" i="12"/>
  <c r="Z111" i="12"/>
  <c r="X111" i="12"/>
  <c r="N111" i="12"/>
  <c r="L111" i="12"/>
  <c r="B111" i="12"/>
  <c r="X110" i="12"/>
  <c r="Z110" i="12" s="1"/>
  <c r="L110" i="12"/>
  <c r="N110" i="12" s="1"/>
  <c r="B110" i="12"/>
  <c r="Z109" i="12"/>
  <c r="X109" i="12"/>
  <c r="N109" i="12"/>
  <c r="L109" i="12"/>
  <c r="B109" i="12"/>
  <c r="T108" i="12"/>
  <c r="Z108" i="12" s="1"/>
  <c r="P108" i="12"/>
  <c r="X108" i="12" s="1"/>
  <c r="H108" i="12"/>
  <c r="D108" i="12"/>
  <c r="L108" i="12" s="1"/>
  <c r="Z106" i="12"/>
  <c r="T106" i="12"/>
  <c r="P106" i="12"/>
  <c r="X106" i="12" s="1"/>
  <c r="L106" i="12"/>
  <c r="H106" i="12"/>
  <c r="N106" i="12" s="1"/>
  <c r="D106" i="12"/>
  <c r="B106" i="12"/>
  <c r="T105" i="12"/>
  <c r="P105" i="12"/>
  <c r="X105" i="12" s="1"/>
  <c r="H105" i="12"/>
  <c r="D105" i="12"/>
  <c r="B105" i="12"/>
  <c r="T104" i="12"/>
  <c r="Z104" i="12" s="1"/>
  <c r="P104" i="12"/>
  <c r="X104" i="12" s="1"/>
  <c r="H104" i="12"/>
  <c r="D104" i="12"/>
  <c r="B104" i="12"/>
  <c r="Z103" i="12"/>
  <c r="T103" i="12"/>
  <c r="P103" i="12"/>
  <c r="X103" i="12" s="1"/>
  <c r="H103" i="12"/>
  <c r="L103" i="12" s="1"/>
  <c r="D103" i="12"/>
  <c r="B103" i="12"/>
  <c r="Z102" i="12"/>
  <c r="T102" i="12"/>
  <c r="P102" i="12"/>
  <c r="X102" i="12" s="1"/>
  <c r="N102" i="12"/>
  <c r="L102" i="12"/>
  <c r="H102" i="12"/>
  <c r="D102" i="12"/>
  <c r="B102" i="12"/>
  <c r="T101" i="12"/>
  <c r="P101" i="12"/>
  <c r="X101" i="12" s="1"/>
  <c r="H101" i="12"/>
  <c r="D101" i="12"/>
  <c r="B101" i="12"/>
  <c r="T100" i="12"/>
  <c r="Z100" i="12" s="1"/>
  <c r="P100" i="12"/>
  <c r="X100" i="12" s="1"/>
  <c r="L100" i="12"/>
  <c r="H100" i="12"/>
  <c r="D100" i="12"/>
  <c r="B100" i="12"/>
  <c r="T99" i="12"/>
  <c r="X99" i="12" s="1"/>
  <c r="P99" i="12"/>
  <c r="H99" i="12"/>
  <c r="L99" i="12" s="1"/>
  <c r="D99" i="12"/>
  <c r="B99" i="12"/>
  <c r="T98" i="12"/>
  <c r="P98" i="12"/>
  <c r="X98" i="12" s="1"/>
  <c r="Z98" i="12" s="1"/>
  <c r="L98" i="12"/>
  <c r="N98" i="12" s="1"/>
  <c r="H98" i="12"/>
  <c r="D98" i="12"/>
  <c r="B98" i="12"/>
  <c r="T97" i="12"/>
  <c r="P97" i="12"/>
  <c r="X97" i="12" s="1"/>
  <c r="H97" i="12"/>
  <c r="D97" i="12"/>
  <c r="B97" i="12"/>
  <c r="T96" i="12"/>
  <c r="Z96" i="12" s="1"/>
  <c r="P96" i="12"/>
  <c r="X96" i="12" s="1"/>
  <c r="L96" i="12"/>
  <c r="H96" i="12"/>
  <c r="N96" i="12" s="1"/>
  <c r="D96" i="12"/>
  <c r="B96" i="12"/>
  <c r="T95" i="12"/>
  <c r="X95" i="12" s="1"/>
  <c r="P95" i="12"/>
  <c r="H95" i="12"/>
  <c r="L95" i="12" s="1"/>
  <c r="D95" i="12"/>
  <c r="B95" i="12"/>
  <c r="T94" i="12"/>
  <c r="P94" i="12"/>
  <c r="X94" i="12" s="1"/>
  <c r="Z94" i="12" s="1"/>
  <c r="L94" i="12"/>
  <c r="N94" i="12" s="1"/>
  <c r="H94" i="12"/>
  <c r="D94" i="12"/>
  <c r="B94" i="12"/>
  <c r="T93" i="12"/>
  <c r="P93" i="12"/>
  <c r="H93" i="12"/>
  <c r="D93" i="12"/>
  <c r="B93" i="12"/>
  <c r="T92" i="12"/>
  <c r="Z92" i="12" s="1"/>
  <c r="P92" i="12"/>
  <c r="X92" i="12" s="1"/>
  <c r="L92" i="12"/>
  <c r="H92" i="12"/>
  <c r="D92" i="12"/>
  <c r="B92" i="12"/>
  <c r="T91" i="12"/>
  <c r="X91" i="12" s="1"/>
  <c r="P91" i="12"/>
  <c r="H91" i="12"/>
  <c r="L91" i="12" s="1"/>
  <c r="D91" i="12"/>
  <c r="B91" i="12"/>
  <c r="T90" i="12"/>
  <c r="P90" i="12"/>
  <c r="X90" i="12" s="1"/>
  <c r="Z90" i="12" s="1"/>
  <c r="L90" i="12"/>
  <c r="N90" i="12" s="1"/>
  <c r="H90" i="12"/>
  <c r="D90" i="12"/>
  <c r="B90" i="12"/>
  <c r="T89" i="12"/>
  <c r="P89" i="12"/>
  <c r="H89" i="12"/>
  <c r="D89" i="12"/>
  <c r="B89" i="12"/>
  <c r="T88" i="12"/>
  <c r="Z88" i="12" s="1"/>
  <c r="P88" i="12"/>
  <c r="X88" i="12" s="1"/>
  <c r="L88" i="12"/>
  <c r="H88" i="12"/>
  <c r="D88" i="12"/>
  <c r="B88" i="12"/>
  <c r="T87" i="12"/>
  <c r="X87" i="12" s="1"/>
  <c r="P87" i="12"/>
  <c r="H87" i="12"/>
  <c r="L87" i="12" s="1"/>
  <c r="D87" i="12"/>
  <c r="B87" i="12"/>
  <c r="T86" i="12"/>
  <c r="P86" i="12"/>
  <c r="X86" i="12" s="1"/>
  <c r="Z86" i="12" s="1"/>
  <c r="L86" i="12"/>
  <c r="N86" i="12" s="1"/>
  <c r="H86" i="12"/>
  <c r="D86" i="12"/>
  <c r="B86" i="12"/>
  <c r="T85" i="12"/>
  <c r="P85" i="12"/>
  <c r="H85" i="12"/>
  <c r="D85" i="12"/>
  <c r="B85" i="12"/>
  <c r="T84" i="12"/>
  <c r="Z84" i="12" s="1"/>
  <c r="P84" i="12"/>
  <c r="X84" i="12" s="1"/>
  <c r="L84" i="12"/>
  <c r="H84" i="12"/>
  <c r="D84" i="12"/>
  <c r="B84" i="12"/>
  <c r="T83" i="12"/>
  <c r="X83" i="12" s="1"/>
  <c r="P83" i="12"/>
  <c r="H83" i="12"/>
  <c r="L83" i="12" s="1"/>
  <c r="D83" i="12"/>
  <c r="B83" i="12"/>
  <c r="T82" i="12"/>
  <c r="P82" i="12"/>
  <c r="X82" i="12" s="1"/>
  <c r="Z82" i="12" s="1"/>
  <c r="L82" i="12"/>
  <c r="N82" i="12" s="1"/>
  <c r="H82" i="12"/>
  <c r="D82" i="12"/>
  <c r="B82" i="12"/>
  <c r="T81" i="12"/>
  <c r="P81" i="12"/>
  <c r="H81" i="12"/>
  <c r="D81" i="12"/>
  <c r="B81" i="12"/>
  <c r="T80" i="12"/>
  <c r="P80" i="12"/>
  <c r="X80" i="12" s="1"/>
  <c r="L80" i="12"/>
  <c r="H80" i="12"/>
  <c r="D80" i="12"/>
  <c r="B80" i="12"/>
  <c r="Z79" i="12"/>
  <c r="T79" i="12"/>
  <c r="X79" i="12" s="1"/>
  <c r="P79" i="12"/>
  <c r="H79" i="12"/>
  <c r="L79" i="12" s="1"/>
  <c r="D79" i="12"/>
  <c r="B79" i="12"/>
  <c r="T78" i="12"/>
  <c r="P78" i="12"/>
  <c r="L78" i="12"/>
  <c r="N78" i="12" s="1"/>
  <c r="H78" i="12"/>
  <c r="D78" i="12"/>
  <c r="B78" i="12"/>
  <c r="T77" i="12"/>
  <c r="P77" i="12"/>
  <c r="H77" i="12"/>
  <c r="D77" i="12"/>
  <c r="B77" i="12"/>
  <c r="T76" i="12"/>
  <c r="Z76" i="12" s="1"/>
  <c r="P76" i="12"/>
  <c r="X76" i="12" s="1"/>
  <c r="H76" i="12"/>
  <c r="L76" i="12" s="1"/>
  <c r="D76" i="12"/>
  <c r="B76" i="12"/>
  <c r="Z75" i="12"/>
  <c r="T75" i="12"/>
  <c r="X75" i="12" s="1"/>
  <c r="P75" i="12"/>
  <c r="H75" i="12"/>
  <c r="L75" i="12" s="1"/>
  <c r="D75" i="12"/>
  <c r="B75" i="12"/>
  <c r="T74" i="12"/>
  <c r="P74" i="12"/>
  <c r="L74" i="12"/>
  <c r="N74" i="12" s="1"/>
  <c r="H74" i="12"/>
  <c r="D74" i="12"/>
  <c r="B74" i="12"/>
  <c r="T73" i="12"/>
  <c r="P73" i="12"/>
  <c r="X73" i="12" s="1"/>
  <c r="L73" i="12"/>
  <c r="H73" i="12"/>
  <c r="D73" i="12"/>
  <c r="B73" i="12"/>
  <c r="T72" i="12"/>
  <c r="Z72" i="12" s="1"/>
  <c r="P72" i="12"/>
  <c r="X72" i="12" s="1"/>
  <c r="L72" i="12"/>
  <c r="H72" i="12"/>
  <c r="D72" i="12"/>
  <c r="B72" i="12"/>
  <c r="T71" i="12"/>
  <c r="X71" i="12" s="1"/>
  <c r="P71" i="12"/>
  <c r="L71" i="12"/>
  <c r="H71" i="12"/>
  <c r="N71" i="12" s="1"/>
  <c r="D71" i="12"/>
  <c r="B71" i="12"/>
  <c r="T70" i="12"/>
  <c r="P70" i="12"/>
  <c r="L70" i="12"/>
  <c r="N70" i="12" s="1"/>
  <c r="H70" i="12"/>
  <c r="D70" i="12"/>
  <c r="B70" i="12"/>
  <c r="T69" i="12"/>
  <c r="Z69" i="12" s="1"/>
  <c r="P69" i="12"/>
  <c r="H69" i="12"/>
  <c r="D69" i="12"/>
  <c r="B69" i="12"/>
  <c r="T68" i="12"/>
  <c r="P68" i="12"/>
  <c r="L68" i="12"/>
  <c r="H68" i="12"/>
  <c r="N68" i="12" s="1"/>
  <c r="D68" i="12"/>
  <c r="B68" i="12"/>
  <c r="Z67" i="12"/>
  <c r="T67" i="12"/>
  <c r="X67" i="12" s="1"/>
  <c r="P67" i="12"/>
  <c r="L67" i="12"/>
  <c r="H67" i="12"/>
  <c r="D67" i="12"/>
  <c r="B67" i="12"/>
  <c r="T66" i="12"/>
  <c r="Z66" i="12" s="1"/>
  <c r="P66" i="12"/>
  <c r="X66" i="12" s="1"/>
  <c r="L66" i="12"/>
  <c r="N66" i="12" s="1"/>
  <c r="H66" i="12"/>
  <c r="D66" i="12"/>
  <c r="B66" i="12"/>
  <c r="T65" i="12"/>
  <c r="P65" i="12"/>
  <c r="X65" i="12" s="1"/>
  <c r="L65" i="12"/>
  <c r="H65" i="12"/>
  <c r="D65" i="12"/>
  <c r="B65" i="12"/>
  <c r="T64" i="12"/>
  <c r="P64" i="12"/>
  <c r="X64" i="12" s="1"/>
  <c r="H64" i="12"/>
  <c r="D64" i="12"/>
  <c r="B64" i="12"/>
  <c r="T63" i="12"/>
  <c r="P63" i="12"/>
  <c r="L63" i="12"/>
  <c r="H63" i="12"/>
  <c r="N63" i="12" s="1"/>
  <c r="D63" i="12"/>
  <c r="B63" i="12"/>
  <c r="T62" i="12"/>
  <c r="P62" i="12"/>
  <c r="X62" i="12" s="1"/>
  <c r="Z62" i="12" s="1"/>
  <c r="L62" i="12"/>
  <c r="N62" i="12" s="1"/>
  <c r="H62" i="12"/>
  <c r="D62" i="12"/>
  <c r="B62" i="12"/>
  <c r="T61" i="12"/>
  <c r="P61" i="12"/>
  <c r="X61" i="12" s="1"/>
  <c r="Z61" i="12" s="1"/>
  <c r="H61" i="12"/>
  <c r="D61" i="12"/>
  <c r="B61" i="12"/>
  <c r="T60" i="12"/>
  <c r="P60" i="12"/>
  <c r="X60" i="12" s="1"/>
  <c r="H60" i="12"/>
  <c r="D60" i="12"/>
  <c r="B60" i="12"/>
  <c r="T59" i="12"/>
  <c r="X59" i="12" s="1"/>
  <c r="P59" i="12"/>
  <c r="L59" i="12"/>
  <c r="H59" i="12"/>
  <c r="D59" i="12"/>
  <c r="B59" i="12"/>
  <c r="Z58" i="12"/>
  <c r="T58" i="12"/>
  <c r="P58" i="12"/>
  <c r="X58" i="12" s="1"/>
  <c r="L58" i="12"/>
  <c r="N58" i="12" s="1"/>
  <c r="H58" i="12"/>
  <c r="D58" i="12"/>
  <c r="B58" i="12"/>
  <c r="T57" i="12"/>
  <c r="P57" i="12"/>
  <c r="H57" i="12"/>
  <c r="D57" i="12"/>
  <c r="B57" i="12"/>
  <c r="T56" i="12"/>
  <c r="P56" i="12"/>
  <c r="X56" i="12" s="1"/>
  <c r="L56" i="12"/>
  <c r="H56" i="12"/>
  <c r="N56" i="12" s="1"/>
  <c r="D56" i="12"/>
  <c r="B56" i="12"/>
  <c r="T55" i="12"/>
  <c r="X55" i="12" s="1"/>
  <c r="Z55" i="12" s="1"/>
  <c r="P55" i="12"/>
  <c r="L55" i="12"/>
  <c r="H55" i="12"/>
  <c r="N55" i="12" s="1"/>
  <c r="D55" i="12"/>
  <c r="B55" i="12"/>
  <c r="T54" i="12"/>
  <c r="P54" i="12"/>
  <c r="X54" i="12" s="1"/>
  <c r="Z54" i="12" s="1"/>
  <c r="N54" i="12"/>
  <c r="L54" i="12"/>
  <c r="H54" i="12"/>
  <c r="D54" i="12"/>
  <c r="B54" i="12"/>
  <c r="Z53" i="12"/>
  <c r="T53" i="12"/>
  <c r="P53" i="12"/>
  <c r="X53" i="12" s="1"/>
  <c r="L53" i="12"/>
  <c r="H53" i="12"/>
  <c r="D53" i="12"/>
  <c r="B53" i="12"/>
  <c r="T52" i="12"/>
  <c r="P52" i="12"/>
  <c r="X52" i="12" s="1"/>
  <c r="H52" i="12"/>
  <c r="D52" i="12"/>
  <c r="B52" i="12"/>
  <c r="T51" i="12"/>
  <c r="P51" i="12"/>
  <c r="N51" i="12"/>
  <c r="L51" i="12"/>
  <c r="H51" i="12"/>
  <c r="D51" i="12"/>
  <c r="B51" i="12"/>
  <c r="T50" i="12"/>
  <c r="Z50" i="12" s="1"/>
  <c r="P50" i="12"/>
  <c r="X50" i="12" s="1"/>
  <c r="H50" i="12"/>
  <c r="D50" i="12"/>
  <c r="L50" i="12" s="1"/>
  <c r="N50" i="12" s="1"/>
  <c r="B50" i="12"/>
  <c r="T49" i="12"/>
  <c r="P49" i="12"/>
  <c r="H49" i="12"/>
  <c r="D49" i="12"/>
  <c r="B49" i="12"/>
  <c r="X48" i="12"/>
  <c r="T48" i="12"/>
  <c r="P48" i="12"/>
  <c r="L48" i="12"/>
  <c r="H48" i="12"/>
  <c r="D48" i="12"/>
  <c r="B48" i="12"/>
  <c r="T47" i="12"/>
  <c r="X47" i="12" s="1"/>
  <c r="P47" i="12"/>
  <c r="H47" i="12"/>
  <c r="D47" i="12"/>
  <c r="B47" i="12"/>
  <c r="T46" i="12"/>
  <c r="P46" i="12"/>
  <c r="L46" i="12"/>
  <c r="N46" i="12" s="1"/>
  <c r="H46" i="12"/>
  <c r="D46" i="12"/>
  <c r="B46" i="12"/>
  <c r="T45" i="12"/>
  <c r="Z45" i="12" s="1"/>
  <c r="P45" i="12"/>
  <c r="X45" i="12" s="1"/>
  <c r="H45" i="12"/>
  <c r="D45" i="12"/>
  <c r="B45" i="12"/>
  <c r="T44" i="12"/>
  <c r="X44" i="12" s="1"/>
  <c r="P44" i="12"/>
  <c r="H44" i="12"/>
  <c r="D44" i="12"/>
  <c r="B44" i="12"/>
  <c r="Z43" i="12"/>
  <c r="T43" i="12"/>
  <c r="X43" i="12" s="1"/>
  <c r="P43" i="12"/>
  <c r="N43" i="12"/>
  <c r="L43" i="12"/>
  <c r="H43" i="12"/>
  <c r="D43" i="12"/>
  <c r="B43" i="12"/>
  <c r="T42" i="12"/>
  <c r="P42" i="12"/>
  <c r="H42" i="12"/>
  <c r="D42" i="12"/>
  <c r="L42" i="12" s="1"/>
  <c r="N42" i="12" s="1"/>
  <c r="B42" i="12"/>
  <c r="T41" i="12"/>
  <c r="P41" i="12"/>
  <c r="L41" i="12"/>
  <c r="H41" i="12"/>
  <c r="D41" i="12"/>
  <c r="B41" i="12"/>
  <c r="T40" i="12"/>
  <c r="P40" i="12"/>
  <c r="X40" i="12" s="1"/>
  <c r="H40" i="12"/>
  <c r="D40" i="12"/>
  <c r="B40" i="12"/>
  <c r="T39" i="12"/>
  <c r="X39" i="12" s="1"/>
  <c r="P39" i="12"/>
  <c r="L39" i="12"/>
  <c r="N39" i="12" s="1"/>
  <c r="H39" i="12"/>
  <c r="D39" i="12"/>
  <c r="B39" i="12"/>
  <c r="T38" i="12"/>
  <c r="P38" i="12"/>
  <c r="X38" i="12" s="1"/>
  <c r="H38" i="12"/>
  <c r="D38" i="12"/>
  <c r="L38" i="12" s="1"/>
  <c r="N38" i="12" s="1"/>
  <c r="B38" i="12"/>
  <c r="T37" i="12"/>
  <c r="P37" i="12"/>
  <c r="H37" i="12"/>
  <c r="D37" i="12"/>
  <c r="B37" i="12"/>
  <c r="X36" i="12"/>
  <c r="T36" i="12"/>
  <c r="P36" i="12"/>
  <c r="L36" i="12"/>
  <c r="H36" i="12"/>
  <c r="D36" i="12"/>
  <c r="B36" i="12"/>
  <c r="T35" i="12"/>
  <c r="X35" i="12" s="1"/>
  <c r="P35" i="12"/>
  <c r="H35" i="12"/>
  <c r="D35" i="12"/>
  <c r="B35" i="12"/>
  <c r="Z34" i="12"/>
  <c r="T34" i="12"/>
  <c r="P34" i="12"/>
  <c r="X34" i="12" s="1"/>
  <c r="H34" i="12"/>
  <c r="D34" i="12"/>
  <c r="L34" i="12" s="1"/>
  <c r="N34" i="12" s="1"/>
  <c r="B34" i="12"/>
  <c r="T33" i="12"/>
  <c r="P33" i="12"/>
  <c r="X33" i="12" s="1"/>
  <c r="L33" i="12"/>
  <c r="H33" i="12"/>
  <c r="D33" i="12"/>
  <c r="B33" i="12"/>
  <c r="T32" i="12"/>
  <c r="P32" i="12"/>
  <c r="H32" i="12"/>
  <c r="D32" i="12"/>
  <c r="B32" i="12"/>
  <c r="Z31" i="12"/>
  <c r="T31" i="12"/>
  <c r="X31" i="12" s="1"/>
  <c r="P31" i="12"/>
  <c r="H31" i="12"/>
  <c r="L31" i="12" s="1"/>
  <c r="N31" i="12" s="1"/>
  <c r="D31" i="12"/>
  <c r="B31" i="12"/>
  <c r="T30" i="12"/>
  <c r="P30" i="12"/>
  <c r="L30" i="12"/>
  <c r="N30" i="12" s="1"/>
  <c r="H30" i="12"/>
  <c r="D30" i="12"/>
  <c r="B30" i="12"/>
  <c r="Z29" i="12"/>
  <c r="T29" i="12"/>
  <c r="P29" i="12"/>
  <c r="X29" i="12" s="1"/>
  <c r="L29" i="12"/>
  <c r="H29" i="12"/>
  <c r="D29" i="12"/>
  <c r="B29" i="12"/>
  <c r="T28" i="12"/>
  <c r="P28" i="12"/>
  <c r="X28" i="12" s="1"/>
  <c r="L28" i="12"/>
  <c r="H28" i="12"/>
  <c r="D28" i="12"/>
  <c r="B28" i="12"/>
  <c r="T27" i="12"/>
  <c r="X27" i="12" s="1"/>
  <c r="P27" i="12"/>
  <c r="L27" i="12"/>
  <c r="H27" i="12"/>
  <c r="N27" i="12" s="1"/>
  <c r="D27" i="12"/>
  <c r="B27" i="12"/>
  <c r="T26" i="12"/>
  <c r="P26" i="12"/>
  <c r="X26" i="12" s="1"/>
  <c r="Z26" i="12" s="1"/>
  <c r="H26" i="12"/>
  <c r="D26" i="12"/>
  <c r="L26" i="12" s="1"/>
  <c r="N26" i="12" s="1"/>
  <c r="B26" i="12"/>
  <c r="T25" i="12"/>
  <c r="P25" i="12"/>
  <c r="H25" i="12"/>
  <c r="D25" i="12"/>
  <c r="B25" i="12"/>
  <c r="X24" i="12"/>
  <c r="T24" i="12"/>
  <c r="P24" i="12"/>
  <c r="L24" i="12"/>
  <c r="H24" i="12"/>
  <c r="D24" i="12"/>
  <c r="B24" i="12"/>
  <c r="T23" i="12"/>
  <c r="X23" i="12" s="1"/>
  <c r="P23" i="12"/>
  <c r="H23" i="12"/>
  <c r="D23" i="12"/>
  <c r="B23" i="12"/>
  <c r="T22" i="12"/>
  <c r="P22" i="12"/>
  <c r="X22" i="12" s="1"/>
  <c r="Z22" i="12" s="1"/>
  <c r="L22" i="12"/>
  <c r="N22" i="12" s="1"/>
  <c r="H22" i="12"/>
  <c r="D22" i="12"/>
  <c r="B22" i="12"/>
  <c r="T21" i="12"/>
  <c r="P21" i="12"/>
  <c r="X21" i="12" s="1"/>
  <c r="Z21" i="12" s="1"/>
  <c r="H21" i="12"/>
  <c r="D21" i="12"/>
  <c r="B21" i="12"/>
  <c r="T20" i="12"/>
  <c r="P20" i="12"/>
  <c r="X20" i="12" s="1"/>
  <c r="H20" i="12"/>
  <c r="D20" i="12"/>
  <c r="B20" i="12"/>
  <c r="Z19" i="12"/>
  <c r="T19" i="12"/>
  <c r="X19" i="12" s="1"/>
  <c r="P19" i="12"/>
  <c r="H19" i="12"/>
  <c r="D19" i="12"/>
  <c r="B19" i="12"/>
  <c r="T18" i="12"/>
  <c r="P18" i="12"/>
  <c r="N18" i="12"/>
  <c r="L18" i="12"/>
  <c r="H18" i="12"/>
  <c r="D18" i="12"/>
  <c r="B18" i="12"/>
  <c r="T17" i="12"/>
  <c r="Z17" i="12" s="1"/>
  <c r="P17" i="12"/>
  <c r="X17" i="12" s="1"/>
  <c r="H17" i="12"/>
  <c r="D17" i="12"/>
  <c r="L17" i="12" s="1"/>
  <c r="B17" i="12"/>
  <c r="T16" i="12"/>
  <c r="X16" i="12" s="1"/>
  <c r="P16" i="12"/>
  <c r="H16" i="12"/>
  <c r="D16" i="12"/>
  <c r="B16" i="12"/>
  <c r="T15" i="12"/>
  <c r="X15" i="12" s="1"/>
  <c r="Z15" i="12" s="1"/>
  <c r="P15" i="12"/>
  <c r="H15" i="12"/>
  <c r="D15" i="12"/>
  <c r="B15" i="12"/>
  <c r="T14" i="12"/>
  <c r="P14" i="12"/>
  <c r="X14" i="12" s="1"/>
  <c r="Z14" i="12" s="1"/>
  <c r="H14" i="12"/>
  <c r="D14" i="12"/>
  <c r="L14" i="12" s="1"/>
  <c r="N14" i="12" s="1"/>
  <c r="B14" i="12"/>
  <c r="T13" i="12"/>
  <c r="Z13" i="12" s="1"/>
  <c r="P13" i="12"/>
  <c r="L13" i="12"/>
  <c r="H13" i="12"/>
  <c r="N13" i="12" s="1"/>
  <c r="D13" i="12"/>
  <c r="B13" i="12"/>
  <c r="D4" i="12"/>
  <c r="R95" i="9"/>
  <c r="Z93" i="9"/>
  <c r="X93" i="9"/>
  <c r="V93" i="9"/>
  <c r="N93" i="9"/>
  <c r="L93" i="9"/>
  <c r="X89" i="9"/>
  <c r="T89" i="9"/>
  <c r="Z89" i="9" s="1"/>
  <c r="P89" i="9"/>
  <c r="N89" i="9"/>
  <c r="L89" i="9"/>
  <c r="H89" i="9"/>
  <c r="F89" i="9"/>
  <c r="D89" i="9"/>
  <c r="X87" i="9"/>
  <c r="Z87" i="9" s="1"/>
  <c r="N87" i="9"/>
  <c r="L87" i="9"/>
  <c r="B87" i="9"/>
  <c r="X86" i="9"/>
  <c r="Z86" i="9" s="1"/>
  <c r="V86" i="9"/>
  <c r="L86" i="9"/>
  <c r="N86" i="9" s="1"/>
  <c r="B86" i="9"/>
  <c r="V85" i="9"/>
  <c r="T85" i="9"/>
  <c r="P85" i="9"/>
  <c r="X85" i="9" s="1"/>
  <c r="Z85" i="9" s="1"/>
  <c r="H85" i="9"/>
  <c r="D85" i="9"/>
  <c r="L85" i="9" s="1"/>
  <c r="N85" i="9" s="1"/>
  <c r="B85" i="9"/>
  <c r="X84" i="9"/>
  <c r="Z84" i="9" s="1"/>
  <c r="L84" i="9"/>
  <c r="N84" i="9" s="1"/>
  <c r="B84" i="9"/>
  <c r="X83" i="9"/>
  <c r="V83" i="9"/>
  <c r="T83" i="9"/>
  <c r="Z83" i="9" s="1"/>
  <c r="P83" i="9"/>
  <c r="L83" i="9"/>
  <c r="N83" i="9" s="1"/>
  <c r="J83" i="9"/>
  <c r="H83" i="9"/>
  <c r="D83" i="9"/>
  <c r="B83" i="9"/>
  <c r="X82" i="9"/>
  <c r="Z82" i="9" s="1"/>
  <c r="L82" i="9"/>
  <c r="N82" i="9" s="1"/>
  <c r="B82" i="9"/>
  <c r="Z81" i="9"/>
  <c r="X81" i="9"/>
  <c r="L81" i="9"/>
  <c r="N81" i="9" s="1"/>
  <c r="B81" i="9"/>
  <c r="V80" i="9"/>
  <c r="T80" i="9"/>
  <c r="P80" i="9"/>
  <c r="H80" i="9"/>
  <c r="N80" i="9" s="1"/>
  <c r="D80" i="9"/>
  <c r="L80" i="9" s="1"/>
  <c r="B80" i="9"/>
  <c r="Z79" i="9"/>
  <c r="X79" i="9"/>
  <c r="V79" i="9"/>
  <c r="R79" i="9"/>
  <c r="N79" i="9"/>
  <c r="L79" i="9"/>
  <c r="B79" i="9"/>
  <c r="Z78" i="9"/>
  <c r="X78" i="9"/>
  <c r="R78" i="9"/>
  <c r="L78" i="9"/>
  <c r="N78" i="9" s="1"/>
  <c r="J78" i="9"/>
  <c r="B78" i="9"/>
  <c r="Z77" i="9"/>
  <c r="X77" i="9"/>
  <c r="L77" i="9"/>
  <c r="N77" i="9" s="1"/>
  <c r="J77" i="9"/>
  <c r="B77" i="9"/>
  <c r="Z76" i="9"/>
  <c r="X76" i="9"/>
  <c r="N76" i="9"/>
  <c r="L76" i="9"/>
  <c r="B76" i="9"/>
  <c r="Z75" i="9"/>
  <c r="X75" i="9"/>
  <c r="V75" i="9"/>
  <c r="R75" i="9"/>
  <c r="N75" i="9"/>
  <c r="L75" i="9"/>
  <c r="B75" i="9"/>
  <c r="T74" i="9"/>
  <c r="P74" i="9"/>
  <c r="X74" i="9" s="1"/>
  <c r="N74" i="9"/>
  <c r="H74" i="9"/>
  <c r="D74" i="9"/>
  <c r="L74" i="9" s="1"/>
  <c r="B74" i="9"/>
  <c r="X73" i="9"/>
  <c r="Z73" i="9" s="1"/>
  <c r="V73" i="9"/>
  <c r="N73" i="9"/>
  <c r="L73" i="9"/>
  <c r="B73" i="9"/>
  <c r="V72" i="9"/>
  <c r="T72" i="9"/>
  <c r="P72" i="9"/>
  <c r="X72" i="9" s="1"/>
  <c r="N72" i="9"/>
  <c r="L72" i="9"/>
  <c r="J72" i="9"/>
  <c r="H72" i="9"/>
  <c r="D72" i="9"/>
  <c r="B72" i="9"/>
  <c r="X71" i="9"/>
  <c r="Z71" i="9" s="1"/>
  <c r="N71" i="9"/>
  <c r="L71" i="9"/>
  <c r="B71" i="9"/>
  <c r="X70" i="9"/>
  <c r="Z70" i="9" s="1"/>
  <c r="N70" i="9"/>
  <c r="L70" i="9"/>
  <c r="B70" i="9"/>
  <c r="X69" i="9"/>
  <c r="Z69" i="9" s="1"/>
  <c r="T69" i="9"/>
  <c r="P69" i="9"/>
  <c r="L69" i="9"/>
  <c r="H69" i="9"/>
  <c r="N69" i="9" s="1"/>
  <c r="D69" i="9"/>
  <c r="B69" i="9"/>
  <c r="Z68" i="9"/>
  <c r="X68" i="9"/>
  <c r="L68" i="9"/>
  <c r="N68" i="9" s="1"/>
  <c r="B68" i="9"/>
  <c r="Z67" i="9"/>
  <c r="X67" i="9"/>
  <c r="V67" i="9"/>
  <c r="R67" i="9"/>
  <c r="N67" i="9"/>
  <c r="L67" i="9"/>
  <c r="B67" i="9"/>
  <c r="Z66" i="9"/>
  <c r="X66" i="9"/>
  <c r="V66" i="9"/>
  <c r="R66" i="9"/>
  <c r="L66" i="9"/>
  <c r="N66" i="9" s="1"/>
  <c r="J66" i="9"/>
  <c r="B66" i="9"/>
  <c r="T65" i="9"/>
  <c r="Z65" i="9" s="1"/>
  <c r="P65" i="9"/>
  <c r="X65" i="9" s="1"/>
  <c r="H65" i="9"/>
  <c r="D65" i="9"/>
  <c r="B65" i="9"/>
  <c r="X64" i="9"/>
  <c r="Z64" i="9" s="1"/>
  <c r="V64" i="9"/>
  <c r="L64" i="9"/>
  <c r="N64" i="9" s="1"/>
  <c r="B64" i="9"/>
  <c r="Z63" i="9"/>
  <c r="X63" i="9"/>
  <c r="L63" i="9"/>
  <c r="N63" i="9" s="1"/>
  <c r="B63" i="9"/>
  <c r="X62" i="9"/>
  <c r="Z62" i="9" s="1"/>
  <c r="V62" i="9"/>
  <c r="N62" i="9"/>
  <c r="L62" i="9"/>
  <c r="B62" i="9"/>
  <c r="X61" i="9"/>
  <c r="Z61" i="9" s="1"/>
  <c r="V61" i="9"/>
  <c r="L61" i="9"/>
  <c r="N61" i="9" s="1"/>
  <c r="B61" i="9"/>
  <c r="V60" i="9"/>
  <c r="T60" i="9"/>
  <c r="P60" i="9"/>
  <c r="X60" i="9" s="1"/>
  <c r="L60" i="9"/>
  <c r="N60" i="9" s="1"/>
  <c r="J60" i="9"/>
  <c r="H60" i="9"/>
  <c r="D60" i="9"/>
  <c r="B60" i="9"/>
  <c r="X59" i="9"/>
  <c r="Z59" i="9" s="1"/>
  <c r="N59" i="9"/>
  <c r="L59" i="9"/>
  <c r="B59" i="9"/>
  <c r="X58" i="9"/>
  <c r="T58" i="9"/>
  <c r="Z58" i="9" s="1"/>
  <c r="P58" i="9"/>
  <c r="L58" i="9"/>
  <c r="H58" i="9"/>
  <c r="N58" i="9" s="1"/>
  <c r="D58" i="9"/>
  <c r="B58" i="9"/>
  <c r="Z57" i="9"/>
  <c r="X57" i="9"/>
  <c r="L57" i="9"/>
  <c r="N57" i="9" s="1"/>
  <c r="J57" i="9"/>
  <c r="B57" i="9"/>
  <c r="Z56" i="9"/>
  <c r="T56" i="9"/>
  <c r="P56" i="9"/>
  <c r="X56" i="9" s="1"/>
  <c r="H56" i="9"/>
  <c r="N56" i="9" s="1"/>
  <c r="D56" i="9"/>
  <c r="L56" i="9" s="1"/>
  <c r="B56" i="9"/>
  <c r="Z55" i="9"/>
  <c r="X55" i="9"/>
  <c r="V55" i="9"/>
  <c r="L55" i="9"/>
  <c r="N55" i="9" s="1"/>
  <c r="B55" i="9"/>
  <c r="Z54" i="9"/>
  <c r="X54" i="9"/>
  <c r="V54" i="9"/>
  <c r="N54" i="9"/>
  <c r="L54" i="9"/>
  <c r="B54" i="9"/>
  <c r="V53" i="9"/>
  <c r="T53" i="9"/>
  <c r="P53" i="9"/>
  <c r="X53" i="9" s="1"/>
  <c r="H53" i="9"/>
  <c r="D53" i="9"/>
  <c r="L53" i="9" s="1"/>
  <c r="N53" i="9" s="1"/>
  <c r="B53" i="9"/>
  <c r="X52" i="9"/>
  <c r="Z52" i="9" s="1"/>
  <c r="V52" i="9"/>
  <c r="N52" i="9"/>
  <c r="L52" i="9"/>
  <c r="B52" i="9"/>
  <c r="X51" i="9"/>
  <c r="T51" i="9"/>
  <c r="Z51" i="9" s="1"/>
  <c r="R51" i="9"/>
  <c r="P51" i="9"/>
  <c r="L51" i="9"/>
  <c r="N51" i="9" s="1"/>
  <c r="H51" i="9"/>
  <c r="D51" i="9"/>
  <c r="B51" i="9"/>
  <c r="Z50" i="9"/>
  <c r="X50" i="9"/>
  <c r="V50" i="9"/>
  <c r="R50" i="9"/>
  <c r="L50" i="9"/>
  <c r="N50" i="9" s="1"/>
  <c r="J50" i="9"/>
  <c r="B50" i="9"/>
  <c r="V49" i="9"/>
  <c r="T49" i="9"/>
  <c r="P49" i="9"/>
  <c r="X49" i="9" s="1"/>
  <c r="H49" i="9"/>
  <c r="D49" i="9"/>
  <c r="B49" i="9"/>
  <c r="X48" i="9"/>
  <c r="Z48" i="9" s="1"/>
  <c r="V48" i="9"/>
  <c r="L48" i="9"/>
  <c r="N48" i="9" s="1"/>
  <c r="B48" i="9"/>
  <c r="V47" i="9"/>
  <c r="T47" i="9"/>
  <c r="P47" i="9"/>
  <c r="X47" i="9" s="1"/>
  <c r="Z47" i="9" s="1"/>
  <c r="J47" i="9"/>
  <c r="H47" i="9"/>
  <c r="N47" i="9" s="1"/>
  <c r="D47" i="9"/>
  <c r="L47" i="9" s="1"/>
  <c r="B47" i="9"/>
  <c r="X46" i="9"/>
  <c r="Z46" i="9" s="1"/>
  <c r="N46" i="9"/>
  <c r="L46" i="9"/>
  <c r="B46" i="9"/>
  <c r="X45" i="9"/>
  <c r="Z45" i="9" s="1"/>
  <c r="T45" i="9"/>
  <c r="P45" i="9"/>
  <c r="L45" i="9"/>
  <c r="H45" i="9"/>
  <c r="N45" i="9" s="1"/>
  <c r="D45" i="9"/>
  <c r="B45" i="9"/>
  <c r="Z44" i="9"/>
  <c r="X44" i="9"/>
  <c r="L44" i="9"/>
  <c r="N44" i="9" s="1"/>
  <c r="B44" i="9"/>
  <c r="V43" i="9"/>
  <c r="T43" i="9"/>
  <c r="P43" i="9"/>
  <c r="H43" i="9"/>
  <c r="D43" i="9"/>
  <c r="L43" i="9" s="1"/>
  <c r="B43" i="9"/>
  <c r="X42" i="9"/>
  <c r="Z42" i="9" s="1"/>
  <c r="V42" i="9"/>
  <c r="L42" i="9"/>
  <c r="N42" i="9" s="1"/>
  <c r="B42" i="9"/>
  <c r="V41" i="9"/>
  <c r="T41" i="9"/>
  <c r="P41" i="9"/>
  <c r="X41" i="9" s="1"/>
  <c r="H41" i="9"/>
  <c r="D41" i="9"/>
  <c r="L41" i="9" s="1"/>
  <c r="N41" i="9" s="1"/>
  <c r="B41" i="9"/>
  <c r="X40" i="9"/>
  <c r="Z40" i="9" s="1"/>
  <c r="V40" i="9"/>
  <c r="N40" i="9"/>
  <c r="L40" i="9"/>
  <c r="B40" i="9"/>
  <c r="X39" i="9"/>
  <c r="T39" i="9"/>
  <c r="Z39" i="9" s="1"/>
  <c r="R39" i="9"/>
  <c r="P39" i="9"/>
  <c r="L39" i="9"/>
  <c r="N39" i="9" s="1"/>
  <c r="H39" i="9"/>
  <c r="D39" i="9"/>
  <c r="B39" i="9"/>
  <c r="Z38" i="9"/>
  <c r="X38" i="9"/>
  <c r="V38" i="9"/>
  <c r="R38" i="9"/>
  <c r="L38" i="9"/>
  <c r="N38" i="9" s="1"/>
  <c r="J38" i="9"/>
  <c r="B38" i="9"/>
  <c r="Z37" i="9"/>
  <c r="X37" i="9"/>
  <c r="V37" i="9"/>
  <c r="R37" i="9"/>
  <c r="L37" i="9"/>
  <c r="N37" i="9" s="1"/>
  <c r="J37" i="9"/>
  <c r="B37" i="9"/>
  <c r="Z36" i="9"/>
  <c r="X36" i="9"/>
  <c r="N36" i="9"/>
  <c r="L36" i="9"/>
  <c r="B36" i="9"/>
  <c r="Z35" i="9"/>
  <c r="X35" i="9"/>
  <c r="V35" i="9"/>
  <c r="R35" i="9"/>
  <c r="N35" i="9"/>
  <c r="L35" i="9"/>
  <c r="B35" i="9"/>
  <c r="Z34" i="9"/>
  <c r="X34" i="9"/>
  <c r="V34" i="9"/>
  <c r="R34" i="9"/>
  <c r="L34" i="9"/>
  <c r="N34" i="9" s="1"/>
  <c r="J34" i="9"/>
  <c r="B34" i="9"/>
  <c r="Z33" i="9"/>
  <c r="X33" i="9"/>
  <c r="V33" i="9"/>
  <c r="R33" i="9"/>
  <c r="L33" i="9"/>
  <c r="N33" i="9" s="1"/>
  <c r="J33" i="9"/>
  <c r="B33" i="9"/>
  <c r="Z32" i="9"/>
  <c r="X32" i="9"/>
  <c r="L32" i="9"/>
  <c r="N32" i="9" s="1"/>
  <c r="B32" i="9"/>
  <c r="V31" i="9"/>
  <c r="T31" i="9"/>
  <c r="P31" i="9"/>
  <c r="H31" i="9"/>
  <c r="N31" i="9" s="1"/>
  <c r="D31" i="9"/>
  <c r="L31" i="9" s="1"/>
  <c r="B31" i="9"/>
  <c r="X30" i="9"/>
  <c r="Z30" i="9" s="1"/>
  <c r="V30" i="9"/>
  <c r="L30" i="9"/>
  <c r="N30" i="9" s="1"/>
  <c r="B30" i="9"/>
  <c r="X29" i="9"/>
  <c r="Z29" i="9" s="1"/>
  <c r="V29" i="9"/>
  <c r="L29" i="9"/>
  <c r="N29" i="9" s="1"/>
  <c r="B29" i="9"/>
  <c r="X28" i="9"/>
  <c r="Z28" i="9" s="1"/>
  <c r="V28" i="9"/>
  <c r="L28" i="9"/>
  <c r="N28" i="9" s="1"/>
  <c r="B28" i="9"/>
  <c r="Z27" i="9"/>
  <c r="X27" i="9"/>
  <c r="V27" i="9"/>
  <c r="L27" i="9"/>
  <c r="N27" i="9" s="1"/>
  <c r="B27" i="9"/>
  <c r="X26" i="9"/>
  <c r="Z26" i="9" s="1"/>
  <c r="V26" i="9"/>
  <c r="L26" i="9"/>
  <c r="N26" i="9" s="1"/>
  <c r="B26" i="9"/>
  <c r="X25" i="9"/>
  <c r="Z25" i="9" s="1"/>
  <c r="V25" i="9"/>
  <c r="N25" i="9"/>
  <c r="L25" i="9"/>
  <c r="B25" i="9"/>
  <c r="X24" i="9"/>
  <c r="Z24" i="9" s="1"/>
  <c r="V24" i="9"/>
  <c r="L24" i="9"/>
  <c r="N24" i="9" s="1"/>
  <c r="B24" i="9"/>
  <c r="Z23" i="9"/>
  <c r="X23" i="9"/>
  <c r="V23" i="9"/>
  <c r="L23" i="9"/>
  <c r="N23" i="9" s="1"/>
  <c r="B23" i="9"/>
  <c r="X22" i="9"/>
  <c r="Z22" i="9" s="1"/>
  <c r="V22" i="9"/>
  <c r="L22" i="9"/>
  <c r="N22" i="9" s="1"/>
  <c r="B22" i="9"/>
  <c r="X21" i="9"/>
  <c r="Z21" i="9" s="1"/>
  <c r="V21" i="9"/>
  <c r="L21" i="9"/>
  <c r="N21" i="9" s="1"/>
  <c r="B21" i="9"/>
  <c r="X20" i="9"/>
  <c r="Z20" i="9" s="1"/>
  <c r="V20" i="9"/>
  <c r="L20" i="9"/>
  <c r="N20" i="9" s="1"/>
  <c r="B20" i="9"/>
  <c r="V19" i="9"/>
  <c r="T19" i="9"/>
  <c r="P19" i="9"/>
  <c r="X19" i="9" s="1"/>
  <c r="Z19" i="9" s="1"/>
  <c r="J19" i="9"/>
  <c r="H19" i="9"/>
  <c r="D19" i="9"/>
  <c r="L19" i="9" s="1"/>
  <c r="B19" i="9"/>
  <c r="T18" i="9"/>
  <c r="R18" i="9"/>
  <c r="P18" i="9"/>
  <c r="H18" i="9"/>
  <c r="D18" i="9"/>
  <c r="L18" i="9" s="1"/>
  <c r="R16" i="9"/>
  <c r="T14" i="9"/>
  <c r="X14" i="9" s="1"/>
  <c r="R14" i="9"/>
  <c r="P14" i="9"/>
  <c r="L14" i="9"/>
  <c r="H14" i="9"/>
  <c r="N14" i="9" s="1"/>
  <c r="F14" i="9"/>
  <c r="D14" i="9"/>
  <c r="Z12" i="9"/>
  <c r="T12" i="9"/>
  <c r="V84" i="9" s="1"/>
  <c r="P12" i="9"/>
  <c r="R76" i="9" s="1"/>
  <c r="N12" i="9"/>
  <c r="H12" i="9"/>
  <c r="J95" i="9" s="1"/>
  <c r="D12" i="9"/>
  <c r="F58" i="9" s="1"/>
  <c r="D4" i="9"/>
  <c r="J31" i="6"/>
  <c r="F31" i="6"/>
  <c r="T29" i="6"/>
  <c r="P29" i="6"/>
  <c r="X29" i="6" s="1"/>
  <c r="Z29" i="6" s="1"/>
  <c r="J29" i="6"/>
  <c r="H29" i="6"/>
  <c r="N29" i="6" s="1"/>
  <c r="F29" i="6"/>
  <c r="D29" i="6"/>
  <c r="L29" i="6" s="1"/>
  <c r="T28" i="6"/>
  <c r="P28" i="6"/>
  <c r="X28" i="6" s="1"/>
  <c r="Z28" i="6" s="1"/>
  <c r="J28" i="6"/>
  <c r="H28" i="6"/>
  <c r="N28" i="6" s="1"/>
  <c r="F28" i="6"/>
  <c r="D28" i="6"/>
  <c r="L28" i="6" s="1"/>
  <c r="J26" i="6"/>
  <c r="F26" i="6"/>
  <c r="Z24" i="6"/>
  <c r="X24" i="6"/>
  <c r="N24" i="6"/>
  <c r="L24" i="6"/>
  <c r="F24" i="6"/>
  <c r="J22" i="6"/>
  <c r="F22" i="6"/>
  <c r="Z20" i="6"/>
  <c r="T20" i="6"/>
  <c r="X20" i="6" s="1"/>
  <c r="P20" i="6"/>
  <c r="J20" i="6"/>
  <c r="H20" i="6"/>
  <c r="N20" i="6" s="1"/>
  <c r="F20" i="6"/>
  <c r="D20" i="6"/>
  <c r="L20" i="6" s="1"/>
  <c r="Z18" i="6"/>
  <c r="T18" i="6"/>
  <c r="X18" i="6" s="1"/>
  <c r="P18" i="6"/>
  <c r="J18" i="6"/>
  <c r="H18" i="6"/>
  <c r="N18" i="6" s="1"/>
  <c r="F18" i="6"/>
  <c r="D18" i="6"/>
  <c r="L18" i="6" s="1"/>
  <c r="J16" i="6"/>
  <c r="F16" i="6"/>
  <c r="T14" i="6"/>
  <c r="X14" i="6" s="1"/>
  <c r="P14" i="6"/>
  <c r="J14" i="6"/>
  <c r="H14" i="6"/>
  <c r="N14" i="6" s="1"/>
  <c r="F14" i="6"/>
  <c r="D14" i="6"/>
  <c r="L14" i="6" s="1"/>
  <c r="Z12" i="6"/>
  <c r="T12" i="6"/>
  <c r="V31" i="6" s="1"/>
  <c r="P12" i="6"/>
  <c r="N12" i="6"/>
  <c r="H12" i="6"/>
  <c r="J24" i="6" s="1"/>
  <c r="D12" i="6"/>
  <c r="L12" i="6" s="1"/>
  <c r="D4" i="6"/>
  <c r="X312" i="3"/>
  <c r="T312" i="3"/>
  <c r="P312" i="3"/>
  <c r="H312" i="3"/>
  <c r="D312" i="3"/>
  <c r="L312" i="3" s="1"/>
  <c r="X311" i="3"/>
  <c r="T311" i="3"/>
  <c r="P311" i="3"/>
  <c r="H311" i="3"/>
  <c r="N311" i="3" s="1"/>
  <c r="D311" i="3"/>
  <c r="L311" i="3" s="1"/>
  <c r="X307" i="3"/>
  <c r="Z307" i="3" s="1"/>
  <c r="N307" i="3"/>
  <c r="L307" i="3"/>
  <c r="T303" i="3"/>
  <c r="Z303" i="3" s="1"/>
  <c r="P303" i="3"/>
  <c r="X303" i="3" s="1"/>
  <c r="L303" i="3"/>
  <c r="H303" i="3"/>
  <c r="N303" i="3" s="1"/>
  <c r="D303" i="3"/>
  <c r="B303" i="3"/>
  <c r="X302" i="3"/>
  <c r="T302" i="3"/>
  <c r="Z302" i="3" s="1"/>
  <c r="P302" i="3"/>
  <c r="L302" i="3"/>
  <c r="N302" i="3" s="1"/>
  <c r="H302" i="3"/>
  <c r="D302" i="3"/>
  <c r="B302" i="3"/>
  <c r="T301" i="3"/>
  <c r="P301" i="3"/>
  <c r="N301" i="3"/>
  <c r="L301" i="3"/>
  <c r="H301" i="3"/>
  <c r="D301" i="3"/>
  <c r="B301" i="3"/>
  <c r="T300" i="3"/>
  <c r="P300" i="3"/>
  <c r="X300" i="3" s="1"/>
  <c r="Z300" i="3" s="1"/>
  <c r="H300" i="3"/>
  <c r="D300" i="3"/>
  <c r="L300" i="3" s="1"/>
  <c r="N300" i="3" s="1"/>
  <c r="B300" i="3"/>
  <c r="X299" i="3"/>
  <c r="T299" i="3"/>
  <c r="Z299" i="3" s="1"/>
  <c r="P299" i="3"/>
  <c r="H299" i="3"/>
  <c r="D299" i="3"/>
  <c r="L299" i="3" s="1"/>
  <c r="B299" i="3"/>
  <c r="T298" i="3"/>
  <c r="P298" i="3"/>
  <c r="H298" i="3"/>
  <c r="D298" i="3"/>
  <c r="L298" i="3" s="1"/>
  <c r="B298" i="3"/>
  <c r="X297" i="3"/>
  <c r="T297" i="3"/>
  <c r="Z297" i="3" s="1"/>
  <c r="P297" i="3"/>
  <c r="H297" i="3"/>
  <c r="D297" i="3"/>
  <c r="L297" i="3" s="1"/>
  <c r="B297" i="3"/>
  <c r="X296" i="3"/>
  <c r="Z296" i="3" s="1"/>
  <c r="T296" i="3"/>
  <c r="P296" i="3"/>
  <c r="L296" i="3"/>
  <c r="H296" i="3"/>
  <c r="N296" i="3" s="1"/>
  <c r="D296" i="3"/>
  <c r="B296" i="3"/>
  <c r="Z295" i="3"/>
  <c r="X295" i="3"/>
  <c r="T295" i="3"/>
  <c r="P295" i="3"/>
  <c r="H295" i="3"/>
  <c r="N295" i="3" s="1"/>
  <c r="D295" i="3"/>
  <c r="B295" i="3"/>
  <c r="T294" i="3"/>
  <c r="P294" i="3"/>
  <c r="H294" i="3"/>
  <c r="D294" i="3"/>
  <c r="L294" i="3" s="1"/>
  <c r="N294" i="3" s="1"/>
  <c r="B294" i="3"/>
  <c r="T293" i="3"/>
  <c r="P293" i="3"/>
  <c r="X293" i="3" s="1"/>
  <c r="L293" i="3"/>
  <c r="H293" i="3"/>
  <c r="N293" i="3" s="1"/>
  <c r="D293" i="3"/>
  <c r="B293" i="3"/>
  <c r="H292" i="3"/>
  <c r="Z290" i="3"/>
  <c r="X290" i="3"/>
  <c r="L290" i="3"/>
  <c r="N290" i="3" s="1"/>
  <c r="B290" i="3"/>
  <c r="Z289" i="3"/>
  <c r="X289" i="3"/>
  <c r="T289" i="3"/>
  <c r="P289" i="3"/>
  <c r="H289" i="3"/>
  <c r="D289" i="3"/>
  <c r="B289" i="3"/>
  <c r="Z288" i="3"/>
  <c r="X288" i="3"/>
  <c r="N288" i="3"/>
  <c r="L288" i="3"/>
  <c r="B288" i="3"/>
  <c r="X287" i="3"/>
  <c r="Z287" i="3" s="1"/>
  <c r="L287" i="3"/>
  <c r="N287" i="3" s="1"/>
  <c r="B287" i="3"/>
  <c r="X286" i="3"/>
  <c r="Z286" i="3" s="1"/>
  <c r="L286" i="3"/>
  <c r="N286" i="3" s="1"/>
  <c r="B286" i="3"/>
  <c r="T285" i="3"/>
  <c r="Z285" i="3" s="1"/>
  <c r="P285" i="3"/>
  <c r="X285" i="3" s="1"/>
  <c r="L285" i="3"/>
  <c r="H285" i="3"/>
  <c r="N285" i="3" s="1"/>
  <c r="D285" i="3"/>
  <c r="B285" i="3"/>
  <c r="X284" i="3"/>
  <c r="Z284" i="3" s="1"/>
  <c r="N284" i="3"/>
  <c r="L284" i="3"/>
  <c r="B284" i="3"/>
  <c r="T283" i="3"/>
  <c r="Z283" i="3" s="1"/>
  <c r="P283" i="3"/>
  <c r="X283" i="3" s="1"/>
  <c r="L283" i="3"/>
  <c r="H283" i="3"/>
  <c r="N283" i="3" s="1"/>
  <c r="D283" i="3"/>
  <c r="B283" i="3"/>
  <c r="Z282" i="3"/>
  <c r="X282" i="3"/>
  <c r="L282" i="3"/>
  <c r="N282" i="3" s="1"/>
  <c r="B282" i="3"/>
  <c r="Z281" i="3"/>
  <c r="X281" i="3"/>
  <c r="L281" i="3"/>
  <c r="N281" i="3" s="1"/>
  <c r="B281" i="3"/>
  <c r="T280" i="3"/>
  <c r="P280" i="3"/>
  <c r="H280" i="3"/>
  <c r="D280" i="3"/>
  <c r="L280" i="3" s="1"/>
  <c r="B280" i="3"/>
  <c r="X279" i="3"/>
  <c r="Z279" i="3" s="1"/>
  <c r="L279" i="3"/>
  <c r="N279" i="3" s="1"/>
  <c r="B279" i="3"/>
  <c r="X278" i="3"/>
  <c r="Z278" i="3" s="1"/>
  <c r="L278" i="3"/>
  <c r="N278" i="3" s="1"/>
  <c r="B278" i="3"/>
  <c r="X277" i="3"/>
  <c r="Z277" i="3" s="1"/>
  <c r="L277" i="3"/>
  <c r="N277" i="3" s="1"/>
  <c r="B277" i="3"/>
  <c r="Z276" i="3"/>
  <c r="X276" i="3"/>
  <c r="L276" i="3"/>
  <c r="N276" i="3" s="1"/>
  <c r="B276" i="3"/>
  <c r="X275" i="3"/>
  <c r="Z275" i="3" s="1"/>
  <c r="L275" i="3"/>
  <c r="N275" i="3" s="1"/>
  <c r="B275" i="3"/>
  <c r="X274" i="3"/>
  <c r="Z274" i="3" s="1"/>
  <c r="L274" i="3"/>
  <c r="N274" i="3" s="1"/>
  <c r="B274" i="3"/>
  <c r="X273" i="3"/>
  <c r="Z273" i="3" s="1"/>
  <c r="L273" i="3"/>
  <c r="N273" i="3" s="1"/>
  <c r="B273" i="3"/>
  <c r="Z272" i="3"/>
  <c r="X272" i="3"/>
  <c r="N272" i="3"/>
  <c r="L272" i="3"/>
  <c r="B272" i="3"/>
  <c r="X271" i="3"/>
  <c r="Z271" i="3" s="1"/>
  <c r="L271" i="3"/>
  <c r="N271" i="3" s="1"/>
  <c r="B271" i="3"/>
  <c r="T270" i="3"/>
  <c r="P270" i="3"/>
  <c r="X270" i="3" s="1"/>
  <c r="Z270" i="3" s="1"/>
  <c r="H270" i="3"/>
  <c r="D270" i="3"/>
  <c r="L270" i="3" s="1"/>
  <c r="N270" i="3" s="1"/>
  <c r="B270" i="3"/>
  <c r="X269" i="3"/>
  <c r="Z269" i="3" s="1"/>
  <c r="N269" i="3"/>
  <c r="L269" i="3"/>
  <c r="B269" i="3"/>
  <c r="X268" i="3"/>
  <c r="Z268" i="3" s="1"/>
  <c r="N268" i="3"/>
  <c r="L268" i="3"/>
  <c r="B268" i="3"/>
  <c r="T267" i="3"/>
  <c r="Z267" i="3" s="1"/>
  <c r="P267" i="3"/>
  <c r="X267" i="3" s="1"/>
  <c r="L267" i="3"/>
  <c r="H267" i="3"/>
  <c r="N267" i="3" s="1"/>
  <c r="D267" i="3"/>
  <c r="B267" i="3"/>
  <c r="Z266" i="3"/>
  <c r="X266" i="3"/>
  <c r="L266" i="3"/>
  <c r="N266" i="3" s="1"/>
  <c r="B266" i="3"/>
  <c r="Z265" i="3"/>
  <c r="X265" i="3"/>
  <c r="L265" i="3"/>
  <c r="N265" i="3" s="1"/>
  <c r="B265" i="3"/>
  <c r="Z264" i="3"/>
  <c r="X264" i="3"/>
  <c r="N264" i="3"/>
  <c r="L264" i="3"/>
  <c r="B264" i="3"/>
  <c r="Z263" i="3"/>
  <c r="X263" i="3"/>
  <c r="N263" i="3"/>
  <c r="L263" i="3"/>
  <c r="B263" i="3"/>
  <c r="Z262" i="3"/>
  <c r="X262" i="3"/>
  <c r="L262" i="3"/>
  <c r="N262" i="3" s="1"/>
  <c r="B262" i="3"/>
  <c r="Z261" i="3"/>
  <c r="X261" i="3"/>
  <c r="T261" i="3"/>
  <c r="P261" i="3"/>
  <c r="H261" i="3"/>
  <c r="D261" i="3"/>
  <c r="L261" i="3" s="1"/>
  <c r="B261" i="3"/>
  <c r="Z260" i="3"/>
  <c r="X260" i="3"/>
  <c r="L260" i="3"/>
  <c r="N260" i="3" s="1"/>
  <c r="B260" i="3"/>
  <c r="X259" i="3"/>
  <c r="Z259" i="3" s="1"/>
  <c r="L259" i="3"/>
  <c r="N259" i="3" s="1"/>
  <c r="B259" i="3"/>
  <c r="X258" i="3"/>
  <c r="Z258" i="3" s="1"/>
  <c r="N258" i="3"/>
  <c r="L258" i="3"/>
  <c r="B258" i="3"/>
  <c r="T257" i="3"/>
  <c r="P257" i="3"/>
  <c r="X257" i="3" s="1"/>
  <c r="L257" i="3"/>
  <c r="H257" i="3"/>
  <c r="N257" i="3" s="1"/>
  <c r="D257" i="3"/>
  <c r="B257" i="3"/>
  <c r="X256" i="3"/>
  <c r="Z256" i="3" s="1"/>
  <c r="N256" i="3"/>
  <c r="L256" i="3"/>
  <c r="B256" i="3"/>
  <c r="X255" i="3"/>
  <c r="Z255" i="3" s="1"/>
  <c r="N255" i="3"/>
  <c r="L255" i="3"/>
  <c r="B255" i="3"/>
  <c r="Z254" i="3"/>
  <c r="X254" i="3"/>
  <c r="N254" i="3"/>
  <c r="L254" i="3"/>
  <c r="B254" i="3"/>
  <c r="X253" i="3"/>
  <c r="Z253" i="3" s="1"/>
  <c r="N253" i="3"/>
  <c r="L253" i="3"/>
  <c r="B253" i="3"/>
  <c r="X252" i="3"/>
  <c r="T252" i="3"/>
  <c r="Z252" i="3" s="1"/>
  <c r="P252" i="3"/>
  <c r="L252" i="3"/>
  <c r="N252" i="3" s="1"/>
  <c r="H252" i="3"/>
  <c r="D252" i="3"/>
  <c r="B252" i="3"/>
  <c r="Z251" i="3"/>
  <c r="X251" i="3"/>
  <c r="L251" i="3"/>
  <c r="N251" i="3" s="1"/>
  <c r="B251" i="3"/>
  <c r="T250" i="3"/>
  <c r="Z250" i="3" s="1"/>
  <c r="P250" i="3"/>
  <c r="X250" i="3" s="1"/>
  <c r="N250" i="3"/>
  <c r="H250" i="3"/>
  <c r="D250" i="3"/>
  <c r="L250" i="3" s="1"/>
  <c r="B250" i="3"/>
  <c r="X249" i="3"/>
  <c r="Z249" i="3" s="1"/>
  <c r="L249" i="3"/>
  <c r="N249" i="3" s="1"/>
  <c r="B249" i="3"/>
  <c r="T248" i="3"/>
  <c r="P248" i="3"/>
  <c r="X248" i="3" s="1"/>
  <c r="Z248" i="3" s="1"/>
  <c r="H248" i="3"/>
  <c r="D248" i="3"/>
  <c r="L248" i="3" s="1"/>
  <c r="N248" i="3" s="1"/>
  <c r="B248" i="3"/>
  <c r="X247" i="3"/>
  <c r="Z247" i="3" s="1"/>
  <c r="N247" i="3"/>
  <c r="L247" i="3"/>
  <c r="B247" i="3"/>
  <c r="X246" i="3"/>
  <c r="Z246" i="3" s="1"/>
  <c r="T246" i="3"/>
  <c r="P246" i="3"/>
  <c r="L246" i="3"/>
  <c r="H246" i="3"/>
  <c r="N246" i="3" s="1"/>
  <c r="D246" i="3"/>
  <c r="B246" i="3"/>
  <c r="Z245" i="3"/>
  <c r="X245" i="3"/>
  <c r="L245" i="3"/>
  <c r="N245" i="3" s="1"/>
  <c r="B245" i="3"/>
  <c r="T244" i="3"/>
  <c r="Z244" i="3" s="1"/>
  <c r="P244" i="3"/>
  <c r="X244" i="3" s="1"/>
  <c r="H244" i="3"/>
  <c r="D244" i="3"/>
  <c r="L244" i="3" s="1"/>
  <c r="B244" i="3"/>
  <c r="X243" i="3"/>
  <c r="Z243" i="3" s="1"/>
  <c r="L243" i="3"/>
  <c r="N243" i="3" s="1"/>
  <c r="B243" i="3"/>
  <c r="T242" i="3"/>
  <c r="P242" i="3"/>
  <c r="X242" i="3" s="1"/>
  <c r="Z242" i="3" s="1"/>
  <c r="H242" i="3"/>
  <c r="D242" i="3"/>
  <c r="L242" i="3" s="1"/>
  <c r="N242" i="3" s="1"/>
  <c r="B242" i="3"/>
  <c r="X241" i="3"/>
  <c r="Z241" i="3" s="1"/>
  <c r="N241" i="3"/>
  <c r="L241" i="3"/>
  <c r="B241" i="3"/>
  <c r="X240" i="3"/>
  <c r="T240" i="3"/>
  <c r="Z240" i="3" s="1"/>
  <c r="P240" i="3"/>
  <c r="L240" i="3"/>
  <c r="N240" i="3" s="1"/>
  <c r="H240" i="3"/>
  <c r="D240" i="3"/>
  <c r="B240" i="3"/>
  <c r="Z239" i="3"/>
  <c r="X239" i="3"/>
  <c r="L239" i="3"/>
  <c r="N239" i="3" s="1"/>
  <c r="B239" i="3"/>
  <c r="X238" i="3"/>
  <c r="Z238" i="3" s="1"/>
  <c r="L238" i="3"/>
  <c r="N238" i="3" s="1"/>
  <c r="B238" i="3"/>
  <c r="Z237" i="3"/>
  <c r="X237" i="3"/>
  <c r="T237" i="3"/>
  <c r="P237" i="3"/>
  <c r="H237" i="3"/>
  <c r="D237" i="3"/>
  <c r="L237" i="3" s="1"/>
  <c r="B237" i="3"/>
  <c r="Z236" i="3"/>
  <c r="X236" i="3"/>
  <c r="L236" i="3"/>
  <c r="N236" i="3" s="1"/>
  <c r="B236" i="3"/>
  <c r="X235" i="3"/>
  <c r="Z235" i="3" s="1"/>
  <c r="N235" i="3"/>
  <c r="L235" i="3"/>
  <c r="B235" i="3"/>
  <c r="T234" i="3"/>
  <c r="P234" i="3"/>
  <c r="X234" i="3" s="1"/>
  <c r="Z234" i="3" s="1"/>
  <c r="H234" i="3"/>
  <c r="D234" i="3"/>
  <c r="L234" i="3" s="1"/>
  <c r="N234" i="3" s="1"/>
  <c r="B234" i="3"/>
  <c r="X233" i="3"/>
  <c r="Z233" i="3" s="1"/>
  <c r="N233" i="3"/>
  <c r="L233" i="3"/>
  <c r="B233" i="3"/>
  <c r="X232" i="3"/>
  <c r="T232" i="3"/>
  <c r="Z232" i="3" s="1"/>
  <c r="P232" i="3"/>
  <c r="L232" i="3"/>
  <c r="N232" i="3" s="1"/>
  <c r="H232" i="3"/>
  <c r="D232" i="3"/>
  <c r="B232" i="3"/>
  <c r="Z231" i="3"/>
  <c r="X231" i="3"/>
  <c r="L231" i="3"/>
  <c r="N231" i="3" s="1"/>
  <c r="B231" i="3"/>
  <c r="T230" i="3"/>
  <c r="P230" i="3"/>
  <c r="X230" i="3" s="1"/>
  <c r="H230" i="3"/>
  <c r="D230" i="3"/>
  <c r="B230" i="3"/>
  <c r="Z229" i="3"/>
  <c r="X229" i="3"/>
  <c r="L229" i="3"/>
  <c r="N229" i="3" s="1"/>
  <c r="B229" i="3"/>
  <c r="T228" i="3"/>
  <c r="P228" i="3"/>
  <c r="X228" i="3" s="1"/>
  <c r="Z228" i="3" s="1"/>
  <c r="H228" i="3"/>
  <c r="D228" i="3"/>
  <c r="L228" i="3" s="1"/>
  <c r="N228" i="3" s="1"/>
  <c r="B228" i="3"/>
  <c r="Z227" i="3"/>
  <c r="X227" i="3"/>
  <c r="N227" i="3"/>
  <c r="L227" i="3"/>
  <c r="B227" i="3"/>
  <c r="X226" i="3"/>
  <c r="Z226" i="3" s="1"/>
  <c r="L226" i="3"/>
  <c r="N226" i="3" s="1"/>
  <c r="B226" i="3"/>
  <c r="X225" i="3"/>
  <c r="T225" i="3"/>
  <c r="Z225" i="3" s="1"/>
  <c r="P225" i="3"/>
  <c r="H225" i="3"/>
  <c r="N225" i="3" s="1"/>
  <c r="D225" i="3"/>
  <c r="L225" i="3" s="1"/>
  <c r="B225" i="3"/>
  <c r="Z224" i="3"/>
  <c r="X224" i="3"/>
  <c r="N224" i="3"/>
  <c r="L224" i="3"/>
  <c r="B224" i="3"/>
  <c r="Z223" i="3"/>
  <c r="X223" i="3"/>
  <c r="L223" i="3"/>
  <c r="N223" i="3" s="1"/>
  <c r="B223" i="3"/>
  <c r="X222" i="3"/>
  <c r="Z222" i="3" s="1"/>
  <c r="L222" i="3"/>
  <c r="N222" i="3" s="1"/>
  <c r="B222" i="3"/>
  <c r="Z221" i="3"/>
  <c r="X221" i="3"/>
  <c r="T221" i="3"/>
  <c r="P221" i="3"/>
  <c r="H221" i="3"/>
  <c r="D221" i="3"/>
  <c r="B221" i="3"/>
  <c r="X220" i="3"/>
  <c r="Z220" i="3" s="1"/>
  <c r="L220" i="3"/>
  <c r="N220" i="3" s="1"/>
  <c r="B220" i="3"/>
  <c r="X219" i="3"/>
  <c r="T219" i="3"/>
  <c r="Z219" i="3" s="1"/>
  <c r="P219" i="3"/>
  <c r="H219" i="3"/>
  <c r="D219" i="3"/>
  <c r="L219" i="3" s="1"/>
  <c r="N219" i="3" s="1"/>
  <c r="B219" i="3"/>
  <c r="X218" i="3"/>
  <c r="Z218" i="3" s="1"/>
  <c r="L218" i="3"/>
  <c r="N218" i="3" s="1"/>
  <c r="B218" i="3"/>
  <c r="X217" i="3"/>
  <c r="Z217" i="3" s="1"/>
  <c r="N217" i="3"/>
  <c r="L217" i="3"/>
  <c r="B217" i="3"/>
  <c r="X216" i="3"/>
  <c r="T216" i="3"/>
  <c r="Z216" i="3" s="1"/>
  <c r="P216" i="3"/>
  <c r="L216" i="3"/>
  <c r="N216" i="3" s="1"/>
  <c r="H216" i="3"/>
  <c r="D216" i="3"/>
  <c r="B216" i="3"/>
  <c r="Z215" i="3"/>
  <c r="X215" i="3"/>
  <c r="L215" i="3"/>
  <c r="N215" i="3" s="1"/>
  <c r="B215" i="3"/>
  <c r="T214" i="3"/>
  <c r="P214" i="3"/>
  <c r="X214" i="3" s="1"/>
  <c r="H214" i="3"/>
  <c r="D214" i="3"/>
  <c r="B214" i="3"/>
  <c r="Z213" i="3"/>
  <c r="X213" i="3"/>
  <c r="L213" i="3"/>
  <c r="N213" i="3" s="1"/>
  <c r="B213" i="3"/>
  <c r="X212" i="3"/>
  <c r="Z212" i="3" s="1"/>
  <c r="L212" i="3"/>
  <c r="N212" i="3" s="1"/>
  <c r="B212" i="3"/>
  <c r="X211" i="3"/>
  <c r="Z211" i="3" s="1"/>
  <c r="N211" i="3"/>
  <c r="L211" i="3"/>
  <c r="B211" i="3"/>
  <c r="X210" i="3"/>
  <c r="Z210" i="3" s="1"/>
  <c r="L210" i="3"/>
  <c r="N210" i="3" s="1"/>
  <c r="B210" i="3"/>
  <c r="Z209" i="3"/>
  <c r="X209" i="3"/>
  <c r="L209" i="3"/>
  <c r="N209" i="3" s="1"/>
  <c r="B209" i="3"/>
  <c r="X208" i="3"/>
  <c r="Z208" i="3" s="1"/>
  <c r="L208" i="3"/>
  <c r="N208" i="3" s="1"/>
  <c r="B208" i="3"/>
  <c r="X207" i="3"/>
  <c r="Z207" i="3" s="1"/>
  <c r="N207" i="3"/>
  <c r="L207" i="3"/>
  <c r="B207" i="3"/>
  <c r="T206" i="3"/>
  <c r="P206" i="3"/>
  <c r="X206" i="3" s="1"/>
  <c r="Z206" i="3" s="1"/>
  <c r="H206" i="3"/>
  <c r="D206" i="3"/>
  <c r="L206" i="3" s="1"/>
  <c r="N206" i="3" s="1"/>
  <c r="B206" i="3"/>
  <c r="X205" i="3"/>
  <c r="Z205" i="3" s="1"/>
  <c r="N205" i="3"/>
  <c r="L205" i="3"/>
  <c r="B205" i="3"/>
  <c r="X204" i="3"/>
  <c r="Z204" i="3" s="1"/>
  <c r="N204" i="3"/>
  <c r="L204" i="3"/>
  <c r="B204" i="3"/>
  <c r="Z203" i="3"/>
  <c r="X203" i="3"/>
  <c r="N203" i="3"/>
  <c r="L203" i="3"/>
  <c r="B203" i="3"/>
  <c r="X202" i="3"/>
  <c r="Z202" i="3" s="1"/>
  <c r="L202" i="3"/>
  <c r="N202" i="3" s="1"/>
  <c r="B202" i="3"/>
  <c r="Z201" i="3"/>
  <c r="X201" i="3"/>
  <c r="N201" i="3"/>
  <c r="L201" i="3"/>
  <c r="B201" i="3"/>
  <c r="X200" i="3"/>
  <c r="Z200" i="3" s="1"/>
  <c r="N200" i="3"/>
  <c r="L200" i="3"/>
  <c r="B200" i="3"/>
  <c r="Z199" i="3"/>
  <c r="X199" i="3"/>
  <c r="N199" i="3"/>
  <c r="L199" i="3"/>
  <c r="B199" i="3"/>
  <c r="X198" i="3"/>
  <c r="Z198" i="3" s="1"/>
  <c r="L198" i="3"/>
  <c r="N198" i="3" s="1"/>
  <c r="B198" i="3"/>
  <c r="X197" i="3"/>
  <c r="Z197" i="3" s="1"/>
  <c r="N197" i="3"/>
  <c r="L197" i="3"/>
  <c r="B197" i="3"/>
  <c r="X196" i="3"/>
  <c r="Z196" i="3" s="1"/>
  <c r="N196" i="3"/>
  <c r="L196" i="3"/>
  <c r="B196" i="3"/>
  <c r="T195" i="3"/>
  <c r="P195" i="3"/>
  <c r="X195" i="3" s="1"/>
  <c r="Z195" i="3" s="1"/>
  <c r="L195" i="3"/>
  <c r="H195" i="3"/>
  <c r="D195" i="3"/>
  <c r="B195" i="3"/>
  <c r="T194" i="3"/>
  <c r="P194" i="3"/>
  <c r="X194" i="3" s="1"/>
  <c r="H194" i="3"/>
  <c r="D194" i="3"/>
  <c r="X190" i="3"/>
  <c r="Z190" i="3" s="1"/>
  <c r="N190" i="3"/>
  <c r="L190" i="3"/>
  <c r="B190" i="3"/>
  <c r="Z189" i="3"/>
  <c r="X189" i="3"/>
  <c r="N189" i="3"/>
  <c r="L189" i="3"/>
  <c r="B189" i="3"/>
  <c r="Z188" i="3"/>
  <c r="X188" i="3"/>
  <c r="N188" i="3"/>
  <c r="L188" i="3"/>
  <c r="B188" i="3"/>
  <c r="Z187" i="3"/>
  <c r="X187" i="3"/>
  <c r="N187" i="3"/>
  <c r="L187" i="3"/>
  <c r="B187" i="3"/>
  <c r="X186" i="3"/>
  <c r="Z186" i="3" s="1"/>
  <c r="L186" i="3"/>
  <c r="N186" i="3" s="1"/>
  <c r="B186" i="3"/>
  <c r="Z185" i="3"/>
  <c r="X185" i="3"/>
  <c r="N185" i="3"/>
  <c r="L185" i="3"/>
  <c r="B185" i="3"/>
  <c r="Z184" i="3"/>
  <c r="X184" i="3"/>
  <c r="L184" i="3"/>
  <c r="N184" i="3" s="1"/>
  <c r="B184" i="3"/>
  <c r="Z183" i="3"/>
  <c r="X183" i="3"/>
  <c r="N183" i="3"/>
  <c r="L183" i="3"/>
  <c r="B183" i="3"/>
  <c r="X182" i="3"/>
  <c r="Z182" i="3" s="1"/>
  <c r="L182" i="3"/>
  <c r="N182" i="3" s="1"/>
  <c r="B182" i="3"/>
  <c r="Z181" i="3"/>
  <c r="X181" i="3"/>
  <c r="N181" i="3"/>
  <c r="L181" i="3"/>
  <c r="B181" i="3"/>
  <c r="Z180" i="3"/>
  <c r="X180" i="3"/>
  <c r="L180" i="3"/>
  <c r="N180" i="3" s="1"/>
  <c r="B180" i="3"/>
  <c r="Z179" i="3"/>
  <c r="X179" i="3"/>
  <c r="L179" i="3"/>
  <c r="N179" i="3" s="1"/>
  <c r="B179" i="3"/>
  <c r="X178" i="3"/>
  <c r="Z178" i="3" s="1"/>
  <c r="L178" i="3"/>
  <c r="N178" i="3" s="1"/>
  <c r="B178" i="3"/>
  <c r="Z177" i="3"/>
  <c r="X177" i="3"/>
  <c r="N177" i="3"/>
  <c r="L177" i="3"/>
  <c r="B177" i="3"/>
  <c r="Z176" i="3"/>
  <c r="X176" i="3"/>
  <c r="L176" i="3"/>
  <c r="N176" i="3" s="1"/>
  <c r="B176" i="3"/>
  <c r="Z175" i="3"/>
  <c r="X175" i="3"/>
  <c r="L175" i="3"/>
  <c r="N175" i="3" s="1"/>
  <c r="B175" i="3"/>
  <c r="X174" i="3"/>
  <c r="Z174" i="3" s="1"/>
  <c r="L174" i="3"/>
  <c r="N174" i="3" s="1"/>
  <c r="B174" i="3"/>
  <c r="Z173" i="3"/>
  <c r="X173" i="3"/>
  <c r="N173" i="3"/>
  <c r="L173" i="3"/>
  <c r="B173" i="3"/>
  <c r="Z172" i="3"/>
  <c r="X172" i="3"/>
  <c r="L172" i="3"/>
  <c r="N172" i="3" s="1"/>
  <c r="B172" i="3"/>
  <c r="Z171" i="3"/>
  <c r="X171" i="3"/>
  <c r="L171" i="3"/>
  <c r="N171" i="3" s="1"/>
  <c r="B171" i="3"/>
  <c r="X170" i="3"/>
  <c r="Z170" i="3" s="1"/>
  <c r="L170" i="3"/>
  <c r="N170" i="3" s="1"/>
  <c r="B170" i="3"/>
  <c r="Z169" i="3"/>
  <c r="X169" i="3"/>
  <c r="N169" i="3"/>
  <c r="L169" i="3"/>
  <c r="B169" i="3"/>
  <c r="Z168" i="3"/>
  <c r="X168" i="3"/>
  <c r="L168" i="3"/>
  <c r="N168" i="3" s="1"/>
  <c r="B168" i="3"/>
  <c r="Z167" i="3"/>
  <c r="X167" i="3"/>
  <c r="N167" i="3"/>
  <c r="L167" i="3"/>
  <c r="B167" i="3"/>
  <c r="X166" i="3"/>
  <c r="Z166" i="3" s="1"/>
  <c r="L166" i="3"/>
  <c r="N166" i="3" s="1"/>
  <c r="B166" i="3"/>
  <c r="Z165" i="3"/>
  <c r="X165" i="3"/>
  <c r="N165" i="3"/>
  <c r="L165" i="3"/>
  <c r="B165" i="3"/>
  <c r="Z164" i="3"/>
  <c r="X164" i="3"/>
  <c r="L164" i="3"/>
  <c r="N164" i="3" s="1"/>
  <c r="B164" i="3"/>
  <c r="Z163" i="3"/>
  <c r="X163" i="3"/>
  <c r="L163" i="3"/>
  <c r="N163" i="3" s="1"/>
  <c r="B163" i="3"/>
  <c r="X162" i="3"/>
  <c r="Z162" i="3" s="1"/>
  <c r="L162" i="3"/>
  <c r="N162" i="3" s="1"/>
  <c r="B162" i="3"/>
  <c r="Z161" i="3"/>
  <c r="X161" i="3"/>
  <c r="L161" i="3"/>
  <c r="N161" i="3" s="1"/>
  <c r="B161" i="3"/>
  <c r="Z160" i="3"/>
  <c r="X160" i="3"/>
  <c r="L160" i="3"/>
  <c r="N160" i="3" s="1"/>
  <c r="B160" i="3"/>
  <c r="Z159" i="3"/>
  <c r="X159" i="3"/>
  <c r="L159" i="3"/>
  <c r="N159" i="3" s="1"/>
  <c r="B159" i="3"/>
  <c r="X158" i="3"/>
  <c r="Z158" i="3" s="1"/>
  <c r="L158" i="3"/>
  <c r="N158" i="3" s="1"/>
  <c r="B158" i="3"/>
  <c r="Z157" i="3"/>
  <c r="X157" i="3"/>
  <c r="L157" i="3"/>
  <c r="N157" i="3" s="1"/>
  <c r="B157" i="3"/>
  <c r="Z156" i="3"/>
  <c r="X156" i="3"/>
  <c r="L156" i="3"/>
  <c r="N156" i="3" s="1"/>
  <c r="B156" i="3"/>
  <c r="Z155" i="3"/>
  <c r="X155" i="3"/>
  <c r="L155" i="3"/>
  <c r="N155" i="3" s="1"/>
  <c r="B155" i="3"/>
  <c r="X154" i="3"/>
  <c r="Z154" i="3" s="1"/>
  <c r="L154" i="3"/>
  <c r="N154" i="3" s="1"/>
  <c r="B154" i="3"/>
  <c r="Z153" i="3"/>
  <c r="X153" i="3"/>
  <c r="L153" i="3"/>
  <c r="N153" i="3" s="1"/>
  <c r="B153" i="3"/>
  <c r="Z152" i="3"/>
  <c r="X152" i="3"/>
  <c r="L152" i="3"/>
  <c r="N152" i="3" s="1"/>
  <c r="B152" i="3"/>
  <c r="Z151" i="3"/>
  <c r="X151" i="3"/>
  <c r="L151" i="3"/>
  <c r="N151" i="3" s="1"/>
  <c r="B151" i="3"/>
  <c r="X150" i="3"/>
  <c r="Z150" i="3" s="1"/>
  <c r="L150" i="3"/>
  <c r="N150" i="3" s="1"/>
  <c r="B150" i="3"/>
  <c r="Z149" i="3"/>
  <c r="X149" i="3"/>
  <c r="L149" i="3"/>
  <c r="N149" i="3" s="1"/>
  <c r="B149" i="3"/>
  <c r="Z148" i="3"/>
  <c r="X148" i="3"/>
  <c r="L148" i="3"/>
  <c r="N148" i="3" s="1"/>
  <c r="B148" i="3"/>
  <c r="Z147" i="3"/>
  <c r="X147" i="3"/>
  <c r="L147" i="3"/>
  <c r="N147" i="3" s="1"/>
  <c r="B147" i="3"/>
  <c r="X146" i="3"/>
  <c r="Z146" i="3" s="1"/>
  <c r="L146" i="3"/>
  <c r="N146" i="3" s="1"/>
  <c r="B146" i="3"/>
  <c r="Z145" i="3"/>
  <c r="X145" i="3"/>
  <c r="L145" i="3"/>
  <c r="N145" i="3" s="1"/>
  <c r="B145" i="3"/>
  <c r="Z144" i="3"/>
  <c r="X144" i="3"/>
  <c r="L144" i="3"/>
  <c r="N144" i="3" s="1"/>
  <c r="B144" i="3"/>
  <c r="Z143" i="3"/>
  <c r="X143" i="3"/>
  <c r="N143" i="3"/>
  <c r="L143" i="3"/>
  <c r="B143" i="3"/>
  <c r="X142" i="3"/>
  <c r="Z142" i="3" s="1"/>
  <c r="L142" i="3"/>
  <c r="N142" i="3" s="1"/>
  <c r="B142" i="3"/>
  <c r="Z141" i="3"/>
  <c r="X141" i="3"/>
  <c r="N141" i="3"/>
  <c r="L141" i="3"/>
  <c r="B141" i="3"/>
  <c r="Z140" i="3"/>
  <c r="X140" i="3"/>
  <c r="L140" i="3"/>
  <c r="N140" i="3" s="1"/>
  <c r="B140" i="3"/>
  <c r="Z139" i="3"/>
  <c r="X139" i="3"/>
  <c r="L139" i="3"/>
  <c r="N139" i="3" s="1"/>
  <c r="B139" i="3"/>
  <c r="X138" i="3"/>
  <c r="Z138" i="3" s="1"/>
  <c r="L138" i="3"/>
  <c r="N138" i="3" s="1"/>
  <c r="B138" i="3"/>
  <c r="Z137" i="3"/>
  <c r="X137" i="3"/>
  <c r="L137" i="3"/>
  <c r="N137" i="3" s="1"/>
  <c r="B137" i="3"/>
  <c r="Z136" i="3"/>
  <c r="X136" i="3"/>
  <c r="N136" i="3"/>
  <c r="L136" i="3"/>
  <c r="B136" i="3"/>
  <c r="Z135" i="3"/>
  <c r="X135" i="3"/>
  <c r="L135" i="3"/>
  <c r="N135" i="3" s="1"/>
  <c r="B135" i="3"/>
  <c r="X134" i="3"/>
  <c r="Z134" i="3" s="1"/>
  <c r="L134" i="3"/>
  <c r="N134" i="3" s="1"/>
  <c r="B134" i="3"/>
  <c r="Z133" i="3"/>
  <c r="T133" i="3"/>
  <c r="P133" i="3"/>
  <c r="X133" i="3" s="1"/>
  <c r="H133" i="3"/>
  <c r="D133" i="3"/>
  <c r="T131" i="3"/>
  <c r="X131" i="3" s="1"/>
  <c r="P131" i="3"/>
  <c r="H131" i="3"/>
  <c r="D131" i="3"/>
  <c r="B131" i="3"/>
  <c r="T130" i="3"/>
  <c r="P130" i="3"/>
  <c r="X130" i="3" s="1"/>
  <c r="Z130" i="3" s="1"/>
  <c r="L130" i="3"/>
  <c r="N130" i="3" s="1"/>
  <c r="H130" i="3"/>
  <c r="D130" i="3"/>
  <c r="B130" i="3"/>
  <c r="T129" i="3"/>
  <c r="Z129" i="3" s="1"/>
  <c r="P129" i="3"/>
  <c r="X129" i="3" s="1"/>
  <c r="L129" i="3"/>
  <c r="H129" i="3"/>
  <c r="N129" i="3" s="1"/>
  <c r="D129" i="3"/>
  <c r="B129" i="3"/>
  <c r="T128" i="3"/>
  <c r="Z128" i="3" s="1"/>
  <c r="P128" i="3"/>
  <c r="X128" i="3" s="1"/>
  <c r="L128" i="3"/>
  <c r="H128" i="3"/>
  <c r="N128" i="3" s="1"/>
  <c r="D128" i="3"/>
  <c r="B128" i="3"/>
  <c r="T127" i="3"/>
  <c r="X127" i="3" s="1"/>
  <c r="P127" i="3"/>
  <c r="H127" i="3"/>
  <c r="D127" i="3"/>
  <c r="B127" i="3"/>
  <c r="T126" i="3"/>
  <c r="P126" i="3"/>
  <c r="X126" i="3" s="1"/>
  <c r="Z126" i="3" s="1"/>
  <c r="L126" i="3"/>
  <c r="N126" i="3" s="1"/>
  <c r="H126" i="3"/>
  <c r="D126" i="3"/>
  <c r="B126" i="3"/>
  <c r="T125" i="3"/>
  <c r="P125" i="3"/>
  <c r="H125" i="3"/>
  <c r="N125" i="3" s="1"/>
  <c r="D125" i="3"/>
  <c r="B125" i="3"/>
  <c r="T124" i="3"/>
  <c r="Z124" i="3" s="1"/>
  <c r="P124" i="3"/>
  <c r="X124" i="3" s="1"/>
  <c r="H124" i="3"/>
  <c r="N124" i="3" s="1"/>
  <c r="D124" i="3"/>
  <c r="B124" i="3"/>
  <c r="Z123" i="3"/>
  <c r="T123" i="3"/>
  <c r="X123" i="3" s="1"/>
  <c r="P123" i="3"/>
  <c r="H123" i="3"/>
  <c r="D123" i="3"/>
  <c r="B123" i="3"/>
  <c r="T122" i="3"/>
  <c r="P122" i="3"/>
  <c r="L122" i="3"/>
  <c r="N122" i="3" s="1"/>
  <c r="H122" i="3"/>
  <c r="D122" i="3"/>
  <c r="B122" i="3"/>
  <c r="T121" i="3"/>
  <c r="P121" i="3"/>
  <c r="X121" i="3" s="1"/>
  <c r="Z121" i="3" s="1"/>
  <c r="L121" i="3"/>
  <c r="H121" i="3"/>
  <c r="N121" i="3" s="1"/>
  <c r="D121" i="3"/>
  <c r="B121" i="3"/>
  <c r="T120" i="3"/>
  <c r="P120" i="3"/>
  <c r="X120" i="3" s="1"/>
  <c r="H120" i="3"/>
  <c r="D120" i="3"/>
  <c r="B120" i="3"/>
  <c r="T119" i="3"/>
  <c r="X119" i="3" s="1"/>
  <c r="P119" i="3"/>
  <c r="H119" i="3"/>
  <c r="D119" i="3"/>
  <c r="B119" i="3"/>
  <c r="T118" i="3"/>
  <c r="Z118" i="3" s="1"/>
  <c r="P118" i="3"/>
  <c r="X118" i="3" s="1"/>
  <c r="N118" i="3"/>
  <c r="L118" i="3"/>
  <c r="H118" i="3"/>
  <c r="D118" i="3"/>
  <c r="B118" i="3"/>
  <c r="T117" i="3"/>
  <c r="P117" i="3"/>
  <c r="X117" i="3" s="1"/>
  <c r="Z117" i="3" s="1"/>
  <c r="L117" i="3"/>
  <c r="H117" i="3"/>
  <c r="D117" i="3"/>
  <c r="B117" i="3"/>
  <c r="T116" i="3"/>
  <c r="Z116" i="3" s="1"/>
  <c r="P116" i="3"/>
  <c r="X116" i="3" s="1"/>
  <c r="L116" i="3"/>
  <c r="H116" i="3"/>
  <c r="D116" i="3"/>
  <c r="B116" i="3"/>
  <c r="T115" i="3"/>
  <c r="X115" i="3" s="1"/>
  <c r="P115" i="3"/>
  <c r="H115" i="3"/>
  <c r="D115" i="3"/>
  <c r="B115" i="3"/>
  <c r="T114" i="3"/>
  <c r="P114" i="3"/>
  <c r="L114" i="3"/>
  <c r="N114" i="3" s="1"/>
  <c r="H114" i="3"/>
  <c r="D114" i="3"/>
  <c r="B114" i="3"/>
  <c r="T113" i="3"/>
  <c r="P113" i="3"/>
  <c r="H113" i="3"/>
  <c r="N113" i="3" s="1"/>
  <c r="D113" i="3"/>
  <c r="B113" i="3"/>
  <c r="T112" i="3"/>
  <c r="P112" i="3"/>
  <c r="H112" i="3"/>
  <c r="D112" i="3"/>
  <c r="B112" i="3"/>
  <c r="Z111" i="3"/>
  <c r="T111" i="3"/>
  <c r="X111" i="3" s="1"/>
  <c r="P111" i="3"/>
  <c r="L111" i="3"/>
  <c r="H111" i="3"/>
  <c r="D111" i="3"/>
  <c r="B111" i="3"/>
  <c r="T110" i="3"/>
  <c r="Z110" i="3" s="1"/>
  <c r="P110" i="3"/>
  <c r="X110" i="3" s="1"/>
  <c r="L110" i="3"/>
  <c r="N110" i="3" s="1"/>
  <c r="H110" i="3"/>
  <c r="D110" i="3"/>
  <c r="B110" i="3"/>
  <c r="T109" i="3"/>
  <c r="Z109" i="3" s="1"/>
  <c r="P109" i="3"/>
  <c r="X109" i="3" s="1"/>
  <c r="L109" i="3"/>
  <c r="H109" i="3"/>
  <c r="N109" i="3" s="1"/>
  <c r="D109" i="3"/>
  <c r="B109" i="3"/>
  <c r="T108" i="3"/>
  <c r="P108" i="3"/>
  <c r="L108" i="3"/>
  <c r="H108" i="3"/>
  <c r="D108" i="3"/>
  <c r="B108" i="3"/>
  <c r="T107" i="3"/>
  <c r="X107" i="3" s="1"/>
  <c r="P107" i="3"/>
  <c r="L107" i="3"/>
  <c r="H107" i="3"/>
  <c r="N107" i="3" s="1"/>
  <c r="D107" i="3"/>
  <c r="B107" i="3"/>
  <c r="T106" i="3"/>
  <c r="P106" i="3"/>
  <c r="L106" i="3"/>
  <c r="N106" i="3" s="1"/>
  <c r="H106" i="3"/>
  <c r="D106" i="3"/>
  <c r="B106" i="3"/>
  <c r="T105" i="3"/>
  <c r="P105" i="3"/>
  <c r="H105" i="3"/>
  <c r="D105" i="3"/>
  <c r="B105" i="3"/>
  <c r="T104" i="3"/>
  <c r="P104" i="3"/>
  <c r="H104" i="3"/>
  <c r="D104" i="3"/>
  <c r="B104" i="3"/>
  <c r="Z103" i="3"/>
  <c r="T103" i="3"/>
  <c r="X103" i="3" s="1"/>
  <c r="P103" i="3"/>
  <c r="L103" i="3"/>
  <c r="H103" i="3"/>
  <c r="D103" i="3"/>
  <c r="B103" i="3"/>
  <c r="T102" i="3"/>
  <c r="Z102" i="3" s="1"/>
  <c r="P102" i="3"/>
  <c r="X102" i="3" s="1"/>
  <c r="L102" i="3"/>
  <c r="N102" i="3" s="1"/>
  <c r="H102" i="3"/>
  <c r="D102" i="3"/>
  <c r="B102" i="3"/>
  <c r="T101" i="3"/>
  <c r="P101" i="3"/>
  <c r="L101" i="3"/>
  <c r="H101" i="3"/>
  <c r="D101" i="3"/>
  <c r="B101" i="3"/>
  <c r="T100" i="3"/>
  <c r="P100" i="3"/>
  <c r="X100" i="3" s="1"/>
  <c r="H100" i="3"/>
  <c r="D100" i="3"/>
  <c r="B100" i="3"/>
  <c r="Z99" i="3"/>
  <c r="T99" i="3"/>
  <c r="X99" i="3" s="1"/>
  <c r="P99" i="3"/>
  <c r="L99" i="3"/>
  <c r="H99" i="3"/>
  <c r="N99" i="3" s="1"/>
  <c r="D99" i="3"/>
  <c r="B99" i="3"/>
  <c r="Z98" i="3"/>
  <c r="T98" i="3"/>
  <c r="P98" i="3"/>
  <c r="X98" i="3" s="1"/>
  <c r="L98" i="3"/>
  <c r="N98" i="3" s="1"/>
  <c r="H98" i="3"/>
  <c r="D98" i="3"/>
  <c r="B98" i="3"/>
  <c r="T97" i="3"/>
  <c r="P97" i="3"/>
  <c r="H97" i="3"/>
  <c r="L97" i="3" s="1"/>
  <c r="D97" i="3"/>
  <c r="B97" i="3"/>
  <c r="T96" i="3"/>
  <c r="P96" i="3"/>
  <c r="H96" i="3"/>
  <c r="D96" i="3"/>
  <c r="B96" i="3"/>
  <c r="T95" i="3"/>
  <c r="X95" i="3" s="1"/>
  <c r="P95" i="3"/>
  <c r="L95" i="3"/>
  <c r="H95" i="3"/>
  <c r="N95" i="3" s="1"/>
  <c r="D95" i="3"/>
  <c r="B95" i="3"/>
  <c r="T94" i="3"/>
  <c r="Z94" i="3" s="1"/>
  <c r="P94" i="3"/>
  <c r="X94" i="3" s="1"/>
  <c r="L94" i="3"/>
  <c r="N94" i="3" s="1"/>
  <c r="H94" i="3"/>
  <c r="D94" i="3"/>
  <c r="B94" i="3"/>
  <c r="X93" i="3"/>
  <c r="Z93" i="3" s="1"/>
  <c r="T93" i="3"/>
  <c r="P93" i="3"/>
  <c r="H93" i="3"/>
  <c r="D93" i="3"/>
  <c r="B93" i="3"/>
  <c r="T92" i="3"/>
  <c r="P92" i="3"/>
  <c r="H92" i="3"/>
  <c r="N92" i="3" s="1"/>
  <c r="D92" i="3"/>
  <c r="B92" i="3"/>
  <c r="Z91" i="3"/>
  <c r="T91" i="3"/>
  <c r="X91" i="3" s="1"/>
  <c r="P91" i="3"/>
  <c r="H91" i="3"/>
  <c r="D91" i="3"/>
  <c r="L91" i="3" s="1"/>
  <c r="B91" i="3"/>
  <c r="T90" i="3"/>
  <c r="Z90" i="3" s="1"/>
  <c r="P90" i="3"/>
  <c r="X90" i="3" s="1"/>
  <c r="L90" i="3"/>
  <c r="N90" i="3" s="1"/>
  <c r="H90" i="3"/>
  <c r="D90" i="3"/>
  <c r="B90" i="3"/>
  <c r="T89" i="3"/>
  <c r="P89" i="3"/>
  <c r="X89" i="3" s="1"/>
  <c r="L89" i="3"/>
  <c r="H89" i="3"/>
  <c r="N89" i="3" s="1"/>
  <c r="D89" i="3"/>
  <c r="B89" i="3"/>
  <c r="T88" i="3"/>
  <c r="P88" i="3"/>
  <c r="H88" i="3"/>
  <c r="L88" i="3" s="1"/>
  <c r="N88" i="3" s="1"/>
  <c r="D88" i="3"/>
  <c r="B88" i="3"/>
  <c r="Z87" i="3"/>
  <c r="T87" i="3"/>
  <c r="X87" i="3" s="1"/>
  <c r="P87" i="3"/>
  <c r="H87" i="3"/>
  <c r="D87" i="3"/>
  <c r="L87" i="3" s="1"/>
  <c r="B87" i="3"/>
  <c r="Z86" i="3"/>
  <c r="T86" i="3"/>
  <c r="P86" i="3"/>
  <c r="X86" i="3" s="1"/>
  <c r="L86" i="3"/>
  <c r="N86" i="3" s="1"/>
  <c r="H86" i="3"/>
  <c r="D86" i="3"/>
  <c r="B86" i="3"/>
  <c r="T85" i="3"/>
  <c r="P85" i="3"/>
  <c r="X85" i="3" s="1"/>
  <c r="H85" i="3"/>
  <c r="D85" i="3"/>
  <c r="B85" i="3"/>
  <c r="T84" i="3"/>
  <c r="P84" i="3"/>
  <c r="X84" i="3" s="1"/>
  <c r="N84" i="3"/>
  <c r="L84" i="3"/>
  <c r="H84" i="3"/>
  <c r="D84" i="3"/>
  <c r="B84" i="3"/>
  <c r="Z83" i="3"/>
  <c r="T83" i="3"/>
  <c r="X83" i="3" s="1"/>
  <c r="P83" i="3"/>
  <c r="H83" i="3"/>
  <c r="D83" i="3"/>
  <c r="L83" i="3" s="1"/>
  <c r="B83" i="3"/>
  <c r="T82" i="3"/>
  <c r="P82" i="3"/>
  <c r="L82" i="3"/>
  <c r="N82" i="3" s="1"/>
  <c r="H82" i="3"/>
  <c r="D82" i="3"/>
  <c r="B82" i="3"/>
  <c r="T81" i="3"/>
  <c r="P81" i="3"/>
  <c r="X81" i="3" s="1"/>
  <c r="Z81" i="3" s="1"/>
  <c r="H81" i="3"/>
  <c r="D81" i="3"/>
  <c r="B81" i="3"/>
  <c r="T80" i="3"/>
  <c r="P80" i="3"/>
  <c r="X80" i="3" s="1"/>
  <c r="N80" i="3"/>
  <c r="L80" i="3"/>
  <c r="H80" i="3"/>
  <c r="D80" i="3"/>
  <c r="B80" i="3"/>
  <c r="T79" i="3"/>
  <c r="X79" i="3" s="1"/>
  <c r="P79" i="3"/>
  <c r="L79" i="3"/>
  <c r="H79" i="3"/>
  <c r="D79" i="3"/>
  <c r="B79" i="3"/>
  <c r="T78" i="3"/>
  <c r="P78" i="3"/>
  <c r="N78" i="3"/>
  <c r="L78" i="3"/>
  <c r="H78" i="3"/>
  <c r="D78" i="3"/>
  <c r="B78" i="3"/>
  <c r="T77" i="3"/>
  <c r="P77" i="3"/>
  <c r="X77" i="3" s="1"/>
  <c r="Z77" i="3" s="1"/>
  <c r="L77" i="3"/>
  <c r="H77" i="3"/>
  <c r="D77" i="3"/>
  <c r="B77" i="3"/>
  <c r="T76" i="3"/>
  <c r="Z76" i="3" s="1"/>
  <c r="P76" i="3"/>
  <c r="X76" i="3" s="1"/>
  <c r="N76" i="3"/>
  <c r="L76" i="3"/>
  <c r="H76" i="3"/>
  <c r="D76" i="3"/>
  <c r="B76" i="3"/>
  <c r="X75" i="3"/>
  <c r="Z75" i="3" s="1"/>
  <c r="T75" i="3"/>
  <c r="P75" i="3"/>
  <c r="H75" i="3"/>
  <c r="D75" i="3"/>
  <c r="L75" i="3" s="1"/>
  <c r="B75" i="3"/>
  <c r="T74" i="3"/>
  <c r="P74" i="3"/>
  <c r="L74" i="3"/>
  <c r="N74" i="3" s="1"/>
  <c r="H74" i="3"/>
  <c r="D74" i="3"/>
  <c r="B74" i="3"/>
  <c r="T73" i="3"/>
  <c r="Z73" i="3" s="1"/>
  <c r="P73" i="3"/>
  <c r="X73" i="3" s="1"/>
  <c r="L73" i="3"/>
  <c r="H73" i="3"/>
  <c r="D73" i="3"/>
  <c r="B73" i="3"/>
  <c r="T72" i="3"/>
  <c r="P72" i="3"/>
  <c r="X72" i="3" s="1"/>
  <c r="L72" i="3"/>
  <c r="N72" i="3" s="1"/>
  <c r="H72" i="3"/>
  <c r="D72" i="3"/>
  <c r="B72" i="3"/>
  <c r="X71" i="3"/>
  <c r="Z71" i="3" s="1"/>
  <c r="T71" i="3"/>
  <c r="P71" i="3"/>
  <c r="H71" i="3"/>
  <c r="D71" i="3"/>
  <c r="L71" i="3" s="1"/>
  <c r="B71" i="3"/>
  <c r="Z70" i="3"/>
  <c r="T70" i="3"/>
  <c r="P70" i="3"/>
  <c r="X70" i="3" s="1"/>
  <c r="N70" i="3"/>
  <c r="L70" i="3"/>
  <c r="H70" i="3"/>
  <c r="D70" i="3"/>
  <c r="B70" i="3"/>
  <c r="T69" i="3"/>
  <c r="P69" i="3"/>
  <c r="L69" i="3"/>
  <c r="H69" i="3"/>
  <c r="D69" i="3"/>
  <c r="B69" i="3"/>
  <c r="T68" i="3"/>
  <c r="P68" i="3"/>
  <c r="X68" i="3" s="1"/>
  <c r="H68" i="3"/>
  <c r="L68" i="3" s="1"/>
  <c r="N68" i="3" s="1"/>
  <c r="D68" i="3"/>
  <c r="B68" i="3"/>
  <c r="X67" i="3"/>
  <c r="Z67" i="3" s="1"/>
  <c r="T67" i="3"/>
  <c r="P67" i="3"/>
  <c r="H67" i="3"/>
  <c r="D67" i="3"/>
  <c r="L67" i="3" s="1"/>
  <c r="B67" i="3"/>
  <c r="T66" i="3"/>
  <c r="Z66" i="3" s="1"/>
  <c r="P66" i="3"/>
  <c r="X66" i="3" s="1"/>
  <c r="N66" i="3"/>
  <c r="L66" i="3"/>
  <c r="H66" i="3"/>
  <c r="D66" i="3"/>
  <c r="B66" i="3"/>
  <c r="T65" i="3"/>
  <c r="X65" i="3" s="1"/>
  <c r="P65" i="3"/>
  <c r="H65" i="3"/>
  <c r="D65" i="3"/>
  <c r="L65" i="3" s="1"/>
  <c r="B65" i="3"/>
  <c r="T64" i="3"/>
  <c r="P64" i="3"/>
  <c r="H64" i="3"/>
  <c r="D64" i="3"/>
  <c r="B64" i="3"/>
  <c r="T63" i="3"/>
  <c r="X63" i="3" s="1"/>
  <c r="Z63" i="3" s="1"/>
  <c r="P63" i="3"/>
  <c r="L63" i="3"/>
  <c r="H63" i="3"/>
  <c r="N63" i="3" s="1"/>
  <c r="D63" i="3"/>
  <c r="B63" i="3"/>
  <c r="T62" i="3"/>
  <c r="Z62" i="3" s="1"/>
  <c r="P62" i="3"/>
  <c r="X62" i="3" s="1"/>
  <c r="N62" i="3"/>
  <c r="L62" i="3"/>
  <c r="H62" i="3"/>
  <c r="D62" i="3"/>
  <c r="B62" i="3"/>
  <c r="Z61" i="3"/>
  <c r="X61" i="3"/>
  <c r="T61" i="3"/>
  <c r="P61" i="3"/>
  <c r="H61" i="3"/>
  <c r="N61" i="3" s="1"/>
  <c r="D61" i="3"/>
  <c r="L61" i="3" s="1"/>
  <c r="B61" i="3"/>
  <c r="T60" i="3"/>
  <c r="P60" i="3"/>
  <c r="H60" i="3"/>
  <c r="L60" i="3" s="1"/>
  <c r="D60" i="3"/>
  <c r="B60" i="3"/>
  <c r="T59" i="3"/>
  <c r="P59" i="3"/>
  <c r="L59" i="3"/>
  <c r="H59" i="3"/>
  <c r="D59" i="3"/>
  <c r="B59" i="3"/>
  <c r="T58" i="3"/>
  <c r="P58" i="3"/>
  <c r="N58" i="3"/>
  <c r="L58" i="3"/>
  <c r="H58" i="3"/>
  <c r="D58" i="3"/>
  <c r="B58" i="3"/>
  <c r="Z57" i="3"/>
  <c r="X57" i="3"/>
  <c r="T57" i="3"/>
  <c r="P57" i="3"/>
  <c r="H57" i="3"/>
  <c r="D57" i="3"/>
  <c r="B57" i="3"/>
  <c r="T56" i="3"/>
  <c r="P56" i="3"/>
  <c r="X56" i="3" s="1"/>
  <c r="H56" i="3"/>
  <c r="L56" i="3" s="1"/>
  <c r="D56" i="3"/>
  <c r="B56" i="3"/>
  <c r="T55" i="3"/>
  <c r="P55" i="3"/>
  <c r="L55" i="3"/>
  <c r="H55" i="3"/>
  <c r="D55" i="3"/>
  <c r="B55" i="3"/>
  <c r="T54" i="3"/>
  <c r="P54" i="3"/>
  <c r="L54" i="3"/>
  <c r="N54" i="3" s="1"/>
  <c r="H54" i="3"/>
  <c r="D54" i="3"/>
  <c r="B54" i="3"/>
  <c r="T53" i="3"/>
  <c r="P53" i="3"/>
  <c r="X53" i="3" s="1"/>
  <c r="Z53" i="3" s="1"/>
  <c r="H53" i="3"/>
  <c r="D53" i="3"/>
  <c r="B53" i="3"/>
  <c r="T52" i="3"/>
  <c r="P52" i="3"/>
  <c r="X52" i="3" s="1"/>
  <c r="H52" i="3"/>
  <c r="L52" i="3" s="1"/>
  <c r="N52" i="3" s="1"/>
  <c r="D52" i="3"/>
  <c r="B52" i="3"/>
  <c r="T51" i="3"/>
  <c r="P51" i="3"/>
  <c r="H51" i="3"/>
  <c r="D51" i="3"/>
  <c r="L51" i="3" s="1"/>
  <c r="B51" i="3"/>
  <c r="T50" i="3"/>
  <c r="P50" i="3"/>
  <c r="L50" i="3"/>
  <c r="N50" i="3" s="1"/>
  <c r="H50" i="3"/>
  <c r="D50" i="3"/>
  <c r="B50" i="3"/>
  <c r="T49" i="3"/>
  <c r="Z49" i="3" s="1"/>
  <c r="P49" i="3"/>
  <c r="X49" i="3" s="1"/>
  <c r="H49" i="3"/>
  <c r="N49" i="3" s="1"/>
  <c r="D49" i="3"/>
  <c r="B49" i="3"/>
  <c r="T48" i="3"/>
  <c r="P48" i="3"/>
  <c r="X48" i="3" s="1"/>
  <c r="H48" i="3"/>
  <c r="L48" i="3" s="1"/>
  <c r="N48" i="3" s="1"/>
  <c r="D48" i="3"/>
  <c r="B48" i="3"/>
  <c r="X47" i="3"/>
  <c r="Z47" i="3" s="1"/>
  <c r="T47" i="3"/>
  <c r="P47" i="3"/>
  <c r="H47" i="3"/>
  <c r="D47" i="3"/>
  <c r="B47" i="3"/>
  <c r="T46" i="3"/>
  <c r="Z46" i="3" s="1"/>
  <c r="P46" i="3"/>
  <c r="X46" i="3" s="1"/>
  <c r="L46" i="3"/>
  <c r="N46" i="3" s="1"/>
  <c r="H46" i="3"/>
  <c r="D46" i="3"/>
  <c r="B46" i="3"/>
  <c r="X45" i="3"/>
  <c r="Z45" i="3" s="1"/>
  <c r="T45" i="3"/>
  <c r="P45" i="3"/>
  <c r="H45" i="3"/>
  <c r="D45" i="3"/>
  <c r="L45" i="3" s="1"/>
  <c r="B45" i="3"/>
  <c r="X44" i="3"/>
  <c r="T44" i="3"/>
  <c r="P44" i="3"/>
  <c r="H44" i="3"/>
  <c r="D44" i="3"/>
  <c r="B44" i="3"/>
  <c r="T43" i="3"/>
  <c r="P43" i="3"/>
  <c r="H43" i="3"/>
  <c r="D43" i="3"/>
  <c r="L43" i="3" s="1"/>
  <c r="N43" i="3" s="1"/>
  <c r="B43" i="3"/>
  <c r="T42" i="3"/>
  <c r="P42" i="3"/>
  <c r="L42" i="3"/>
  <c r="N42" i="3" s="1"/>
  <c r="H42" i="3"/>
  <c r="D42" i="3"/>
  <c r="B42" i="3"/>
  <c r="T41" i="3"/>
  <c r="P41" i="3"/>
  <c r="X41" i="3" s="1"/>
  <c r="L41" i="3"/>
  <c r="H41" i="3"/>
  <c r="D41" i="3"/>
  <c r="B41" i="3"/>
  <c r="T40" i="3"/>
  <c r="P40" i="3"/>
  <c r="H40" i="3"/>
  <c r="L40" i="3" s="1"/>
  <c r="N40" i="3" s="1"/>
  <c r="D40" i="3"/>
  <c r="B40" i="3"/>
  <c r="Z39" i="3"/>
  <c r="X39" i="3"/>
  <c r="T39" i="3"/>
  <c r="P39" i="3"/>
  <c r="L39" i="3"/>
  <c r="N39" i="3" s="1"/>
  <c r="H39" i="3"/>
  <c r="D39" i="3"/>
  <c r="B39" i="3"/>
  <c r="T38" i="3"/>
  <c r="Z38" i="3" s="1"/>
  <c r="P38" i="3"/>
  <c r="X38" i="3" s="1"/>
  <c r="N38" i="3"/>
  <c r="L38" i="3"/>
  <c r="H38" i="3"/>
  <c r="D38" i="3"/>
  <c r="B38" i="3"/>
  <c r="T37" i="3"/>
  <c r="X37" i="3" s="1"/>
  <c r="Z37" i="3" s="1"/>
  <c r="P37" i="3"/>
  <c r="H37" i="3"/>
  <c r="D37" i="3"/>
  <c r="L37" i="3" s="1"/>
  <c r="B37" i="3"/>
  <c r="X36" i="3"/>
  <c r="T36" i="3"/>
  <c r="P36" i="3"/>
  <c r="L36" i="3"/>
  <c r="N36" i="3" s="1"/>
  <c r="H36" i="3"/>
  <c r="D36" i="3"/>
  <c r="B36" i="3"/>
  <c r="T35" i="3"/>
  <c r="P35" i="3"/>
  <c r="H35" i="3"/>
  <c r="D35" i="3"/>
  <c r="L35" i="3" s="1"/>
  <c r="N35" i="3" s="1"/>
  <c r="B35" i="3"/>
  <c r="T34" i="3"/>
  <c r="P34" i="3"/>
  <c r="H34" i="3"/>
  <c r="D34" i="3"/>
  <c r="L34" i="3" s="1"/>
  <c r="N34" i="3" s="1"/>
  <c r="B34" i="3"/>
  <c r="T33" i="3"/>
  <c r="P33" i="3"/>
  <c r="X33" i="3" s="1"/>
  <c r="H33" i="3"/>
  <c r="D33" i="3"/>
  <c r="B33" i="3"/>
  <c r="T32" i="3"/>
  <c r="P32" i="3"/>
  <c r="X32" i="3" s="1"/>
  <c r="H32" i="3"/>
  <c r="L32" i="3" s="1"/>
  <c r="N32" i="3" s="1"/>
  <c r="D32" i="3"/>
  <c r="B32" i="3"/>
  <c r="X31" i="3"/>
  <c r="Z31" i="3" s="1"/>
  <c r="T31" i="3"/>
  <c r="P31" i="3"/>
  <c r="H31" i="3"/>
  <c r="D31" i="3"/>
  <c r="B31" i="3"/>
  <c r="T30" i="3"/>
  <c r="Z30" i="3" s="1"/>
  <c r="P30" i="3"/>
  <c r="X30" i="3" s="1"/>
  <c r="L30" i="3"/>
  <c r="N30" i="3" s="1"/>
  <c r="H30" i="3"/>
  <c r="D30" i="3"/>
  <c r="B30" i="3"/>
  <c r="X29" i="3"/>
  <c r="Z29" i="3" s="1"/>
  <c r="T29" i="3"/>
  <c r="P29" i="3"/>
  <c r="H29" i="3"/>
  <c r="D29" i="3"/>
  <c r="L29" i="3" s="1"/>
  <c r="B29" i="3"/>
  <c r="X28" i="3"/>
  <c r="T28" i="3"/>
  <c r="P28" i="3"/>
  <c r="H28" i="3"/>
  <c r="D28" i="3"/>
  <c r="B28" i="3"/>
  <c r="T27" i="3"/>
  <c r="P27" i="3"/>
  <c r="H27" i="3"/>
  <c r="D27" i="3"/>
  <c r="L27" i="3" s="1"/>
  <c r="N27" i="3" s="1"/>
  <c r="B27" i="3"/>
  <c r="T26" i="3"/>
  <c r="P26" i="3"/>
  <c r="L26" i="3"/>
  <c r="N26" i="3" s="1"/>
  <c r="H26" i="3"/>
  <c r="D26" i="3"/>
  <c r="B26" i="3"/>
  <c r="T25" i="3"/>
  <c r="P25" i="3"/>
  <c r="X25" i="3" s="1"/>
  <c r="N25" i="3"/>
  <c r="L25" i="3"/>
  <c r="H25" i="3"/>
  <c r="D25" i="3"/>
  <c r="B25" i="3"/>
  <c r="X24" i="3"/>
  <c r="T24" i="3"/>
  <c r="P24" i="3"/>
  <c r="H24" i="3"/>
  <c r="N24" i="3" s="1"/>
  <c r="D24" i="3"/>
  <c r="L24" i="3" s="1"/>
  <c r="B24" i="3"/>
  <c r="T23" i="3"/>
  <c r="P23" i="3"/>
  <c r="X23" i="3" s="1"/>
  <c r="Z23" i="3" s="1"/>
  <c r="H23" i="3"/>
  <c r="L23" i="3" s="1"/>
  <c r="N23" i="3" s="1"/>
  <c r="D23" i="3"/>
  <c r="B23" i="3"/>
  <c r="T22" i="3"/>
  <c r="P22" i="3"/>
  <c r="H22" i="3"/>
  <c r="D22" i="3"/>
  <c r="L22" i="3" s="1"/>
  <c r="B22" i="3"/>
  <c r="T21" i="3"/>
  <c r="P21" i="3"/>
  <c r="X21" i="3" s="1"/>
  <c r="Z21" i="3" s="1"/>
  <c r="L21" i="3"/>
  <c r="N21" i="3" s="1"/>
  <c r="H21" i="3"/>
  <c r="D21" i="3"/>
  <c r="B21" i="3"/>
  <c r="X20" i="3"/>
  <c r="Z20" i="3" s="1"/>
  <c r="T20" i="3"/>
  <c r="P20" i="3"/>
  <c r="H20" i="3"/>
  <c r="D20" i="3"/>
  <c r="L20" i="3" s="1"/>
  <c r="B20" i="3"/>
  <c r="T19" i="3"/>
  <c r="P19" i="3"/>
  <c r="X19" i="3" s="1"/>
  <c r="Z19" i="3" s="1"/>
  <c r="H19" i="3"/>
  <c r="L19" i="3" s="1"/>
  <c r="N19" i="3" s="1"/>
  <c r="D19" i="3"/>
  <c r="B19" i="3"/>
  <c r="T18" i="3"/>
  <c r="P18" i="3"/>
  <c r="H18" i="3"/>
  <c r="N18" i="3" s="1"/>
  <c r="D18" i="3"/>
  <c r="L18" i="3" s="1"/>
  <c r="B18" i="3"/>
  <c r="T17" i="3"/>
  <c r="P17" i="3"/>
  <c r="X17" i="3" s="1"/>
  <c r="Z17" i="3" s="1"/>
  <c r="L17" i="3"/>
  <c r="N17" i="3" s="1"/>
  <c r="H17" i="3"/>
  <c r="D17" i="3"/>
  <c r="B17" i="3"/>
  <c r="X16" i="3"/>
  <c r="Z16" i="3" s="1"/>
  <c r="T16" i="3"/>
  <c r="P16" i="3"/>
  <c r="H16" i="3"/>
  <c r="N16" i="3" s="1"/>
  <c r="D16" i="3"/>
  <c r="L16" i="3" s="1"/>
  <c r="B16" i="3"/>
  <c r="T15" i="3"/>
  <c r="P15" i="3"/>
  <c r="X15" i="3" s="1"/>
  <c r="Z15" i="3" s="1"/>
  <c r="H15" i="3"/>
  <c r="L15" i="3" s="1"/>
  <c r="N15" i="3" s="1"/>
  <c r="D15" i="3"/>
  <c r="B15" i="3"/>
  <c r="T14" i="3"/>
  <c r="P14" i="3"/>
  <c r="H14" i="3"/>
  <c r="D14" i="3"/>
  <c r="D12" i="3" s="1"/>
  <c r="B14" i="3"/>
  <c r="Z13" i="3"/>
  <c r="T13" i="3"/>
  <c r="P13" i="3"/>
  <c r="X13" i="3" s="1"/>
  <c r="N13" i="3"/>
  <c r="L13" i="3"/>
  <c r="H13" i="3"/>
  <c r="H12" i="3" s="1"/>
  <c r="D13" i="3"/>
  <c r="B13" i="3"/>
  <c r="D4" i="3"/>
  <c r="P16" i="111"/>
  <c r="H21" i="112"/>
  <c r="H12" i="110"/>
  <c r="P20" i="110"/>
  <c r="D13" i="111"/>
  <c r="D24" i="111"/>
  <c r="T29" i="112"/>
  <c r="D25" i="110"/>
  <c r="D22" i="110"/>
  <c r="T25" i="111"/>
  <c r="T24" i="111"/>
  <c r="P16" i="112"/>
  <c r="H29" i="112"/>
  <c r="T21" i="110"/>
  <c r="P24" i="53"/>
  <c r="P13" i="53"/>
  <c r="P13" i="52"/>
  <c r="H24" i="53"/>
  <c r="D33" i="53"/>
  <c r="D16" i="53"/>
  <c r="D20" i="52"/>
  <c r="T16" i="49"/>
  <c r="D22" i="53"/>
  <c r="H12" i="49"/>
  <c r="D24" i="52"/>
  <c r="T21" i="47"/>
  <c r="D4" i="50"/>
  <c r="P34" i="46"/>
  <c r="H24" i="49"/>
  <c r="T13" i="46"/>
  <c r="H16" i="49"/>
  <c r="H15" i="49"/>
  <c r="D34" i="47"/>
  <c r="H20" i="53"/>
  <c r="B16" i="49"/>
  <c r="D29" i="46"/>
  <c r="D21" i="44"/>
  <c r="T13" i="41"/>
  <c r="T15" i="46"/>
  <c r="T25" i="44"/>
  <c r="P13" i="40"/>
  <c r="T29" i="44"/>
  <c r="D25" i="50"/>
  <c r="T21" i="44"/>
  <c r="P22" i="44"/>
  <c r="D29" i="41"/>
  <c r="P15" i="47"/>
  <c r="H25" i="47"/>
  <c r="B16" i="52"/>
  <c r="B21" i="41"/>
  <c r="T16" i="50"/>
  <c r="D4" i="44"/>
  <c r="D29" i="44"/>
  <c r="T34" i="40"/>
  <c r="P24" i="40"/>
  <c r="D34" i="43"/>
  <c r="D33" i="43"/>
  <c r="H25" i="38"/>
  <c r="H24" i="38"/>
  <c r="B25" i="41"/>
  <c r="B39" i="37"/>
  <c r="D22" i="38"/>
  <c r="H20" i="44"/>
  <c r="B22" i="41"/>
  <c r="H15" i="37"/>
  <c r="T25" i="38"/>
  <c r="P13" i="41"/>
  <c r="B16" i="37"/>
  <c r="P12" i="40"/>
  <c r="P29" i="37"/>
  <c r="P24" i="32"/>
  <c r="B38" i="35"/>
  <c r="P21" i="32"/>
  <c r="D24" i="35"/>
  <c r="D22" i="40"/>
  <c r="T20" i="38"/>
  <c r="D4" i="32"/>
  <c r="T33" i="35"/>
  <c r="P34" i="37"/>
  <c r="P34" i="35"/>
  <c r="D24" i="31"/>
  <c r="P34" i="34"/>
  <c r="H13" i="41"/>
  <c r="T34" i="32"/>
  <c r="P20" i="34"/>
  <c r="T24" i="28"/>
  <c r="D13" i="31"/>
  <c r="P22" i="28"/>
  <c r="P21" i="28"/>
  <c r="P15" i="32"/>
  <c r="P15" i="28"/>
  <c r="D13" i="29"/>
  <c r="H21" i="31"/>
  <c r="D22" i="28"/>
  <c r="B22" i="28"/>
  <c r="P20" i="31"/>
  <c r="D24" i="26"/>
  <c r="P21" i="23"/>
  <c r="B22" i="19"/>
  <c r="B25" i="25"/>
  <c r="H12" i="22"/>
  <c r="B16" i="28"/>
  <c r="P15" i="23"/>
  <c r="T25" i="26"/>
  <c r="H34" i="22"/>
  <c r="T22" i="19"/>
  <c r="B16" i="25"/>
  <c r="H22" i="22"/>
  <c r="T22" i="25"/>
  <c r="D25" i="22"/>
  <c r="D15" i="29"/>
  <c r="D12" i="111"/>
  <c r="D13" i="112"/>
  <c r="B25" i="112"/>
  <c r="P16" i="110"/>
  <c r="D4" i="111"/>
  <c r="D22" i="111"/>
  <c r="T25" i="112"/>
  <c r="H21" i="110"/>
  <c r="H20" i="110"/>
  <c r="B16" i="111"/>
  <c r="T22" i="111"/>
  <c r="D12" i="112"/>
  <c r="H25" i="112"/>
  <c r="P33" i="111"/>
  <c r="P22" i="53"/>
  <c r="H12" i="53"/>
  <c r="H12" i="52"/>
  <c r="H22" i="53"/>
  <c r="D29" i="53"/>
  <c r="B22" i="52"/>
  <c r="D16" i="52"/>
  <c r="T13" i="49"/>
  <c r="B13" i="53"/>
  <c r="T24" i="47"/>
  <c r="H20" i="52"/>
  <c r="T24" i="46"/>
  <c r="H34" i="49"/>
  <c r="P33" i="46"/>
  <c r="H22" i="49"/>
  <c r="D21" i="53"/>
  <c r="B13" i="49"/>
  <c r="P34" i="53"/>
  <c r="D33" i="47"/>
  <c r="D25" i="52"/>
  <c r="D15" i="49"/>
  <c r="D25" i="46"/>
  <c r="H15" i="44"/>
  <c r="P34" i="40"/>
  <c r="D5" i="46"/>
  <c r="B16" i="44"/>
  <c r="H12" i="40"/>
  <c r="T24" i="44"/>
  <c r="H20" i="50"/>
  <c r="T24" i="43"/>
  <c r="T20" i="44"/>
  <c r="D25" i="41"/>
  <c r="H29" i="46"/>
  <c r="B22" i="47"/>
  <c r="T22" i="49"/>
  <c r="D20" i="41"/>
  <c r="P29" i="49"/>
  <c r="H34" i="43"/>
  <c r="D25" i="44"/>
  <c r="T33" i="40"/>
  <c r="P16" i="40"/>
  <c r="P34" i="41"/>
  <c r="T16" i="43"/>
  <c r="P15" i="38"/>
  <c r="H22" i="38"/>
  <c r="H12" i="41"/>
  <c r="H24" i="37"/>
  <c r="H20" i="38"/>
  <c r="D25" i="43"/>
  <c r="D15" i="41"/>
  <c r="H33" i="47"/>
  <c r="B16" i="38"/>
  <c r="D34" i="40"/>
  <c r="D15" i="37"/>
  <c r="P34" i="38"/>
  <c r="B39" i="35"/>
  <c r="P22" i="32"/>
  <c r="D34" i="35"/>
  <c r="T15" i="32"/>
  <c r="D22" i="35"/>
  <c r="D21" i="38"/>
  <c r="P25" i="37"/>
  <c r="H34" i="31"/>
  <c r="T29" i="35"/>
  <c r="T24" i="35"/>
  <c r="P33" i="35"/>
  <c r="D22" i="31"/>
  <c r="P33" i="34"/>
  <c r="D22" i="37"/>
  <c r="T33" i="32"/>
  <c r="H33" i="32"/>
  <c r="T22" i="28"/>
  <c r="D5" i="35"/>
  <c r="T20" i="28"/>
  <c r="T15" i="28"/>
  <c r="D5" i="32"/>
  <c r="D5" i="28"/>
  <c r="B39" i="28"/>
  <c r="H25" i="35"/>
  <c r="H20" i="28"/>
  <c r="D21" i="28"/>
  <c r="P16" i="31"/>
  <c r="D22" i="26"/>
  <c r="T15" i="23"/>
  <c r="D21" i="19"/>
  <c r="D24" i="25"/>
  <c r="T34" i="20"/>
  <c r="D12" i="28"/>
  <c r="D5" i="23"/>
  <c r="B16" i="26"/>
  <c r="H33" i="22"/>
  <c r="P12" i="19"/>
  <c r="D15" i="25"/>
  <c r="H13" i="22"/>
  <c r="P12" i="25"/>
  <c r="H21" i="22"/>
  <c r="D25" i="28"/>
  <c r="D21" i="23"/>
  <c r="P24" i="110"/>
  <c r="D4" i="112"/>
  <c r="D24" i="112"/>
  <c r="D12" i="110"/>
  <c r="H34" i="110"/>
  <c r="H20" i="111"/>
  <c r="B16" i="112"/>
  <c r="D13" i="110"/>
  <c r="H16" i="110"/>
  <c r="D15" i="111"/>
  <c r="P12" i="111"/>
  <c r="P24" i="111"/>
  <c r="P15" i="112"/>
  <c r="P29" i="111"/>
  <c r="T20" i="53"/>
  <c r="P24" i="52"/>
  <c r="H34" i="53"/>
  <c r="H13" i="53"/>
  <c r="D25" i="53"/>
  <c r="D21" i="52"/>
  <c r="P33" i="53"/>
  <c r="T34" i="47"/>
  <c r="D34" i="52"/>
  <c r="T22" i="47"/>
  <c r="T34" i="50"/>
  <c r="T22" i="46"/>
  <c r="H33" i="49"/>
  <c r="P29" i="46"/>
  <c r="H13" i="49"/>
  <c r="D22" i="52"/>
  <c r="T24" i="53"/>
  <c r="P29" i="53"/>
  <c r="D29" i="47"/>
  <c r="H21" i="52"/>
  <c r="T12" i="49"/>
  <c r="H21" i="46"/>
  <c r="B25" i="43"/>
  <c r="P33" i="40"/>
  <c r="B21" i="44"/>
  <c r="D15" i="44"/>
  <c r="H16" i="53"/>
  <c r="T22" i="44"/>
  <c r="B13" i="50"/>
  <c r="T22" i="43"/>
  <c r="T16" i="44"/>
  <c r="H21" i="41"/>
  <c r="P13" i="46"/>
  <c r="B39" i="44"/>
  <c r="H15" i="47"/>
  <c r="D16" i="41"/>
  <c r="B39" i="47"/>
  <c r="H33" i="43"/>
  <c r="H21" i="44"/>
  <c r="T29" i="40"/>
  <c r="D12" i="40"/>
  <c r="H20" i="40"/>
  <c r="B39" i="41"/>
  <c r="D5" i="38"/>
  <c r="H13" i="38"/>
  <c r="D33" i="40"/>
  <c r="H22" i="37"/>
  <c r="H16" i="38"/>
  <c r="T13" i="43"/>
  <c r="B38" i="40"/>
  <c r="H12" i="46"/>
  <c r="D15" i="38"/>
  <c r="B25" i="40"/>
  <c r="T12" i="37"/>
  <c r="P33" i="38"/>
  <c r="H24" i="35"/>
  <c r="T20" i="32"/>
  <c r="D33" i="35"/>
  <c r="P13" i="32"/>
  <c r="H20" i="35"/>
  <c r="B22" i="35"/>
  <c r="B21" i="35"/>
  <c r="H33" i="31"/>
  <c r="T25" i="35"/>
  <c r="T22" i="35"/>
  <c r="P29" i="35"/>
  <c r="H20" i="31"/>
  <c r="P29" i="34"/>
  <c r="B13" i="37"/>
  <c r="T29" i="32"/>
  <c r="D29" i="32"/>
  <c r="P12" i="28"/>
  <c r="T24" i="32"/>
  <c r="T16" i="28"/>
  <c r="P13" i="28"/>
  <c r="D12" i="31"/>
  <c r="H21" i="32"/>
  <c r="H24" i="28"/>
  <c r="T22" i="32"/>
  <c r="H16" i="28"/>
  <c r="H15" i="28"/>
  <c r="T24" i="29"/>
  <c r="H20" i="26"/>
  <c r="P13" i="23"/>
  <c r="H15" i="19"/>
  <c r="D22" i="25"/>
  <c r="T33" i="20"/>
  <c r="B21" i="26"/>
  <c r="P20" i="22"/>
  <c r="D15" i="26"/>
  <c r="H29" i="22"/>
  <c r="T29" i="29"/>
  <c r="T12" i="25"/>
  <c r="D4" i="22"/>
  <c r="B25" i="23"/>
  <c r="D13" i="22"/>
  <c r="P24" i="26"/>
  <c r="H15" i="23"/>
  <c r="P22" i="110"/>
  <c r="H34" i="111"/>
  <c r="D22" i="112"/>
  <c r="B22" i="112"/>
  <c r="H33" i="110"/>
  <c r="H16" i="111"/>
  <c r="D15" i="112"/>
  <c r="D4" i="110"/>
  <c r="B13" i="110"/>
  <c r="T12" i="111"/>
  <c r="B21" i="110"/>
  <c r="P22" i="111"/>
  <c r="D6" i="112"/>
  <c r="T34" i="110"/>
  <c r="T16" i="53"/>
  <c r="P22" i="52"/>
  <c r="H33" i="53"/>
  <c r="D4" i="53"/>
  <c r="H21" i="53"/>
  <c r="H15" i="52"/>
  <c r="T24" i="52"/>
  <c r="T33" i="47"/>
  <c r="D29" i="52"/>
  <c r="P12" i="47"/>
  <c r="P15" i="50"/>
  <c r="P12" i="46"/>
  <c r="H29" i="49"/>
  <c r="P25" i="46"/>
  <c r="D4" i="49"/>
  <c r="B13" i="52"/>
  <c r="T25" i="52"/>
  <c r="P12" i="52"/>
  <c r="D25" i="47"/>
  <c r="D33" i="50"/>
  <c r="B25" i="47"/>
  <c r="D13" i="46"/>
  <c r="D24" i="43"/>
  <c r="P29" i="40"/>
  <c r="D20" i="44"/>
  <c r="T12" i="44"/>
  <c r="P25" i="50"/>
  <c r="P12" i="44"/>
  <c r="D33" i="49"/>
  <c r="P12" i="43"/>
  <c r="T13" i="44"/>
  <c r="D13" i="41"/>
  <c r="P21" i="44"/>
  <c r="T33" i="44"/>
  <c r="H33" i="46"/>
  <c r="B22" i="40"/>
  <c r="H29" i="47"/>
  <c r="H29" i="43"/>
  <c r="D13" i="44"/>
  <c r="T25" i="40"/>
  <c r="P21" i="38"/>
  <c r="D5" i="40"/>
  <c r="H25" i="41"/>
  <c r="P20" i="37"/>
  <c r="D4" i="38"/>
  <c r="D24" i="40"/>
  <c r="H13" i="37"/>
  <c r="B13" i="38"/>
  <c r="D22" i="41"/>
  <c r="H25" i="40"/>
  <c r="H16" i="44"/>
  <c r="T12" i="38"/>
  <c r="T20" i="40"/>
  <c r="T29" i="52"/>
  <c r="P29" i="38"/>
  <c r="H22" i="35"/>
  <c r="T16" i="32"/>
  <c r="D29" i="35"/>
  <c r="H12" i="32"/>
  <c r="H16" i="35"/>
  <c r="D21" i="35"/>
  <c r="D20" i="35"/>
  <c r="H29" i="31"/>
  <c r="B16" i="35"/>
  <c r="P12" i="35"/>
  <c r="P25" i="35"/>
  <c r="H16" i="31"/>
  <c r="P25" i="34"/>
  <c r="P21" i="35"/>
  <c r="T25" i="32"/>
  <c r="D25" i="32"/>
  <c r="D12" i="35"/>
  <c r="P12" i="32"/>
  <c r="T13" i="28"/>
  <c r="H12" i="28"/>
  <c r="B39" i="29"/>
  <c r="B39" i="31"/>
  <c r="H22" i="28"/>
  <c r="T33" i="31"/>
  <c r="B13" i="28"/>
  <c r="H34" i="35"/>
  <c r="T22" i="29"/>
  <c r="H16" i="26"/>
  <c r="H12" i="23"/>
  <c r="B25" i="29"/>
  <c r="H20" i="25"/>
  <c r="T29" i="20"/>
  <c r="D20" i="26"/>
  <c r="P16" i="22"/>
  <c r="T12" i="26"/>
  <c r="H25" i="22"/>
  <c r="P15" i="29"/>
  <c r="B38" i="23"/>
  <c r="H29" i="29"/>
  <c r="D24" i="23"/>
  <c r="P21" i="20"/>
  <c r="P22" i="26"/>
  <c r="B25" i="22"/>
  <c r="T20" i="110"/>
  <c r="H33" i="111"/>
  <c r="H20" i="112"/>
  <c r="D21" i="112"/>
  <c r="H29" i="110"/>
  <c r="B13" i="111"/>
  <c r="T12" i="112"/>
  <c r="T24" i="112"/>
  <c r="P34" i="112"/>
  <c r="B22" i="110"/>
  <c r="D20" i="110"/>
  <c r="T20" i="111"/>
  <c r="P21" i="111"/>
  <c r="B16" i="110"/>
  <c r="T13" i="53"/>
  <c r="T20" i="52"/>
  <c r="H29" i="53"/>
  <c r="H34" i="52"/>
  <c r="D13" i="53"/>
  <c r="T34" i="53"/>
  <c r="B38" i="50"/>
  <c r="T29" i="47"/>
  <c r="T33" i="50"/>
  <c r="T34" i="46"/>
  <c r="D5" i="50"/>
  <c r="P12" i="53"/>
  <c r="H25" i="49"/>
  <c r="T21" i="46"/>
  <c r="P21" i="47"/>
  <c r="B25" i="50"/>
  <c r="T12" i="52"/>
  <c r="H34" i="50"/>
  <c r="H21" i="47"/>
  <c r="T25" i="50"/>
  <c r="D24" i="47"/>
  <c r="P34" i="49"/>
  <c r="D22" i="43"/>
  <c r="P25" i="40"/>
  <c r="D16" i="44"/>
  <c r="B21" i="43"/>
  <c r="T20" i="50"/>
  <c r="T34" i="43"/>
  <c r="D25" i="49"/>
  <c r="T24" i="49"/>
  <c r="P34" i="43"/>
  <c r="B39" i="40"/>
  <c r="T15" i="44"/>
  <c r="P20" i="44"/>
  <c r="B38" i="44"/>
  <c r="D21" i="40"/>
  <c r="D21" i="46"/>
  <c r="H25" i="43"/>
  <c r="B39" i="43"/>
  <c r="B16" i="40"/>
  <c r="T15" i="38"/>
  <c r="P20" i="38"/>
  <c r="D21" i="41"/>
  <c r="P16" i="37"/>
  <c r="H34" i="37"/>
  <c r="H16" i="40"/>
  <c r="D4" i="37"/>
  <c r="B38" i="37"/>
  <c r="H15" i="41"/>
  <c r="P22" i="40"/>
  <c r="P33" i="41"/>
  <c r="B21" i="37"/>
  <c r="P15" i="40"/>
  <c r="B13" i="44"/>
  <c r="P25" i="38"/>
  <c r="H13" i="35"/>
  <c r="T13" i="32"/>
  <c r="D25" i="35"/>
  <c r="P24" i="31"/>
  <c r="B13" i="35"/>
  <c r="H15" i="35"/>
  <c r="D16" i="35"/>
  <c r="H25" i="31"/>
  <c r="D15" i="35"/>
  <c r="T34" i="34"/>
  <c r="T21" i="35"/>
  <c r="B13" i="31"/>
  <c r="T21" i="34"/>
  <c r="T15" i="35"/>
  <c r="B16" i="32"/>
  <c r="D13" i="32"/>
  <c r="B25" i="32"/>
  <c r="T34" i="31"/>
  <c r="T21" i="37"/>
  <c r="H29" i="35"/>
  <c r="H24" i="29"/>
  <c r="H24" i="31"/>
  <c r="H13" i="28"/>
  <c r="T29" i="31"/>
  <c r="P21" i="34"/>
  <c r="P15" i="35"/>
  <c r="P12" i="29"/>
  <c r="B13" i="26"/>
  <c r="P24" i="22"/>
  <c r="H16" i="29"/>
  <c r="H16" i="25"/>
  <c r="T25" i="20"/>
  <c r="D16" i="26"/>
  <c r="D12" i="22"/>
  <c r="B21" i="25"/>
  <c r="P15" i="22"/>
  <c r="P25" i="28"/>
  <c r="D34" i="23"/>
  <c r="D24" i="29"/>
  <c r="D22" i="23"/>
  <c r="T15" i="20"/>
  <c r="T20" i="26"/>
  <c r="T16" i="110"/>
  <c r="H29" i="111"/>
  <c r="H16" i="112"/>
  <c r="H15" i="112"/>
  <c r="H25" i="110"/>
  <c r="B39" i="110"/>
  <c r="B22" i="111"/>
  <c r="T22" i="112"/>
  <c r="P33" i="112"/>
  <c r="D21" i="110"/>
  <c r="D16" i="110"/>
  <c r="T16" i="111"/>
  <c r="T15" i="111"/>
  <c r="P25" i="111"/>
  <c r="P34" i="52"/>
  <c r="T16" i="52"/>
  <c r="H25" i="53"/>
  <c r="H33" i="52"/>
  <c r="B39" i="52"/>
  <c r="T33" i="53"/>
  <c r="P21" i="50"/>
  <c r="T25" i="47"/>
  <c r="P29" i="50"/>
  <c r="T33" i="46"/>
  <c r="P20" i="49"/>
  <c r="T33" i="52"/>
  <c r="P15" i="49"/>
  <c r="P25" i="53"/>
  <c r="T15" i="47"/>
  <c r="B22" i="50"/>
  <c r="H33" i="50"/>
  <c r="B16" i="50"/>
  <c r="D13" i="47"/>
  <c r="T24" i="50"/>
  <c r="D22" i="47"/>
  <c r="T21" i="49"/>
  <c r="H20" i="43"/>
  <c r="T21" i="40"/>
  <c r="B22" i="43"/>
  <c r="D20" i="43"/>
  <c r="T13" i="50"/>
  <c r="T33" i="43"/>
  <c r="D13" i="49"/>
  <c r="P12" i="49"/>
  <c r="P33" i="43"/>
  <c r="H24" i="40"/>
  <c r="P13" i="44"/>
  <c r="P16" i="44"/>
  <c r="H29" i="44"/>
  <c r="H15" i="40"/>
  <c r="P16" i="46"/>
  <c r="P15" i="43"/>
  <c r="H24" i="43"/>
  <c r="D15" i="40"/>
  <c r="P13" i="38"/>
  <c r="P16" i="38"/>
  <c r="T15" i="41"/>
  <c r="D12" i="37"/>
  <c r="H33" i="37"/>
  <c r="B38" i="38"/>
  <c r="H22" i="41"/>
  <c r="D34" i="37"/>
  <c r="D4" i="41"/>
  <c r="B21" i="40"/>
  <c r="H20" i="41"/>
  <c r="D20" i="37"/>
  <c r="T24" i="38"/>
  <c r="T20" i="43"/>
  <c r="T21" i="38"/>
  <c r="D4" i="35"/>
  <c r="P34" i="31"/>
  <c r="H21" i="35"/>
  <c r="P22" i="31"/>
  <c r="B38" i="34"/>
  <c r="B25" i="34"/>
  <c r="B22" i="34"/>
  <c r="P15" i="31"/>
  <c r="T12" i="35"/>
  <c r="T33" i="34"/>
  <c r="T24" i="34"/>
  <c r="T16" i="38"/>
  <c r="B21" i="32"/>
  <c r="P13" i="35"/>
  <c r="D15" i="32"/>
  <c r="H22" i="31"/>
  <c r="D22" i="32"/>
  <c r="B16" i="31"/>
  <c r="P20" i="35"/>
  <c r="P16" i="34"/>
  <c r="H22" i="29"/>
  <c r="D4" i="31"/>
  <c r="D4" i="28"/>
  <c r="T25" i="31"/>
  <c r="H12" i="34"/>
  <c r="D12" i="34"/>
  <c r="T34" i="28"/>
  <c r="B38" i="25"/>
  <c r="P22" i="22"/>
  <c r="B38" i="28"/>
  <c r="B13" i="25"/>
  <c r="B16" i="20"/>
  <c r="B22" i="25"/>
  <c r="P24" i="29"/>
  <c r="D20" i="25"/>
  <c r="D5" i="22"/>
  <c r="T24" i="26"/>
  <c r="D33" i="23"/>
  <c r="H20" i="29"/>
  <c r="H20" i="23"/>
  <c r="P13" i="20"/>
  <c r="T16" i="26"/>
  <c r="B39" i="112"/>
  <c r="T13" i="110"/>
  <c r="H25" i="111"/>
  <c r="B13" i="112"/>
  <c r="B38" i="111"/>
  <c r="P15" i="110"/>
  <c r="H24" i="110"/>
  <c r="D21" i="111"/>
  <c r="P12" i="112"/>
  <c r="P29" i="112"/>
  <c r="H15" i="110"/>
  <c r="P21" i="112"/>
  <c r="T13" i="111"/>
  <c r="P13" i="111"/>
  <c r="T33" i="110"/>
  <c r="P33" i="52"/>
  <c r="T13" i="52"/>
  <c r="P15" i="53"/>
  <c r="H29" i="52"/>
  <c r="H24" i="52"/>
  <c r="T29" i="53"/>
  <c r="T15" i="50"/>
  <c r="B16" i="47"/>
  <c r="P20" i="50"/>
  <c r="T29" i="46"/>
  <c r="P16" i="49"/>
  <c r="D15" i="52"/>
  <c r="D5" i="49"/>
  <c r="T21" i="53"/>
  <c r="P13" i="47"/>
  <c r="D21" i="50"/>
  <c r="D29" i="50"/>
  <c r="D15" i="50"/>
  <c r="B39" i="46"/>
  <c r="T22" i="50"/>
  <c r="H20" i="47"/>
  <c r="D21" i="47"/>
  <c r="H16" i="43"/>
  <c r="B25" i="52"/>
  <c r="D21" i="43"/>
  <c r="D16" i="43"/>
  <c r="P33" i="49"/>
  <c r="T29" i="43"/>
  <c r="D16" i="47"/>
  <c r="D4" i="47"/>
  <c r="P29" i="43"/>
  <c r="H22" i="40"/>
  <c r="H12" i="44"/>
  <c r="D12" i="44"/>
  <c r="H25" i="44"/>
  <c r="B25" i="53"/>
  <c r="B13" i="46"/>
  <c r="D5" i="43"/>
  <c r="H22" i="43"/>
  <c r="T12" i="40"/>
  <c r="H12" i="38"/>
  <c r="D12" i="38"/>
  <c r="T12" i="41"/>
  <c r="D24" i="44"/>
  <c r="H29" i="37"/>
  <c r="D34" i="38"/>
  <c r="D5" i="41"/>
  <c r="D33" i="37"/>
  <c r="D29" i="40"/>
  <c r="D13" i="40"/>
  <c r="H34" i="40"/>
  <c r="D16" i="37"/>
  <c r="T22" i="38"/>
  <c r="H33" i="41"/>
  <c r="T24" i="37"/>
  <c r="H34" i="34"/>
  <c r="P33" i="31"/>
  <c r="D13" i="35"/>
  <c r="T20" i="31"/>
  <c r="D34" i="34"/>
  <c r="D24" i="34"/>
  <c r="D21" i="34"/>
  <c r="D5" i="31"/>
  <c r="B21" i="34"/>
  <c r="T29" i="34"/>
  <c r="T22" i="34"/>
  <c r="P33" i="37"/>
  <c r="D20" i="32"/>
  <c r="H12" i="35"/>
  <c r="T12" i="32"/>
  <c r="H13" i="31"/>
  <c r="H20" i="32"/>
  <c r="T12" i="31"/>
  <c r="T21" i="32"/>
  <c r="D12" i="32"/>
  <c r="H13" i="29"/>
  <c r="B38" i="29"/>
  <c r="P16" i="35"/>
  <c r="D15" i="31"/>
  <c r="P29" i="32"/>
  <c r="P33" i="32"/>
  <c r="T33" i="28"/>
  <c r="D34" i="25"/>
  <c r="T20" i="22"/>
  <c r="D33" i="28"/>
  <c r="P20" i="23"/>
  <c r="D15" i="20"/>
  <c r="D21" i="25"/>
  <c r="T20" i="29"/>
  <c r="D16" i="25"/>
  <c r="P34" i="20"/>
  <c r="T22" i="26"/>
  <c r="D29" i="23"/>
  <c r="P34" i="26"/>
  <c r="H16" i="23"/>
  <c r="H12" i="20"/>
  <c r="T13" i="26"/>
  <c r="H24" i="112"/>
  <c r="B38" i="112"/>
  <c r="P15" i="111"/>
  <c r="B39" i="111"/>
  <c r="D34" i="111"/>
  <c r="D6" i="110"/>
  <c r="H22" i="110"/>
  <c r="H15" i="111"/>
  <c r="B21" i="111"/>
  <c r="P25" i="112"/>
  <c r="P24" i="112"/>
  <c r="T15" i="112"/>
  <c r="T24" i="110"/>
  <c r="H12" i="111"/>
  <c r="D15" i="110"/>
  <c r="P29" i="52"/>
  <c r="P20" i="53"/>
  <c r="D5" i="53"/>
  <c r="H25" i="52"/>
  <c r="H22" i="52"/>
  <c r="T25" i="53"/>
  <c r="P13" i="50"/>
  <c r="D15" i="47"/>
  <c r="P16" i="50"/>
  <c r="T25" i="46"/>
  <c r="D12" i="49"/>
  <c r="P33" i="50"/>
  <c r="P24" i="47"/>
  <c r="T22" i="52"/>
  <c r="H12" i="47"/>
  <c r="H15" i="50"/>
  <c r="B21" i="50"/>
  <c r="T12" i="50"/>
  <c r="H24" i="46"/>
  <c r="P12" i="50"/>
  <c r="H16" i="47"/>
  <c r="P16" i="47"/>
  <c r="B13" i="43"/>
  <c r="D34" i="49"/>
  <c r="H15" i="43"/>
  <c r="P20" i="41"/>
  <c r="P25" i="49"/>
  <c r="T25" i="43"/>
  <c r="D5" i="47"/>
  <c r="B25" i="46"/>
  <c r="P25" i="43"/>
  <c r="B38" i="52"/>
  <c r="P24" i="43"/>
  <c r="P21" i="43"/>
  <c r="P15" i="44"/>
  <c r="D33" i="52"/>
  <c r="T34" i="44"/>
  <c r="H29" i="50"/>
  <c r="H13" i="43"/>
  <c r="T34" i="41"/>
  <c r="P24" i="37"/>
  <c r="P21" i="37"/>
  <c r="D20" i="40"/>
  <c r="H34" i="41"/>
  <c r="H25" i="37"/>
  <c r="D33" i="38"/>
  <c r="H29" i="40"/>
  <c r="D29" i="37"/>
  <c r="T22" i="40"/>
  <c r="B21" i="38"/>
  <c r="D25" i="40"/>
  <c r="T22" i="53"/>
  <c r="P12" i="38"/>
  <c r="P29" i="41"/>
  <c r="T22" i="37"/>
  <c r="H33" i="34"/>
  <c r="P29" i="31"/>
  <c r="B39" i="34"/>
  <c r="T16" i="31"/>
  <c r="D33" i="34"/>
  <c r="D22" i="34"/>
  <c r="H15" i="34"/>
  <c r="D24" i="41"/>
  <c r="D20" i="34"/>
  <c r="T25" i="34"/>
  <c r="P12" i="34"/>
  <c r="P24" i="35"/>
  <c r="D16" i="32"/>
  <c r="P24" i="34"/>
  <c r="B21" i="31"/>
  <c r="P34" i="29"/>
  <c r="H16" i="32"/>
  <c r="P21" i="29"/>
  <c r="T24" i="31"/>
  <c r="P21" i="31"/>
  <c r="D4" i="29"/>
  <c r="D34" i="29"/>
  <c r="P13" i="34"/>
  <c r="B22" i="29"/>
  <c r="P25" i="32"/>
  <c r="P20" i="32"/>
  <c r="T29" i="28"/>
  <c r="D33" i="25"/>
  <c r="T16" i="22"/>
  <c r="P20" i="28"/>
  <c r="P16" i="23"/>
  <c r="T12" i="20"/>
  <c r="H15" i="25"/>
  <c r="T25" i="28"/>
  <c r="B39" i="23"/>
  <c r="P33" i="20"/>
  <c r="P12" i="26"/>
  <c r="D25" i="23"/>
  <c r="P33" i="26"/>
  <c r="B13" i="23"/>
  <c r="H22" i="112"/>
  <c r="D34" i="112"/>
  <c r="D6" i="111"/>
  <c r="H24" i="111"/>
  <c r="D33" i="111"/>
  <c r="B21" i="112"/>
  <c r="H13" i="110"/>
  <c r="B38" i="110"/>
  <c r="D20" i="111"/>
  <c r="T21" i="112"/>
  <c r="P22" i="112"/>
  <c r="P13" i="112"/>
  <c r="T22" i="110"/>
  <c r="P34" i="110"/>
  <c r="T12" i="110"/>
  <c r="P25" i="52"/>
  <c r="P16" i="53"/>
  <c r="P20" i="52"/>
  <c r="P15" i="52"/>
  <c r="H13" i="52"/>
  <c r="B16" i="53"/>
  <c r="H12" i="50"/>
  <c r="T12" i="47"/>
  <c r="D12" i="50"/>
  <c r="B16" i="46"/>
  <c r="P34" i="47"/>
  <c r="H25" i="50"/>
  <c r="P22" i="47"/>
  <c r="P34" i="50"/>
  <c r="P24" i="46"/>
  <c r="B25" i="49"/>
  <c r="D20" i="50"/>
  <c r="B21" i="49"/>
  <c r="H22" i="46"/>
  <c r="T34" i="49"/>
  <c r="B13" i="47"/>
  <c r="H13" i="47"/>
  <c r="P24" i="41"/>
  <c r="H21" i="49"/>
  <c r="D34" i="50"/>
  <c r="P16" i="41"/>
  <c r="D12" i="47"/>
  <c r="B16" i="43"/>
  <c r="H25" i="46"/>
  <c r="P21" i="46"/>
  <c r="T21" i="43"/>
  <c r="P24" i="50"/>
  <c r="P22" i="43"/>
  <c r="T15" i="43"/>
  <c r="D5" i="44"/>
  <c r="D13" i="52"/>
  <c r="P33" i="44"/>
  <c r="D22" i="50"/>
  <c r="D4" i="43"/>
  <c r="H29" i="41"/>
  <c r="P22" i="37"/>
  <c r="T15" i="37"/>
  <c r="D4" i="40"/>
  <c r="P15" i="41"/>
  <c r="P15" i="37"/>
  <c r="D29" i="38"/>
  <c r="H21" i="40"/>
  <c r="D25" i="37"/>
  <c r="H13" i="40"/>
  <c r="D20" i="38"/>
  <c r="B13" i="40"/>
  <c r="P34" i="44"/>
  <c r="T34" i="37"/>
  <c r="H24" i="41"/>
  <c r="P12" i="37"/>
  <c r="H29" i="34"/>
  <c r="P25" i="31"/>
  <c r="H24" i="34"/>
  <c r="T13" i="31"/>
  <c r="D29" i="34"/>
  <c r="H20" i="34"/>
  <c r="B39" i="32"/>
  <c r="T16" i="40"/>
  <c r="D16" i="34"/>
  <c r="B16" i="34"/>
  <c r="B22" i="32"/>
  <c r="P22" i="35"/>
  <c r="B22" i="31"/>
  <c r="P22" i="34"/>
  <c r="D20" i="31"/>
  <c r="P33" i="29"/>
  <c r="B13" i="32"/>
  <c r="T15" i="29"/>
  <c r="P12" i="31"/>
  <c r="T15" i="31"/>
  <c r="H34" i="28"/>
  <c r="D33" i="29"/>
  <c r="H34" i="32"/>
  <c r="D21" i="29"/>
  <c r="T22" i="31"/>
  <c r="P16" i="32"/>
  <c r="H25" i="29"/>
  <c r="D29" i="25"/>
  <c r="T13" i="22"/>
  <c r="D16" i="28"/>
  <c r="D12" i="23"/>
  <c r="B21" i="19"/>
  <c r="H34" i="23"/>
  <c r="D20" i="28"/>
  <c r="H24" i="23"/>
  <c r="P29" i="20"/>
  <c r="T34" i="25"/>
  <c r="H21" i="23"/>
  <c r="P29" i="26"/>
  <c r="B38" i="22"/>
  <c r="P22" i="19"/>
  <c r="P33" i="25"/>
  <c r="H13" i="112"/>
  <c r="D33" i="112"/>
  <c r="P21" i="110"/>
  <c r="H22" i="111"/>
  <c r="D29" i="111"/>
  <c r="D20" i="112"/>
  <c r="D5" i="110"/>
  <c r="D34" i="110"/>
  <c r="D16" i="111"/>
  <c r="T34" i="111"/>
  <c r="T20" i="112"/>
  <c r="H12" i="112"/>
  <c r="P12" i="110"/>
  <c r="P33" i="110"/>
  <c r="T29" i="110"/>
  <c r="T21" i="52"/>
  <c r="D12" i="53"/>
  <c r="P16" i="52"/>
  <c r="D5" i="52"/>
  <c r="D4" i="52"/>
  <c r="D15" i="53"/>
  <c r="P24" i="49"/>
  <c r="B21" i="46"/>
  <c r="P21" i="49"/>
  <c r="D15" i="46"/>
  <c r="P33" i="47"/>
  <c r="H24" i="50"/>
  <c r="T20" i="47"/>
  <c r="H21" i="50"/>
  <c r="P22" i="46"/>
  <c r="D24" i="49"/>
  <c r="D16" i="50"/>
  <c r="D20" i="49"/>
  <c r="H13" i="46"/>
  <c r="T33" i="49"/>
  <c r="B38" i="46"/>
  <c r="D12" i="46"/>
  <c r="P22" i="41"/>
  <c r="H24" i="47"/>
  <c r="P20" i="47"/>
  <c r="D12" i="41"/>
  <c r="H34" i="46"/>
  <c r="D15" i="43"/>
  <c r="B22" i="46"/>
  <c r="H15" i="46"/>
  <c r="B38" i="41"/>
  <c r="H34" i="47"/>
  <c r="H16" i="52"/>
  <c r="P13" i="43"/>
  <c r="P20" i="43"/>
  <c r="B39" i="50"/>
  <c r="H24" i="44"/>
  <c r="H16" i="50"/>
  <c r="T24" i="41"/>
  <c r="P25" i="41"/>
  <c r="T20" i="37"/>
  <c r="P13" i="37"/>
  <c r="H34" i="38"/>
  <c r="H33" i="40"/>
  <c r="D5" i="37"/>
  <c r="D25" i="38"/>
  <c r="D16" i="40"/>
  <c r="H21" i="37"/>
  <c r="H16" i="46"/>
  <c r="D16" i="38"/>
  <c r="T34" i="38"/>
  <c r="H21" i="43"/>
  <c r="T33" i="37"/>
  <c r="P21" i="41"/>
  <c r="H15" i="38"/>
  <c r="H25" i="34"/>
  <c r="T21" i="31"/>
  <c r="H22" i="34"/>
  <c r="T21" i="50"/>
  <c r="D25" i="34"/>
  <c r="H16" i="34"/>
  <c r="H24" i="32"/>
  <c r="B25" i="37"/>
  <c r="B38" i="32"/>
  <c r="D15" i="34"/>
  <c r="D21" i="32"/>
  <c r="T20" i="35"/>
  <c r="D21" i="31"/>
  <c r="T20" i="34"/>
  <c r="D16" i="31"/>
  <c r="P29" i="29"/>
  <c r="D33" i="31"/>
  <c r="P13" i="29"/>
  <c r="P20" i="29"/>
  <c r="H12" i="31"/>
  <c r="H33" i="28"/>
  <c r="D29" i="29"/>
  <c r="D24" i="32"/>
  <c r="H15" i="29"/>
  <c r="B21" i="29"/>
  <c r="P13" i="31"/>
  <c r="D5" i="29"/>
  <c r="D25" i="25"/>
  <c r="B21" i="20"/>
  <c r="B22" i="26"/>
  <c r="P21" i="22"/>
  <c r="D20" i="19"/>
  <c r="H33" i="23"/>
  <c r="T34" i="26"/>
  <c r="H22" i="23"/>
  <c r="P25" i="20"/>
  <c r="T33" i="25"/>
  <c r="D13" i="23"/>
  <c r="P25" i="26"/>
  <c r="D34" i="22"/>
  <c r="T20" i="19"/>
  <c r="P29" i="25"/>
  <c r="T15" i="110"/>
  <c r="B25" i="110"/>
  <c r="T21" i="111"/>
  <c r="T12" i="53"/>
  <c r="H22" i="50"/>
  <c r="D16" i="49"/>
  <c r="B21" i="47"/>
  <c r="P29" i="44"/>
  <c r="T29" i="50"/>
  <c r="H12" i="37"/>
  <c r="D13" i="37"/>
  <c r="H16" i="41"/>
  <c r="H21" i="34"/>
  <c r="H15" i="32"/>
  <c r="D29" i="31"/>
  <c r="B38" i="31"/>
  <c r="D20" i="20"/>
  <c r="H13" i="23"/>
  <c r="P24" i="19"/>
  <c r="T34" i="29"/>
  <c r="P22" i="25"/>
  <c r="H29" i="20"/>
  <c r="T15" i="25"/>
  <c r="D16" i="22"/>
  <c r="P20" i="25"/>
  <c r="T12" i="22"/>
  <c r="H33" i="25"/>
  <c r="P12" i="22"/>
  <c r="H21" i="19"/>
  <c r="D13" i="26"/>
  <c r="P33" i="22"/>
  <c r="D12" i="17"/>
  <c r="D15" i="19"/>
  <c r="P22" i="20"/>
  <c r="H21" i="17"/>
  <c r="H15" i="17"/>
  <c r="H13" i="19"/>
  <c r="B13" i="19"/>
  <c r="T25" i="16"/>
  <c r="P21" i="19"/>
  <c r="D25" i="16"/>
  <c r="H22" i="16"/>
  <c r="H16" i="17"/>
  <c r="P15" i="13"/>
  <c r="B16" i="17"/>
  <c r="H22" i="13"/>
  <c r="D22" i="14"/>
  <c r="B39" i="16"/>
  <c r="B13" i="13"/>
  <c r="D20" i="14"/>
  <c r="P29" i="16"/>
  <c r="T12" i="13"/>
  <c r="P29" i="13"/>
  <c r="H12" i="14"/>
  <c r="T13" i="11"/>
  <c r="D21" i="7"/>
  <c r="T21" i="14"/>
  <c r="T29" i="8"/>
  <c r="T15" i="4"/>
  <c r="T13" i="10"/>
  <c r="H34" i="5"/>
  <c r="H29" i="10"/>
  <c r="T24" i="7"/>
  <c r="P15" i="4"/>
  <c r="D5" i="10"/>
  <c r="D34" i="5"/>
  <c r="H34" i="11"/>
  <c r="H12" i="8"/>
  <c r="B38" i="4"/>
  <c r="T20" i="10"/>
  <c r="D13" i="10"/>
  <c r="D16" i="5"/>
  <c r="P20" i="10"/>
  <c r="D5" i="7"/>
  <c r="T33" i="14"/>
  <c r="D24" i="8"/>
  <c r="P34" i="5"/>
  <c r="D5" i="11"/>
  <c r="P24" i="5"/>
  <c r="D13" i="8"/>
  <c r="P12" i="13"/>
  <c r="P13" i="7"/>
  <c r="P25" i="10"/>
  <c r="D24" i="28"/>
  <c r="D34" i="28"/>
  <c r="T16" i="29"/>
  <c r="H22" i="17"/>
  <c r="D16" i="17"/>
  <c r="H34" i="14"/>
  <c r="D4" i="16"/>
  <c r="B22" i="11"/>
  <c r="T22" i="8"/>
  <c r="D25" i="5"/>
  <c r="H15" i="4"/>
  <c r="B22" i="8"/>
  <c r="D24" i="4"/>
  <c r="T13" i="5"/>
  <c r="P34" i="14"/>
  <c r="B25" i="7"/>
  <c r="P13" i="110"/>
  <c r="D24" i="110"/>
  <c r="T25" i="110"/>
  <c r="B21" i="52"/>
  <c r="H13" i="50"/>
  <c r="B38" i="47"/>
  <c r="H20" i="46"/>
  <c r="P24" i="44"/>
  <c r="P22" i="50"/>
  <c r="B25" i="44"/>
  <c r="P20" i="46"/>
  <c r="P20" i="40"/>
  <c r="D13" i="34"/>
  <c r="B25" i="31"/>
  <c r="D25" i="31"/>
  <c r="D34" i="31"/>
  <c r="D16" i="20"/>
  <c r="D4" i="23"/>
  <c r="T16" i="19"/>
  <c r="P22" i="29"/>
  <c r="T20" i="25"/>
  <c r="H25" i="20"/>
  <c r="P13" i="25"/>
  <c r="D22" i="29"/>
  <c r="P16" i="25"/>
  <c r="T33" i="29"/>
  <c r="H29" i="25"/>
  <c r="B25" i="20"/>
  <c r="D13" i="19"/>
  <c r="B39" i="25"/>
  <c r="P29" i="22"/>
  <c r="P21" i="16"/>
  <c r="B39" i="17"/>
  <c r="T20" i="20"/>
  <c r="D13" i="17"/>
  <c r="B25" i="16"/>
  <c r="B21" i="17"/>
  <c r="T24" i="20"/>
  <c r="P24" i="20"/>
  <c r="T15" i="19"/>
  <c r="T12" i="16"/>
  <c r="T20" i="16"/>
  <c r="P34" i="16"/>
  <c r="D5" i="13"/>
  <c r="H12" i="17"/>
  <c r="H13" i="13"/>
  <c r="H20" i="14"/>
  <c r="T21" i="16"/>
  <c r="P20" i="11"/>
  <c r="D16" i="14"/>
  <c r="P25" i="16"/>
  <c r="P24" i="17"/>
  <c r="P25" i="13"/>
  <c r="P24" i="13"/>
  <c r="D4" i="11"/>
  <c r="H15" i="7"/>
  <c r="B38" i="11"/>
  <c r="T25" i="8"/>
  <c r="P13" i="4"/>
  <c r="H12" i="10"/>
  <c r="H33" i="5"/>
  <c r="D25" i="10"/>
  <c r="T22" i="7"/>
  <c r="D5" i="4"/>
  <c r="P24" i="8"/>
  <c r="D33" i="5"/>
  <c r="B25" i="11"/>
  <c r="P24" i="7"/>
  <c r="D34" i="4"/>
  <c r="P16" i="10"/>
  <c r="H34" i="8"/>
  <c r="B22" i="4"/>
  <c r="B13" i="10"/>
  <c r="T34" i="5"/>
  <c r="D15" i="14"/>
  <c r="D22" i="8"/>
  <c r="P33" i="5"/>
  <c r="P29" i="10"/>
  <c r="P22" i="5"/>
  <c r="D22" i="4"/>
  <c r="D29" i="8"/>
  <c r="T25" i="4"/>
  <c r="D34" i="8"/>
  <c r="T13" i="35"/>
  <c r="P15" i="25"/>
  <c r="P13" i="16"/>
  <c r="T21" i="19"/>
  <c r="B38" i="14"/>
  <c r="B21" i="16"/>
  <c r="B16" i="11"/>
  <c r="D33" i="11"/>
  <c r="D29" i="4"/>
  <c r="T33" i="11"/>
  <c r="D12" i="8"/>
  <c r="T21" i="5"/>
  <c r="H21" i="8"/>
  <c r="H13" i="111"/>
  <c r="T33" i="111"/>
  <c r="P21" i="53"/>
  <c r="P22" i="49"/>
  <c r="T16" i="47"/>
  <c r="D4" i="46"/>
  <c r="H34" i="44"/>
  <c r="D34" i="41"/>
  <c r="H22" i="44"/>
  <c r="H33" i="38"/>
  <c r="D13" i="43"/>
  <c r="P22" i="38"/>
  <c r="B13" i="34"/>
  <c r="T16" i="35"/>
  <c r="H12" i="29"/>
  <c r="B25" i="28"/>
  <c r="D21" i="26"/>
  <c r="T21" i="20"/>
  <c r="T13" i="19"/>
  <c r="T13" i="29"/>
  <c r="T16" i="25"/>
  <c r="P15" i="20"/>
  <c r="H12" i="25"/>
  <c r="B13" i="29"/>
  <c r="D12" i="25"/>
  <c r="T25" i="29"/>
  <c r="H25" i="25"/>
  <c r="D24" i="20"/>
  <c r="H33" i="29"/>
  <c r="H24" i="25"/>
  <c r="P25" i="22"/>
  <c r="T15" i="16"/>
  <c r="H24" i="17"/>
  <c r="T16" i="20"/>
  <c r="P20" i="20"/>
  <c r="D24" i="16"/>
  <c r="D20" i="17"/>
  <c r="P12" i="20"/>
  <c r="P34" i="19"/>
  <c r="H12" i="19"/>
  <c r="P20" i="14"/>
  <c r="P12" i="16"/>
  <c r="P20" i="16"/>
  <c r="P34" i="11"/>
  <c r="T16" i="16"/>
  <c r="D4" i="13"/>
  <c r="H16" i="14"/>
  <c r="D20" i="16"/>
  <c r="P16" i="11"/>
  <c r="B22" i="13"/>
  <c r="B16" i="16"/>
  <c r="P13" i="17"/>
  <c r="T21" i="13"/>
  <c r="P22" i="13"/>
  <c r="T33" i="10"/>
  <c r="P21" i="5"/>
  <c r="T34" i="11"/>
  <c r="B16" i="8"/>
  <c r="H12" i="4"/>
  <c r="T24" i="8"/>
  <c r="H29" i="5"/>
  <c r="D24" i="10"/>
  <c r="P12" i="7"/>
  <c r="D16" i="13"/>
  <c r="P22" i="8"/>
  <c r="D29" i="5"/>
  <c r="T22" i="11"/>
  <c r="P22" i="7"/>
  <c r="D33" i="4"/>
  <c r="P15" i="10"/>
  <c r="H33" i="8"/>
  <c r="D21" i="4"/>
  <c r="B39" i="8"/>
  <c r="T33" i="5"/>
  <c r="B21" i="13"/>
  <c r="H20" i="8"/>
  <c r="P29" i="5"/>
  <c r="T12" i="10"/>
  <c r="T20" i="5"/>
  <c r="B13" i="4"/>
  <c r="B22" i="5"/>
  <c r="D25" i="8"/>
  <c r="D4" i="7"/>
  <c r="H15" i="26"/>
  <c r="T12" i="29"/>
  <c r="T21" i="22"/>
  <c r="P16" i="20"/>
  <c r="B39" i="20"/>
  <c r="P33" i="11"/>
  <c r="B13" i="14"/>
  <c r="T24" i="14"/>
  <c r="H22" i="10"/>
  <c r="T15" i="5"/>
  <c r="T29" i="14"/>
  <c r="B22" i="10"/>
  <c r="T20" i="8"/>
  <c r="T20" i="7"/>
  <c r="H29" i="8"/>
  <c r="H24" i="8"/>
  <c r="P25" i="5"/>
  <c r="H20" i="4"/>
  <c r="B13" i="8"/>
  <c r="T24" i="5"/>
  <c r="D15" i="5"/>
  <c r="D34" i="10"/>
  <c r="T33" i="112"/>
  <c r="B22" i="53"/>
  <c r="D13" i="38"/>
  <c r="H33" i="35"/>
  <c r="H20" i="22"/>
  <c r="T12" i="23"/>
  <c r="D29" i="26"/>
  <c r="D33" i="17"/>
  <c r="T34" i="16"/>
  <c r="H33" i="13"/>
  <c r="D5" i="111"/>
  <c r="T29" i="111"/>
  <c r="T15" i="53"/>
  <c r="T20" i="49"/>
  <c r="T13" i="47"/>
  <c r="D24" i="53"/>
  <c r="D33" i="44"/>
  <c r="D33" i="41"/>
  <c r="H13" i="44"/>
  <c r="H29" i="38"/>
  <c r="T33" i="41"/>
  <c r="T13" i="38"/>
  <c r="T25" i="41"/>
  <c r="T24" i="19"/>
  <c r="P34" i="25"/>
  <c r="P34" i="28"/>
  <c r="T13" i="25"/>
  <c r="D5" i="20"/>
  <c r="T34" i="23"/>
  <c r="T24" i="23"/>
  <c r="H22" i="25"/>
  <c r="T34" i="19"/>
  <c r="D12" i="11"/>
  <c r="H25" i="5"/>
  <c r="H16" i="8"/>
  <c r="P33" i="4"/>
  <c r="D25" i="111"/>
  <c r="T16" i="112"/>
  <c r="P21" i="52"/>
  <c r="D20" i="46"/>
  <c r="D13" i="50"/>
  <c r="T29" i="49"/>
  <c r="P21" i="40"/>
  <c r="H22" i="47"/>
  <c r="D29" i="49"/>
  <c r="T13" i="40"/>
  <c r="B22" i="37"/>
  <c r="P15" i="34"/>
  <c r="H22" i="32"/>
  <c r="H15" i="31"/>
  <c r="P16" i="29"/>
  <c r="D20" i="29"/>
  <c r="T15" i="22"/>
  <c r="T29" i="25"/>
  <c r="P25" i="25"/>
  <c r="P29" i="28"/>
  <c r="B21" i="23"/>
  <c r="P20" i="19"/>
  <c r="T33" i="23"/>
  <c r="D29" i="28"/>
  <c r="T22" i="23"/>
  <c r="B21" i="28"/>
  <c r="D5" i="25"/>
  <c r="H20" i="20"/>
  <c r="P33" i="28"/>
  <c r="H13" i="25"/>
  <c r="B38" i="20"/>
  <c r="H12" i="16"/>
  <c r="H13" i="17"/>
  <c r="P33" i="19"/>
  <c r="P13" i="19"/>
  <c r="H20" i="16"/>
  <c r="B22" i="16"/>
  <c r="B16" i="19"/>
  <c r="P34" i="17"/>
  <c r="H24" i="20"/>
  <c r="D12" i="14"/>
  <c r="H33" i="14"/>
  <c r="H24" i="14"/>
  <c r="P29" i="11"/>
  <c r="D34" i="14"/>
  <c r="H20" i="17"/>
  <c r="B38" i="13"/>
  <c r="B22" i="14"/>
  <c r="H34" i="17"/>
  <c r="H15" i="13"/>
  <c r="T22" i="14"/>
  <c r="D13" i="16"/>
  <c r="D21" i="11"/>
  <c r="T16" i="13"/>
  <c r="H21" i="10"/>
  <c r="P13" i="5"/>
  <c r="P13" i="11"/>
  <c r="T12" i="8"/>
  <c r="H33" i="11"/>
  <c r="P12" i="8"/>
  <c r="P15" i="5"/>
  <c r="B21" i="10"/>
  <c r="H24" i="5"/>
  <c r="T29" i="11"/>
  <c r="T16" i="8"/>
  <c r="H21" i="5"/>
  <c r="P15" i="11"/>
  <c r="T16" i="7"/>
  <c r="D25" i="4"/>
  <c r="H21" i="16"/>
  <c r="H25" i="8"/>
  <c r="T34" i="14"/>
  <c r="H22" i="8"/>
  <c r="D29" i="11"/>
  <c r="D21" i="8"/>
  <c r="H13" i="7"/>
  <c r="D34" i="7"/>
  <c r="H16" i="4"/>
  <c r="P20" i="111"/>
  <c r="H20" i="49"/>
  <c r="T21" i="41"/>
  <c r="H25" i="28"/>
  <c r="P13" i="26"/>
  <c r="T25" i="22"/>
  <c r="T16" i="23"/>
  <c r="H25" i="19"/>
  <c r="T24" i="16"/>
  <c r="P12" i="10"/>
  <c r="H21" i="111"/>
  <c r="T13" i="112"/>
  <c r="T15" i="52"/>
  <c r="D16" i="46"/>
  <c r="B39" i="49"/>
  <c r="T25" i="49"/>
  <c r="T15" i="40"/>
  <c r="D20" i="47"/>
  <c r="D24" i="46"/>
  <c r="B39" i="38"/>
  <c r="D21" i="37"/>
  <c r="D5" i="34"/>
  <c r="H13" i="32"/>
  <c r="B38" i="43"/>
  <c r="D12" i="29"/>
  <c r="D16" i="29"/>
  <c r="P13" i="22"/>
  <c r="T25" i="25"/>
  <c r="T21" i="25"/>
  <c r="T21" i="28"/>
  <c r="D20" i="23"/>
  <c r="P16" i="19"/>
  <c r="T29" i="23"/>
  <c r="H21" i="28"/>
  <c r="P12" i="23"/>
  <c r="D13" i="28"/>
  <c r="P34" i="23"/>
  <c r="H16" i="20"/>
  <c r="P16" i="28"/>
  <c r="D4" i="25"/>
  <c r="D34" i="20"/>
  <c r="D21" i="20"/>
  <c r="D4" i="17"/>
  <c r="P29" i="19"/>
  <c r="H22" i="20"/>
  <c r="H16" i="16"/>
  <c r="D21" i="16"/>
  <c r="T12" i="19"/>
  <c r="P33" i="17"/>
  <c r="D4" i="20"/>
  <c r="P21" i="13"/>
  <c r="H29" i="14"/>
  <c r="H22" i="14"/>
  <c r="P25" i="11"/>
  <c r="D33" i="14"/>
  <c r="D5" i="17"/>
  <c r="D34" i="13"/>
  <c r="D21" i="14"/>
  <c r="T29" i="17"/>
  <c r="H25" i="17"/>
  <c r="P12" i="14"/>
  <c r="P24" i="14"/>
  <c r="H15" i="11"/>
  <c r="T13" i="13"/>
  <c r="H20" i="10"/>
  <c r="H12" i="5"/>
  <c r="B39" i="10"/>
  <c r="B21" i="7"/>
  <c r="H25" i="11"/>
  <c r="T34" i="7"/>
  <c r="D5" i="5"/>
  <c r="P13" i="10"/>
  <c r="H22" i="5"/>
  <c r="D25" i="11"/>
  <c r="T13" i="8"/>
  <c r="D13" i="5"/>
  <c r="B13" i="11"/>
  <c r="T13" i="7"/>
  <c r="H21" i="4"/>
  <c r="P25" i="14"/>
  <c r="P15" i="8"/>
  <c r="B16" i="14"/>
  <c r="H13" i="8"/>
  <c r="B16" i="5"/>
  <c r="T25" i="11"/>
  <c r="B38" i="7"/>
  <c r="T24" i="4"/>
  <c r="H15" i="8"/>
  <c r="P34" i="4"/>
  <c r="T12" i="4"/>
  <c r="P12" i="5"/>
  <c r="B25" i="4"/>
  <c r="H22" i="11"/>
  <c r="D12" i="19"/>
  <c r="H15" i="20"/>
  <c r="P25" i="19"/>
  <c r="H13" i="20"/>
  <c r="B13" i="16"/>
  <c r="T24" i="17"/>
  <c r="P29" i="17"/>
  <c r="H34" i="19"/>
  <c r="H25" i="14"/>
  <c r="H13" i="14"/>
  <c r="T21" i="11"/>
  <c r="P24" i="16"/>
  <c r="D33" i="13"/>
  <c r="H15" i="14"/>
  <c r="D16" i="16"/>
  <c r="T34" i="13"/>
  <c r="P22" i="14"/>
  <c r="T12" i="14"/>
  <c r="D16" i="10"/>
  <c r="P24" i="4"/>
  <c r="D20" i="7"/>
  <c r="D24" i="11"/>
  <c r="T33" i="7"/>
  <c r="P20" i="4"/>
  <c r="D12" i="10"/>
  <c r="P21" i="11"/>
  <c r="P34" i="7"/>
  <c r="B39" i="4"/>
  <c r="H33" i="10"/>
  <c r="D13" i="4"/>
  <c r="T22" i="13"/>
  <c r="D5" i="8"/>
  <c r="D4" i="8"/>
  <c r="T22" i="4"/>
  <c r="H33" i="112"/>
  <c r="B22" i="44"/>
  <c r="D4" i="34"/>
  <c r="B25" i="26"/>
  <c r="H15" i="22"/>
  <c r="T21" i="23"/>
  <c r="T33" i="19"/>
  <c r="D25" i="20"/>
  <c r="D24" i="17"/>
  <c r="D16" i="112"/>
  <c r="P34" i="111"/>
  <c r="D12" i="52"/>
  <c r="T15" i="49"/>
  <c r="T20" i="46"/>
  <c r="D34" i="46"/>
  <c r="D22" i="46"/>
  <c r="D24" i="50"/>
  <c r="T22" i="41"/>
  <c r="D22" i="44"/>
  <c r="T33" i="38"/>
  <c r="B22" i="38"/>
  <c r="H16" i="37"/>
  <c r="T16" i="34"/>
  <c r="T15" i="34"/>
  <c r="H29" i="32"/>
  <c r="D16" i="19"/>
  <c r="B39" i="22"/>
  <c r="B22" i="23"/>
  <c r="D15" i="28"/>
  <c r="D16" i="23"/>
  <c r="T25" i="23"/>
  <c r="H34" i="26"/>
  <c r="T34" i="22"/>
  <c r="B39" i="26"/>
  <c r="P33" i="23"/>
  <c r="B13" i="20"/>
  <c r="B38" i="26"/>
  <c r="P24" i="23"/>
  <c r="H21" i="20"/>
  <c r="H34" i="16"/>
  <c r="H15" i="16"/>
  <c r="T15" i="13"/>
  <c r="D29" i="14"/>
  <c r="D22" i="17"/>
  <c r="H33" i="17"/>
  <c r="P33" i="10"/>
  <c r="H13" i="5"/>
  <c r="B25" i="5"/>
  <c r="H29" i="11"/>
  <c r="B25" i="111"/>
  <c r="P20" i="112"/>
  <c r="B39" i="53"/>
  <c r="P13" i="49"/>
  <c r="T16" i="46"/>
  <c r="D33" i="46"/>
  <c r="P15" i="46"/>
  <c r="B38" i="49"/>
  <c r="P12" i="41"/>
  <c r="D29" i="43"/>
  <c r="T29" i="38"/>
  <c r="H20" i="37"/>
  <c r="T34" i="35"/>
  <c r="T13" i="34"/>
  <c r="P34" i="32"/>
  <c r="H25" i="32"/>
  <c r="B16" i="29"/>
  <c r="H24" i="22"/>
  <c r="D24" i="22"/>
  <c r="P21" i="26"/>
  <c r="B22" i="22"/>
  <c r="H34" i="29"/>
  <c r="B16" i="23"/>
  <c r="H33" i="26"/>
  <c r="T33" i="22"/>
  <c r="H24" i="26"/>
  <c r="P29" i="23"/>
  <c r="B38" i="19"/>
  <c r="D34" i="26"/>
  <c r="P22" i="23"/>
  <c r="B39" i="19"/>
  <c r="D24" i="19"/>
  <c r="H33" i="16"/>
  <c r="B38" i="17"/>
  <c r="H33" i="19"/>
  <c r="D33" i="20"/>
  <c r="B22" i="20"/>
  <c r="T22" i="17"/>
  <c r="P25" i="17"/>
  <c r="P15" i="19"/>
  <c r="P13" i="13"/>
  <c r="P15" i="14"/>
  <c r="D4" i="14"/>
  <c r="T24" i="10"/>
  <c r="D25" i="14"/>
  <c r="P16" i="16"/>
  <c r="D29" i="13"/>
  <c r="B25" i="13"/>
  <c r="P15" i="17"/>
  <c r="T13" i="16"/>
  <c r="T33" i="13"/>
  <c r="T20" i="14"/>
  <c r="T16" i="17"/>
  <c r="D20" i="13"/>
  <c r="D15" i="10"/>
  <c r="P22" i="4"/>
  <c r="H25" i="10"/>
  <c r="D16" i="7"/>
  <c r="B38" i="10"/>
  <c r="T29" i="7"/>
  <c r="P16" i="4"/>
  <c r="P34" i="8"/>
  <c r="D4" i="5"/>
  <c r="T15" i="11"/>
  <c r="P33" i="7"/>
  <c r="H24" i="4"/>
  <c r="D29" i="10"/>
  <c r="D24" i="5"/>
  <c r="T25" i="14"/>
  <c r="D34" i="11"/>
  <c r="P20" i="7"/>
  <c r="T24" i="11"/>
  <c r="H34" i="7"/>
  <c r="T12" i="5"/>
  <c r="H12" i="11"/>
  <c r="D33" i="7"/>
  <c r="P12" i="4"/>
  <c r="D24" i="7"/>
  <c r="P29" i="4"/>
  <c r="B39" i="7"/>
  <c r="B38" i="8"/>
  <c r="P21" i="7"/>
  <c r="T33" i="4"/>
  <c r="B13" i="41"/>
  <c r="H25" i="26"/>
  <c r="D5" i="112"/>
  <c r="T34" i="112"/>
  <c r="H34" i="112"/>
  <c r="B38" i="53"/>
  <c r="T12" i="46"/>
  <c r="D22" i="49"/>
  <c r="H33" i="44"/>
  <c r="T12" i="43"/>
  <c r="H12" i="43"/>
  <c r="B16" i="41"/>
  <c r="H21" i="38"/>
  <c r="T29" i="41"/>
  <c r="H13" i="34"/>
  <c r="D34" i="32"/>
  <c r="P24" i="38"/>
  <c r="H29" i="28"/>
  <c r="T12" i="28"/>
  <c r="H29" i="23"/>
  <c r="T21" i="26"/>
  <c r="D22" i="22"/>
  <c r="T15" i="26"/>
  <c r="D21" i="22"/>
  <c r="P20" i="26"/>
  <c r="D15" i="23"/>
  <c r="H29" i="26"/>
  <c r="T29" i="22"/>
  <c r="H22" i="26"/>
  <c r="P25" i="23"/>
  <c r="D34" i="19"/>
  <c r="D33" i="26"/>
  <c r="T20" i="23"/>
  <c r="H24" i="19"/>
  <c r="T22" i="20"/>
  <c r="H29" i="16"/>
  <c r="D34" i="17"/>
  <c r="H29" i="19"/>
  <c r="D29" i="20"/>
  <c r="B25" i="19"/>
  <c r="P12" i="17"/>
  <c r="T21" i="17"/>
  <c r="D5" i="19"/>
  <c r="H12" i="13"/>
  <c r="D5" i="14"/>
  <c r="H34" i="13"/>
  <c r="T22" i="10"/>
  <c r="H21" i="14"/>
  <c r="D15" i="16"/>
  <c r="D25" i="13"/>
  <c r="D24" i="13"/>
  <c r="B38" i="16"/>
  <c r="T33" i="17"/>
  <c r="T29" i="13"/>
  <c r="T16" i="14"/>
  <c r="P22" i="16"/>
  <c r="B39" i="11"/>
  <c r="B21" i="8"/>
  <c r="T20" i="4"/>
  <c r="H24" i="10"/>
  <c r="P20" i="5"/>
  <c r="T34" i="10"/>
  <c r="T25" i="7"/>
  <c r="D12" i="4"/>
  <c r="P33" i="8"/>
  <c r="H34" i="4"/>
  <c r="D13" i="11"/>
  <c r="P29" i="7"/>
  <c r="H22" i="4"/>
  <c r="D4" i="10"/>
  <c r="D22" i="5"/>
  <c r="P22" i="11"/>
  <c r="H21" i="11"/>
  <c r="P16" i="7"/>
  <c r="P12" i="11"/>
  <c r="H33" i="7"/>
  <c r="B21" i="4"/>
  <c r="T29" i="10"/>
  <c r="D29" i="7"/>
  <c r="P21" i="17"/>
  <c r="D22" i="7"/>
  <c r="P25" i="4"/>
  <c r="H15" i="5"/>
  <c r="H24" i="7"/>
  <c r="H12" i="7"/>
  <c r="D15" i="4"/>
  <c r="T34" i="52"/>
  <c r="T24" i="25"/>
  <c r="D4" i="19"/>
  <c r="D25" i="112"/>
  <c r="D29" i="110"/>
  <c r="P25" i="110"/>
  <c r="D20" i="53"/>
  <c r="P25" i="47"/>
  <c r="D21" i="49"/>
  <c r="T16" i="41"/>
  <c r="P25" i="44"/>
  <c r="D12" i="43"/>
  <c r="T13" i="37"/>
  <c r="D24" i="38"/>
  <c r="T25" i="37"/>
  <c r="B25" i="35"/>
  <c r="D24" i="37"/>
  <c r="T21" i="29"/>
  <c r="H21" i="29"/>
  <c r="D13" i="25"/>
  <c r="T29" i="26"/>
  <c r="D29" i="22"/>
  <c r="B13" i="22"/>
  <c r="P24" i="25"/>
  <c r="H33" i="20"/>
  <c r="P21" i="25"/>
  <c r="D20" i="22"/>
  <c r="D5" i="26"/>
  <c r="D15" i="22"/>
  <c r="H34" i="25"/>
  <c r="T22" i="22"/>
  <c r="D25" i="19"/>
  <c r="H21" i="26"/>
  <c r="P34" i="22"/>
  <c r="P16" i="17"/>
  <c r="T25" i="19"/>
  <c r="D5" i="16"/>
  <c r="D25" i="17"/>
  <c r="D21" i="17"/>
  <c r="H22" i="19"/>
  <c r="H16" i="19"/>
  <c r="T29" i="16"/>
  <c r="D12" i="20"/>
  <c r="D29" i="16"/>
  <c r="T12" i="17"/>
  <c r="D12" i="13"/>
  <c r="H25" i="13"/>
  <c r="P22" i="17"/>
  <c r="H24" i="13"/>
  <c r="D24" i="14"/>
  <c r="T15" i="17"/>
  <c r="H16" i="13"/>
  <c r="B21" i="14"/>
  <c r="P33" i="16"/>
  <c r="D15" i="13"/>
  <c r="P33" i="13"/>
  <c r="P13" i="14"/>
  <c r="D16" i="11"/>
  <c r="B22" i="7"/>
  <c r="T13" i="17"/>
  <c r="T33" i="8"/>
  <c r="P21" i="4"/>
  <c r="D20" i="10"/>
  <c r="T12" i="7"/>
  <c r="P34" i="10"/>
  <c r="T21" i="8"/>
  <c r="H25" i="4"/>
  <c r="T15" i="10"/>
  <c r="B38" i="5"/>
  <c r="T24" i="13"/>
  <c r="P13" i="8"/>
  <c r="B13" i="5"/>
  <c r="T21" i="10"/>
  <c r="D33" i="10"/>
  <c r="D20" i="5"/>
  <c r="P21" i="10"/>
  <c r="P15" i="7"/>
  <c r="H13" i="16"/>
  <c r="B25" i="8"/>
  <c r="D13" i="7"/>
  <c r="H16" i="11"/>
  <c r="B13" i="7"/>
  <c r="D33" i="8"/>
  <c r="T29" i="4"/>
  <c r="P16" i="8"/>
  <c r="P24" i="11"/>
  <c r="P24" i="28"/>
  <c r="D22" i="20"/>
  <c r="T13" i="20"/>
  <c r="D22" i="16"/>
  <c r="P16" i="14"/>
  <c r="B39" i="14"/>
  <c r="T25" i="17"/>
  <c r="D21" i="13"/>
  <c r="T20" i="13"/>
  <c r="D15" i="8"/>
  <c r="B39" i="5"/>
  <c r="H20" i="11"/>
  <c r="H13" i="10"/>
  <c r="T29" i="5"/>
  <c r="T16" i="5"/>
  <c r="H22" i="7"/>
  <c r="T25" i="5"/>
  <c r="T15" i="7"/>
  <c r="D15" i="11"/>
  <c r="P24" i="10"/>
  <c r="D34" i="53"/>
  <c r="H15" i="53"/>
  <c r="D33" i="32"/>
  <c r="H25" i="23"/>
  <c r="P16" i="26"/>
  <c r="D33" i="19"/>
  <c r="H25" i="16"/>
  <c r="D22" i="19"/>
  <c r="P20" i="13"/>
  <c r="T20" i="41"/>
  <c r="D33" i="22"/>
  <c r="D33" i="16"/>
  <c r="H20" i="13"/>
  <c r="T20" i="11"/>
  <c r="D15" i="7"/>
  <c r="D4" i="4"/>
  <c r="P22" i="10"/>
  <c r="H16" i="7"/>
  <c r="P20" i="17"/>
  <c r="H13" i="11"/>
  <c r="T13" i="4"/>
  <c r="H16" i="5"/>
  <c r="B39" i="13"/>
  <c r="B21" i="5"/>
  <c r="D34" i="44"/>
  <c r="H16" i="22"/>
  <c r="T13" i="23"/>
  <c r="T20" i="17"/>
  <c r="D34" i="16"/>
  <c r="D20" i="8"/>
  <c r="P29" i="14"/>
  <c r="P21" i="8"/>
  <c r="H29" i="7"/>
  <c r="T21" i="4"/>
  <c r="P16" i="13"/>
  <c r="T15" i="8"/>
  <c r="T34" i="17"/>
  <c r="D16" i="4"/>
  <c r="B22" i="17"/>
  <c r="P21" i="14"/>
  <c r="P33" i="14"/>
  <c r="T24" i="22"/>
  <c r="D22" i="11"/>
  <c r="P16" i="43"/>
  <c r="B21" i="11"/>
  <c r="T16" i="11"/>
  <c r="H29" i="17"/>
  <c r="D25" i="29"/>
  <c r="D22" i="10"/>
  <c r="H21" i="25"/>
  <c r="T21" i="7"/>
  <c r="T16" i="37"/>
  <c r="H34" i="20"/>
  <c r="T29" i="19"/>
  <c r="H29" i="13"/>
  <c r="B25" i="17"/>
  <c r="T16" i="4"/>
  <c r="P29" i="8"/>
  <c r="H20" i="5"/>
  <c r="D20" i="4"/>
  <c r="P20" i="8"/>
  <c r="B21" i="53"/>
  <c r="B25" i="38"/>
  <c r="D12" i="26"/>
  <c r="D15" i="17"/>
  <c r="T22" i="5"/>
  <c r="H29" i="4"/>
  <c r="D4" i="26"/>
  <c r="P25" i="7"/>
  <c r="P29" i="47"/>
  <c r="D21" i="10"/>
  <c r="T29" i="37"/>
  <c r="B21" i="22"/>
  <c r="D29" i="17"/>
  <c r="D13" i="14"/>
  <c r="T25" i="13"/>
  <c r="B16" i="10"/>
  <c r="H33" i="4"/>
  <c r="D20" i="11"/>
  <c r="H16" i="10"/>
  <c r="D21" i="5"/>
  <c r="T24" i="40"/>
  <c r="B16" i="13"/>
  <c r="D13" i="13"/>
  <c r="D29" i="112"/>
  <c r="D33" i="110"/>
  <c r="T12" i="34"/>
  <c r="B16" i="22"/>
  <c r="D13" i="20"/>
  <c r="D12" i="16"/>
  <c r="T13" i="14"/>
  <c r="P16" i="5"/>
  <c r="B25" i="10"/>
  <c r="T12" i="11"/>
  <c r="D25" i="7"/>
  <c r="T34" i="4"/>
  <c r="H20" i="19"/>
  <c r="P34" i="13"/>
  <c r="D12" i="5"/>
  <c r="T16" i="10"/>
  <c r="H21" i="7"/>
  <c r="B16" i="4"/>
  <c r="T33" i="16"/>
  <c r="D12" i="7"/>
  <c r="T22" i="16"/>
  <c r="P29" i="110"/>
  <c r="P25" i="29"/>
  <c r="H13" i="26"/>
  <c r="B25" i="14"/>
  <c r="H34" i="10"/>
  <c r="T15" i="14"/>
  <c r="B22" i="49"/>
  <c r="T33" i="26"/>
  <c r="D29" i="19"/>
  <c r="B13" i="17"/>
  <c r="D22" i="13"/>
  <c r="H24" i="11"/>
  <c r="B16" i="7"/>
  <c r="H13" i="4"/>
  <c r="T25" i="10"/>
  <c r="H20" i="7"/>
  <c r="D25" i="26"/>
  <c r="H12" i="26"/>
  <c r="H24" i="16"/>
  <c r="D16" i="8"/>
  <c r="H25" i="7"/>
  <c r="P15" i="16"/>
  <c r="P25" i="8"/>
  <c r="P15" i="26"/>
  <c r="T34" i="8"/>
  <c r="H15" i="10"/>
  <c r="H21" i="13"/>
  <c r="L22" i="87" l="1"/>
  <c r="N22" i="87" s="1"/>
  <c r="X19" i="48"/>
  <c r="Z19" i="48" s="1"/>
  <c r="Z21" i="100"/>
  <c r="Z23" i="105"/>
  <c r="N18" i="56"/>
  <c r="X75" i="24"/>
  <c r="Z75" i="24" s="1"/>
  <c r="L22" i="97"/>
  <c r="L194" i="3"/>
  <c r="N194" i="3" s="1"/>
  <c r="N22" i="97"/>
  <c r="L21" i="92"/>
  <c r="N21" i="92" s="1"/>
  <c r="Z20" i="98"/>
  <c r="Z28" i="21"/>
  <c r="L18" i="67"/>
  <c r="N18" i="67" s="1"/>
  <c r="X26" i="78"/>
  <c r="Z55" i="84"/>
  <c r="Z194" i="3"/>
  <c r="X18" i="56"/>
  <c r="L18" i="63"/>
  <c r="N18" i="63" s="1"/>
  <c r="Z26" i="78"/>
  <c r="X18" i="55"/>
  <c r="Z18" i="55" s="1"/>
  <c r="H65" i="57"/>
  <c r="L18" i="60"/>
  <c r="N18" i="60" s="1"/>
  <c r="X18" i="67"/>
  <c r="Z18" i="67" s="1"/>
  <c r="X66" i="68"/>
  <c r="Z77" i="74"/>
  <c r="X22" i="80"/>
  <c r="V21" i="92"/>
  <c r="L19" i="109"/>
  <c r="X18" i="9"/>
  <c r="X84" i="30"/>
  <c r="Z84" i="30" s="1"/>
  <c r="L182" i="18"/>
  <c r="N182" i="18" s="1"/>
  <c r="Z22" i="94"/>
  <c r="V21" i="100"/>
  <c r="N18" i="108"/>
  <c r="X25" i="45"/>
  <c r="Z25" i="45" s="1"/>
  <c r="J22" i="79"/>
  <c r="L22" i="88"/>
  <c r="X18" i="108"/>
  <c r="L75" i="24"/>
  <c r="L56" i="51"/>
  <c r="N22" i="88"/>
  <c r="L19" i="99"/>
  <c r="N19" i="99" s="1"/>
  <c r="X23" i="104"/>
  <c r="L28" i="21"/>
  <c r="X38" i="33"/>
  <c r="L35" i="39"/>
  <c r="X22" i="79"/>
  <c r="X22" i="88"/>
  <c r="X18" i="91"/>
  <c r="Z18" i="91" s="1"/>
  <c r="X22" i="95"/>
  <c r="L20" i="98"/>
  <c r="N20" i="98" s="1"/>
  <c r="L22" i="101"/>
  <c r="L15" i="4"/>
  <c r="Z33" i="4"/>
  <c r="X24" i="10"/>
  <c r="N22" i="11"/>
  <c r="X34" i="14"/>
  <c r="L24" i="4"/>
  <c r="L34" i="8"/>
  <c r="X25" i="10"/>
  <c r="X24" i="11"/>
  <c r="Z34" i="4"/>
  <c r="N12" i="7"/>
  <c r="J36" i="7"/>
  <c r="J34" i="7"/>
  <c r="J33" i="7"/>
  <c r="J31" i="7"/>
  <c r="J29" i="7"/>
  <c r="J27" i="7"/>
  <c r="J25" i="7"/>
  <c r="J24" i="7"/>
  <c r="J22" i="7"/>
  <c r="J20" i="7"/>
  <c r="J18" i="7"/>
  <c r="J16" i="7"/>
  <c r="H18" i="7"/>
  <c r="J15" i="7"/>
  <c r="J21" i="7"/>
  <c r="X21" i="7"/>
  <c r="N16" i="4"/>
  <c r="N13" i="7"/>
  <c r="N22" i="7"/>
  <c r="L25" i="8"/>
  <c r="Z25" i="4"/>
  <c r="X13" i="7"/>
  <c r="X16" i="8"/>
  <c r="N29" i="17"/>
  <c r="L21" i="5"/>
  <c r="N24" i="7"/>
  <c r="L34" i="10"/>
  <c r="R20" i="5"/>
  <c r="R18" i="5"/>
  <c r="R16" i="5"/>
  <c r="P18" i="5"/>
  <c r="R15" i="5"/>
  <c r="X12" i="5"/>
  <c r="R24" i="5"/>
  <c r="R22" i="5"/>
  <c r="R21" i="5"/>
  <c r="R34" i="5"/>
  <c r="R33" i="5"/>
  <c r="R31" i="5"/>
  <c r="R29" i="5"/>
  <c r="R27" i="5"/>
  <c r="R36" i="5"/>
  <c r="R25" i="5"/>
  <c r="Z15" i="7"/>
  <c r="N20" i="4"/>
  <c r="L29" i="8"/>
  <c r="R20" i="13"/>
  <c r="R18" i="13"/>
  <c r="R16" i="13"/>
  <c r="P18" i="13"/>
  <c r="R15" i="13"/>
  <c r="R24" i="13"/>
  <c r="R22" i="13"/>
  <c r="R21" i="13"/>
  <c r="R27" i="13"/>
  <c r="R36" i="13"/>
  <c r="R25" i="13"/>
  <c r="R34" i="13"/>
  <c r="R33" i="13"/>
  <c r="X12" i="13"/>
  <c r="R29" i="13"/>
  <c r="R31" i="13"/>
  <c r="Z29" i="4"/>
  <c r="Z22" i="5"/>
  <c r="X20" i="8"/>
  <c r="N15" i="5"/>
  <c r="N21" i="8"/>
  <c r="T18" i="4"/>
  <c r="V15" i="4"/>
  <c r="Z12" i="4"/>
  <c r="V36" i="4"/>
  <c r="V34" i="4"/>
  <c r="V33" i="4"/>
  <c r="V31" i="4"/>
  <c r="V29" i="4"/>
  <c r="V27" i="4"/>
  <c r="V25" i="4"/>
  <c r="V21" i="4"/>
  <c r="V20" i="4"/>
  <c r="V18" i="4"/>
  <c r="V16" i="4"/>
  <c r="V24" i="4"/>
  <c r="V22" i="4"/>
  <c r="Z24" i="5"/>
  <c r="D18" i="8"/>
  <c r="F15" i="8"/>
  <c r="L12" i="8"/>
  <c r="F36" i="8"/>
  <c r="F34" i="8"/>
  <c r="F33" i="8"/>
  <c r="F31" i="8"/>
  <c r="F29" i="8"/>
  <c r="F27" i="8"/>
  <c r="F25" i="8"/>
  <c r="F21" i="8"/>
  <c r="F20" i="8"/>
  <c r="F18" i="8"/>
  <c r="F16" i="8"/>
  <c r="F22" i="8"/>
  <c r="F24" i="8"/>
  <c r="L22" i="4"/>
  <c r="L13" i="8"/>
  <c r="L33" i="8"/>
  <c r="Z21" i="4"/>
  <c r="X25" i="4"/>
  <c r="X29" i="4"/>
  <c r="X33" i="4"/>
  <c r="X34" i="4"/>
  <c r="Z13" i="5"/>
  <c r="Z16" i="5"/>
  <c r="Z20" i="5"/>
  <c r="X22" i="5"/>
  <c r="X24" i="5"/>
  <c r="N16" i="7"/>
  <c r="N20" i="7"/>
  <c r="L22" i="7"/>
  <c r="L24" i="7"/>
  <c r="N15" i="8"/>
  <c r="L21" i="8"/>
  <c r="V21" i="10"/>
  <c r="V34" i="10"/>
  <c r="V16" i="10"/>
  <c r="V15" i="10"/>
  <c r="V36" i="10"/>
  <c r="V18" i="10"/>
  <c r="V20" i="10"/>
  <c r="T18" i="10"/>
  <c r="V22" i="10"/>
  <c r="V25" i="10"/>
  <c r="V24" i="10"/>
  <c r="V27" i="10"/>
  <c r="V31" i="10"/>
  <c r="V33" i="10"/>
  <c r="Z12" i="10"/>
  <c r="V29" i="10"/>
  <c r="X29" i="10"/>
  <c r="N16" i="11"/>
  <c r="L22" i="11"/>
  <c r="X33" i="14"/>
  <c r="X21" i="17"/>
  <c r="R21" i="4"/>
  <c r="R20" i="4"/>
  <c r="R18" i="4"/>
  <c r="R16" i="4"/>
  <c r="P18" i="4"/>
  <c r="R15" i="4"/>
  <c r="X12" i="4"/>
  <c r="R36" i="4"/>
  <c r="R34" i="4"/>
  <c r="R33" i="4"/>
  <c r="R31" i="4"/>
  <c r="R29" i="4"/>
  <c r="R27" i="4"/>
  <c r="R25" i="4"/>
  <c r="R24" i="4"/>
  <c r="R22" i="4"/>
  <c r="Z22" i="4"/>
  <c r="Z24" i="4"/>
  <c r="Z21" i="5"/>
  <c r="X25" i="5"/>
  <c r="X29" i="5"/>
  <c r="X33" i="5"/>
  <c r="X34" i="5"/>
  <c r="L13" i="7"/>
  <c r="N21" i="7"/>
  <c r="L25" i="7"/>
  <c r="L29" i="7"/>
  <c r="L33" i="7"/>
  <c r="L34" i="7"/>
  <c r="N16" i="8"/>
  <c r="N20" i="8"/>
  <c r="L22" i="8"/>
  <c r="L24" i="8"/>
  <c r="N15" i="10"/>
  <c r="N16" i="10"/>
  <c r="Z29" i="10"/>
  <c r="N12" i="11"/>
  <c r="J36" i="11"/>
  <c r="J34" i="11"/>
  <c r="J33" i="11"/>
  <c r="J31" i="11"/>
  <c r="J29" i="11"/>
  <c r="J27" i="11"/>
  <c r="J25" i="11"/>
  <c r="J18" i="11"/>
  <c r="H18" i="11"/>
  <c r="J20" i="11"/>
  <c r="J21" i="11"/>
  <c r="J22" i="11"/>
  <c r="J15" i="11"/>
  <c r="J16" i="11"/>
  <c r="J24" i="11"/>
  <c r="L15" i="11"/>
  <c r="Z25" i="11"/>
  <c r="L29" i="11"/>
  <c r="Z33" i="11"/>
  <c r="L15" i="14"/>
  <c r="Z33" i="14"/>
  <c r="N13" i="16"/>
  <c r="L16" i="4"/>
  <c r="L20" i="4"/>
  <c r="V36" i="5"/>
  <c r="V34" i="5"/>
  <c r="V33" i="5"/>
  <c r="V31" i="5"/>
  <c r="V29" i="5"/>
  <c r="V27" i="5"/>
  <c r="V25" i="5"/>
  <c r="V24" i="5"/>
  <c r="V22" i="5"/>
  <c r="V20" i="5"/>
  <c r="V18" i="5"/>
  <c r="V16" i="5"/>
  <c r="T18" i="5"/>
  <c r="V15" i="5"/>
  <c r="Z12" i="5"/>
  <c r="V21" i="5"/>
  <c r="L15" i="5"/>
  <c r="Z25" i="5"/>
  <c r="Z29" i="5"/>
  <c r="Z33" i="5"/>
  <c r="Z34" i="5"/>
  <c r="X15" i="7"/>
  <c r="N25" i="7"/>
  <c r="N29" i="7"/>
  <c r="N33" i="7"/>
  <c r="N34" i="7"/>
  <c r="N13" i="8"/>
  <c r="N22" i="8"/>
  <c r="N24" i="8"/>
  <c r="X20" i="10"/>
  <c r="X21" i="10"/>
  <c r="X22" i="10"/>
  <c r="Z25" i="10"/>
  <c r="R24" i="11"/>
  <c r="R22" i="11"/>
  <c r="P18" i="11"/>
  <c r="R15" i="11"/>
  <c r="R20" i="11"/>
  <c r="R34" i="11"/>
  <c r="R27" i="11"/>
  <c r="R21" i="11"/>
  <c r="R36" i="11"/>
  <c r="R29" i="11"/>
  <c r="X12" i="11"/>
  <c r="R16" i="11"/>
  <c r="R31" i="11"/>
  <c r="R18" i="11"/>
  <c r="R33" i="11"/>
  <c r="R25" i="11"/>
  <c r="Z24" i="11"/>
  <c r="N29" i="11"/>
  <c r="Z34" i="14"/>
  <c r="N15" i="4"/>
  <c r="L21" i="4"/>
  <c r="L16" i="5"/>
  <c r="L20" i="5"/>
  <c r="F20" i="7"/>
  <c r="F18" i="7"/>
  <c r="F16" i="7"/>
  <c r="D18" i="7"/>
  <c r="F15" i="7"/>
  <c r="L12" i="7"/>
  <c r="F24" i="7"/>
  <c r="F22" i="7"/>
  <c r="F21" i="7"/>
  <c r="F29" i="7"/>
  <c r="F27" i="7"/>
  <c r="F36" i="7"/>
  <c r="F25" i="7"/>
  <c r="F34" i="7"/>
  <c r="F33" i="7"/>
  <c r="F31" i="7"/>
  <c r="X16" i="7"/>
  <c r="X20" i="7"/>
  <c r="X15" i="8"/>
  <c r="N25" i="8"/>
  <c r="N29" i="8"/>
  <c r="N33" i="8"/>
  <c r="N34" i="8"/>
  <c r="L13" i="10"/>
  <c r="L33" i="10"/>
  <c r="N34" i="10"/>
  <c r="V20" i="11"/>
  <c r="V18" i="11"/>
  <c r="V16" i="11"/>
  <c r="Z12" i="11"/>
  <c r="V34" i="11"/>
  <c r="V27" i="11"/>
  <c r="V21" i="11"/>
  <c r="V36" i="11"/>
  <c r="V29" i="11"/>
  <c r="V15" i="11"/>
  <c r="V22" i="11"/>
  <c r="V31" i="11"/>
  <c r="V24" i="11"/>
  <c r="T18" i="11"/>
  <c r="V33" i="11"/>
  <c r="V25" i="11"/>
  <c r="N21" i="11"/>
  <c r="L34" i="11"/>
  <c r="Z22" i="13"/>
  <c r="X25" i="14"/>
  <c r="N21" i="16"/>
  <c r="N13" i="10"/>
  <c r="X15" i="10"/>
  <c r="X16" i="10"/>
  <c r="Z20" i="10"/>
  <c r="Z21" i="10"/>
  <c r="Z16" i="11"/>
  <c r="L20" i="11"/>
  <c r="X22" i="11"/>
  <c r="Z25" i="14"/>
  <c r="L13" i="4"/>
  <c r="N21" i="4"/>
  <c r="L25" i="4"/>
  <c r="L29" i="4"/>
  <c r="L33" i="4"/>
  <c r="L34" i="4"/>
  <c r="N16" i="5"/>
  <c r="N20" i="5"/>
  <c r="L22" i="5"/>
  <c r="L24" i="5"/>
  <c r="Z13" i="7"/>
  <c r="Z16" i="7"/>
  <c r="Z20" i="7"/>
  <c r="X22" i="7"/>
  <c r="X24" i="7"/>
  <c r="N12" i="8"/>
  <c r="J24" i="8"/>
  <c r="J22" i="8"/>
  <c r="J21" i="8"/>
  <c r="H18" i="8"/>
  <c r="J15" i="8"/>
  <c r="J31" i="8"/>
  <c r="J29" i="8"/>
  <c r="J20" i="8"/>
  <c r="J27" i="8"/>
  <c r="J18" i="8"/>
  <c r="J36" i="8"/>
  <c r="J25" i="8"/>
  <c r="J16" i="8"/>
  <c r="J34" i="8"/>
  <c r="J33" i="8"/>
  <c r="X13" i="8"/>
  <c r="Z15" i="8"/>
  <c r="X21" i="8"/>
  <c r="L29" i="10"/>
  <c r="N33" i="10"/>
  <c r="X15" i="11"/>
  <c r="N20" i="11"/>
  <c r="Z22" i="11"/>
  <c r="N34" i="11"/>
  <c r="Z24" i="13"/>
  <c r="N13" i="4"/>
  <c r="N22" i="4"/>
  <c r="N24" i="4"/>
  <c r="L13" i="5"/>
  <c r="N21" i="5"/>
  <c r="L25" i="5"/>
  <c r="L29" i="5"/>
  <c r="L33" i="5"/>
  <c r="L34" i="5"/>
  <c r="Z21" i="7"/>
  <c r="X25" i="7"/>
  <c r="X29" i="7"/>
  <c r="X33" i="7"/>
  <c r="X34" i="7"/>
  <c r="Z13" i="8"/>
  <c r="Z16" i="8"/>
  <c r="Z20" i="8"/>
  <c r="X22" i="8"/>
  <c r="X24" i="8"/>
  <c r="Z15" i="10"/>
  <c r="Z16" i="10"/>
  <c r="L13" i="11"/>
  <c r="Z15" i="11"/>
  <c r="X21" i="11"/>
  <c r="L25" i="11"/>
  <c r="Z29" i="11"/>
  <c r="L33" i="11"/>
  <c r="L16" i="13"/>
  <c r="X15" i="4"/>
  <c r="N25" i="4"/>
  <c r="N29" i="4"/>
  <c r="N33" i="4"/>
  <c r="N34" i="4"/>
  <c r="N13" i="5"/>
  <c r="N22" i="5"/>
  <c r="N24" i="5"/>
  <c r="X12" i="7"/>
  <c r="R36" i="7"/>
  <c r="R34" i="7"/>
  <c r="R33" i="7"/>
  <c r="R31" i="7"/>
  <c r="R29" i="7"/>
  <c r="R27" i="7"/>
  <c r="R25" i="7"/>
  <c r="R24" i="7"/>
  <c r="R22" i="7"/>
  <c r="R21" i="7"/>
  <c r="P18" i="7"/>
  <c r="R15" i="7"/>
  <c r="R18" i="7"/>
  <c r="R16" i="7"/>
  <c r="R20" i="7"/>
  <c r="Z22" i="7"/>
  <c r="Z24" i="7"/>
  <c r="Z21" i="8"/>
  <c r="X25" i="8"/>
  <c r="X29" i="8"/>
  <c r="X33" i="8"/>
  <c r="X34" i="8"/>
  <c r="F18" i="10"/>
  <c r="F22" i="10"/>
  <c r="F21" i="10"/>
  <c r="F20" i="10"/>
  <c r="D18" i="10"/>
  <c r="L12" i="10"/>
  <c r="F25" i="10"/>
  <c r="F24" i="10"/>
  <c r="F27" i="10"/>
  <c r="F29" i="10"/>
  <c r="F31" i="10"/>
  <c r="F33" i="10"/>
  <c r="F34" i="10"/>
  <c r="F36" i="10"/>
  <c r="F16" i="10"/>
  <c r="F15" i="10"/>
  <c r="X13" i="10"/>
  <c r="L24" i="10"/>
  <c r="L25" i="10"/>
  <c r="N29" i="10"/>
  <c r="X34" i="10"/>
  <c r="N13" i="11"/>
  <c r="X29" i="14"/>
  <c r="L12" i="4"/>
  <c r="F36" i="4"/>
  <c r="F34" i="4"/>
  <c r="F33" i="4"/>
  <c r="F31" i="4"/>
  <c r="F29" i="4"/>
  <c r="F27" i="4"/>
  <c r="F25" i="4"/>
  <c r="F24" i="4"/>
  <c r="F22" i="4"/>
  <c r="F20" i="4"/>
  <c r="F18" i="4"/>
  <c r="F16" i="4"/>
  <c r="D18" i="4"/>
  <c r="F15" i="4"/>
  <c r="F21" i="4"/>
  <c r="X16" i="4"/>
  <c r="X20" i="4"/>
  <c r="X15" i="5"/>
  <c r="N25" i="5"/>
  <c r="N29" i="5"/>
  <c r="N33" i="5"/>
  <c r="N34" i="5"/>
  <c r="Z12" i="7"/>
  <c r="V36" i="7"/>
  <c r="V34" i="7"/>
  <c r="V33" i="7"/>
  <c r="V31" i="7"/>
  <c r="V29" i="7"/>
  <c r="V27" i="7"/>
  <c r="V25" i="7"/>
  <c r="V24" i="7"/>
  <c r="V22" i="7"/>
  <c r="V21" i="7"/>
  <c r="V20" i="7"/>
  <c r="V18" i="7"/>
  <c r="V16" i="7"/>
  <c r="T18" i="7"/>
  <c r="V15" i="7"/>
  <c r="L15" i="7"/>
  <c r="Z25" i="7"/>
  <c r="Z29" i="7"/>
  <c r="Z33" i="7"/>
  <c r="Z34" i="7"/>
  <c r="X12" i="8"/>
  <c r="R36" i="8"/>
  <c r="R34" i="8"/>
  <c r="R33" i="8"/>
  <c r="R31" i="8"/>
  <c r="R29" i="8"/>
  <c r="R27" i="8"/>
  <c r="R25" i="8"/>
  <c r="R24" i="8"/>
  <c r="R22" i="8"/>
  <c r="R21" i="8"/>
  <c r="R20" i="8"/>
  <c r="R18" i="8"/>
  <c r="R16" i="8"/>
  <c r="P18" i="8"/>
  <c r="R15" i="8"/>
  <c r="Z22" i="8"/>
  <c r="Z24" i="8"/>
  <c r="J25" i="10"/>
  <c r="J24" i="10"/>
  <c r="N12" i="10"/>
  <c r="J27" i="10"/>
  <c r="J29" i="10"/>
  <c r="J31" i="10"/>
  <c r="J33" i="10"/>
  <c r="J34" i="10"/>
  <c r="J36" i="10"/>
  <c r="J18" i="10"/>
  <c r="J22" i="10"/>
  <c r="J21" i="10"/>
  <c r="J20" i="10"/>
  <c r="H18" i="10"/>
  <c r="J16" i="10"/>
  <c r="J15" i="10"/>
  <c r="Z13" i="10"/>
  <c r="L20" i="10"/>
  <c r="L21" i="10"/>
  <c r="L22" i="10"/>
  <c r="Z34" i="10"/>
  <c r="L24" i="11"/>
  <c r="N25" i="11"/>
  <c r="N33" i="11"/>
  <c r="Z29" i="14"/>
  <c r="J36" i="4"/>
  <c r="J34" i="4"/>
  <c r="J33" i="4"/>
  <c r="J31" i="4"/>
  <c r="J29" i="4"/>
  <c r="J27" i="4"/>
  <c r="J25" i="4"/>
  <c r="J24" i="4"/>
  <c r="J22" i="4"/>
  <c r="J21" i="4"/>
  <c r="J20" i="4"/>
  <c r="J18" i="4"/>
  <c r="J16" i="4"/>
  <c r="N12" i="4"/>
  <c r="H18" i="4"/>
  <c r="J15" i="4"/>
  <c r="X13" i="4"/>
  <c r="Z15" i="4"/>
  <c r="X21" i="4"/>
  <c r="F36" i="5"/>
  <c r="F34" i="5"/>
  <c r="F33" i="5"/>
  <c r="F31" i="5"/>
  <c r="F29" i="5"/>
  <c r="F27" i="5"/>
  <c r="F25" i="5"/>
  <c r="F24" i="5"/>
  <c r="F22" i="5"/>
  <c r="F21" i="5"/>
  <c r="D18" i="5"/>
  <c r="F15" i="5"/>
  <c r="L12" i="5"/>
  <c r="F16" i="5"/>
  <c r="F20" i="5"/>
  <c r="F18" i="5"/>
  <c r="X16" i="5"/>
  <c r="X20" i="5"/>
  <c r="L16" i="7"/>
  <c r="L20" i="7"/>
  <c r="V36" i="8"/>
  <c r="V34" i="8"/>
  <c r="V33" i="8"/>
  <c r="V31" i="8"/>
  <c r="V29" i="8"/>
  <c r="V27" i="8"/>
  <c r="V25" i="8"/>
  <c r="V24" i="8"/>
  <c r="V22" i="8"/>
  <c r="V21" i="8"/>
  <c r="V20" i="8"/>
  <c r="V18" i="8"/>
  <c r="V16" i="8"/>
  <c r="T18" i="8"/>
  <c r="V15" i="8"/>
  <c r="Z12" i="8"/>
  <c r="L15" i="8"/>
  <c r="Z25" i="8"/>
  <c r="Z29" i="8"/>
  <c r="Z33" i="8"/>
  <c r="Z34" i="8"/>
  <c r="N24" i="10"/>
  <c r="N25" i="10"/>
  <c r="X33" i="10"/>
  <c r="X13" i="11"/>
  <c r="Z34" i="11"/>
  <c r="Z21" i="14"/>
  <c r="Z13" i="17"/>
  <c r="Z13" i="4"/>
  <c r="Z16" i="4"/>
  <c r="Z20" i="4"/>
  <c r="X22" i="4"/>
  <c r="X24" i="4"/>
  <c r="J36" i="5"/>
  <c r="J34" i="5"/>
  <c r="J33" i="5"/>
  <c r="J31" i="5"/>
  <c r="J29" i="5"/>
  <c r="J27" i="5"/>
  <c r="J25" i="5"/>
  <c r="J24" i="5"/>
  <c r="J22" i="5"/>
  <c r="J21" i="5"/>
  <c r="J20" i="5"/>
  <c r="J18" i="5"/>
  <c r="J16" i="5"/>
  <c r="H18" i="5"/>
  <c r="J15" i="5"/>
  <c r="N12" i="5"/>
  <c r="X13" i="5"/>
  <c r="Z15" i="5"/>
  <c r="X21" i="5"/>
  <c r="N15" i="7"/>
  <c r="L21" i="7"/>
  <c r="L16" i="8"/>
  <c r="L20" i="8"/>
  <c r="L15" i="10"/>
  <c r="L16" i="10"/>
  <c r="N20" i="10"/>
  <c r="N21" i="10"/>
  <c r="N22" i="10"/>
  <c r="Z33" i="10"/>
  <c r="Z13" i="11"/>
  <c r="L16" i="11"/>
  <c r="Z20" i="11"/>
  <c r="N24" i="11"/>
  <c r="L20" i="13"/>
  <c r="Z12" i="14"/>
  <c r="V36" i="14"/>
  <c r="V34" i="14"/>
  <c r="V33" i="14"/>
  <c r="V31" i="14"/>
  <c r="V29" i="14"/>
  <c r="V27" i="14"/>
  <c r="V25" i="14"/>
  <c r="V21" i="14"/>
  <c r="T18" i="14"/>
  <c r="V15" i="14"/>
  <c r="V20" i="14"/>
  <c r="V18" i="14"/>
  <c r="V16" i="14"/>
  <c r="V24" i="14"/>
  <c r="V22" i="14"/>
  <c r="Z13" i="13"/>
  <c r="Z16" i="13"/>
  <c r="Z20" i="13"/>
  <c r="X22" i="13"/>
  <c r="X24" i="13"/>
  <c r="J36" i="14"/>
  <c r="J34" i="14"/>
  <c r="J33" i="14"/>
  <c r="J31" i="14"/>
  <c r="J29" i="14"/>
  <c r="J27" i="14"/>
  <c r="J25" i="14"/>
  <c r="J24" i="14"/>
  <c r="J22" i="14"/>
  <c r="J21" i="14"/>
  <c r="J20" i="14"/>
  <c r="J18" i="14"/>
  <c r="J16" i="14"/>
  <c r="H18" i="14"/>
  <c r="J15" i="14"/>
  <c r="N12" i="14"/>
  <c r="X13" i="14"/>
  <c r="Z15" i="14"/>
  <c r="X21" i="14"/>
  <c r="X22" i="16"/>
  <c r="Z16" i="17"/>
  <c r="N33" i="17"/>
  <c r="N15" i="11"/>
  <c r="L21" i="11"/>
  <c r="Z21" i="13"/>
  <c r="X25" i="13"/>
  <c r="X29" i="13"/>
  <c r="X33" i="13"/>
  <c r="X34" i="13"/>
  <c r="Z13" i="14"/>
  <c r="Z16" i="14"/>
  <c r="Z20" i="14"/>
  <c r="X22" i="14"/>
  <c r="X24" i="14"/>
  <c r="L13" i="16"/>
  <c r="X13" i="17"/>
  <c r="X24" i="17"/>
  <c r="Z12" i="13"/>
  <c r="V24" i="13"/>
  <c r="V22" i="13"/>
  <c r="V20" i="13"/>
  <c r="V18" i="13"/>
  <c r="V16" i="13"/>
  <c r="T18" i="13"/>
  <c r="V15" i="13"/>
  <c r="V27" i="13"/>
  <c r="V36" i="13"/>
  <c r="V25" i="13"/>
  <c r="V34" i="13"/>
  <c r="V33" i="13"/>
  <c r="V31" i="13"/>
  <c r="V29" i="13"/>
  <c r="V21" i="13"/>
  <c r="L15" i="13"/>
  <c r="Z25" i="13"/>
  <c r="Z29" i="13"/>
  <c r="Z33" i="13"/>
  <c r="Z34" i="13"/>
  <c r="P18" i="14"/>
  <c r="R15" i="14"/>
  <c r="X12" i="14"/>
  <c r="R36" i="14"/>
  <c r="R34" i="14"/>
  <c r="R33" i="14"/>
  <c r="R31" i="14"/>
  <c r="R29" i="14"/>
  <c r="R27" i="14"/>
  <c r="R25" i="14"/>
  <c r="R21" i="14"/>
  <c r="R20" i="14"/>
  <c r="R18" i="14"/>
  <c r="R16" i="14"/>
  <c r="R22" i="14"/>
  <c r="R24" i="14"/>
  <c r="Z22" i="14"/>
  <c r="Z24" i="14"/>
  <c r="X25" i="16"/>
  <c r="X29" i="16"/>
  <c r="X33" i="16"/>
  <c r="L15" i="17"/>
  <c r="Z33" i="17"/>
  <c r="Z13" i="16"/>
  <c r="L16" i="16"/>
  <c r="N25" i="17"/>
  <c r="N15" i="13"/>
  <c r="L21" i="13"/>
  <c r="L16" i="14"/>
  <c r="L20" i="14"/>
  <c r="N24" i="16"/>
  <c r="L34" i="16"/>
  <c r="X15" i="17"/>
  <c r="L22" i="17"/>
  <c r="Z29" i="17"/>
  <c r="N34" i="17"/>
  <c r="F20" i="11"/>
  <c r="F18" i="11"/>
  <c r="F16" i="11"/>
  <c r="F31" i="11"/>
  <c r="F24" i="11"/>
  <c r="F33" i="11"/>
  <c r="F25" i="11"/>
  <c r="D18" i="11"/>
  <c r="F34" i="11"/>
  <c r="F27" i="11"/>
  <c r="F21" i="11"/>
  <c r="F22" i="11"/>
  <c r="F15" i="11"/>
  <c r="L12" i="11"/>
  <c r="F36" i="11"/>
  <c r="F29" i="11"/>
  <c r="X16" i="11"/>
  <c r="X20" i="11"/>
  <c r="N16" i="13"/>
  <c r="N20" i="13"/>
  <c r="L22" i="13"/>
  <c r="L24" i="13"/>
  <c r="N15" i="14"/>
  <c r="L21" i="14"/>
  <c r="L20" i="16"/>
  <c r="Z21" i="16"/>
  <c r="Z15" i="17"/>
  <c r="L13" i="13"/>
  <c r="N21" i="13"/>
  <c r="L25" i="13"/>
  <c r="L29" i="13"/>
  <c r="L33" i="13"/>
  <c r="L34" i="13"/>
  <c r="N16" i="14"/>
  <c r="N20" i="14"/>
  <c r="L22" i="14"/>
  <c r="L24" i="14"/>
  <c r="F21" i="16"/>
  <c r="F20" i="16"/>
  <c r="F18" i="16"/>
  <c r="F16" i="16"/>
  <c r="D18" i="16"/>
  <c r="F22" i="16"/>
  <c r="F15" i="16"/>
  <c r="L12" i="16"/>
  <c r="F34" i="16"/>
  <c r="F31" i="16"/>
  <c r="F27" i="16"/>
  <c r="F24" i="16"/>
  <c r="F36" i="16"/>
  <c r="F33" i="16"/>
  <c r="F29" i="16"/>
  <c r="F25" i="16"/>
  <c r="L15" i="16"/>
  <c r="X16" i="16"/>
  <c r="X24" i="16"/>
  <c r="N20" i="17"/>
  <c r="Z25" i="17"/>
  <c r="N13" i="13"/>
  <c r="N22" i="13"/>
  <c r="N24" i="13"/>
  <c r="L13" i="14"/>
  <c r="N21" i="14"/>
  <c r="L25" i="14"/>
  <c r="L29" i="14"/>
  <c r="L33" i="14"/>
  <c r="L34" i="14"/>
  <c r="Z16" i="16"/>
  <c r="J36" i="17"/>
  <c r="J34" i="17"/>
  <c r="J33" i="17"/>
  <c r="J31" i="17"/>
  <c r="J29" i="17"/>
  <c r="J27" i="17"/>
  <c r="J25" i="17"/>
  <c r="J21" i="17"/>
  <c r="J20" i="17"/>
  <c r="J18" i="17"/>
  <c r="J16" i="17"/>
  <c r="N12" i="17"/>
  <c r="J24" i="17"/>
  <c r="J22" i="17"/>
  <c r="J15" i="17"/>
  <c r="H18" i="17"/>
  <c r="X22" i="17"/>
  <c r="Z34" i="17"/>
  <c r="R36" i="10"/>
  <c r="R34" i="10"/>
  <c r="R33" i="10"/>
  <c r="R31" i="10"/>
  <c r="R29" i="10"/>
  <c r="R27" i="10"/>
  <c r="R25" i="10"/>
  <c r="R16" i="10"/>
  <c r="R15" i="10"/>
  <c r="R18" i="10"/>
  <c r="R22" i="10"/>
  <c r="R21" i="10"/>
  <c r="R20" i="10"/>
  <c r="P18" i="10"/>
  <c r="R24" i="10"/>
  <c r="X12" i="10"/>
  <c r="Z22" i="10"/>
  <c r="Z24" i="10"/>
  <c r="Z21" i="11"/>
  <c r="X25" i="11"/>
  <c r="X29" i="11"/>
  <c r="X33" i="11"/>
  <c r="X34" i="11"/>
  <c r="X15" i="13"/>
  <c r="N25" i="13"/>
  <c r="N29" i="13"/>
  <c r="N33" i="13"/>
  <c r="N34" i="13"/>
  <c r="N13" i="14"/>
  <c r="N22" i="14"/>
  <c r="N24" i="14"/>
  <c r="X20" i="16"/>
  <c r="X34" i="16"/>
  <c r="N16" i="17"/>
  <c r="F36" i="13"/>
  <c r="F34" i="13"/>
  <c r="F33" i="13"/>
  <c r="F31" i="13"/>
  <c r="F29" i="13"/>
  <c r="F27" i="13"/>
  <c r="F25" i="13"/>
  <c r="F24" i="13"/>
  <c r="F22" i="13"/>
  <c r="F21" i="13"/>
  <c r="F20" i="13"/>
  <c r="F18" i="13"/>
  <c r="F16" i="13"/>
  <c r="L12" i="13"/>
  <c r="D18" i="13"/>
  <c r="F15" i="13"/>
  <c r="X16" i="13"/>
  <c r="X20" i="13"/>
  <c r="X15" i="14"/>
  <c r="N25" i="14"/>
  <c r="N29" i="14"/>
  <c r="N33" i="14"/>
  <c r="N34" i="14"/>
  <c r="R20" i="16"/>
  <c r="R18" i="16"/>
  <c r="R16" i="16"/>
  <c r="R36" i="16"/>
  <c r="R34" i="16"/>
  <c r="R33" i="16"/>
  <c r="R31" i="16"/>
  <c r="R29" i="16"/>
  <c r="R27" i="16"/>
  <c r="R25" i="16"/>
  <c r="R15" i="16"/>
  <c r="R24" i="16"/>
  <c r="R21" i="16"/>
  <c r="R22" i="16"/>
  <c r="X12" i="16"/>
  <c r="P18" i="16"/>
  <c r="Z20" i="16"/>
  <c r="N22" i="16"/>
  <c r="Z12" i="17"/>
  <c r="V36" i="17"/>
  <c r="V34" i="17"/>
  <c r="V33" i="17"/>
  <c r="V31" i="17"/>
  <c r="V29" i="17"/>
  <c r="V27" i="17"/>
  <c r="V25" i="17"/>
  <c r="V21" i="17"/>
  <c r="V20" i="17"/>
  <c r="V18" i="17"/>
  <c r="V16" i="17"/>
  <c r="V22" i="17"/>
  <c r="V15" i="17"/>
  <c r="T18" i="17"/>
  <c r="V24" i="17"/>
  <c r="Z20" i="17"/>
  <c r="L24" i="17"/>
  <c r="J36" i="13"/>
  <c r="J34" i="13"/>
  <c r="J33" i="13"/>
  <c r="J31" i="13"/>
  <c r="J29" i="13"/>
  <c r="J27" i="13"/>
  <c r="J25" i="13"/>
  <c r="J24" i="13"/>
  <c r="J22" i="13"/>
  <c r="J21" i="13"/>
  <c r="J20" i="13"/>
  <c r="J18" i="13"/>
  <c r="J16" i="13"/>
  <c r="H18" i="13"/>
  <c r="J15" i="13"/>
  <c r="N12" i="13"/>
  <c r="X13" i="13"/>
  <c r="Z15" i="13"/>
  <c r="X21" i="13"/>
  <c r="F36" i="14"/>
  <c r="F34" i="14"/>
  <c r="F33" i="14"/>
  <c r="F31" i="14"/>
  <c r="F29" i="14"/>
  <c r="F27" i="14"/>
  <c r="F25" i="14"/>
  <c r="F24" i="14"/>
  <c r="F22" i="14"/>
  <c r="F21" i="14"/>
  <c r="F20" i="14"/>
  <c r="F18" i="14"/>
  <c r="F16" i="14"/>
  <c r="D18" i="14"/>
  <c r="F15" i="14"/>
  <c r="L12" i="14"/>
  <c r="X16" i="14"/>
  <c r="X20" i="14"/>
  <c r="Z12" i="16"/>
  <c r="V21" i="16"/>
  <c r="V20" i="16"/>
  <c r="V34" i="16"/>
  <c r="V31" i="16"/>
  <c r="V27" i="16"/>
  <c r="V24" i="16"/>
  <c r="V16" i="16"/>
  <c r="V36" i="16"/>
  <c r="V33" i="16"/>
  <c r="V29" i="16"/>
  <c r="V25" i="16"/>
  <c r="V18" i="16"/>
  <c r="T18" i="16"/>
  <c r="V15" i="16"/>
  <c r="V22" i="16"/>
  <c r="L25" i="16"/>
  <c r="L29" i="16"/>
  <c r="L33" i="16"/>
  <c r="X15" i="19"/>
  <c r="N34" i="19"/>
  <c r="N24" i="20"/>
  <c r="J36" i="19"/>
  <c r="J34" i="19"/>
  <c r="J33" i="19"/>
  <c r="J31" i="19"/>
  <c r="J29" i="19"/>
  <c r="J27" i="19"/>
  <c r="J25" i="19"/>
  <c r="J20" i="19"/>
  <c r="J18" i="19"/>
  <c r="J16" i="19"/>
  <c r="J21" i="19"/>
  <c r="H18" i="19"/>
  <c r="J15" i="19"/>
  <c r="J22" i="19"/>
  <c r="N12" i="19"/>
  <c r="J24" i="19"/>
  <c r="Z15" i="19"/>
  <c r="X21" i="19"/>
  <c r="D18" i="20"/>
  <c r="F15" i="20"/>
  <c r="F21" i="20"/>
  <c r="F24" i="20"/>
  <c r="F18" i="20"/>
  <c r="F36" i="20"/>
  <c r="F33" i="20"/>
  <c r="F29" i="20"/>
  <c r="F25" i="20"/>
  <c r="F22" i="20"/>
  <c r="F20" i="20"/>
  <c r="F16" i="20"/>
  <c r="L12" i="20"/>
  <c r="F34" i="20"/>
  <c r="F31" i="20"/>
  <c r="F27" i="20"/>
  <c r="Z22" i="16"/>
  <c r="Z24" i="16"/>
  <c r="Z21" i="17"/>
  <c r="X25" i="17"/>
  <c r="X29" i="17"/>
  <c r="X33" i="17"/>
  <c r="X34" i="17"/>
  <c r="Z21" i="19"/>
  <c r="X34" i="19"/>
  <c r="X24" i="20"/>
  <c r="Z25" i="16"/>
  <c r="Z29" i="16"/>
  <c r="Z33" i="16"/>
  <c r="Z34" i="16"/>
  <c r="P18" i="17"/>
  <c r="R15" i="17"/>
  <c r="X12" i="17"/>
  <c r="R36" i="17"/>
  <c r="R34" i="17"/>
  <c r="R33" i="17"/>
  <c r="R31" i="17"/>
  <c r="R29" i="17"/>
  <c r="R27" i="17"/>
  <c r="R25" i="17"/>
  <c r="R24" i="17"/>
  <c r="R22" i="17"/>
  <c r="R16" i="17"/>
  <c r="R20" i="17"/>
  <c r="R18" i="17"/>
  <c r="R21" i="17"/>
  <c r="Z22" i="17"/>
  <c r="Z24" i="17"/>
  <c r="Z12" i="19"/>
  <c r="V36" i="19"/>
  <c r="V34" i="19"/>
  <c r="V33" i="19"/>
  <c r="V31" i="19"/>
  <c r="V29" i="19"/>
  <c r="V27" i="19"/>
  <c r="V25" i="19"/>
  <c r="V21" i="19"/>
  <c r="T18" i="19"/>
  <c r="V15" i="19"/>
  <c r="V22" i="19"/>
  <c r="V20" i="19"/>
  <c r="V16" i="19"/>
  <c r="V24" i="19"/>
  <c r="V18" i="19"/>
  <c r="Z34" i="19"/>
  <c r="X12" i="20"/>
  <c r="R24" i="20"/>
  <c r="R22" i="20"/>
  <c r="R20" i="20"/>
  <c r="R18" i="20"/>
  <c r="R16" i="20"/>
  <c r="R36" i="20"/>
  <c r="R33" i="20"/>
  <c r="R29" i="20"/>
  <c r="R25" i="20"/>
  <c r="R34" i="20"/>
  <c r="R31" i="20"/>
  <c r="R27" i="20"/>
  <c r="R21" i="20"/>
  <c r="P18" i="20"/>
  <c r="R15" i="20"/>
  <c r="Z24" i="20"/>
  <c r="N16" i="19"/>
  <c r="N20" i="19"/>
  <c r="L22" i="19"/>
  <c r="N15" i="16"/>
  <c r="L21" i="16"/>
  <c r="L16" i="17"/>
  <c r="L20" i="17"/>
  <c r="N13" i="19"/>
  <c r="N22" i="19"/>
  <c r="L13" i="20"/>
  <c r="L25" i="20"/>
  <c r="L29" i="20"/>
  <c r="L33" i="20"/>
  <c r="N16" i="16"/>
  <c r="N20" i="16"/>
  <c r="L22" i="16"/>
  <c r="L24" i="16"/>
  <c r="N15" i="17"/>
  <c r="L21" i="17"/>
  <c r="N25" i="19"/>
  <c r="N29" i="19"/>
  <c r="N33" i="19"/>
  <c r="N13" i="20"/>
  <c r="N22" i="20"/>
  <c r="X13" i="19"/>
  <c r="X16" i="20"/>
  <c r="X20" i="20"/>
  <c r="L13" i="17"/>
  <c r="N21" i="17"/>
  <c r="L25" i="17"/>
  <c r="L29" i="17"/>
  <c r="L33" i="17"/>
  <c r="L34" i="17"/>
  <c r="X25" i="19"/>
  <c r="X29" i="19"/>
  <c r="X33" i="19"/>
  <c r="Z13" i="20"/>
  <c r="Z16" i="20"/>
  <c r="Z20" i="20"/>
  <c r="X22" i="20"/>
  <c r="X15" i="16"/>
  <c r="N25" i="16"/>
  <c r="N29" i="16"/>
  <c r="N33" i="16"/>
  <c r="N34" i="16"/>
  <c r="N13" i="17"/>
  <c r="N22" i="17"/>
  <c r="N24" i="17"/>
  <c r="L15" i="19"/>
  <c r="Z25" i="19"/>
  <c r="Z29" i="19"/>
  <c r="Z33" i="19"/>
  <c r="Z22" i="20"/>
  <c r="L24" i="19"/>
  <c r="N15" i="20"/>
  <c r="L21" i="20"/>
  <c r="J24" i="16"/>
  <c r="J22" i="16"/>
  <c r="H18" i="16"/>
  <c r="J15" i="16"/>
  <c r="N12" i="16"/>
  <c r="J34" i="16"/>
  <c r="J31" i="16"/>
  <c r="J27" i="16"/>
  <c r="J20" i="16"/>
  <c r="J16" i="16"/>
  <c r="J21" i="16"/>
  <c r="J36" i="16"/>
  <c r="J33" i="16"/>
  <c r="J29" i="16"/>
  <c r="J25" i="16"/>
  <c r="J18" i="16"/>
  <c r="X13" i="16"/>
  <c r="Z15" i="16"/>
  <c r="X21" i="16"/>
  <c r="F36" i="17"/>
  <c r="F34" i="17"/>
  <c r="F33" i="17"/>
  <c r="F31" i="17"/>
  <c r="F29" i="17"/>
  <c r="F27" i="17"/>
  <c r="F25" i="17"/>
  <c r="F24" i="17"/>
  <c r="F22" i="17"/>
  <c r="F20" i="17"/>
  <c r="F18" i="17"/>
  <c r="F16" i="17"/>
  <c r="D18" i="17"/>
  <c r="F15" i="17"/>
  <c r="L12" i="17"/>
  <c r="F21" i="17"/>
  <c r="X16" i="17"/>
  <c r="X20" i="17"/>
  <c r="N24" i="19"/>
  <c r="N21" i="20"/>
  <c r="L34" i="20"/>
  <c r="Z21" i="22"/>
  <c r="X25" i="22"/>
  <c r="X29" i="22"/>
  <c r="X33" i="22"/>
  <c r="X34" i="22"/>
  <c r="Z13" i="23"/>
  <c r="Z16" i="23"/>
  <c r="Z20" i="23"/>
  <c r="X22" i="23"/>
  <c r="X24" i="23"/>
  <c r="N13" i="25"/>
  <c r="N22" i="25"/>
  <c r="N24" i="25"/>
  <c r="L13" i="26"/>
  <c r="N21" i="26"/>
  <c r="L25" i="26"/>
  <c r="L29" i="26"/>
  <c r="L33" i="26"/>
  <c r="L34" i="26"/>
  <c r="X16" i="28"/>
  <c r="X33" i="28"/>
  <c r="Z16" i="29"/>
  <c r="N33" i="29"/>
  <c r="L13" i="19"/>
  <c r="N21" i="19"/>
  <c r="L25" i="19"/>
  <c r="L29" i="19"/>
  <c r="L33" i="19"/>
  <c r="L34" i="19"/>
  <c r="N16" i="20"/>
  <c r="N20" i="20"/>
  <c r="L22" i="20"/>
  <c r="L24" i="20"/>
  <c r="R21" i="22"/>
  <c r="R20" i="22"/>
  <c r="R18" i="22"/>
  <c r="R16" i="22"/>
  <c r="P18" i="22"/>
  <c r="R15" i="22"/>
  <c r="X12" i="22"/>
  <c r="R36" i="22"/>
  <c r="R34" i="22"/>
  <c r="R33" i="22"/>
  <c r="R31" i="22"/>
  <c r="R29" i="22"/>
  <c r="R27" i="22"/>
  <c r="R25" i="22"/>
  <c r="R24" i="22"/>
  <c r="R22" i="22"/>
  <c r="Z22" i="22"/>
  <c r="Z24" i="22"/>
  <c r="Z21" i="23"/>
  <c r="X25" i="23"/>
  <c r="X29" i="23"/>
  <c r="X33" i="23"/>
  <c r="X34" i="23"/>
  <c r="X15" i="25"/>
  <c r="N25" i="25"/>
  <c r="N29" i="25"/>
  <c r="N33" i="25"/>
  <c r="N34" i="25"/>
  <c r="N13" i="26"/>
  <c r="N22" i="26"/>
  <c r="N24" i="26"/>
  <c r="L13" i="28"/>
  <c r="V20" i="29"/>
  <c r="V18" i="29"/>
  <c r="V16" i="29"/>
  <c r="Z12" i="29"/>
  <c r="V36" i="29"/>
  <c r="V34" i="29"/>
  <c r="V33" i="29"/>
  <c r="V31" i="29"/>
  <c r="V29" i="29"/>
  <c r="V27" i="29"/>
  <c r="V25" i="29"/>
  <c r="V21" i="29"/>
  <c r="V24" i="29"/>
  <c r="V15" i="29"/>
  <c r="V22" i="29"/>
  <c r="T18" i="29"/>
  <c r="Z25" i="29"/>
  <c r="Z33" i="29"/>
  <c r="T18" i="22"/>
  <c r="V15" i="22"/>
  <c r="Z12" i="22"/>
  <c r="V36" i="22"/>
  <c r="V34" i="22"/>
  <c r="V33" i="22"/>
  <c r="V31" i="22"/>
  <c r="V29" i="22"/>
  <c r="V27" i="22"/>
  <c r="V25" i="22"/>
  <c r="V24" i="22"/>
  <c r="V22" i="22"/>
  <c r="V21" i="22"/>
  <c r="V20" i="22"/>
  <c r="V18" i="22"/>
  <c r="V16" i="22"/>
  <c r="L15" i="22"/>
  <c r="Z25" i="22"/>
  <c r="Z29" i="22"/>
  <c r="Z33" i="22"/>
  <c r="Z34" i="22"/>
  <c r="R20" i="23"/>
  <c r="R18" i="23"/>
  <c r="R16" i="23"/>
  <c r="P18" i="23"/>
  <c r="R15" i="23"/>
  <c r="X12" i="23"/>
  <c r="R36" i="23"/>
  <c r="R34" i="23"/>
  <c r="R33" i="23"/>
  <c r="R31" i="23"/>
  <c r="R29" i="23"/>
  <c r="R27" i="23"/>
  <c r="R25" i="23"/>
  <c r="R24" i="23"/>
  <c r="R22" i="23"/>
  <c r="R21" i="23"/>
  <c r="Z22" i="23"/>
  <c r="Z24" i="23"/>
  <c r="F24" i="25"/>
  <c r="F22" i="25"/>
  <c r="F21" i="25"/>
  <c r="F20" i="25"/>
  <c r="F18" i="25"/>
  <c r="F16" i="25"/>
  <c r="D18" i="25"/>
  <c r="F15" i="25"/>
  <c r="L12" i="25"/>
  <c r="F36" i="25"/>
  <c r="F34" i="25"/>
  <c r="F33" i="25"/>
  <c r="F31" i="25"/>
  <c r="F29" i="25"/>
  <c r="F27" i="25"/>
  <c r="F25" i="25"/>
  <c r="X16" i="25"/>
  <c r="X20" i="25"/>
  <c r="X15" i="26"/>
  <c r="N25" i="26"/>
  <c r="N29" i="26"/>
  <c r="N33" i="26"/>
  <c r="N34" i="26"/>
  <c r="N21" i="28"/>
  <c r="L29" i="28"/>
  <c r="L34" i="28"/>
  <c r="L22" i="29"/>
  <c r="L16" i="22"/>
  <c r="L20" i="22"/>
  <c r="Z12" i="23"/>
  <c r="V36" i="23"/>
  <c r="V34" i="23"/>
  <c r="V33" i="23"/>
  <c r="V31" i="23"/>
  <c r="V29" i="23"/>
  <c r="V27" i="23"/>
  <c r="V25" i="23"/>
  <c r="V24" i="23"/>
  <c r="V22" i="23"/>
  <c r="V21" i="23"/>
  <c r="V20" i="23"/>
  <c r="V18" i="23"/>
  <c r="V16" i="23"/>
  <c r="T18" i="23"/>
  <c r="V15" i="23"/>
  <c r="L15" i="23"/>
  <c r="Z25" i="23"/>
  <c r="Z29" i="23"/>
  <c r="Z33" i="23"/>
  <c r="Z34" i="23"/>
  <c r="J20" i="25"/>
  <c r="J18" i="25"/>
  <c r="J16" i="25"/>
  <c r="H18" i="25"/>
  <c r="J15" i="25"/>
  <c r="N12" i="25"/>
  <c r="J36" i="25"/>
  <c r="J34" i="25"/>
  <c r="J33" i="25"/>
  <c r="J31" i="25"/>
  <c r="J29" i="25"/>
  <c r="J27" i="25"/>
  <c r="J25" i="25"/>
  <c r="J24" i="25"/>
  <c r="J22" i="25"/>
  <c r="J21" i="25"/>
  <c r="X13" i="25"/>
  <c r="Z15" i="25"/>
  <c r="X21" i="25"/>
  <c r="F21" i="26"/>
  <c r="F20" i="26"/>
  <c r="F18" i="26"/>
  <c r="F16" i="26"/>
  <c r="D18" i="26"/>
  <c r="F15" i="26"/>
  <c r="L12" i="26"/>
  <c r="F36" i="26"/>
  <c r="F34" i="26"/>
  <c r="F33" i="26"/>
  <c r="F31" i="26"/>
  <c r="F29" i="26"/>
  <c r="F27" i="26"/>
  <c r="F25" i="26"/>
  <c r="F24" i="26"/>
  <c r="F22" i="26"/>
  <c r="X16" i="26"/>
  <c r="X20" i="26"/>
  <c r="N34" i="29"/>
  <c r="F20" i="19"/>
  <c r="F18" i="19"/>
  <c r="F16" i="19"/>
  <c r="D18" i="19"/>
  <c r="F15" i="19"/>
  <c r="L12" i="19"/>
  <c r="F24" i="19"/>
  <c r="F22" i="19"/>
  <c r="F34" i="19"/>
  <c r="F31" i="19"/>
  <c r="F27" i="19"/>
  <c r="F21" i="19"/>
  <c r="F36" i="19"/>
  <c r="F33" i="19"/>
  <c r="F29" i="19"/>
  <c r="F25" i="19"/>
  <c r="X16" i="19"/>
  <c r="X20" i="19"/>
  <c r="X15" i="20"/>
  <c r="N25" i="20"/>
  <c r="N29" i="20"/>
  <c r="N33" i="20"/>
  <c r="N34" i="20"/>
  <c r="N15" i="22"/>
  <c r="L21" i="22"/>
  <c r="L16" i="23"/>
  <c r="L20" i="23"/>
  <c r="Z13" i="25"/>
  <c r="Z16" i="25"/>
  <c r="Z20" i="25"/>
  <c r="X22" i="25"/>
  <c r="X24" i="25"/>
  <c r="H18" i="26"/>
  <c r="J15" i="26"/>
  <c r="N12" i="26"/>
  <c r="J36" i="26"/>
  <c r="J34" i="26"/>
  <c r="J33" i="26"/>
  <c r="J31" i="26"/>
  <c r="J29" i="26"/>
  <c r="J27" i="26"/>
  <c r="J25" i="26"/>
  <c r="J24" i="26"/>
  <c r="J22" i="26"/>
  <c r="J21" i="26"/>
  <c r="J20" i="26"/>
  <c r="J18" i="26"/>
  <c r="J16" i="26"/>
  <c r="X13" i="26"/>
  <c r="Z15" i="26"/>
  <c r="X21" i="26"/>
  <c r="L15" i="28"/>
  <c r="Z21" i="28"/>
  <c r="X29" i="28"/>
  <c r="X34" i="28"/>
  <c r="Z13" i="29"/>
  <c r="X22" i="29"/>
  <c r="Z34" i="29"/>
  <c r="N16" i="22"/>
  <c r="N20" i="22"/>
  <c r="L22" i="22"/>
  <c r="L24" i="22"/>
  <c r="N15" i="23"/>
  <c r="L21" i="23"/>
  <c r="Z21" i="25"/>
  <c r="X25" i="25"/>
  <c r="X29" i="25"/>
  <c r="X33" i="25"/>
  <c r="X34" i="25"/>
  <c r="Z13" i="26"/>
  <c r="Z16" i="26"/>
  <c r="Z20" i="26"/>
  <c r="X22" i="26"/>
  <c r="X24" i="26"/>
  <c r="L25" i="28"/>
  <c r="L15" i="29"/>
  <c r="Z13" i="19"/>
  <c r="Z16" i="19"/>
  <c r="Z20" i="19"/>
  <c r="X22" i="19"/>
  <c r="X24" i="19"/>
  <c r="N12" i="20"/>
  <c r="J24" i="20"/>
  <c r="J22" i="20"/>
  <c r="H18" i="20"/>
  <c r="J15" i="20"/>
  <c r="J18" i="20"/>
  <c r="J36" i="20"/>
  <c r="J33" i="20"/>
  <c r="J29" i="20"/>
  <c r="J25" i="20"/>
  <c r="J20" i="20"/>
  <c r="J16" i="20"/>
  <c r="J34" i="20"/>
  <c r="J31" i="20"/>
  <c r="J27" i="20"/>
  <c r="J21" i="20"/>
  <c r="X13" i="20"/>
  <c r="Z15" i="20"/>
  <c r="X21" i="20"/>
  <c r="L13" i="22"/>
  <c r="N21" i="22"/>
  <c r="L25" i="22"/>
  <c r="L29" i="22"/>
  <c r="L33" i="22"/>
  <c r="L34" i="22"/>
  <c r="N16" i="23"/>
  <c r="N20" i="23"/>
  <c r="L22" i="23"/>
  <c r="L24" i="23"/>
  <c r="X12" i="25"/>
  <c r="R36" i="25"/>
  <c r="R34" i="25"/>
  <c r="R33" i="25"/>
  <c r="R31" i="25"/>
  <c r="R29" i="25"/>
  <c r="R27" i="25"/>
  <c r="R25" i="25"/>
  <c r="R24" i="25"/>
  <c r="R22" i="25"/>
  <c r="R21" i="25"/>
  <c r="R20" i="25"/>
  <c r="R18" i="25"/>
  <c r="R16" i="25"/>
  <c r="P18" i="25"/>
  <c r="R15" i="25"/>
  <c r="Z22" i="25"/>
  <c r="Z24" i="25"/>
  <c r="Z21" i="26"/>
  <c r="X25" i="26"/>
  <c r="X29" i="26"/>
  <c r="X33" i="26"/>
  <c r="X34" i="26"/>
  <c r="N20" i="29"/>
  <c r="L24" i="29"/>
  <c r="N29" i="29"/>
  <c r="N13" i="22"/>
  <c r="N22" i="22"/>
  <c r="N24" i="22"/>
  <c r="L13" i="23"/>
  <c r="N21" i="23"/>
  <c r="L25" i="23"/>
  <c r="L29" i="23"/>
  <c r="L33" i="23"/>
  <c r="L34" i="23"/>
  <c r="Z12" i="25"/>
  <c r="V36" i="25"/>
  <c r="V34" i="25"/>
  <c r="V33" i="25"/>
  <c r="V31" i="25"/>
  <c r="V29" i="25"/>
  <c r="V27" i="25"/>
  <c r="V25" i="25"/>
  <c r="V24" i="25"/>
  <c r="V22" i="25"/>
  <c r="V21" i="25"/>
  <c r="V20" i="25"/>
  <c r="V18" i="25"/>
  <c r="V16" i="25"/>
  <c r="T18" i="25"/>
  <c r="V15" i="25"/>
  <c r="L15" i="25"/>
  <c r="Z25" i="25"/>
  <c r="Z29" i="25"/>
  <c r="Z33" i="25"/>
  <c r="Z34" i="25"/>
  <c r="X12" i="26"/>
  <c r="R36" i="26"/>
  <c r="R34" i="26"/>
  <c r="R33" i="26"/>
  <c r="R31" i="26"/>
  <c r="R29" i="26"/>
  <c r="R27" i="26"/>
  <c r="R25" i="26"/>
  <c r="R24" i="26"/>
  <c r="R22" i="26"/>
  <c r="R21" i="26"/>
  <c r="R20" i="26"/>
  <c r="R18" i="26"/>
  <c r="R16" i="26"/>
  <c r="P18" i="26"/>
  <c r="R15" i="26"/>
  <c r="Z22" i="26"/>
  <c r="Z24" i="26"/>
  <c r="X25" i="28"/>
  <c r="X15" i="29"/>
  <c r="Z29" i="29"/>
  <c r="X12" i="19"/>
  <c r="R36" i="19"/>
  <c r="R34" i="19"/>
  <c r="R33" i="19"/>
  <c r="R31" i="19"/>
  <c r="R29" i="19"/>
  <c r="R27" i="19"/>
  <c r="R25" i="19"/>
  <c r="R21" i="19"/>
  <c r="P18" i="19"/>
  <c r="R15" i="19"/>
  <c r="R22" i="19"/>
  <c r="R20" i="19"/>
  <c r="R16" i="19"/>
  <c r="R24" i="19"/>
  <c r="R18" i="19"/>
  <c r="Z22" i="19"/>
  <c r="Z24" i="19"/>
  <c r="Z21" i="20"/>
  <c r="X25" i="20"/>
  <c r="X29" i="20"/>
  <c r="X33" i="20"/>
  <c r="X34" i="20"/>
  <c r="X15" i="22"/>
  <c r="N25" i="22"/>
  <c r="N29" i="22"/>
  <c r="N33" i="22"/>
  <c r="N34" i="22"/>
  <c r="N13" i="23"/>
  <c r="N22" i="23"/>
  <c r="N24" i="23"/>
  <c r="L16" i="25"/>
  <c r="L20" i="25"/>
  <c r="Z12" i="26"/>
  <c r="V36" i="26"/>
  <c r="V34" i="26"/>
  <c r="V33" i="26"/>
  <c r="V31" i="26"/>
  <c r="V29" i="26"/>
  <c r="V27" i="26"/>
  <c r="V25" i="26"/>
  <c r="V24" i="26"/>
  <c r="V22" i="26"/>
  <c r="V21" i="26"/>
  <c r="V20" i="26"/>
  <c r="V18" i="26"/>
  <c r="V16" i="26"/>
  <c r="T18" i="26"/>
  <c r="V15" i="26"/>
  <c r="L15" i="26"/>
  <c r="Z25" i="26"/>
  <c r="Z29" i="26"/>
  <c r="Z33" i="26"/>
  <c r="Z34" i="26"/>
  <c r="L20" i="28"/>
  <c r="Z25" i="28"/>
  <c r="Z20" i="29"/>
  <c r="X24" i="29"/>
  <c r="L12" i="22"/>
  <c r="F36" i="22"/>
  <c r="F34" i="22"/>
  <c r="F33" i="22"/>
  <c r="F31" i="22"/>
  <c r="F29" i="22"/>
  <c r="F27" i="22"/>
  <c r="F25" i="22"/>
  <c r="F24" i="22"/>
  <c r="F22" i="22"/>
  <c r="F21" i="22"/>
  <c r="F20" i="22"/>
  <c r="F18" i="22"/>
  <c r="F16" i="22"/>
  <c r="D18" i="22"/>
  <c r="F15" i="22"/>
  <c r="X16" i="22"/>
  <c r="X20" i="22"/>
  <c r="X15" i="23"/>
  <c r="N25" i="23"/>
  <c r="N29" i="23"/>
  <c r="N33" i="23"/>
  <c r="N34" i="23"/>
  <c r="N15" i="25"/>
  <c r="L21" i="25"/>
  <c r="L16" i="26"/>
  <c r="L20" i="26"/>
  <c r="L12" i="28"/>
  <c r="F36" i="28"/>
  <c r="F34" i="28"/>
  <c r="F33" i="28"/>
  <c r="F31" i="28"/>
  <c r="F29" i="28"/>
  <c r="F27" i="28"/>
  <c r="F25" i="28"/>
  <c r="F21" i="28"/>
  <c r="F20" i="28"/>
  <c r="F18" i="28"/>
  <c r="F16" i="28"/>
  <c r="F22" i="28"/>
  <c r="F15" i="28"/>
  <c r="D18" i="28"/>
  <c r="F24" i="28"/>
  <c r="L16" i="19"/>
  <c r="L20" i="19"/>
  <c r="V36" i="20"/>
  <c r="V34" i="20"/>
  <c r="V33" i="20"/>
  <c r="V31" i="20"/>
  <c r="V29" i="20"/>
  <c r="V27" i="20"/>
  <c r="V25" i="20"/>
  <c r="V24" i="20"/>
  <c r="V22" i="20"/>
  <c r="V20" i="20"/>
  <c r="V18" i="20"/>
  <c r="V16" i="20"/>
  <c r="Z12" i="20"/>
  <c r="V21" i="20"/>
  <c r="T18" i="20"/>
  <c r="V15" i="20"/>
  <c r="L15" i="20"/>
  <c r="Z25" i="20"/>
  <c r="Z29" i="20"/>
  <c r="Z33" i="20"/>
  <c r="Z34" i="20"/>
  <c r="J36" i="22"/>
  <c r="J34" i="22"/>
  <c r="J33" i="22"/>
  <c r="J31" i="22"/>
  <c r="J29" i="22"/>
  <c r="J27" i="22"/>
  <c r="J25" i="22"/>
  <c r="J24" i="22"/>
  <c r="J22" i="22"/>
  <c r="J21" i="22"/>
  <c r="J20" i="22"/>
  <c r="J18" i="22"/>
  <c r="J16" i="22"/>
  <c r="H18" i="22"/>
  <c r="J15" i="22"/>
  <c r="N12" i="22"/>
  <c r="X13" i="22"/>
  <c r="Z15" i="22"/>
  <c r="X21" i="22"/>
  <c r="F36" i="23"/>
  <c r="F34" i="23"/>
  <c r="F33" i="23"/>
  <c r="F31" i="23"/>
  <c r="F29" i="23"/>
  <c r="F27" i="23"/>
  <c r="F25" i="23"/>
  <c r="F24" i="23"/>
  <c r="F22" i="23"/>
  <c r="F21" i="23"/>
  <c r="F20" i="23"/>
  <c r="F18" i="23"/>
  <c r="F16" i="23"/>
  <c r="D18" i="23"/>
  <c r="F15" i="23"/>
  <c r="L12" i="23"/>
  <c r="X16" i="23"/>
  <c r="X20" i="23"/>
  <c r="N16" i="25"/>
  <c r="N20" i="25"/>
  <c r="L22" i="25"/>
  <c r="L24" i="25"/>
  <c r="N15" i="26"/>
  <c r="L21" i="26"/>
  <c r="L16" i="28"/>
  <c r="X20" i="28"/>
  <c r="L33" i="28"/>
  <c r="N16" i="29"/>
  <c r="N15" i="19"/>
  <c r="L21" i="19"/>
  <c r="L16" i="20"/>
  <c r="L20" i="20"/>
  <c r="Z13" i="22"/>
  <c r="Z16" i="22"/>
  <c r="Z20" i="22"/>
  <c r="X22" i="22"/>
  <c r="X24" i="22"/>
  <c r="J36" i="23"/>
  <c r="J34" i="23"/>
  <c r="J33" i="23"/>
  <c r="J31" i="23"/>
  <c r="J29" i="23"/>
  <c r="J27" i="23"/>
  <c r="J25" i="23"/>
  <c r="J24" i="23"/>
  <c r="J22" i="23"/>
  <c r="J21" i="23"/>
  <c r="J20" i="23"/>
  <c r="J18" i="23"/>
  <c r="J16" i="23"/>
  <c r="H18" i="23"/>
  <c r="J15" i="23"/>
  <c r="N12" i="23"/>
  <c r="X13" i="23"/>
  <c r="Z15" i="23"/>
  <c r="X21" i="23"/>
  <c r="L13" i="25"/>
  <c r="N21" i="25"/>
  <c r="L25" i="25"/>
  <c r="L29" i="25"/>
  <c r="L33" i="25"/>
  <c r="L34" i="25"/>
  <c r="N16" i="26"/>
  <c r="N20" i="26"/>
  <c r="L22" i="26"/>
  <c r="L24" i="26"/>
  <c r="V21" i="28"/>
  <c r="T18" i="28"/>
  <c r="V15" i="28"/>
  <c r="Z12" i="28"/>
  <c r="V20" i="28"/>
  <c r="V22" i="28"/>
  <c r="V36" i="28"/>
  <c r="V31" i="28"/>
  <c r="V25" i="28"/>
  <c r="V18" i="28"/>
  <c r="V34" i="28"/>
  <c r="V29" i="28"/>
  <c r="V24" i="28"/>
  <c r="V33" i="28"/>
  <c r="V27" i="28"/>
  <c r="V16" i="28"/>
  <c r="N25" i="29"/>
  <c r="Z29" i="28"/>
  <c r="Z33" i="28"/>
  <c r="Z34" i="28"/>
  <c r="R24" i="29"/>
  <c r="R22" i="29"/>
  <c r="R20" i="29"/>
  <c r="R18" i="29"/>
  <c r="R16" i="29"/>
  <c r="P18" i="29"/>
  <c r="R15" i="29"/>
  <c r="X12" i="29"/>
  <c r="R36" i="29"/>
  <c r="R34" i="29"/>
  <c r="R33" i="29"/>
  <c r="R31" i="29"/>
  <c r="R29" i="29"/>
  <c r="R27" i="29"/>
  <c r="R25" i="29"/>
  <c r="R21" i="29"/>
  <c r="Z22" i="29"/>
  <c r="Z24" i="29"/>
  <c r="X16" i="31"/>
  <c r="X20" i="31"/>
  <c r="N25" i="32"/>
  <c r="N29" i="32"/>
  <c r="X13" i="31"/>
  <c r="X16" i="32"/>
  <c r="X20" i="32"/>
  <c r="X33" i="32"/>
  <c r="F36" i="34"/>
  <c r="F34" i="34"/>
  <c r="F33" i="34"/>
  <c r="F31" i="34"/>
  <c r="F29" i="34"/>
  <c r="F27" i="34"/>
  <c r="F25" i="34"/>
  <c r="F24" i="34"/>
  <c r="F22" i="34"/>
  <c r="F21" i="34"/>
  <c r="F20" i="34"/>
  <c r="F18" i="34"/>
  <c r="F16" i="34"/>
  <c r="D18" i="34"/>
  <c r="F15" i="34"/>
  <c r="L12" i="34"/>
  <c r="X15" i="35"/>
  <c r="N34" i="35"/>
  <c r="N15" i="28"/>
  <c r="L21" i="28"/>
  <c r="L16" i="29"/>
  <c r="L20" i="29"/>
  <c r="Z22" i="31"/>
  <c r="X25" i="32"/>
  <c r="X29" i="32"/>
  <c r="J24" i="34"/>
  <c r="J22" i="34"/>
  <c r="J21" i="34"/>
  <c r="J20" i="34"/>
  <c r="J18" i="34"/>
  <c r="J16" i="34"/>
  <c r="H18" i="34"/>
  <c r="J15" i="34"/>
  <c r="N12" i="34"/>
  <c r="J29" i="34"/>
  <c r="J27" i="34"/>
  <c r="J36" i="34"/>
  <c r="J25" i="34"/>
  <c r="J34" i="34"/>
  <c r="J33" i="34"/>
  <c r="J31" i="34"/>
  <c r="X21" i="34"/>
  <c r="N16" i="28"/>
  <c r="N20" i="28"/>
  <c r="L22" i="28"/>
  <c r="L24" i="28"/>
  <c r="N15" i="29"/>
  <c r="L21" i="29"/>
  <c r="L15" i="31"/>
  <c r="Z25" i="31"/>
  <c r="Z29" i="31"/>
  <c r="Z33" i="31"/>
  <c r="Z22" i="32"/>
  <c r="N25" i="35"/>
  <c r="N21" i="31"/>
  <c r="L34" i="31"/>
  <c r="L24" i="32"/>
  <c r="N34" i="32"/>
  <c r="X13" i="34"/>
  <c r="X16" i="35"/>
  <c r="N13" i="28"/>
  <c r="N22" i="28"/>
  <c r="N24" i="28"/>
  <c r="L13" i="29"/>
  <c r="N21" i="29"/>
  <c r="L25" i="29"/>
  <c r="L29" i="29"/>
  <c r="L33" i="29"/>
  <c r="L34" i="29"/>
  <c r="N24" i="31"/>
  <c r="N21" i="32"/>
  <c r="X15" i="28"/>
  <c r="N25" i="28"/>
  <c r="N29" i="28"/>
  <c r="N33" i="28"/>
  <c r="N34" i="28"/>
  <c r="N13" i="29"/>
  <c r="N22" i="29"/>
  <c r="N24" i="29"/>
  <c r="L12" i="31"/>
  <c r="F21" i="31"/>
  <c r="F20" i="31"/>
  <c r="F18" i="31"/>
  <c r="F16" i="31"/>
  <c r="D18" i="31"/>
  <c r="F15" i="31"/>
  <c r="F36" i="31"/>
  <c r="F33" i="31"/>
  <c r="F29" i="31"/>
  <c r="F25" i="31"/>
  <c r="F22" i="31"/>
  <c r="F34" i="31"/>
  <c r="F31" i="31"/>
  <c r="F27" i="31"/>
  <c r="F24" i="31"/>
  <c r="X15" i="32"/>
  <c r="X34" i="32"/>
  <c r="Z15" i="34"/>
  <c r="N12" i="31"/>
  <c r="J24" i="31"/>
  <c r="J22" i="31"/>
  <c r="H18" i="31"/>
  <c r="J15" i="31"/>
  <c r="J20" i="31"/>
  <c r="J16" i="31"/>
  <c r="J34" i="31"/>
  <c r="J31" i="31"/>
  <c r="J27" i="31"/>
  <c r="J21" i="31"/>
  <c r="J18" i="31"/>
  <c r="J36" i="31"/>
  <c r="J33" i="31"/>
  <c r="J29" i="31"/>
  <c r="J25" i="31"/>
  <c r="Z15" i="31"/>
  <c r="X21" i="31"/>
  <c r="L12" i="32"/>
  <c r="F36" i="32"/>
  <c r="F34" i="32"/>
  <c r="F33" i="32"/>
  <c r="F31" i="32"/>
  <c r="F29" i="32"/>
  <c r="F27" i="32"/>
  <c r="F25" i="32"/>
  <c r="F20" i="32"/>
  <c r="F18" i="32"/>
  <c r="F16" i="32"/>
  <c r="D18" i="32"/>
  <c r="F15" i="32"/>
  <c r="F22" i="32"/>
  <c r="F24" i="32"/>
  <c r="F21" i="32"/>
  <c r="X16" i="34"/>
  <c r="N29" i="35"/>
  <c r="J24" i="28"/>
  <c r="J22" i="28"/>
  <c r="J21" i="28"/>
  <c r="H18" i="28"/>
  <c r="J15" i="28"/>
  <c r="J33" i="28"/>
  <c r="J27" i="28"/>
  <c r="J16" i="28"/>
  <c r="N12" i="28"/>
  <c r="J20" i="28"/>
  <c r="J36" i="28"/>
  <c r="J31" i="28"/>
  <c r="J25" i="28"/>
  <c r="J18" i="28"/>
  <c r="J34" i="28"/>
  <c r="J29" i="28"/>
  <c r="X13" i="28"/>
  <c r="Z15" i="28"/>
  <c r="X21" i="28"/>
  <c r="F36" i="29"/>
  <c r="F34" i="29"/>
  <c r="F33" i="29"/>
  <c r="F31" i="29"/>
  <c r="F29" i="29"/>
  <c r="F27" i="29"/>
  <c r="F25" i="29"/>
  <c r="F24" i="29"/>
  <c r="F22" i="29"/>
  <c r="F20" i="29"/>
  <c r="F18" i="29"/>
  <c r="F16" i="29"/>
  <c r="D18" i="29"/>
  <c r="F15" i="29"/>
  <c r="F21" i="29"/>
  <c r="L12" i="29"/>
  <c r="X16" i="29"/>
  <c r="X20" i="29"/>
  <c r="R24" i="31"/>
  <c r="R22" i="31"/>
  <c r="R21" i="31"/>
  <c r="X12" i="31"/>
  <c r="R34" i="31"/>
  <c r="R31" i="31"/>
  <c r="R27" i="31"/>
  <c r="R18" i="31"/>
  <c r="P18" i="31"/>
  <c r="R15" i="31"/>
  <c r="R36" i="31"/>
  <c r="R33" i="31"/>
  <c r="R29" i="31"/>
  <c r="R25" i="31"/>
  <c r="R20" i="31"/>
  <c r="R16" i="31"/>
  <c r="Z24" i="31"/>
  <c r="Z21" i="32"/>
  <c r="X20" i="35"/>
  <c r="Z21" i="37"/>
  <c r="Z13" i="28"/>
  <c r="Z16" i="28"/>
  <c r="Z20" i="28"/>
  <c r="X22" i="28"/>
  <c r="X24" i="28"/>
  <c r="N12" i="29"/>
  <c r="J36" i="29"/>
  <c r="J34" i="29"/>
  <c r="J33" i="29"/>
  <c r="J31" i="29"/>
  <c r="J29" i="29"/>
  <c r="J27" i="29"/>
  <c r="J25" i="29"/>
  <c r="J21" i="29"/>
  <c r="J20" i="29"/>
  <c r="J18" i="29"/>
  <c r="J16" i="29"/>
  <c r="J24" i="29"/>
  <c r="J15" i="29"/>
  <c r="J22" i="29"/>
  <c r="H18" i="29"/>
  <c r="X13" i="29"/>
  <c r="Z15" i="29"/>
  <c r="X21" i="29"/>
  <c r="V20" i="31"/>
  <c r="V18" i="31"/>
  <c r="V16" i="31"/>
  <c r="T18" i="31"/>
  <c r="V15" i="31"/>
  <c r="Z12" i="31"/>
  <c r="V36" i="31"/>
  <c r="V34" i="31"/>
  <c r="V33" i="31"/>
  <c r="V31" i="31"/>
  <c r="V29" i="31"/>
  <c r="V27" i="31"/>
  <c r="V25" i="31"/>
  <c r="V24" i="31"/>
  <c r="V21" i="31"/>
  <c r="V22" i="31"/>
  <c r="Z34" i="31"/>
  <c r="R21" i="32"/>
  <c r="R20" i="32"/>
  <c r="R18" i="32"/>
  <c r="R16" i="32"/>
  <c r="X12" i="32"/>
  <c r="R31" i="32"/>
  <c r="R27" i="32"/>
  <c r="R24" i="32"/>
  <c r="R34" i="32"/>
  <c r="P18" i="32"/>
  <c r="R15" i="32"/>
  <c r="R29" i="32"/>
  <c r="R25" i="32"/>
  <c r="R33" i="32"/>
  <c r="R22" i="32"/>
  <c r="R36" i="32"/>
  <c r="Z24" i="32"/>
  <c r="L13" i="31"/>
  <c r="L25" i="31"/>
  <c r="L29" i="31"/>
  <c r="L33" i="31"/>
  <c r="N16" i="32"/>
  <c r="N20" i="32"/>
  <c r="L22" i="32"/>
  <c r="F36" i="35"/>
  <c r="F34" i="35"/>
  <c r="F33" i="35"/>
  <c r="F31" i="35"/>
  <c r="F29" i="35"/>
  <c r="F27" i="35"/>
  <c r="F25" i="35"/>
  <c r="F24" i="35"/>
  <c r="F22" i="35"/>
  <c r="F21" i="35"/>
  <c r="F20" i="35"/>
  <c r="F18" i="35"/>
  <c r="F16" i="35"/>
  <c r="D18" i="35"/>
  <c r="F15" i="35"/>
  <c r="L12" i="35"/>
  <c r="R36" i="28"/>
  <c r="R34" i="28"/>
  <c r="R33" i="28"/>
  <c r="R31" i="28"/>
  <c r="R29" i="28"/>
  <c r="R27" i="28"/>
  <c r="R25" i="28"/>
  <c r="R21" i="28"/>
  <c r="R20" i="28"/>
  <c r="R18" i="28"/>
  <c r="R16" i="28"/>
  <c r="R22" i="28"/>
  <c r="R15" i="28"/>
  <c r="P18" i="28"/>
  <c r="R24" i="28"/>
  <c r="X12" i="28"/>
  <c r="Z22" i="28"/>
  <c r="Z24" i="28"/>
  <c r="Z21" i="29"/>
  <c r="X25" i="29"/>
  <c r="X29" i="29"/>
  <c r="X33" i="29"/>
  <c r="X34" i="29"/>
  <c r="N13" i="31"/>
  <c r="N22" i="31"/>
  <c r="L13" i="32"/>
  <c r="L25" i="32"/>
  <c r="L29" i="32"/>
  <c r="N33" i="32"/>
  <c r="X20" i="34"/>
  <c r="N33" i="35"/>
  <c r="X24" i="38"/>
  <c r="L16" i="31"/>
  <c r="L20" i="31"/>
  <c r="T18" i="32"/>
  <c r="V15" i="32"/>
  <c r="Z12" i="32"/>
  <c r="V36" i="32"/>
  <c r="V34" i="32"/>
  <c r="V33" i="32"/>
  <c r="V31" i="32"/>
  <c r="V29" i="32"/>
  <c r="V27" i="32"/>
  <c r="V25" i="32"/>
  <c r="V24" i="32"/>
  <c r="V22" i="32"/>
  <c r="V21" i="32"/>
  <c r="V18" i="32"/>
  <c r="V20" i="32"/>
  <c r="V16" i="32"/>
  <c r="L15" i="32"/>
  <c r="Z25" i="32"/>
  <c r="Z29" i="32"/>
  <c r="Z33" i="32"/>
  <c r="Z34" i="32"/>
  <c r="Z13" i="34"/>
  <c r="Z16" i="34"/>
  <c r="Z20" i="34"/>
  <c r="X22" i="34"/>
  <c r="X24" i="34"/>
  <c r="J21" i="35"/>
  <c r="J20" i="35"/>
  <c r="J18" i="35"/>
  <c r="J16" i="35"/>
  <c r="H18" i="35"/>
  <c r="J15" i="35"/>
  <c r="N12" i="35"/>
  <c r="J22" i="35"/>
  <c r="J31" i="35"/>
  <c r="J29" i="35"/>
  <c r="J27" i="35"/>
  <c r="J36" i="35"/>
  <c r="J25" i="35"/>
  <c r="J34" i="35"/>
  <c r="J24" i="35"/>
  <c r="J33" i="35"/>
  <c r="X13" i="35"/>
  <c r="Z15" i="35"/>
  <c r="X21" i="35"/>
  <c r="L22" i="37"/>
  <c r="N13" i="41"/>
  <c r="N15" i="31"/>
  <c r="L21" i="31"/>
  <c r="L16" i="32"/>
  <c r="L20" i="32"/>
  <c r="Z21" i="34"/>
  <c r="X25" i="34"/>
  <c r="X29" i="34"/>
  <c r="X33" i="34"/>
  <c r="X34" i="34"/>
  <c r="Z13" i="35"/>
  <c r="Z16" i="35"/>
  <c r="Z20" i="35"/>
  <c r="X22" i="35"/>
  <c r="X24" i="35"/>
  <c r="X33" i="37"/>
  <c r="Z16" i="38"/>
  <c r="N16" i="31"/>
  <c r="N20" i="31"/>
  <c r="L22" i="31"/>
  <c r="L24" i="31"/>
  <c r="N15" i="32"/>
  <c r="L21" i="32"/>
  <c r="X12" i="34"/>
  <c r="R36" i="34"/>
  <c r="R34" i="34"/>
  <c r="R33" i="34"/>
  <c r="R31" i="34"/>
  <c r="R29" i="34"/>
  <c r="R27" i="34"/>
  <c r="R25" i="34"/>
  <c r="R24" i="34"/>
  <c r="R22" i="34"/>
  <c r="R21" i="34"/>
  <c r="R18" i="34"/>
  <c r="P18" i="34"/>
  <c r="R16" i="34"/>
  <c r="R15" i="34"/>
  <c r="R20" i="34"/>
  <c r="Z22" i="34"/>
  <c r="Z24" i="34"/>
  <c r="Z21" i="35"/>
  <c r="X25" i="35"/>
  <c r="X29" i="35"/>
  <c r="X33" i="35"/>
  <c r="X34" i="35"/>
  <c r="L24" i="37"/>
  <c r="Z12" i="34"/>
  <c r="V36" i="34"/>
  <c r="V34" i="34"/>
  <c r="V33" i="34"/>
  <c r="V31" i="34"/>
  <c r="V29" i="34"/>
  <c r="V27" i="34"/>
  <c r="V25" i="34"/>
  <c r="V24" i="34"/>
  <c r="V22" i="34"/>
  <c r="V21" i="34"/>
  <c r="V20" i="34"/>
  <c r="V18" i="34"/>
  <c r="V16" i="34"/>
  <c r="T18" i="34"/>
  <c r="V15" i="34"/>
  <c r="L15" i="34"/>
  <c r="Z25" i="34"/>
  <c r="Z29" i="34"/>
  <c r="Z33" i="34"/>
  <c r="Z34" i="34"/>
  <c r="X12" i="35"/>
  <c r="R36" i="35"/>
  <c r="R34" i="35"/>
  <c r="R33" i="35"/>
  <c r="R31" i="35"/>
  <c r="R29" i="35"/>
  <c r="R27" i="35"/>
  <c r="R25" i="35"/>
  <c r="R24" i="35"/>
  <c r="R22" i="35"/>
  <c r="R21" i="35"/>
  <c r="R20" i="35"/>
  <c r="R18" i="35"/>
  <c r="R16" i="35"/>
  <c r="P18" i="35"/>
  <c r="R15" i="35"/>
  <c r="Z22" i="35"/>
  <c r="Z24" i="35"/>
  <c r="X34" i="37"/>
  <c r="L33" i="32"/>
  <c r="L34" i="32"/>
  <c r="L16" i="34"/>
  <c r="L20" i="34"/>
  <c r="Z12" i="35"/>
  <c r="V36" i="35"/>
  <c r="V34" i="35"/>
  <c r="V33" i="35"/>
  <c r="V31" i="35"/>
  <c r="V29" i="35"/>
  <c r="V27" i="35"/>
  <c r="V25" i="35"/>
  <c r="V24" i="35"/>
  <c r="V22" i="35"/>
  <c r="V21" i="35"/>
  <c r="V20" i="35"/>
  <c r="V18" i="35"/>
  <c r="V16" i="35"/>
  <c r="T18" i="35"/>
  <c r="V15" i="35"/>
  <c r="L15" i="35"/>
  <c r="Z25" i="35"/>
  <c r="Z29" i="35"/>
  <c r="Z33" i="35"/>
  <c r="Z34" i="35"/>
  <c r="N16" i="37"/>
  <c r="Z16" i="40"/>
  <c r="L24" i="41"/>
  <c r="X15" i="31"/>
  <c r="N25" i="31"/>
  <c r="N29" i="31"/>
  <c r="N33" i="31"/>
  <c r="N34" i="31"/>
  <c r="N13" i="32"/>
  <c r="N22" i="32"/>
  <c r="N24" i="32"/>
  <c r="N15" i="34"/>
  <c r="L21" i="34"/>
  <c r="L16" i="35"/>
  <c r="L20" i="35"/>
  <c r="X25" i="37"/>
  <c r="Z20" i="38"/>
  <c r="Z25" i="41"/>
  <c r="N16" i="34"/>
  <c r="N20" i="34"/>
  <c r="L22" i="34"/>
  <c r="L24" i="34"/>
  <c r="N15" i="35"/>
  <c r="L21" i="35"/>
  <c r="L21" i="38"/>
  <c r="L22" i="40"/>
  <c r="L13" i="34"/>
  <c r="N21" i="34"/>
  <c r="L25" i="34"/>
  <c r="L29" i="34"/>
  <c r="L33" i="34"/>
  <c r="L34" i="34"/>
  <c r="N16" i="35"/>
  <c r="N20" i="35"/>
  <c r="L22" i="35"/>
  <c r="L24" i="35"/>
  <c r="Z24" i="40"/>
  <c r="Z21" i="50"/>
  <c r="Z13" i="31"/>
  <c r="Z16" i="31"/>
  <c r="Z20" i="31"/>
  <c r="X22" i="31"/>
  <c r="X24" i="31"/>
  <c r="J21" i="32"/>
  <c r="J20" i="32"/>
  <c r="J16" i="32"/>
  <c r="J36" i="32"/>
  <c r="N12" i="32"/>
  <c r="J31" i="32"/>
  <c r="J27" i="32"/>
  <c r="J24" i="32"/>
  <c r="J34" i="32"/>
  <c r="J18" i="32"/>
  <c r="H18" i="32"/>
  <c r="J15" i="32"/>
  <c r="J29" i="32"/>
  <c r="J25" i="32"/>
  <c r="J33" i="32"/>
  <c r="J22" i="32"/>
  <c r="X13" i="32"/>
  <c r="Z15" i="32"/>
  <c r="X21" i="32"/>
  <c r="N13" i="34"/>
  <c r="N22" i="34"/>
  <c r="N24" i="34"/>
  <c r="L13" i="35"/>
  <c r="N21" i="35"/>
  <c r="L25" i="35"/>
  <c r="L29" i="35"/>
  <c r="L33" i="35"/>
  <c r="L34" i="35"/>
  <c r="N20" i="37"/>
  <c r="Z21" i="31"/>
  <c r="X25" i="31"/>
  <c r="X29" i="31"/>
  <c r="X33" i="31"/>
  <c r="X34" i="31"/>
  <c r="Z13" i="32"/>
  <c r="Z16" i="32"/>
  <c r="Z20" i="32"/>
  <c r="X22" i="32"/>
  <c r="X24" i="32"/>
  <c r="X15" i="34"/>
  <c r="N25" i="34"/>
  <c r="N29" i="34"/>
  <c r="N33" i="34"/>
  <c r="N34" i="34"/>
  <c r="N13" i="35"/>
  <c r="N22" i="35"/>
  <c r="N24" i="35"/>
  <c r="X29" i="37"/>
  <c r="Z13" i="38"/>
  <c r="X22" i="38"/>
  <c r="N15" i="38"/>
  <c r="R21" i="37"/>
  <c r="R20" i="37"/>
  <c r="R18" i="37"/>
  <c r="R16" i="37"/>
  <c r="P18" i="37"/>
  <c r="R15" i="37"/>
  <c r="X12" i="37"/>
  <c r="R36" i="37"/>
  <c r="R34" i="37"/>
  <c r="R33" i="37"/>
  <c r="R31" i="37"/>
  <c r="R29" i="37"/>
  <c r="R27" i="37"/>
  <c r="R25" i="37"/>
  <c r="R24" i="37"/>
  <c r="R22" i="37"/>
  <c r="Z22" i="37"/>
  <c r="Z24" i="37"/>
  <c r="Z21" i="38"/>
  <c r="X25" i="38"/>
  <c r="X29" i="38"/>
  <c r="X33" i="38"/>
  <c r="X34" i="38"/>
  <c r="R24" i="40"/>
  <c r="R22" i="40"/>
  <c r="R20" i="40"/>
  <c r="R18" i="40"/>
  <c r="R16" i="40"/>
  <c r="R33" i="40"/>
  <c r="R29" i="40"/>
  <c r="R21" i="40"/>
  <c r="R25" i="40"/>
  <c r="R34" i="40"/>
  <c r="P18" i="40"/>
  <c r="R31" i="40"/>
  <c r="R15" i="40"/>
  <c r="R27" i="40"/>
  <c r="X12" i="40"/>
  <c r="R36" i="40"/>
  <c r="X20" i="40"/>
  <c r="N16" i="41"/>
  <c r="X21" i="41"/>
  <c r="N24" i="41"/>
  <c r="X29" i="41"/>
  <c r="N33" i="41"/>
  <c r="Z20" i="43"/>
  <c r="Z29" i="52"/>
  <c r="T18" i="37"/>
  <c r="V15" i="37"/>
  <c r="Z12" i="37"/>
  <c r="V36" i="37"/>
  <c r="V34" i="37"/>
  <c r="V33" i="37"/>
  <c r="V31" i="37"/>
  <c r="V29" i="37"/>
  <c r="V27" i="37"/>
  <c r="V25" i="37"/>
  <c r="V24" i="37"/>
  <c r="V22" i="37"/>
  <c r="V21" i="37"/>
  <c r="V20" i="37"/>
  <c r="V18" i="37"/>
  <c r="V16" i="37"/>
  <c r="L15" i="37"/>
  <c r="Z25" i="37"/>
  <c r="Z29" i="37"/>
  <c r="Z33" i="37"/>
  <c r="Z34" i="37"/>
  <c r="R20" i="38"/>
  <c r="R18" i="38"/>
  <c r="R16" i="38"/>
  <c r="P18" i="38"/>
  <c r="R15" i="38"/>
  <c r="X12" i="38"/>
  <c r="R36" i="38"/>
  <c r="R34" i="38"/>
  <c r="R33" i="38"/>
  <c r="R31" i="38"/>
  <c r="R29" i="38"/>
  <c r="R27" i="38"/>
  <c r="R25" i="38"/>
  <c r="R24" i="38"/>
  <c r="R22" i="38"/>
  <c r="R21" i="38"/>
  <c r="Z22" i="38"/>
  <c r="Z24" i="38"/>
  <c r="X15" i="40"/>
  <c r="Z20" i="40"/>
  <c r="L34" i="40"/>
  <c r="X13" i="41"/>
  <c r="Z21" i="41"/>
  <c r="Z29" i="41"/>
  <c r="N21" i="43"/>
  <c r="X34" i="44"/>
  <c r="Z22" i="53"/>
  <c r="L16" i="37"/>
  <c r="L20" i="37"/>
  <c r="V36" i="38"/>
  <c r="V34" i="38"/>
  <c r="V33" i="38"/>
  <c r="V31" i="38"/>
  <c r="V29" i="38"/>
  <c r="V27" i="38"/>
  <c r="V25" i="38"/>
  <c r="V24" i="38"/>
  <c r="V22" i="38"/>
  <c r="V21" i="38"/>
  <c r="V20" i="38"/>
  <c r="V18" i="38"/>
  <c r="V16" i="38"/>
  <c r="Z12" i="38"/>
  <c r="T18" i="38"/>
  <c r="V15" i="38"/>
  <c r="L15" i="38"/>
  <c r="Z25" i="38"/>
  <c r="Z29" i="38"/>
  <c r="Z33" i="38"/>
  <c r="Z34" i="38"/>
  <c r="L25" i="40"/>
  <c r="N34" i="40"/>
  <c r="N20" i="41"/>
  <c r="X33" i="41"/>
  <c r="N16" i="44"/>
  <c r="N12" i="46"/>
  <c r="J21" i="46"/>
  <c r="J20" i="46"/>
  <c r="J18" i="46"/>
  <c r="J16" i="46"/>
  <c r="J31" i="46"/>
  <c r="J34" i="46"/>
  <c r="J22" i="46"/>
  <c r="J25" i="46"/>
  <c r="J15" i="46"/>
  <c r="J29" i="46"/>
  <c r="H18" i="46"/>
  <c r="J33" i="46"/>
  <c r="J36" i="46"/>
  <c r="J24" i="46"/>
  <c r="J27" i="46"/>
  <c r="N33" i="47"/>
  <c r="N15" i="37"/>
  <c r="L21" i="37"/>
  <c r="L16" i="38"/>
  <c r="L20" i="38"/>
  <c r="L13" i="40"/>
  <c r="X22" i="40"/>
  <c r="N25" i="40"/>
  <c r="L15" i="41"/>
  <c r="Z33" i="41"/>
  <c r="L13" i="43"/>
  <c r="N16" i="46"/>
  <c r="N13" i="40"/>
  <c r="Z22" i="40"/>
  <c r="L29" i="40"/>
  <c r="N15" i="41"/>
  <c r="L22" i="41"/>
  <c r="Z13" i="43"/>
  <c r="L25" i="43"/>
  <c r="N20" i="44"/>
  <c r="X20" i="46"/>
  <c r="L13" i="37"/>
  <c r="N21" i="37"/>
  <c r="L25" i="37"/>
  <c r="L29" i="37"/>
  <c r="L33" i="37"/>
  <c r="L34" i="37"/>
  <c r="N16" i="38"/>
  <c r="N20" i="38"/>
  <c r="L22" i="38"/>
  <c r="L24" i="38"/>
  <c r="L16" i="40"/>
  <c r="N21" i="40"/>
  <c r="N29" i="40"/>
  <c r="N22" i="41"/>
  <c r="N13" i="37"/>
  <c r="N22" i="37"/>
  <c r="N24" i="37"/>
  <c r="L13" i="38"/>
  <c r="N21" i="38"/>
  <c r="L25" i="38"/>
  <c r="L29" i="38"/>
  <c r="L33" i="38"/>
  <c r="L34" i="38"/>
  <c r="N16" i="40"/>
  <c r="L24" i="40"/>
  <c r="L33" i="40"/>
  <c r="J36" i="41"/>
  <c r="J34" i="41"/>
  <c r="J33" i="41"/>
  <c r="J31" i="41"/>
  <c r="J29" i="41"/>
  <c r="J27" i="41"/>
  <c r="J25" i="41"/>
  <c r="J20" i="41"/>
  <c r="J18" i="41"/>
  <c r="J16" i="41"/>
  <c r="J21" i="41"/>
  <c r="H18" i="41"/>
  <c r="N12" i="41"/>
  <c r="J22" i="41"/>
  <c r="J15" i="41"/>
  <c r="J24" i="41"/>
  <c r="L29" i="43"/>
  <c r="L22" i="44"/>
  <c r="X15" i="37"/>
  <c r="N25" i="37"/>
  <c r="N29" i="37"/>
  <c r="N33" i="37"/>
  <c r="N34" i="37"/>
  <c r="N13" i="38"/>
  <c r="N22" i="38"/>
  <c r="N24" i="38"/>
  <c r="Z13" i="40"/>
  <c r="N33" i="40"/>
  <c r="X15" i="41"/>
  <c r="N34" i="41"/>
  <c r="L24" i="44"/>
  <c r="L12" i="37"/>
  <c r="F36" i="37"/>
  <c r="F34" i="37"/>
  <c r="F33" i="37"/>
  <c r="F31" i="37"/>
  <c r="F29" i="37"/>
  <c r="F27" i="37"/>
  <c r="F25" i="37"/>
  <c r="F24" i="37"/>
  <c r="F22" i="37"/>
  <c r="F20" i="37"/>
  <c r="F18" i="37"/>
  <c r="F16" i="37"/>
  <c r="D18" i="37"/>
  <c r="F15" i="37"/>
  <c r="F21" i="37"/>
  <c r="X16" i="37"/>
  <c r="X20" i="37"/>
  <c r="X15" i="38"/>
  <c r="N25" i="38"/>
  <c r="N29" i="38"/>
  <c r="N33" i="38"/>
  <c r="N34" i="38"/>
  <c r="L20" i="40"/>
  <c r="T18" i="41"/>
  <c r="V15" i="41"/>
  <c r="V36" i="41"/>
  <c r="V34" i="41"/>
  <c r="V33" i="41"/>
  <c r="V31" i="41"/>
  <c r="V29" i="41"/>
  <c r="V27" i="41"/>
  <c r="V25" i="41"/>
  <c r="V21" i="41"/>
  <c r="V22" i="41"/>
  <c r="Z12" i="41"/>
  <c r="V20" i="41"/>
  <c r="V24" i="41"/>
  <c r="V16" i="41"/>
  <c r="V18" i="41"/>
  <c r="Z15" i="41"/>
  <c r="L21" i="41"/>
  <c r="N25" i="41"/>
  <c r="Z16" i="43"/>
  <c r="L33" i="43"/>
  <c r="J36" i="37"/>
  <c r="J34" i="37"/>
  <c r="J33" i="37"/>
  <c r="J31" i="37"/>
  <c r="J29" i="37"/>
  <c r="J27" i="37"/>
  <c r="J25" i="37"/>
  <c r="J24" i="37"/>
  <c r="J22" i="37"/>
  <c r="J21" i="37"/>
  <c r="J20" i="37"/>
  <c r="J18" i="37"/>
  <c r="J16" i="37"/>
  <c r="H18" i="37"/>
  <c r="J15" i="37"/>
  <c r="N12" i="37"/>
  <c r="X13" i="37"/>
  <c r="Z15" i="37"/>
  <c r="X21" i="37"/>
  <c r="F36" i="38"/>
  <c r="F34" i="38"/>
  <c r="F33" i="38"/>
  <c r="F31" i="38"/>
  <c r="F29" i="38"/>
  <c r="F27" i="38"/>
  <c r="F25" i="38"/>
  <c r="F24" i="38"/>
  <c r="F22" i="38"/>
  <c r="F21" i="38"/>
  <c r="D18" i="38"/>
  <c r="F15" i="38"/>
  <c r="L12" i="38"/>
  <c r="F20" i="38"/>
  <c r="F18" i="38"/>
  <c r="F16" i="38"/>
  <c r="X16" i="38"/>
  <c r="X20" i="38"/>
  <c r="N20" i="40"/>
  <c r="X34" i="41"/>
  <c r="L34" i="43"/>
  <c r="Z13" i="37"/>
  <c r="Z16" i="37"/>
  <c r="Z20" i="37"/>
  <c r="X22" i="37"/>
  <c r="X24" i="37"/>
  <c r="J36" i="38"/>
  <c r="J34" i="38"/>
  <c r="J33" i="38"/>
  <c r="J31" i="38"/>
  <c r="J29" i="38"/>
  <c r="J27" i="38"/>
  <c r="J25" i="38"/>
  <c r="J24" i="38"/>
  <c r="J22" i="38"/>
  <c r="J21" i="38"/>
  <c r="J20" i="38"/>
  <c r="J18" i="38"/>
  <c r="J16" i="38"/>
  <c r="H18" i="38"/>
  <c r="J15" i="38"/>
  <c r="N12" i="38"/>
  <c r="X13" i="38"/>
  <c r="Z15" i="38"/>
  <c r="X21" i="38"/>
  <c r="F36" i="40"/>
  <c r="F34" i="40"/>
  <c r="F33" i="40"/>
  <c r="F31" i="40"/>
  <c r="F29" i="40"/>
  <c r="F27" i="40"/>
  <c r="F25" i="40"/>
  <c r="F20" i="40"/>
  <c r="F18" i="40"/>
  <c r="F16" i="40"/>
  <c r="F15" i="40"/>
  <c r="F24" i="40"/>
  <c r="F21" i="40"/>
  <c r="D18" i="40"/>
  <c r="F22" i="40"/>
  <c r="L12" i="40"/>
  <c r="X16" i="40"/>
  <c r="X24" i="40"/>
  <c r="X25" i="41"/>
  <c r="N29" i="41"/>
  <c r="Z34" i="41"/>
  <c r="V20" i="40"/>
  <c r="V18" i="40"/>
  <c r="V16" i="40"/>
  <c r="Z12" i="40"/>
  <c r="V24" i="40"/>
  <c r="V22" i="40"/>
  <c r="V29" i="40"/>
  <c r="V21" i="40"/>
  <c r="V25" i="40"/>
  <c r="V34" i="40"/>
  <c r="T18" i="40"/>
  <c r="V31" i="40"/>
  <c r="V15" i="40"/>
  <c r="V27" i="40"/>
  <c r="V36" i="40"/>
  <c r="V33" i="40"/>
  <c r="L15" i="40"/>
  <c r="Z25" i="40"/>
  <c r="Z29" i="40"/>
  <c r="Z33" i="40"/>
  <c r="Z34" i="40"/>
  <c r="R21" i="41"/>
  <c r="P18" i="41"/>
  <c r="R15" i="41"/>
  <c r="X12" i="41"/>
  <c r="R36" i="41"/>
  <c r="R34" i="41"/>
  <c r="R33" i="41"/>
  <c r="R31" i="41"/>
  <c r="R29" i="41"/>
  <c r="R27" i="41"/>
  <c r="R25" i="41"/>
  <c r="R18" i="41"/>
  <c r="R22" i="41"/>
  <c r="R20" i="41"/>
  <c r="R24" i="41"/>
  <c r="R16" i="41"/>
  <c r="Z22" i="41"/>
  <c r="Z24" i="41"/>
  <c r="N13" i="43"/>
  <c r="N22" i="43"/>
  <c r="N24" i="43"/>
  <c r="L13" i="44"/>
  <c r="N21" i="44"/>
  <c r="L25" i="44"/>
  <c r="L29" i="44"/>
  <c r="L24" i="46"/>
  <c r="L29" i="49"/>
  <c r="N16" i="50"/>
  <c r="L22" i="50"/>
  <c r="N29" i="50"/>
  <c r="X15" i="43"/>
  <c r="N25" i="43"/>
  <c r="N29" i="43"/>
  <c r="N33" i="43"/>
  <c r="N34" i="43"/>
  <c r="N13" i="44"/>
  <c r="N22" i="44"/>
  <c r="N24" i="44"/>
  <c r="X33" i="44"/>
  <c r="Z34" i="44"/>
  <c r="X16" i="46"/>
  <c r="L21" i="46"/>
  <c r="N29" i="47"/>
  <c r="X29" i="49"/>
  <c r="Z16" i="50"/>
  <c r="X22" i="50"/>
  <c r="Z29" i="50"/>
  <c r="L13" i="52"/>
  <c r="L33" i="52"/>
  <c r="N15" i="40"/>
  <c r="L21" i="40"/>
  <c r="L16" i="41"/>
  <c r="L20" i="41"/>
  <c r="F21" i="43"/>
  <c r="F20" i="43"/>
  <c r="F18" i="43"/>
  <c r="F16" i="43"/>
  <c r="D18" i="43"/>
  <c r="F15" i="43"/>
  <c r="F36" i="43"/>
  <c r="F34" i="43"/>
  <c r="F33" i="43"/>
  <c r="F31" i="43"/>
  <c r="F29" i="43"/>
  <c r="F27" i="43"/>
  <c r="F25" i="43"/>
  <c r="F24" i="43"/>
  <c r="F22" i="43"/>
  <c r="L12" i="43"/>
  <c r="X16" i="43"/>
  <c r="X20" i="43"/>
  <c r="X15" i="44"/>
  <c r="N25" i="44"/>
  <c r="N29" i="44"/>
  <c r="N33" i="46"/>
  <c r="N15" i="47"/>
  <c r="Z22" i="49"/>
  <c r="Z34" i="52"/>
  <c r="H18" i="43"/>
  <c r="J15" i="43"/>
  <c r="N12" i="43"/>
  <c r="J36" i="43"/>
  <c r="J34" i="43"/>
  <c r="J33" i="43"/>
  <c r="J31" i="43"/>
  <c r="J29" i="43"/>
  <c r="J27" i="43"/>
  <c r="J25" i="43"/>
  <c r="J24" i="43"/>
  <c r="J22" i="43"/>
  <c r="J21" i="43"/>
  <c r="J18" i="43"/>
  <c r="J16" i="43"/>
  <c r="J20" i="43"/>
  <c r="X13" i="43"/>
  <c r="Z15" i="43"/>
  <c r="X21" i="43"/>
  <c r="F20" i="44"/>
  <c r="F18" i="44"/>
  <c r="F16" i="44"/>
  <c r="F33" i="44"/>
  <c r="D18" i="44"/>
  <c r="F15" i="44"/>
  <c r="F34" i="44"/>
  <c r="F36" i="44"/>
  <c r="L12" i="44"/>
  <c r="F29" i="44"/>
  <c r="F27" i="44"/>
  <c r="F25" i="44"/>
  <c r="F24" i="44"/>
  <c r="F22" i="44"/>
  <c r="F21" i="44"/>
  <c r="F31" i="44"/>
  <c r="X16" i="44"/>
  <c r="X20" i="44"/>
  <c r="Z33" i="44"/>
  <c r="N25" i="47"/>
  <c r="L24" i="50"/>
  <c r="N16" i="52"/>
  <c r="X22" i="43"/>
  <c r="X24" i="43"/>
  <c r="J36" i="44"/>
  <c r="J34" i="44"/>
  <c r="J33" i="44"/>
  <c r="J31" i="44"/>
  <c r="J29" i="44"/>
  <c r="N12" i="44"/>
  <c r="J27" i="44"/>
  <c r="J25" i="44"/>
  <c r="J24" i="44"/>
  <c r="J22" i="44"/>
  <c r="J21" i="44"/>
  <c r="J20" i="44"/>
  <c r="J18" i="44"/>
  <c r="J16" i="44"/>
  <c r="H18" i="44"/>
  <c r="J15" i="44"/>
  <c r="X13" i="44"/>
  <c r="Z15" i="44"/>
  <c r="X21" i="44"/>
  <c r="X13" i="46"/>
  <c r="N29" i="46"/>
  <c r="X15" i="47"/>
  <c r="L20" i="47"/>
  <c r="N22" i="47"/>
  <c r="N34" i="47"/>
  <c r="X24" i="50"/>
  <c r="N22" i="40"/>
  <c r="N24" i="40"/>
  <c r="L13" i="41"/>
  <c r="N21" i="41"/>
  <c r="L25" i="41"/>
  <c r="L29" i="41"/>
  <c r="L33" i="41"/>
  <c r="L34" i="41"/>
  <c r="Z21" i="43"/>
  <c r="X25" i="43"/>
  <c r="X29" i="43"/>
  <c r="X33" i="43"/>
  <c r="X34" i="43"/>
  <c r="Z13" i="44"/>
  <c r="Z16" i="44"/>
  <c r="Z20" i="44"/>
  <c r="X22" i="44"/>
  <c r="X24" i="44"/>
  <c r="X29" i="44"/>
  <c r="N15" i="46"/>
  <c r="X21" i="46"/>
  <c r="R21" i="49"/>
  <c r="R20" i="49"/>
  <c r="R18" i="49"/>
  <c r="R16" i="49"/>
  <c r="P18" i="49"/>
  <c r="R15" i="49"/>
  <c r="X12" i="49"/>
  <c r="R33" i="49"/>
  <c r="R25" i="49"/>
  <c r="R31" i="49"/>
  <c r="R24" i="49"/>
  <c r="R36" i="49"/>
  <c r="R29" i="49"/>
  <c r="R22" i="49"/>
  <c r="R34" i="49"/>
  <c r="R27" i="49"/>
  <c r="Z24" i="49"/>
  <c r="X12" i="43"/>
  <c r="R36" i="43"/>
  <c r="R34" i="43"/>
  <c r="R33" i="43"/>
  <c r="R31" i="43"/>
  <c r="R29" i="43"/>
  <c r="R27" i="43"/>
  <c r="R25" i="43"/>
  <c r="R24" i="43"/>
  <c r="R22" i="43"/>
  <c r="R21" i="43"/>
  <c r="R20" i="43"/>
  <c r="R18" i="43"/>
  <c r="R16" i="43"/>
  <c r="P18" i="43"/>
  <c r="R15" i="43"/>
  <c r="Z22" i="43"/>
  <c r="Z24" i="43"/>
  <c r="Z21" i="44"/>
  <c r="X25" i="44"/>
  <c r="L34" i="44"/>
  <c r="N25" i="46"/>
  <c r="L16" i="47"/>
  <c r="L13" i="49"/>
  <c r="L25" i="49"/>
  <c r="L33" i="49"/>
  <c r="N20" i="50"/>
  <c r="L25" i="50"/>
  <c r="N15" i="53"/>
  <c r="Z12" i="43"/>
  <c r="V36" i="43"/>
  <c r="V34" i="43"/>
  <c r="V33" i="43"/>
  <c r="V31" i="43"/>
  <c r="V29" i="43"/>
  <c r="V27" i="43"/>
  <c r="V25" i="43"/>
  <c r="V24" i="43"/>
  <c r="V22" i="43"/>
  <c r="V21" i="43"/>
  <c r="V20" i="43"/>
  <c r="V18" i="43"/>
  <c r="V16" i="43"/>
  <c r="T18" i="43"/>
  <c r="V15" i="43"/>
  <c r="L15" i="43"/>
  <c r="Z25" i="43"/>
  <c r="Z29" i="43"/>
  <c r="Z33" i="43"/>
  <c r="Z34" i="43"/>
  <c r="R36" i="44"/>
  <c r="X12" i="44"/>
  <c r="R27" i="44"/>
  <c r="R25" i="44"/>
  <c r="R29" i="44"/>
  <c r="R24" i="44"/>
  <c r="R22" i="44"/>
  <c r="R21" i="44"/>
  <c r="R31" i="44"/>
  <c r="R20" i="44"/>
  <c r="R18" i="44"/>
  <c r="R16" i="44"/>
  <c r="P18" i="44"/>
  <c r="R15" i="44"/>
  <c r="R33" i="44"/>
  <c r="R34" i="44"/>
  <c r="Z22" i="44"/>
  <c r="Z24" i="44"/>
  <c r="Z29" i="44"/>
  <c r="X15" i="46"/>
  <c r="L22" i="46"/>
  <c r="N34" i="46"/>
  <c r="L12" i="47"/>
  <c r="F24" i="47"/>
  <c r="F22" i="47"/>
  <c r="F21" i="47"/>
  <c r="F33" i="47"/>
  <c r="F36" i="47"/>
  <c r="F27" i="47"/>
  <c r="F16" i="47"/>
  <c r="F31" i="47"/>
  <c r="F20" i="47"/>
  <c r="F34" i="47"/>
  <c r="F25" i="47"/>
  <c r="F15" i="47"/>
  <c r="F29" i="47"/>
  <c r="F18" i="47"/>
  <c r="D18" i="47"/>
  <c r="X25" i="49"/>
  <c r="X33" i="49"/>
  <c r="Z13" i="50"/>
  <c r="Z20" i="50"/>
  <c r="X25" i="50"/>
  <c r="N16" i="53"/>
  <c r="N12" i="40"/>
  <c r="J21" i="40"/>
  <c r="J36" i="40"/>
  <c r="J20" i="40"/>
  <c r="J15" i="40"/>
  <c r="J33" i="40"/>
  <c r="J24" i="40"/>
  <c r="J16" i="40"/>
  <c r="J29" i="40"/>
  <c r="J25" i="40"/>
  <c r="J34" i="40"/>
  <c r="J18" i="40"/>
  <c r="H18" i="40"/>
  <c r="J31" i="40"/>
  <c r="J22" i="40"/>
  <c r="J27" i="40"/>
  <c r="X13" i="40"/>
  <c r="Z15" i="40"/>
  <c r="X21" i="40"/>
  <c r="L12" i="41"/>
  <c r="F24" i="41"/>
  <c r="F22" i="41"/>
  <c r="D18" i="41"/>
  <c r="F15" i="41"/>
  <c r="F29" i="41"/>
  <c r="F21" i="41"/>
  <c r="F25" i="41"/>
  <c r="F34" i="41"/>
  <c r="F18" i="41"/>
  <c r="F31" i="41"/>
  <c r="F27" i="41"/>
  <c r="F36" i="41"/>
  <c r="F20" i="41"/>
  <c r="F33" i="41"/>
  <c r="F16" i="41"/>
  <c r="X16" i="41"/>
  <c r="X20" i="41"/>
  <c r="L16" i="43"/>
  <c r="L20" i="43"/>
  <c r="V36" i="44"/>
  <c r="V34" i="44"/>
  <c r="V33" i="44"/>
  <c r="V31" i="44"/>
  <c r="V29" i="44"/>
  <c r="Z12" i="44"/>
  <c r="V27" i="44"/>
  <c r="V25" i="44"/>
  <c r="V24" i="44"/>
  <c r="V22" i="44"/>
  <c r="V21" i="44"/>
  <c r="V20" i="44"/>
  <c r="V18" i="44"/>
  <c r="V16" i="44"/>
  <c r="T18" i="44"/>
  <c r="V15" i="44"/>
  <c r="L15" i="44"/>
  <c r="Z25" i="44"/>
  <c r="L33" i="44"/>
  <c r="N34" i="44"/>
  <c r="X20" i="47"/>
  <c r="L34" i="50"/>
  <c r="N15" i="43"/>
  <c r="L21" i="43"/>
  <c r="L16" i="44"/>
  <c r="L20" i="44"/>
  <c r="Z15" i="46"/>
  <c r="N20" i="46"/>
  <c r="N24" i="47"/>
  <c r="N21" i="49"/>
  <c r="L34" i="49"/>
  <c r="Z21" i="40"/>
  <c r="X25" i="40"/>
  <c r="X29" i="40"/>
  <c r="X33" i="40"/>
  <c r="X34" i="40"/>
  <c r="Z13" i="41"/>
  <c r="Z16" i="41"/>
  <c r="Z20" i="41"/>
  <c r="X22" i="41"/>
  <c r="X24" i="41"/>
  <c r="N16" i="43"/>
  <c r="N20" i="43"/>
  <c r="L22" i="43"/>
  <c r="L24" i="43"/>
  <c r="N15" i="44"/>
  <c r="L21" i="44"/>
  <c r="N33" i="44"/>
  <c r="D18" i="46"/>
  <c r="F15" i="46"/>
  <c r="L12" i="46"/>
  <c r="F36" i="46"/>
  <c r="F34" i="46"/>
  <c r="F33" i="46"/>
  <c r="F31" i="46"/>
  <c r="F29" i="46"/>
  <c r="F27" i="46"/>
  <c r="F25" i="46"/>
  <c r="F24" i="46"/>
  <c r="F22" i="46"/>
  <c r="F16" i="46"/>
  <c r="F20" i="46"/>
  <c r="F18" i="46"/>
  <c r="F21" i="46"/>
  <c r="N13" i="47"/>
  <c r="X16" i="47"/>
  <c r="L21" i="47"/>
  <c r="Z21" i="49"/>
  <c r="X34" i="49"/>
  <c r="L13" i="46"/>
  <c r="N21" i="46"/>
  <c r="L25" i="46"/>
  <c r="L29" i="46"/>
  <c r="L33" i="46"/>
  <c r="L34" i="46"/>
  <c r="N16" i="47"/>
  <c r="N20" i="47"/>
  <c r="L22" i="47"/>
  <c r="L24" i="47"/>
  <c r="T18" i="49"/>
  <c r="V15" i="49"/>
  <c r="Z12" i="49"/>
  <c r="V36" i="49"/>
  <c r="V34" i="49"/>
  <c r="V33" i="49"/>
  <c r="V31" i="49"/>
  <c r="V29" i="49"/>
  <c r="V27" i="49"/>
  <c r="V25" i="49"/>
  <c r="V24" i="49"/>
  <c r="V22" i="49"/>
  <c r="V20" i="49"/>
  <c r="V18" i="49"/>
  <c r="V16" i="49"/>
  <c r="V21" i="49"/>
  <c r="L15" i="49"/>
  <c r="Z25" i="49"/>
  <c r="Z29" i="49"/>
  <c r="Z33" i="49"/>
  <c r="Z34" i="49"/>
  <c r="R29" i="50"/>
  <c r="R20" i="50"/>
  <c r="R18" i="50"/>
  <c r="R16" i="50"/>
  <c r="R31" i="50"/>
  <c r="P18" i="50"/>
  <c r="R15" i="50"/>
  <c r="R33" i="50"/>
  <c r="R34" i="50"/>
  <c r="R36" i="50"/>
  <c r="X12" i="50"/>
  <c r="R27" i="50"/>
  <c r="R21" i="50"/>
  <c r="R25" i="50"/>
  <c r="R24" i="50"/>
  <c r="R22" i="50"/>
  <c r="Z22" i="50"/>
  <c r="Z24" i="50"/>
  <c r="Z25" i="50"/>
  <c r="L33" i="50"/>
  <c r="N21" i="52"/>
  <c r="L25" i="52"/>
  <c r="N20" i="53"/>
  <c r="L24" i="53"/>
  <c r="N13" i="46"/>
  <c r="N22" i="46"/>
  <c r="N24" i="46"/>
  <c r="L13" i="47"/>
  <c r="N21" i="47"/>
  <c r="L25" i="47"/>
  <c r="L29" i="47"/>
  <c r="L33" i="47"/>
  <c r="L34" i="47"/>
  <c r="L16" i="49"/>
  <c r="L20" i="49"/>
  <c r="V33" i="50"/>
  <c r="V34" i="50"/>
  <c r="V36" i="50"/>
  <c r="Z12" i="50"/>
  <c r="V25" i="50"/>
  <c r="V24" i="50"/>
  <c r="V22" i="50"/>
  <c r="V27" i="50"/>
  <c r="V21" i="50"/>
  <c r="V15" i="50"/>
  <c r="V20" i="50"/>
  <c r="V18" i="50"/>
  <c r="V31" i="50"/>
  <c r="T18" i="50"/>
  <c r="V29" i="50"/>
  <c r="V16" i="50"/>
  <c r="L15" i="50"/>
  <c r="N34" i="50"/>
  <c r="R24" i="52"/>
  <c r="R22" i="52"/>
  <c r="R21" i="52"/>
  <c r="R20" i="52"/>
  <c r="R18" i="52"/>
  <c r="R16" i="52"/>
  <c r="P18" i="52"/>
  <c r="R15" i="52"/>
  <c r="X12" i="52"/>
  <c r="R34" i="52"/>
  <c r="R29" i="52"/>
  <c r="R33" i="52"/>
  <c r="R27" i="52"/>
  <c r="R36" i="52"/>
  <c r="R31" i="52"/>
  <c r="R25" i="52"/>
  <c r="X29" i="53"/>
  <c r="X34" i="53"/>
  <c r="N15" i="49"/>
  <c r="L21" i="49"/>
  <c r="L16" i="50"/>
  <c r="L20" i="50"/>
  <c r="L29" i="50"/>
  <c r="N33" i="50"/>
  <c r="V20" i="52"/>
  <c r="V18" i="52"/>
  <c r="V16" i="52"/>
  <c r="T18" i="52"/>
  <c r="V15" i="52"/>
  <c r="Z12" i="52"/>
  <c r="V36" i="52"/>
  <c r="V34" i="52"/>
  <c r="V33" i="52"/>
  <c r="V31" i="52"/>
  <c r="V29" i="52"/>
  <c r="V27" i="52"/>
  <c r="V25" i="52"/>
  <c r="V22" i="52"/>
  <c r="V21" i="52"/>
  <c r="V24" i="52"/>
  <c r="Z25" i="52"/>
  <c r="Z24" i="53"/>
  <c r="N16" i="49"/>
  <c r="N20" i="49"/>
  <c r="L22" i="49"/>
  <c r="L24" i="49"/>
  <c r="N15" i="50"/>
  <c r="L21" i="50"/>
  <c r="L22" i="52"/>
  <c r="L21" i="53"/>
  <c r="Z13" i="46"/>
  <c r="Z16" i="46"/>
  <c r="Z20" i="46"/>
  <c r="X22" i="46"/>
  <c r="X24" i="46"/>
  <c r="N12" i="47"/>
  <c r="J20" i="47"/>
  <c r="J18" i="47"/>
  <c r="J16" i="47"/>
  <c r="H18" i="47"/>
  <c r="J15" i="47"/>
  <c r="J36" i="47"/>
  <c r="J24" i="47"/>
  <c r="J27" i="47"/>
  <c r="J31" i="47"/>
  <c r="J34" i="47"/>
  <c r="J22" i="47"/>
  <c r="J25" i="47"/>
  <c r="J29" i="47"/>
  <c r="J33" i="47"/>
  <c r="J21" i="47"/>
  <c r="X13" i="47"/>
  <c r="Z15" i="47"/>
  <c r="X21" i="47"/>
  <c r="N13" i="49"/>
  <c r="N22" i="49"/>
  <c r="N24" i="49"/>
  <c r="L13" i="50"/>
  <c r="N21" i="50"/>
  <c r="X34" i="50"/>
  <c r="Z22" i="52"/>
  <c r="Z21" i="53"/>
  <c r="X25" i="53"/>
  <c r="Z21" i="46"/>
  <c r="X25" i="46"/>
  <c r="X29" i="46"/>
  <c r="X33" i="46"/>
  <c r="X34" i="46"/>
  <c r="Z13" i="47"/>
  <c r="Z16" i="47"/>
  <c r="Z20" i="47"/>
  <c r="X22" i="47"/>
  <c r="X24" i="47"/>
  <c r="X15" i="49"/>
  <c r="N25" i="49"/>
  <c r="N29" i="49"/>
  <c r="N33" i="49"/>
  <c r="N34" i="49"/>
  <c r="N13" i="50"/>
  <c r="N22" i="50"/>
  <c r="N24" i="50"/>
  <c r="N25" i="50"/>
  <c r="X33" i="50"/>
  <c r="L15" i="52"/>
  <c r="Z33" i="52"/>
  <c r="R21" i="53"/>
  <c r="R20" i="53"/>
  <c r="R18" i="53"/>
  <c r="R16" i="53"/>
  <c r="P18" i="53"/>
  <c r="R15" i="53"/>
  <c r="X12" i="53"/>
  <c r="R22" i="53"/>
  <c r="R36" i="53"/>
  <c r="R31" i="53"/>
  <c r="R25" i="53"/>
  <c r="R34" i="53"/>
  <c r="R29" i="53"/>
  <c r="R24" i="53"/>
  <c r="R33" i="53"/>
  <c r="R27" i="53"/>
  <c r="X12" i="46"/>
  <c r="R36" i="46"/>
  <c r="R34" i="46"/>
  <c r="R33" i="46"/>
  <c r="R31" i="46"/>
  <c r="R29" i="46"/>
  <c r="R27" i="46"/>
  <c r="R25" i="46"/>
  <c r="R24" i="46"/>
  <c r="R22" i="46"/>
  <c r="R21" i="46"/>
  <c r="R15" i="46"/>
  <c r="R18" i="46"/>
  <c r="P18" i="46"/>
  <c r="R16" i="46"/>
  <c r="R20" i="46"/>
  <c r="Z22" i="46"/>
  <c r="Z24" i="46"/>
  <c r="Z21" i="47"/>
  <c r="X25" i="47"/>
  <c r="X29" i="47"/>
  <c r="X33" i="47"/>
  <c r="X34" i="47"/>
  <c r="L12" i="49"/>
  <c r="F36" i="49"/>
  <c r="F34" i="49"/>
  <c r="F33" i="49"/>
  <c r="F31" i="49"/>
  <c r="F29" i="49"/>
  <c r="F27" i="49"/>
  <c r="F25" i="49"/>
  <c r="F21" i="49"/>
  <c r="F20" i="49"/>
  <c r="F18" i="49"/>
  <c r="F16" i="49"/>
  <c r="D18" i="49"/>
  <c r="F15" i="49"/>
  <c r="F24" i="49"/>
  <c r="F22" i="49"/>
  <c r="X16" i="49"/>
  <c r="X20" i="49"/>
  <c r="X15" i="50"/>
  <c r="Z34" i="50"/>
  <c r="N20" i="52"/>
  <c r="L24" i="52"/>
  <c r="V36" i="46"/>
  <c r="V34" i="46"/>
  <c r="V33" i="46"/>
  <c r="V31" i="46"/>
  <c r="V29" i="46"/>
  <c r="V27" i="46"/>
  <c r="V25" i="46"/>
  <c r="V24" i="46"/>
  <c r="V22" i="46"/>
  <c r="V21" i="46"/>
  <c r="V20" i="46"/>
  <c r="V18" i="46"/>
  <c r="V16" i="46"/>
  <c r="T18" i="46"/>
  <c r="V15" i="46"/>
  <c r="Z12" i="46"/>
  <c r="L15" i="46"/>
  <c r="Z25" i="46"/>
  <c r="Z29" i="46"/>
  <c r="Z33" i="46"/>
  <c r="Z34" i="46"/>
  <c r="R36" i="47"/>
  <c r="R34" i="47"/>
  <c r="R33" i="47"/>
  <c r="R31" i="47"/>
  <c r="R29" i="47"/>
  <c r="R27" i="47"/>
  <c r="R25" i="47"/>
  <c r="R24" i="47"/>
  <c r="R22" i="47"/>
  <c r="R21" i="47"/>
  <c r="R20" i="47"/>
  <c r="R18" i="47"/>
  <c r="R16" i="47"/>
  <c r="X12" i="47"/>
  <c r="R15" i="47"/>
  <c r="P18" i="47"/>
  <c r="Z22" i="47"/>
  <c r="Z24" i="47"/>
  <c r="J36" i="49"/>
  <c r="J34" i="49"/>
  <c r="J33" i="49"/>
  <c r="J31" i="49"/>
  <c r="J29" i="49"/>
  <c r="J27" i="49"/>
  <c r="J25" i="49"/>
  <c r="J24" i="49"/>
  <c r="J22" i="49"/>
  <c r="J21" i="49"/>
  <c r="H18" i="49"/>
  <c r="J15" i="49"/>
  <c r="J20" i="49"/>
  <c r="N12" i="49"/>
  <c r="J18" i="49"/>
  <c r="J16" i="49"/>
  <c r="X13" i="49"/>
  <c r="Z15" i="49"/>
  <c r="X21" i="49"/>
  <c r="F25" i="50"/>
  <c r="F24" i="50"/>
  <c r="F22" i="50"/>
  <c r="F29" i="50"/>
  <c r="F20" i="50"/>
  <c r="F18" i="50"/>
  <c r="F16" i="50"/>
  <c r="F31" i="50"/>
  <c r="D18" i="50"/>
  <c r="F15" i="50"/>
  <c r="F33" i="50"/>
  <c r="F34" i="50"/>
  <c r="F27" i="50"/>
  <c r="F21" i="50"/>
  <c r="L12" i="50"/>
  <c r="F36" i="50"/>
  <c r="X16" i="50"/>
  <c r="X20" i="50"/>
  <c r="X29" i="50"/>
  <c r="Z33" i="50"/>
  <c r="L29" i="52"/>
  <c r="L34" i="52"/>
  <c r="L22" i="53"/>
  <c r="L16" i="46"/>
  <c r="L20" i="46"/>
  <c r="V24" i="47"/>
  <c r="V22" i="47"/>
  <c r="V21" i="47"/>
  <c r="V20" i="47"/>
  <c r="V18" i="47"/>
  <c r="V16" i="47"/>
  <c r="T18" i="47"/>
  <c r="V15" i="47"/>
  <c r="V27" i="47"/>
  <c r="Z12" i="47"/>
  <c r="V31" i="47"/>
  <c r="V34" i="47"/>
  <c r="V25" i="47"/>
  <c r="V29" i="47"/>
  <c r="V33" i="47"/>
  <c r="V36" i="47"/>
  <c r="L15" i="47"/>
  <c r="Z25" i="47"/>
  <c r="Z29" i="47"/>
  <c r="Z33" i="47"/>
  <c r="Z34" i="47"/>
  <c r="Z13" i="49"/>
  <c r="Z16" i="49"/>
  <c r="Z20" i="49"/>
  <c r="X22" i="49"/>
  <c r="X24" i="49"/>
  <c r="J25" i="50"/>
  <c r="J24" i="50"/>
  <c r="J22" i="50"/>
  <c r="J27" i="50"/>
  <c r="J21" i="50"/>
  <c r="J29" i="50"/>
  <c r="J20" i="50"/>
  <c r="J18" i="50"/>
  <c r="J16" i="50"/>
  <c r="J33" i="50"/>
  <c r="J34" i="50"/>
  <c r="J36" i="50"/>
  <c r="J15" i="50"/>
  <c r="N12" i="50"/>
  <c r="J31" i="50"/>
  <c r="H18" i="50"/>
  <c r="X13" i="50"/>
  <c r="Z15" i="50"/>
  <c r="X21" i="50"/>
  <c r="Z24" i="52"/>
  <c r="X33" i="53"/>
  <c r="L16" i="52"/>
  <c r="L20" i="52"/>
  <c r="T18" i="53"/>
  <c r="V15" i="53"/>
  <c r="V36" i="53"/>
  <c r="V34" i="53"/>
  <c r="V33" i="53"/>
  <c r="V31" i="53"/>
  <c r="V29" i="53"/>
  <c r="V27" i="53"/>
  <c r="V25" i="53"/>
  <c r="V24" i="53"/>
  <c r="V22" i="53"/>
  <c r="V18" i="53"/>
  <c r="Z12" i="53"/>
  <c r="V21" i="53"/>
  <c r="V16" i="53"/>
  <c r="V20" i="53"/>
  <c r="L15" i="53"/>
  <c r="Z25" i="53"/>
  <c r="Z29" i="53"/>
  <c r="Z33" i="53"/>
  <c r="Z34" i="53"/>
  <c r="N15" i="52"/>
  <c r="L21" i="52"/>
  <c r="L16" i="53"/>
  <c r="L20" i="53"/>
  <c r="N13" i="52"/>
  <c r="N22" i="52"/>
  <c r="N24" i="52"/>
  <c r="L13" i="53"/>
  <c r="N21" i="53"/>
  <c r="L25" i="53"/>
  <c r="L29" i="53"/>
  <c r="L33" i="53"/>
  <c r="L34" i="53"/>
  <c r="X15" i="52"/>
  <c r="N25" i="52"/>
  <c r="N29" i="52"/>
  <c r="N33" i="52"/>
  <c r="N34" i="52"/>
  <c r="N13" i="53"/>
  <c r="N22" i="53"/>
  <c r="N24" i="53"/>
  <c r="L12" i="52"/>
  <c r="F36" i="52"/>
  <c r="F34" i="52"/>
  <c r="F33" i="52"/>
  <c r="F31" i="52"/>
  <c r="F29" i="52"/>
  <c r="F27" i="52"/>
  <c r="F25" i="52"/>
  <c r="F20" i="52"/>
  <c r="F18" i="52"/>
  <c r="F16" i="52"/>
  <c r="D18" i="52"/>
  <c r="F15" i="52"/>
  <c r="F24" i="52"/>
  <c r="F22" i="52"/>
  <c r="F21" i="52"/>
  <c r="X16" i="52"/>
  <c r="X20" i="52"/>
  <c r="X15" i="53"/>
  <c r="N25" i="53"/>
  <c r="N29" i="53"/>
  <c r="N33" i="53"/>
  <c r="N34" i="53"/>
  <c r="N12" i="52"/>
  <c r="J36" i="52"/>
  <c r="J34" i="52"/>
  <c r="J33" i="52"/>
  <c r="J31" i="52"/>
  <c r="J29" i="52"/>
  <c r="J27" i="52"/>
  <c r="J25" i="52"/>
  <c r="J24" i="52"/>
  <c r="J22" i="52"/>
  <c r="J21" i="52"/>
  <c r="J20" i="52"/>
  <c r="J15" i="52"/>
  <c r="H18" i="52"/>
  <c r="J16" i="52"/>
  <c r="J18" i="52"/>
  <c r="X13" i="52"/>
  <c r="Z15" i="52"/>
  <c r="X21" i="52"/>
  <c r="L12" i="53"/>
  <c r="F36" i="53"/>
  <c r="F34" i="53"/>
  <c r="F33" i="53"/>
  <c r="F31" i="53"/>
  <c r="F29" i="53"/>
  <c r="F27" i="53"/>
  <c r="F25" i="53"/>
  <c r="F24" i="53"/>
  <c r="F22" i="53"/>
  <c r="D18" i="53"/>
  <c r="F15" i="53"/>
  <c r="F18" i="53"/>
  <c r="F16" i="53"/>
  <c r="F21" i="53"/>
  <c r="F20" i="53"/>
  <c r="X16" i="53"/>
  <c r="X20" i="53"/>
  <c r="Z13" i="52"/>
  <c r="Z16" i="52"/>
  <c r="Z20" i="52"/>
  <c r="X22" i="52"/>
  <c r="X24" i="52"/>
  <c r="J36" i="53"/>
  <c r="J34" i="53"/>
  <c r="J33" i="53"/>
  <c r="J31" i="53"/>
  <c r="J29" i="53"/>
  <c r="J27" i="53"/>
  <c r="J25" i="53"/>
  <c r="J24" i="53"/>
  <c r="J22" i="53"/>
  <c r="J21" i="53"/>
  <c r="J20" i="53"/>
  <c r="J18" i="53"/>
  <c r="J16" i="53"/>
  <c r="H18" i="53"/>
  <c r="N12" i="53"/>
  <c r="J15" i="53"/>
  <c r="X13" i="53"/>
  <c r="Z15" i="53"/>
  <c r="X21" i="53"/>
  <c r="Z21" i="52"/>
  <c r="X25" i="52"/>
  <c r="X29" i="52"/>
  <c r="X33" i="52"/>
  <c r="X34" i="52"/>
  <c r="Z13" i="53"/>
  <c r="Z16" i="53"/>
  <c r="Z20" i="53"/>
  <c r="X22" i="53"/>
  <c r="X24" i="53"/>
  <c r="Z25" i="110"/>
  <c r="Z21" i="111"/>
  <c r="Z29" i="110"/>
  <c r="T18" i="110"/>
  <c r="V15" i="110"/>
  <c r="Z12" i="110"/>
  <c r="V36" i="110"/>
  <c r="V34" i="110"/>
  <c r="V33" i="110"/>
  <c r="V31" i="110"/>
  <c r="V29" i="110"/>
  <c r="V27" i="110"/>
  <c r="V25" i="110"/>
  <c r="V21" i="110"/>
  <c r="V20" i="110"/>
  <c r="V18" i="110"/>
  <c r="V16" i="110"/>
  <c r="V22" i="110"/>
  <c r="V24" i="110"/>
  <c r="L15" i="110"/>
  <c r="Z33" i="110"/>
  <c r="X25" i="111"/>
  <c r="Z34" i="110"/>
  <c r="X29" i="111"/>
  <c r="X33" i="111"/>
  <c r="Z21" i="110"/>
  <c r="X25" i="110"/>
  <c r="X29" i="110"/>
  <c r="X33" i="110"/>
  <c r="X34" i="110"/>
  <c r="J36" i="111"/>
  <c r="J34" i="111"/>
  <c r="J33" i="111"/>
  <c r="J31" i="111"/>
  <c r="J29" i="111"/>
  <c r="J27" i="111"/>
  <c r="J25" i="111"/>
  <c r="J24" i="111"/>
  <c r="J22" i="111"/>
  <c r="J21" i="111"/>
  <c r="J20" i="111"/>
  <c r="J18" i="111"/>
  <c r="J16" i="111"/>
  <c r="H18" i="111"/>
  <c r="J15" i="111"/>
  <c r="N12" i="111"/>
  <c r="X13" i="111"/>
  <c r="Z15" i="111"/>
  <c r="X21" i="111"/>
  <c r="X15" i="112"/>
  <c r="N25" i="112"/>
  <c r="N29" i="112"/>
  <c r="N33" i="112"/>
  <c r="N34" i="112"/>
  <c r="R21" i="110"/>
  <c r="R20" i="110"/>
  <c r="R18" i="110"/>
  <c r="R16" i="110"/>
  <c r="P18" i="110"/>
  <c r="R15" i="110"/>
  <c r="X12" i="110"/>
  <c r="R36" i="110"/>
  <c r="R34" i="110"/>
  <c r="R33" i="110"/>
  <c r="R31" i="110"/>
  <c r="R29" i="110"/>
  <c r="R27" i="110"/>
  <c r="R25" i="110"/>
  <c r="R24" i="110"/>
  <c r="R22" i="110"/>
  <c r="Z22" i="110"/>
  <c r="Z24" i="110"/>
  <c r="Z13" i="111"/>
  <c r="Z16" i="111"/>
  <c r="Z20" i="111"/>
  <c r="X22" i="111"/>
  <c r="X24" i="111"/>
  <c r="F36" i="112"/>
  <c r="F34" i="112"/>
  <c r="F33" i="112"/>
  <c r="F31" i="112"/>
  <c r="F29" i="112"/>
  <c r="F27" i="112"/>
  <c r="F25" i="112"/>
  <c r="F24" i="112"/>
  <c r="F22" i="112"/>
  <c r="F21" i="112"/>
  <c r="F20" i="112"/>
  <c r="F18" i="112"/>
  <c r="F16" i="112"/>
  <c r="D18" i="112"/>
  <c r="F15" i="112"/>
  <c r="L12" i="112"/>
  <c r="X16" i="112"/>
  <c r="X20" i="112"/>
  <c r="X34" i="111"/>
  <c r="J21" i="112"/>
  <c r="J20" i="112"/>
  <c r="J18" i="112"/>
  <c r="J16" i="112"/>
  <c r="H18" i="112"/>
  <c r="J15" i="112"/>
  <c r="N12" i="112"/>
  <c r="J36" i="112"/>
  <c r="J34" i="112"/>
  <c r="J33" i="112"/>
  <c r="J31" i="112"/>
  <c r="J29" i="112"/>
  <c r="J27" i="112"/>
  <c r="J25" i="112"/>
  <c r="J24" i="112"/>
  <c r="J22" i="112"/>
  <c r="X13" i="112"/>
  <c r="Z15" i="112"/>
  <c r="X21" i="112"/>
  <c r="L16" i="110"/>
  <c r="L20" i="110"/>
  <c r="P18" i="111"/>
  <c r="R15" i="111"/>
  <c r="X12" i="111"/>
  <c r="R36" i="111"/>
  <c r="R34" i="111"/>
  <c r="R33" i="111"/>
  <c r="R31" i="111"/>
  <c r="R29" i="111"/>
  <c r="R27" i="111"/>
  <c r="R25" i="111"/>
  <c r="R21" i="111"/>
  <c r="R20" i="111"/>
  <c r="R18" i="111"/>
  <c r="R16" i="111"/>
  <c r="R24" i="111"/>
  <c r="R22" i="111"/>
  <c r="Z22" i="111"/>
  <c r="Z24" i="111"/>
  <c r="Z13" i="112"/>
  <c r="Z16" i="112"/>
  <c r="Z20" i="112"/>
  <c r="X22" i="112"/>
  <c r="X24" i="112"/>
  <c r="N15" i="110"/>
  <c r="L21" i="110"/>
  <c r="Z12" i="111"/>
  <c r="V36" i="111"/>
  <c r="V34" i="111"/>
  <c r="V33" i="111"/>
  <c r="V31" i="111"/>
  <c r="V29" i="111"/>
  <c r="V27" i="111"/>
  <c r="V25" i="111"/>
  <c r="V24" i="111"/>
  <c r="V22" i="111"/>
  <c r="V21" i="111"/>
  <c r="T18" i="111"/>
  <c r="V15" i="111"/>
  <c r="V20" i="111"/>
  <c r="V16" i="111"/>
  <c r="V18" i="111"/>
  <c r="L15" i="111"/>
  <c r="Z25" i="111"/>
  <c r="Z29" i="111"/>
  <c r="Z33" i="111"/>
  <c r="Z34" i="111"/>
  <c r="Z21" i="112"/>
  <c r="X25" i="112"/>
  <c r="X29" i="112"/>
  <c r="X33" i="112"/>
  <c r="X34" i="112"/>
  <c r="N16" i="110"/>
  <c r="N20" i="110"/>
  <c r="L22" i="110"/>
  <c r="L24" i="110"/>
  <c r="L16" i="111"/>
  <c r="L20" i="111"/>
  <c r="X12" i="112"/>
  <c r="R36" i="112"/>
  <c r="R34" i="112"/>
  <c r="R33" i="112"/>
  <c r="R31" i="112"/>
  <c r="R29" i="112"/>
  <c r="R27" i="112"/>
  <c r="R25" i="112"/>
  <c r="R24" i="112"/>
  <c r="R22" i="112"/>
  <c r="R21" i="112"/>
  <c r="R20" i="112"/>
  <c r="R18" i="112"/>
  <c r="R16" i="112"/>
  <c r="P18" i="112"/>
  <c r="R15" i="112"/>
  <c r="Z22" i="112"/>
  <c r="Z24" i="112"/>
  <c r="L13" i="110"/>
  <c r="N21" i="110"/>
  <c r="L25" i="110"/>
  <c r="L29" i="110"/>
  <c r="L33" i="110"/>
  <c r="L34" i="110"/>
  <c r="N15" i="111"/>
  <c r="L21" i="111"/>
  <c r="Z12" i="112"/>
  <c r="V36" i="112"/>
  <c r="V34" i="112"/>
  <c r="V33" i="112"/>
  <c r="V31" i="112"/>
  <c r="V29" i="112"/>
  <c r="V27" i="112"/>
  <c r="V25" i="112"/>
  <c r="V24" i="112"/>
  <c r="V22" i="112"/>
  <c r="V21" i="112"/>
  <c r="V20" i="112"/>
  <c r="V18" i="112"/>
  <c r="V16" i="112"/>
  <c r="T18" i="112"/>
  <c r="V15" i="112"/>
  <c r="L15" i="112"/>
  <c r="Z25" i="112"/>
  <c r="Z29" i="112"/>
  <c r="Z33" i="112"/>
  <c r="Z34" i="112"/>
  <c r="N13" i="110"/>
  <c r="N22" i="110"/>
  <c r="N24" i="110"/>
  <c r="N16" i="111"/>
  <c r="N20" i="111"/>
  <c r="L22" i="111"/>
  <c r="L24" i="111"/>
  <c r="L16" i="112"/>
  <c r="L20" i="112"/>
  <c r="X15" i="110"/>
  <c r="N25" i="110"/>
  <c r="N29" i="110"/>
  <c r="N33" i="110"/>
  <c r="N34" i="110"/>
  <c r="L13" i="111"/>
  <c r="N21" i="111"/>
  <c r="L25" i="111"/>
  <c r="L29" i="111"/>
  <c r="L33" i="111"/>
  <c r="L34" i="111"/>
  <c r="N15" i="112"/>
  <c r="L21" i="112"/>
  <c r="L12" i="110"/>
  <c r="F36" i="110"/>
  <c r="F34" i="110"/>
  <c r="F33" i="110"/>
  <c r="F31" i="110"/>
  <c r="F29" i="110"/>
  <c r="F27" i="110"/>
  <c r="F25" i="110"/>
  <c r="F24" i="110"/>
  <c r="F22" i="110"/>
  <c r="F21" i="110"/>
  <c r="F20" i="110"/>
  <c r="F18" i="110"/>
  <c r="F16" i="110"/>
  <c r="D18" i="110"/>
  <c r="F15" i="110"/>
  <c r="X16" i="110"/>
  <c r="X20" i="110"/>
  <c r="N13" i="111"/>
  <c r="N22" i="111"/>
  <c r="N24" i="111"/>
  <c r="N16" i="112"/>
  <c r="N20" i="112"/>
  <c r="L22" i="112"/>
  <c r="L24" i="112"/>
  <c r="J36" i="110"/>
  <c r="J34" i="110"/>
  <c r="J33" i="110"/>
  <c r="J31" i="110"/>
  <c r="J29" i="110"/>
  <c r="J27" i="110"/>
  <c r="J25" i="110"/>
  <c r="J24" i="110"/>
  <c r="J22" i="110"/>
  <c r="J21" i="110"/>
  <c r="J20" i="110"/>
  <c r="J18" i="110"/>
  <c r="J16" i="110"/>
  <c r="H18" i="110"/>
  <c r="J15" i="110"/>
  <c r="N12" i="110"/>
  <c r="X13" i="110"/>
  <c r="Z15" i="110"/>
  <c r="X21" i="110"/>
  <c r="X15" i="111"/>
  <c r="N25" i="111"/>
  <c r="N29" i="111"/>
  <c r="N33" i="111"/>
  <c r="N34" i="111"/>
  <c r="L13" i="112"/>
  <c r="N21" i="112"/>
  <c r="L25" i="112"/>
  <c r="L29" i="112"/>
  <c r="L33" i="112"/>
  <c r="L34" i="112"/>
  <c r="Z13" i="110"/>
  <c r="Z16" i="110"/>
  <c r="Z20" i="110"/>
  <c r="X22" i="110"/>
  <c r="X24" i="110"/>
  <c r="F36" i="111"/>
  <c r="F34" i="111"/>
  <c r="F33" i="111"/>
  <c r="F31" i="111"/>
  <c r="F29" i="111"/>
  <c r="F27" i="111"/>
  <c r="F25" i="111"/>
  <c r="F24" i="111"/>
  <c r="F22" i="111"/>
  <c r="F21" i="111"/>
  <c r="F20" i="111"/>
  <c r="F18" i="111"/>
  <c r="F16" i="111"/>
  <c r="D18" i="111"/>
  <c r="F15" i="111"/>
  <c r="L12" i="111"/>
  <c r="X16" i="111"/>
  <c r="X20" i="111"/>
  <c r="N13" i="112"/>
  <c r="N22" i="112"/>
  <c r="N24" i="112"/>
  <c r="F307" i="3"/>
  <c r="F302" i="3"/>
  <c r="F269" i="3"/>
  <c r="F253" i="3"/>
  <c r="F252" i="3"/>
  <c r="F241" i="3"/>
  <c r="F240" i="3"/>
  <c r="F233" i="3"/>
  <c r="F232" i="3"/>
  <c r="F217" i="3"/>
  <c r="F216" i="3"/>
  <c r="F205" i="3"/>
  <c r="F201" i="3"/>
  <c r="F197" i="3"/>
  <c r="F301" i="3"/>
  <c r="F264" i="3"/>
  <c r="F224" i="3"/>
  <c r="F188" i="3"/>
  <c r="F184" i="3"/>
  <c r="F180" i="3"/>
  <c r="F176" i="3"/>
  <c r="F172" i="3"/>
  <c r="F168" i="3"/>
  <c r="F164" i="3"/>
  <c r="F160" i="3"/>
  <c r="F156" i="3"/>
  <c r="F152" i="3"/>
  <c r="F148" i="3"/>
  <c r="F144" i="3"/>
  <c r="F140" i="3"/>
  <c r="F136" i="3"/>
  <c r="F300" i="3"/>
  <c r="F287" i="3"/>
  <c r="F279" i="3"/>
  <c r="F275" i="3"/>
  <c r="F271" i="3"/>
  <c r="F270" i="3"/>
  <c r="F259" i="3"/>
  <c r="F243" i="3"/>
  <c r="F242" i="3"/>
  <c r="F235" i="3"/>
  <c r="F234" i="3"/>
  <c r="F211" i="3"/>
  <c r="F207" i="3"/>
  <c r="F206" i="3"/>
  <c r="F312" i="3"/>
  <c r="F311" i="3"/>
  <c r="F299" i="3"/>
  <c r="F254" i="3"/>
  <c r="F226" i="3"/>
  <c r="F225" i="3"/>
  <c r="F218" i="3"/>
  <c r="F202" i="3"/>
  <c r="F198" i="3"/>
  <c r="F298" i="3"/>
  <c r="F281" i="3"/>
  <c r="F280" i="3"/>
  <c r="F265" i="3"/>
  <c r="F245" i="3"/>
  <c r="F244" i="3"/>
  <c r="F189" i="3"/>
  <c r="F185" i="3"/>
  <c r="F181" i="3"/>
  <c r="F177" i="3"/>
  <c r="F173" i="3"/>
  <c r="F169" i="3"/>
  <c r="F165" i="3"/>
  <c r="F161" i="3"/>
  <c r="F157" i="3"/>
  <c r="F153" i="3"/>
  <c r="F149" i="3"/>
  <c r="F145" i="3"/>
  <c r="F141" i="3"/>
  <c r="F137" i="3"/>
  <c r="F297" i="3"/>
  <c r="F288" i="3"/>
  <c r="F276" i="3"/>
  <c r="F272" i="3"/>
  <c r="F260" i="3"/>
  <c r="F236" i="3"/>
  <c r="F220" i="3"/>
  <c r="F219" i="3"/>
  <c r="F212" i="3"/>
  <c r="F208" i="3"/>
  <c r="F295" i="3"/>
  <c r="F290" i="3"/>
  <c r="F289" i="3"/>
  <c r="F282" i="3"/>
  <c r="F266" i="3"/>
  <c r="F262" i="3"/>
  <c r="F261" i="3"/>
  <c r="F238" i="3"/>
  <c r="F237" i="3"/>
  <c r="F222" i="3"/>
  <c r="F221" i="3"/>
  <c r="F190" i="3"/>
  <c r="F186" i="3"/>
  <c r="F182" i="3"/>
  <c r="F178" i="3"/>
  <c r="F174" i="3"/>
  <c r="F170" i="3"/>
  <c r="F166" i="3"/>
  <c r="F162" i="3"/>
  <c r="F158" i="3"/>
  <c r="F154" i="3"/>
  <c r="F150" i="3"/>
  <c r="F146" i="3"/>
  <c r="F142" i="3"/>
  <c r="F138" i="3"/>
  <c r="F134" i="3"/>
  <c r="F133" i="3"/>
  <c r="F294" i="3"/>
  <c r="F277" i="3"/>
  <c r="F273" i="3"/>
  <c r="F249" i="3"/>
  <c r="F248" i="3"/>
  <c r="F229" i="3"/>
  <c r="F228" i="3"/>
  <c r="F213" i="3"/>
  <c r="F209" i="3"/>
  <c r="F263" i="3"/>
  <c r="F251" i="3"/>
  <c r="F250" i="3"/>
  <c r="F239" i="3"/>
  <c r="F231" i="3"/>
  <c r="F230" i="3"/>
  <c r="F223" i="3"/>
  <c r="F215" i="3"/>
  <c r="F214" i="3"/>
  <c r="F194" i="3"/>
  <c r="F187" i="3"/>
  <c r="F183" i="3"/>
  <c r="F179" i="3"/>
  <c r="F175" i="3"/>
  <c r="F171" i="3"/>
  <c r="F167" i="3"/>
  <c r="F163" i="3"/>
  <c r="F159" i="3"/>
  <c r="F155" i="3"/>
  <c r="F151" i="3"/>
  <c r="F147" i="3"/>
  <c r="F143" i="3"/>
  <c r="F139" i="3"/>
  <c r="F135" i="3"/>
  <c r="F303" i="3"/>
  <c r="F286" i="3"/>
  <c r="F285" i="3"/>
  <c r="F278" i="3"/>
  <c r="F274" i="3"/>
  <c r="F258" i="3"/>
  <c r="F257" i="3"/>
  <c r="F210" i="3"/>
  <c r="D192" i="3"/>
  <c r="F293" i="3"/>
  <c r="F203" i="3"/>
  <c r="L12" i="3"/>
  <c r="F227" i="3"/>
  <c r="F200" i="3"/>
  <c r="F195" i="3"/>
  <c r="F255" i="3"/>
  <c r="F296" i="3"/>
  <c r="F284" i="3"/>
  <c r="F268" i="3"/>
  <c r="F246" i="3"/>
  <c r="F204" i="3"/>
  <c r="F199" i="3"/>
  <c r="F196" i="3"/>
  <c r="F283" i="3"/>
  <c r="F267" i="3"/>
  <c r="F256" i="3"/>
  <c r="F247" i="3"/>
  <c r="Z35" i="3"/>
  <c r="Z85" i="3"/>
  <c r="Z89" i="3"/>
  <c r="Z22" i="3"/>
  <c r="Z33" i="3"/>
  <c r="Z41" i="3"/>
  <c r="N96" i="3"/>
  <c r="Z58" i="3"/>
  <c r="Z106" i="3"/>
  <c r="Z25" i="3"/>
  <c r="J300" i="3"/>
  <c r="J270" i="3"/>
  <c r="J264" i="3"/>
  <c r="J242" i="3"/>
  <c r="J234" i="3"/>
  <c r="J224" i="3"/>
  <c r="J206" i="3"/>
  <c r="J188" i="3"/>
  <c r="J184" i="3"/>
  <c r="J180" i="3"/>
  <c r="J176" i="3"/>
  <c r="J172" i="3"/>
  <c r="J168" i="3"/>
  <c r="J164" i="3"/>
  <c r="J160" i="3"/>
  <c r="J156" i="3"/>
  <c r="J152" i="3"/>
  <c r="J148" i="3"/>
  <c r="J144" i="3"/>
  <c r="J140" i="3"/>
  <c r="J136" i="3"/>
  <c r="J312" i="3"/>
  <c r="J311" i="3"/>
  <c r="J299" i="3"/>
  <c r="J287" i="3"/>
  <c r="J279" i="3"/>
  <c r="J275" i="3"/>
  <c r="J271" i="3"/>
  <c r="J259" i="3"/>
  <c r="J243" i="3"/>
  <c r="J235" i="3"/>
  <c r="J225" i="3"/>
  <c r="J211" i="3"/>
  <c r="J207" i="3"/>
  <c r="J298" i="3"/>
  <c r="J280" i="3"/>
  <c r="J254" i="3"/>
  <c r="J244" i="3"/>
  <c r="J226" i="3"/>
  <c r="J218" i="3"/>
  <c r="J202" i="3"/>
  <c r="J198" i="3"/>
  <c r="J297" i="3"/>
  <c r="J281" i="3"/>
  <c r="J265" i="3"/>
  <c r="J245" i="3"/>
  <c r="J219" i="3"/>
  <c r="J189" i="3"/>
  <c r="J185" i="3"/>
  <c r="J296" i="3"/>
  <c r="J288" i="3"/>
  <c r="J276" i="3"/>
  <c r="J272" i="3"/>
  <c r="J260" i="3"/>
  <c r="J246" i="3"/>
  <c r="J236" i="3"/>
  <c r="J220" i="3"/>
  <c r="J212" i="3"/>
  <c r="J208" i="3"/>
  <c r="J295" i="3"/>
  <c r="J289" i="3"/>
  <c r="J261" i="3"/>
  <c r="J255" i="3"/>
  <c r="J247" i="3"/>
  <c r="J237" i="3"/>
  <c r="J227" i="3"/>
  <c r="J221" i="3"/>
  <c r="J203" i="3"/>
  <c r="J199" i="3"/>
  <c r="J293" i="3"/>
  <c r="J283" i="3"/>
  <c r="J277" i="3"/>
  <c r="J273" i="3"/>
  <c r="J267" i="3"/>
  <c r="J249" i="3"/>
  <c r="J229" i="3"/>
  <c r="J213" i="3"/>
  <c r="J209" i="3"/>
  <c r="J195" i="3"/>
  <c r="J292" i="3"/>
  <c r="J284" i="3"/>
  <c r="J268" i="3"/>
  <c r="J256" i="3"/>
  <c r="J250" i="3"/>
  <c r="J230" i="3"/>
  <c r="J214" i="3"/>
  <c r="J204" i="3"/>
  <c r="J200" i="3"/>
  <c r="J196" i="3"/>
  <c r="J194" i="3"/>
  <c r="J302" i="3"/>
  <c r="J286" i="3"/>
  <c r="J278" i="3"/>
  <c r="J274" i="3"/>
  <c r="J258" i="3"/>
  <c r="J252" i="3"/>
  <c r="J240" i="3"/>
  <c r="J232" i="3"/>
  <c r="J216" i="3"/>
  <c r="J210" i="3"/>
  <c r="J307" i="3"/>
  <c r="J301" i="3"/>
  <c r="J269" i="3"/>
  <c r="J253" i="3"/>
  <c r="J241" i="3"/>
  <c r="J233" i="3"/>
  <c r="J217" i="3"/>
  <c r="J205" i="3"/>
  <c r="J201" i="3"/>
  <c r="J197" i="3"/>
  <c r="J238" i="3"/>
  <c r="J223" i="3"/>
  <c r="J153" i="3"/>
  <c r="J151" i="3"/>
  <c r="J147" i="3"/>
  <c r="N12" i="3"/>
  <c r="J186" i="3"/>
  <c r="J157" i="3"/>
  <c r="J155" i="3"/>
  <c r="J143" i="3"/>
  <c r="J141" i="3"/>
  <c r="J137" i="3"/>
  <c r="J303" i="3"/>
  <c r="J262" i="3"/>
  <c r="J251" i="3"/>
  <c r="J175" i="3"/>
  <c r="J173" i="3"/>
  <c r="J171" i="3"/>
  <c r="J169" i="3"/>
  <c r="J161" i="3"/>
  <c r="J159" i="3"/>
  <c r="J139" i="3"/>
  <c r="J257" i="3"/>
  <c r="J248" i="3"/>
  <c r="J190" i="3"/>
  <c r="J177" i="3"/>
  <c r="J167" i="3"/>
  <c r="J165" i="3"/>
  <c r="J163" i="3"/>
  <c r="J135" i="3"/>
  <c r="J133" i="3"/>
  <c r="J294" i="3"/>
  <c r="J282" i="3"/>
  <c r="J266" i="3"/>
  <c r="J231" i="3"/>
  <c r="J222" i="3"/>
  <c r="J179" i="3"/>
  <c r="J181" i="3"/>
  <c r="J150" i="3"/>
  <c r="J146" i="3"/>
  <c r="J228" i="3"/>
  <c r="J215" i="3"/>
  <c r="J183" i="3"/>
  <c r="J154" i="3"/>
  <c r="J142" i="3"/>
  <c r="J174" i="3"/>
  <c r="J170" i="3"/>
  <c r="J158" i="3"/>
  <c r="J138" i="3"/>
  <c r="J290" i="3"/>
  <c r="J239" i="3"/>
  <c r="J166" i="3"/>
  <c r="J162" i="3"/>
  <c r="J134" i="3"/>
  <c r="J285" i="3"/>
  <c r="J263" i="3"/>
  <c r="J187" i="3"/>
  <c r="J178" i="3"/>
  <c r="H192" i="3"/>
  <c r="J182" i="3"/>
  <c r="J149" i="3"/>
  <c r="J145" i="3"/>
  <c r="N44" i="3"/>
  <c r="N20" i="3"/>
  <c r="N22" i="3"/>
  <c r="N230" i="3"/>
  <c r="X22" i="3"/>
  <c r="P12" i="3"/>
  <c r="X64" i="3"/>
  <c r="X78" i="3"/>
  <c r="Z78" i="3" s="1"/>
  <c r="N85" i="3"/>
  <c r="X114" i="3"/>
  <c r="Z114" i="3" s="1"/>
  <c r="X125" i="3"/>
  <c r="Z125" i="3" s="1"/>
  <c r="L127" i="3"/>
  <c r="N127" i="3" s="1"/>
  <c r="L221" i="3"/>
  <c r="N221" i="3" s="1"/>
  <c r="T292" i="3"/>
  <c r="X298" i="3"/>
  <c r="Z311" i="3"/>
  <c r="F18" i="9"/>
  <c r="F59" i="9"/>
  <c r="N69" i="12"/>
  <c r="L69" i="12"/>
  <c r="X14" i="3"/>
  <c r="Z14" i="3" s="1"/>
  <c r="L28" i="3"/>
  <c r="N28" i="3" s="1"/>
  <c r="T12" i="3"/>
  <c r="Z24" i="3"/>
  <c r="L33" i="3"/>
  <c r="N33" i="3" s="1"/>
  <c r="L49" i="3"/>
  <c r="X58" i="3"/>
  <c r="Z64" i="3"/>
  <c r="N77" i="3"/>
  <c r="L85" i="3"/>
  <c r="X88" i="3"/>
  <c r="Z88" i="3" s="1"/>
  <c r="L100" i="3"/>
  <c r="N100" i="3" s="1"/>
  <c r="L230" i="3"/>
  <c r="Z298" i="3"/>
  <c r="N18" i="9"/>
  <c r="Z49" i="9"/>
  <c r="N111" i="3"/>
  <c r="L131" i="3"/>
  <c r="N131" i="3" s="1"/>
  <c r="X80" i="9"/>
  <c r="Z80" i="9" s="1"/>
  <c r="L20" i="12"/>
  <c r="N20" i="12" s="1"/>
  <c r="X91" i="18"/>
  <c r="Z91" i="18" s="1"/>
  <c r="X27" i="3"/>
  <c r="Z27" i="3" s="1"/>
  <c r="X43" i="3"/>
  <c r="Z43" i="3" s="1"/>
  <c r="Z72" i="3"/>
  <c r="Z100" i="3"/>
  <c r="Z107" i="3"/>
  <c r="L120" i="3"/>
  <c r="N120" i="3" s="1"/>
  <c r="Z127" i="3"/>
  <c r="Z214" i="3"/>
  <c r="N261" i="3"/>
  <c r="Z293" i="3"/>
  <c r="N297" i="3"/>
  <c r="N312" i="3"/>
  <c r="Z14" i="6"/>
  <c r="N43" i="9"/>
  <c r="Z53" i="9"/>
  <c r="Z72" i="9"/>
  <c r="Z74" i="9"/>
  <c r="X63" i="12"/>
  <c r="Z63" i="12" s="1"/>
  <c r="X40" i="3"/>
  <c r="Z40" i="3" s="1"/>
  <c r="N45" i="3"/>
  <c r="X55" i="3"/>
  <c r="Z55" i="3" s="1"/>
  <c r="X69" i="3"/>
  <c r="Z69" i="3" s="1"/>
  <c r="N87" i="3"/>
  <c r="L14" i="3"/>
  <c r="N14" i="3" s="1"/>
  <c r="N51" i="3"/>
  <c r="Z52" i="3"/>
  <c r="N60" i="3"/>
  <c r="N65" i="3"/>
  <c r="Z80" i="3"/>
  <c r="L92" i="3"/>
  <c r="L104" i="3"/>
  <c r="N104" i="3" s="1"/>
  <c r="L113" i="3"/>
  <c r="N299" i="3"/>
  <c r="Z31" i="9"/>
  <c r="X31" i="9"/>
  <c r="F71" i="9"/>
  <c r="L35" i="12"/>
  <c r="N35" i="12" s="1"/>
  <c r="X51" i="12"/>
  <c r="Z51" i="12"/>
  <c r="Z28" i="15"/>
  <c r="N29" i="3"/>
  <c r="L57" i="3"/>
  <c r="N57" i="3" s="1"/>
  <c r="N71" i="3"/>
  <c r="N97" i="3"/>
  <c r="X26" i="3"/>
  <c r="Z26" i="3" s="1"/>
  <c r="Z36" i="3"/>
  <c r="X42" i="3"/>
  <c r="Z42" i="3" s="1"/>
  <c r="X60" i="3"/>
  <c r="Z60" i="3" s="1"/>
  <c r="X74" i="3"/>
  <c r="Z74" i="3" s="1"/>
  <c r="N79" i="3"/>
  <c r="X82" i="3"/>
  <c r="Z82" i="3" s="1"/>
  <c r="Z95" i="3"/>
  <c r="X97" i="3"/>
  <c r="Z97" i="3" s="1"/>
  <c r="X104" i="3"/>
  <c r="Z104" i="3" s="1"/>
  <c r="X113" i="3"/>
  <c r="Z113" i="3" s="1"/>
  <c r="L115" i="3"/>
  <c r="N115" i="3" s="1"/>
  <c r="N117" i="3"/>
  <c r="Z120" i="3"/>
  <c r="X122" i="3"/>
  <c r="Z122" i="3" s="1"/>
  <c r="L124" i="3"/>
  <c r="Z131" i="3"/>
  <c r="Z230" i="3"/>
  <c r="N237" i="3"/>
  <c r="X43" i="9"/>
  <c r="Z43" i="9" s="1"/>
  <c r="Z18" i="12"/>
  <c r="T12" i="15"/>
  <c r="N41" i="3"/>
  <c r="X54" i="3"/>
  <c r="Z54" i="3" s="1"/>
  <c r="N59" i="3"/>
  <c r="N73" i="3"/>
  <c r="X92" i="3"/>
  <c r="Z92" i="3" s="1"/>
  <c r="N101" i="3"/>
  <c r="X106" i="3"/>
  <c r="N108" i="3"/>
  <c r="L133" i="3"/>
  <c r="N133" i="3" s="1"/>
  <c r="Z312" i="3"/>
  <c r="R24" i="6"/>
  <c r="R31" i="6"/>
  <c r="R29" i="6"/>
  <c r="R28" i="6"/>
  <c r="R26" i="6"/>
  <c r="X12" i="6"/>
  <c r="R22" i="6"/>
  <c r="R20" i="6"/>
  <c r="R18" i="6"/>
  <c r="R16" i="6"/>
  <c r="R14" i="6"/>
  <c r="P16" i="6"/>
  <c r="T16" i="6"/>
  <c r="N25" i="12"/>
  <c r="L25" i="12"/>
  <c r="N81" i="3"/>
  <c r="F81" i="9"/>
  <c r="F80" i="9"/>
  <c r="F52" i="9"/>
  <c r="F51" i="9"/>
  <c r="F40" i="9"/>
  <c r="F39" i="9"/>
  <c r="F79" i="9"/>
  <c r="F75" i="9"/>
  <c r="F74" i="9"/>
  <c r="F67" i="9"/>
  <c r="F35" i="9"/>
  <c r="F95" i="9"/>
  <c r="F86" i="9"/>
  <c r="F85" i="9"/>
  <c r="F62" i="9"/>
  <c r="F54" i="9"/>
  <c r="F53" i="9"/>
  <c r="F42" i="9"/>
  <c r="F41" i="9"/>
  <c r="F30" i="9"/>
  <c r="F26" i="9"/>
  <c r="F22" i="9"/>
  <c r="F98" i="9"/>
  <c r="F76" i="9"/>
  <c r="F68" i="9"/>
  <c r="F44" i="9"/>
  <c r="F43" i="9"/>
  <c r="F36" i="9"/>
  <c r="F32" i="9"/>
  <c r="F31" i="9"/>
  <c r="L12" i="9"/>
  <c r="F63" i="9"/>
  <c r="F55" i="9"/>
  <c r="F27" i="9"/>
  <c r="F23" i="9"/>
  <c r="F87" i="9"/>
  <c r="F70" i="9"/>
  <c r="F69" i="9"/>
  <c r="F46" i="9"/>
  <c r="F45" i="9"/>
  <c r="F77" i="9"/>
  <c r="F57" i="9"/>
  <c r="F56" i="9"/>
  <c r="F37" i="9"/>
  <c r="F33" i="9"/>
  <c r="F82" i="9"/>
  <c r="F64" i="9"/>
  <c r="F48" i="9"/>
  <c r="F47" i="9"/>
  <c r="F28" i="9"/>
  <c r="F24" i="9"/>
  <c r="F20" i="9"/>
  <c r="F19" i="9"/>
  <c r="F78" i="9"/>
  <c r="F66" i="9"/>
  <c r="F65" i="9"/>
  <c r="F50" i="9"/>
  <c r="F49" i="9"/>
  <c r="F38" i="9"/>
  <c r="F34" i="9"/>
  <c r="D16" i="9"/>
  <c r="F93" i="9"/>
  <c r="F84" i="9"/>
  <c r="F83" i="9"/>
  <c r="F73" i="9"/>
  <c r="F72" i="9"/>
  <c r="F61" i="9"/>
  <c r="F60" i="9"/>
  <c r="F29" i="9"/>
  <c r="F25" i="9"/>
  <c r="F21" i="9"/>
  <c r="Z41" i="9"/>
  <c r="L65" i="9"/>
  <c r="N65" i="9" s="1"/>
  <c r="Z33" i="12"/>
  <c r="L104" i="12"/>
  <c r="N104" i="12" s="1"/>
  <c r="N15" i="15"/>
  <c r="X18" i="3"/>
  <c r="Z18" i="3" s="1"/>
  <c r="L31" i="3"/>
  <c r="N31" i="3" s="1"/>
  <c r="L47" i="3"/>
  <c r="N47" i="3" s="1"/>
  <c r="L53" i="3"/>
  <c r="N53" i="3" s="1"/>
  <c r="Z68" i="3"/>
  <c r="N91" i="3"/>
  <c r="X101" i="3"/>
  <c r="Z101" i="3" s="1"/>
  <c r="N103" i="3"/>
  <c r="X108" i="3"/>
  <c r="Z115" i="3"/>
  <c r="L119" i="3"/>
  <c r="N119" i="3" s="1"/>
  <c r="N244" i="3"/>
  <c r="L289" i="3"/>
  <c r="P292" i="3"/>
  <c r="X292" i="3" s="1"/>
  <c r="X301" i="3"/>
  <c r="Z301" i="3" s="1"/>
  <c r="F16" i="9"/>
  <c r="N19" i="9"/>
  <c r="N19" i="12"/>
  <c r="Z70" i="12"/>
  <c r="L44" i="3"/>
  <c r="N67" i="3"/>
  <c r="X35" i="3"/>
  <c r="N56" i="3"/>
  <c r="Z65" i="3"/>
  <c r="Z79" i="3"/>
  <c r="Z84" i="3"/>
  <c r="L96" i="3"/>
  <c r="Z108" i="3"/>
  <c r="N289" i="3"/>
  <c r="F91" i="9"/>
  <c r="Z32" i="3"/>
  <c r="L81" i="3"/>
  <c r="N37" i="3"/>
  <c r="L64" i="3"/>
  <c r="N64" i="3" s="1"/>
  <c r="N75" i="3"/>
  <c r="N83" i="3"/>
  <c r="N93" i="3"/>
  <c r="L105" i="3"/>
  <c r="N105" i="3" s="1"/>
  <c r="L112" i="3"/>
  <c r="N112" i="3" s="1"/>
  <c r="N123" i="3"/>
  <c r="L123" i="3"/>
  <c r="N195" i="3"/>
  <c r="N280" i="3"/>
  <c r="D292" i="3"/>
  <c r="L292" i="3" s="1"/>
  <c r="N292" i="3" s="1"/>
  <c r="N298" i="3"/>
  <c r="Z60" i="9"/>
  <c r="Z48" i="3"/>
  <c r="X51" i="3"/>
  <c r="Z51" i="3" s="1"/>
  <c r="X59" i="3"/>
  <c r="Z59" i="3" s="1"/>
  <c r="Z28" i="3"/>
  <c r="X34" i="3"/>
  <c r="Z34" i="3" s="1"/>
  <c r="Z44" i="3"/>
  <c r="X50" i="3"/>
  <c r="Z50" i="3" s="1"/>
  <c r="N55" i="3"/>
  <c r="Z56" i="3"/>
  <c r="N69" i="3"/>
  <c r="L93" i="3"/>
  <c r="X96" i="3"/>
  <c r="Z96" i="3" s="1"/>
  <c r="X105" i="3"/>
  <c r="Z105" i="3" s="1"/>
  <c r="X112" i="3"/>
  <c r="Z112" i="3" s="1"/>
  <c r="N116" i="3"/>
  <c r="Z119" i="3"/>
  <c r="L125" i="3"/>
  <c r="L214" i="3"/>
  <c r="N214" i="3" s="1"/>
  <c r="Z257" i="3"/>
  <c r="X280" i="3"/>
  <c r="Z280" i="3" s="1"/>
  <c r="L295" i="3"/>
  <c r="L49" i="9"/>
  <c r="N49" i="9" s="1"/>
  <c r="Z38" i="12"/>
  <c r="X294" i="3"/>
  <c r="Z294" i="3" s="1"/>
  <c r="Z14" i="9"/>
  <c r="Z18" i="9"/>
  <c r="V32" i="9"/>
  <c r="V36" i="9"/>
  <c r="J40" i="9"/>
  <c r="V44" i="9"/>
  <c r="J52" i="9"/>
  <c r="V56" i="9"/>
  <c r="V68" i="9"/>
  <c r="J74" i="9"/>
  <c r="V76" i="9"/>
  <c r="L15" i="12"/>
  <c r="N15" i="12" s="1"/>
  <c r="L23" i="12"/>
  <c r="N23" i="12" s="1"/>
  <c r="N28" i="12"/>
  <c r="N33" i="12"/>
  <c r="Z39" i="12"/>
  <c r="X41" i="12"/>
  <c r="Z41" i="12" s="1"/>
  <c r="X46" i="12"/>
  <c r="Z46" i="12" s="1"/>
  <c r="Z59" i="12"/>
  <c r="N65" i="12"/>
  <c r="X74" i="12"/>
  <c r="Z74" i="12" s="1"/>
  <c r="N80" i="12"/>
  <c r="N197" i="12"/>
  <c r="Z242" i="12"/>
  <c r="N245" i="12"/>
  <c r="Z59" i="15"/>
  <c r="Z157" i="15"/>
  <c r="Z207" i="15"/>
  <c r="J21" i="9"/>
  <c r="R22" i="9"/>
  <c r="J25" i="9"/>
  <c r="R26" i="9"/>
  <c r="J29" i="9"/>
  <c r="R30" i="9"/>
  <c r="R31" i="9"/>
  <c r="J39" i="9"/>
  <c r="R42" i="9"/>
  <c r="R43" i="9"/>
  <c r="V45" i="9"/>
  <c r="J51" i="9"/>
  <c r="R54" i="9"/>
  <c r="J61" i="9"/>
  <c r="R62" i="9"/>
  <c r="V69" i="9"/>
  <c r="J73" i="9"/>
  <c r="R80" i="9"/>
  <c r="J84" i="9"/>
  <c r="R86" i="9"/>
  <c r="J93" i="9"/>
  <c r="R98" i="9"/>
  <c r="H12" i="12"/>
  <c r="X18" i="12"/>
  <c r="Z36" i="12"/>
  <c r="N48" i="12"/>
  <c r="N53" i="12"/>
  <c r="N67" i="12"/>
  <c r="X78" i="12"/>
  <c r="Z78" i="12" s="1"/>
  <c r="N84" i="12"/>
  <c r="N88" i="12"/>
  <c r="N92" i="12"/>
  <c r="N100" i="12"/>
  <c r="L210" i="12"/>
  <c r="N210" i="12" s="1"/>
  <c r="N214" i="12"/>
  <c r="Z231" i="12"/>
  <c r="Z260" i="12"/>
  <c r="Z20" i="15"/>
  <c r="X24" i="15"/>
  <c r="Z24" i="15" s="1"/>
  <c r="X28" i="15"/>
  <c r="X32" i="15"/>
  <c r="Z32" i="15" s="1"/>
  <c r="X36" i="15"/>
  <c r="Z36" i="15" s="1"/>
  <c r="X40" i="15"/>
  <c r="Z40" i="15" s="1"/>
  <c r="Z63" i="15"/>
  <c r="Z203" i="15"/>
  <c r="Z251" i="15"/>
  <c r="V14" i="6"/>
  <c r="V16" i="6"/>
  <c r="V18" i="6"/>
  <c r="V20" i="6"/>
  <c r="V22" i="6"/>
  <c r="H16" i="9"/>
  <c r="R40" i="9"/>
  <c r="R41" i="9"/>
  <c r="J49" i="9"/>
  <c r="R52" i="9"/>
  <c r="R53" i="9"/>
  <c r="J59" i="9"/>
  <c r="J65" i="9"/>
  <c r="J71" i="9"/>
  <c r="R85" i="9"/>
  <c r="J91" i="9"/>
  <c r="V98" i="9"/>
  <c r="P12" i="12"/>
  <c r="N17" i="12"/>
  <c r="Z28" i="12"/>
  <c r="N45" i="12"/>
  <c r="Z56" i="12"/>
  <c r="Z65" i="12"/>
  <c r="Z80" i="12"/>
  <c r="L162" i="12"/>
  <c r="X216" i="12"/>
  <c r="R246" i="15"/>
  <c r="R231" i="15"/>
  <c r="R227" i="15"/>
  <c r="R253" i="15"/>
  <c r="R244" i="15"/>
  <c r="R210" i="15"/>
  <c r="R199" i="15"/>
  <c r="R198" i="15"/>
  <c r="R174" i="15"/>
  <c r="R170" i="15"/>
  <c r="R258" i="15"/>
  <c r="R221" i="15"/>
  <c r="R190" i="15"/>
  <c r="R189" i="15"/>
  <c r="R182" i="15"/>
  <c r="R181" i="15"/>
  <c r="R165" i="15"/>
  <c r="R161" i="15"/>
  <c r="R235" i="15"/>
  <c r="R216" i="15"/>
  <c r="R201" i="15"/>
  <c r="R200" i="15"/>
  <c r="R152" i="15"/>
  <c r="R148" i="15"/>
  <c r="R144" i="15"/>
  <c r="R140" i="15"/>
  <c r="R136" i="15"/>
  <c r="R132" i="15"/>
  <c r="R128" i="15"/>
  <c r="R124" i="15"/>
  <c r="R120" i="15"/>
  <c r="R116" i="15"/>
  <c r="R112" i="15"/>
  <c r="R108" i="15"/>
  <c r="R247" i="15"/>
  <c r="R241" i="15"/>
  <c r="R211" i="15"/>
  <c r="R192" i="15"/>
  <c r="R191" i="15"/>
  <c r="R184" i="15"/>
  <c r="R183" i="15"/>
  <c r="R175" i="15"/>
  <c r="R171" i="15"/>
  <c r="R252" i="15"/>
  <c r="R251" i="15"/>
  <c r="R249" i="15"/>
  <c r="R248" i="15"/>
  <c r="R228" i="15"/>
  <c r="R223" i="15"/>
  <c r="R222" i="15"/>
  <c r="R203" i="15"/>
  <c r="R202" i="15"/>
  <c r="R166" i="15"/>
  <c r="R162" i="15"/>
  <c r="R254" i="15"/>
  <c r="R250" i="15"/>
  <c r="R218" i="15"/>
  <c r="R217" i="15"/>
  <c r="R194" i="15"/>
  <c r="R193" i="15"/>
  <c r="R185" i="15"/>
  <c r="R158" i="15"/>
  <c r="R153" i="15"/>
  <c r="R149" i="15"/>
  <c r="R145" i="15"/>
  <c r="R141" i="15"/>
  <c r="R137" i="15"/>
  <c r="R133" i="15"/>
  <c r="R129" i="15"/>
  <c r="R125" i="15"/>
  <c r="R121" i="15"/>
  <c r="R117" i="15"/>
  <c r="R113" i="15"/>
  <c r="R109" i="15"/>
  <c r="R237" i="15"/>
  <c r="R236" i="15"/>
  <c r="R232" i="15"/>
  <c r="R224" i="15"/>
  <c r="R212" i="15"/>
  <c r="R205" i="15"/>
  <c r="R204" i="15"/>
  <c r="R177" i="15"/>
  <c r="R176" i="15"/>
  <c r="R172" i="15"/>
  <c r="R157" i="15"/>
  <c r="R155" i="15"/>
  <c r="R105" i="15"/>
  <c r="R242" i="15"/>
  <c r="R229" i="15"/>
  <c r="R219" i="15"/>
  <c r="R196" i="15"/>
  <c r="R195" i="15"/>
  <c r="R167" i="15"/>
  <c r="R163" i="15"/>
  <c r="R159" i="15"/>
  <c r="P155" i="15"/>
  <c r="R243" i="15"/>
  <c r="R238" i="15"/>
  <c r="R207" i="15"/>
  <c r="R206" i="15"/>
  <c r="R187" i="15"/>
  <c r="R186" i="15"/>
  <c r="R179" i="15"/>
  <c r="R178" i="15"/>
  <c r="R150" i="15"/>
  <c r="R146" i="15"/>
  <c r="R142" i="15"/>
  <c r="R138" i="15"/>
  <c r="R134" i="15"/>
  <c r="R130" i="15"/>
  <c r="R126" i="15"/>
  <c r="R122" i="15"/>
  <c r="R118" i="15"/>
  <c r="R114" i="15"/>
  <c r="R110" i="15"/>
  <c r="R106" i="15"/>
  <c r="R233" i="15"/>
  <c r="R226" i="15"/>
  <c r="R220" i="15"/>
  <c r="R209" i="15"/>
  <c r="R208" i="15"/>
  <c r="R188" i="15"/>
  <c r="R180" i="15"/>
  <c r="R169" i="15"/>
  <c r="R168" i="15"/>
  <c r="R164" i="15"/>
  <c r="R160" i="15"/>
  <c r="R240" i="15"/>
  <c r="R234" i="15"/>
  <c r="R230" i="15"/>
  <c r="R215" i="15"/>
  <c r="R151" i="15"/>
  <c r="R147" i="15"/>
  <c r="R143" i="15"/>
  <c r="R139" i="15"/>
  <c r="R135" i="15"/>
  <c r="R131" i="15"/>
  <c r="R127" i="15"/>
  <c r="R123" i="15"/>
  <c r="R119" i="15"/>
  <c r="R115" i="15"/>
  <c r="R111" i="15"/>
  <c r="R107" i="15"/>
  <c r="Z44" i="15"/>
  <c r="Z48" i="15"/>
  <c r="X52" i="15"/>
  <c r="Z52" i="15" s="1"/>
  <c r="Z84" i="15"/>
  <c r="Z100" i="15"/>
  <c r="Z105" i="15"/>
  <c r="N169" i="15"/>
  <c r="J14" i="9"/>
  <c r="J16" i="9"/>
  <c r="J18" i="9"/>
  <c r="J20" i="9"/>
  <c r="R21" i="9"/>
  <c r="J24" i="9"/>
  <c r="R25" i="9"/>
  <c r="J28" i="9"/>
  <c r="R29" i="9"/>
  <c r="J48" i="9"/>
  <c r="J58" i="9"/>
  <c r="R61" i="9"/>
  <c r="J64" i="9"/>
  <c r="R73" i="9"/>
  <c r="R74" i="9"/>
  <c r="J82" i="9"/>
  <c r="R84" i="9"/>
  <c r="J89" i="9"/>
  <c r="R93" i="9"/>
  <c r="V95" i="9"/>
  <c r="T12" i="12"/>
  <c r="Z23" i="12"/>
  <c r="X25" i="12"/>
  <c r="Z25" i="12" s="1"/>
  <c r="X30" i="12"/>
  <c r="Z30" i="12" s="1"/>
  <c r="L40" i="12"/>
  <c r="N40" i="12" s="1"/>
  <c r="L45" i="12"/>
  <c r="Z48" i="12"/>
  <c r="L60" i="12"/>
  <c r="N60" i="12" s="1"/>
  <c r="X69" i="12"/>
  <c r="N73" i="12"/>
  <c r="N162" i="12"/>
  <c r="L182" i="12"/>
  <c r="N182" i="12" s="1"/>
  <c r="N184" i="12"/>
  <c r="Z216" i="12"/>
  <c r="N19" i="15"/>
  <c r="Z194" i="15"/>
  <c r="N199" i="15"/>
  <c r="L250" i="15"/>
  <c r="L252" i="15"/>
  <c r="N252" i="15" s="1"/>
  <c r="Z20" i="12"/>
  <c r="N77" i="12"/>
  <c r="X169" i="15"/>
  <c r="Z169" i="15" s="1"/>
  <c r="L223" i="15"/>
  <c r="N223" i="15" s="1"/>
  <c r="N250" i="15"/>
  <c r="D16" i="6"/>
  <c r="J46" i="9"/>
  <c r="J56" i="9"/>
  <c r="R59" i="9"/>
  <c r="R60" i="9"/>
  <c r="J70" i="9"/>
  <c r="R71" i="9"/>
  <c r="R72" i="9"/>
  <c r="V74" i="9"/>
  <c r="V78" i="9"/>
  <c r="R82" i="9"/>
  <c r="R83" i="9"/>
  <c r="J87" i="9"/>
  <c r="L32" i="12"/>
  <c r="N32" i="12" s="1"/>
  <c r="L37" i="12"/>
  <c r="N37" i="12" s="1"/>
  <c r="Z40" i="12"/>
  <c r="L47" i="12"/>
  <c r="N47" i="12" s="1"/>
  <c r="Z60" i="12"/>
  <c r="L77" i="12"/>
  <c r="N81" i="12"/>
  <c r="Z162" i="12"/>
  <c r="N189" i="12"/>
  <c r="Z234" i="12"/>
  <c r="N43" i="15"/>
  <c r="N47" i="15"/>
  <c r="Z56" i="15"/>
  <c r="Z60" i="15"/>
  <c r="Z72" i="15"/>
  <c r="N87" i="15"/>
  <c r="N91" i="15"/>
  <c r="N95" i="15"/>
  <c r="Z158" i="15"/>
  <c r="Z199" i="15"/>
  <c r="R213" i="15"/>
  <c r="P16" i="9"/>
  <c r="R20" i="9"/>
  <c r="J23" i="9"/>
  <c r="R24" i="9"/>
  <c r="J27" i="9"/>
  <c r="R28" i="9"/>
  <c r="V39" i="9"/>
  <c r="J45" i="9"/>
  <c r="R48" i="9"/>
  <c r="R49" i="9"/>
  <c r="V51" i="9"/>
  <c r="J55" i="9"/>
  <c r="V59" i="9"/>
  <c r="J63" i="9"/>
  <c r="R64" i="9"/>
  <c r="R65" i="9"/>
  <c r="J69" i="9"/>
  <c r="V71" i="9"/>
  <c r="J81" i="9"/>
  <c r="V82" i="9"/>
  <c r="R91" i="9"/>
  <c r="D12" i="12"/>
  <c r="L19" i="12"/>
  <c r="N24" i="12"/>
  <c r="N29" i="12"/>
  <c r="Z35" i="12"/>
  <c r="X37" i="12"/>
  <c r="Z37" i="12" s="1"/>
  <c r="X42" i="12"/>
  <c r="Z42" i="12" s="1"/>
  <c r="L52" i="12"/>
  <c r="N52" i="12" s="1"/>
  <c r="L57" i="12"/>
  <c r="N57" i="12" s="1"/>
  <c r="L64" i="12"/>
  <c r="N64" i="12" s="1"/>
  <c r="Z71" i="12"/>
  <c r="Z73" i="12"/>
  <c r="X77" i="12"/>
  <c r="Z77" i="12" s="1"/>
  <c r="L81" i="12"/>
  <c r="N85" i="12"/>
  <c r="L85" i="12"/>
  <c r="L89" i="12"/>
  <c r="N89" i="12" s="1"/>
  <c r="N93" i="12"/>
  <c r="L93" i="12"/>
  <c r="L97" i="12"/>
  <c r="N97" i="12" s="1"/>
  <c r="L101" i="12"/>
  <c r="N101" i="12" s="1"/>
  <c r="N108" i="12"/>
  <c r="N174" i="12"/>
  <c r="Z204" i="12"/>
  <c r="Z206" i="12"/>
  <c r="X234" i="12"/>
  <c r="Z21" i="15"/>
  <c r="Z25" i="15"/>
  <c r="Z29" i="15"/>
  <c r="Z33" i="15"/>
  <c r="Z37" i="15"/>
  <c r="Z41" i="15"/>
  <c r="N51" i="15"/>
  <c r="N83" i="15"/>
  <c r="R197" i="15"/>
  <c r="H16" i="6"/>
  <c r="J32" i="9"/>
  <c r="J36" i="9"/>
  <c r="J44" i="9"/>
  <c r="R57" i="9"/>
  <c r="R58" i="9"/>
  <c r="J68" i="9"/>
  <c r="J76" i="9"/>
  <c r="R77" i="9"/>
  <c r="R89" i="9"/>
  <c r="N16" i="12"/>
  <c r="N44" i="12"/>
  <c r="X57" i="12"/>
  <c r="Z57" i="12" s="1"/>
  <c r="N59" i="12"/>
  <c r="X81" i="12"/>
  <c r="Z81" i="12" s="1"/>
  <c r="X85" i="12"/>
  <c r="X89" i="12"/>
  <c r="Z89" i="12" s="1"/>
  <c r="X93" i="12"/>
  <c r="Z93" i="12" s="1"/>
  <c r="L105" i="12"/>
  <c r="N105" i="12" s="1"/>
  <c r="T254" i="12"/>
  <c r="Z35" i="15"/>
  <c r="N79" i="15"/>
  <c r="Z87" i="15"/>
  <c r="Z95" i="15"/>
  <c r="Z179" i="15"/>
  <c r="Z218" i="15"/>
  <c r="T16" i="9"/>
  <c r="R19" i="9"/>
  <c r="J31" i="9"/>
  <c r="J43" i="9"/>
  <c r="R46" i="9"/>
  <c r="R47" i="9"/>
  <c r="V57" i="9"/>
  <c r="V65" i="9"/>
  <c r="R70" i="9"/>
  <c r="V77" i="9"/>
  <c r="J80" i="9"/>
  <c r="R87" i="9"/>
  <c r="V91" i="9"/>
  <c r="L16" i="12"/>
  <c r="Z27" i="12"/>
  <c r="X32" i="12"/>
  <c r="Z32" i="12" s="1"/>
  <c r="L44" i="12"/>
  <c r="L49" i="12"/>
  <c r="N49" i="12" s="1"/>
  <c r="Z52" i="12"/>
  <c r="Z64" i="12"/>
  <c r="Z85" i="12"/>
  <c r="Z97" i="12"/>
  <c r="Z101" i="12"/>
  <c r="X256" i="12"/>
  <c r="Z256" i="12" s="1"/>
  <c r="P254" i="12"/>
  <c r="X258" i="12"/>
  <c r="Z258" i="12" s="1"/>
  <c r="N59" i="15"/>
  <c r="N75" i="15"/>
  <c r="Z81" i="15"/>
  <c r="N157" i="15"/>
  <c r="N209" i="15"/>
  <c r="L247" i="15"/>
  <c r="D246" i="15"/>
  <c r="L246" i="15" s="1"/>
  <c r="N253" i="15"/>
  <c r="L253" i="15"/>
  <c r="V14" i="9"/>
  <c r="V16" i="9"/>
  <c r="V18" i="9"/>
  <c r="J22" i="9"/>
  <c r="R23" i="9"/>
  <c r="J26" i="9"/>
  <c r="R27" i="9"/>
  <c r="J30" i="9"/>
  <c r="J42" i="9"/>
  <c r="V46" i="9"/>
  <c r="J54" i="9"/>
  <c r="R55" i="9"/>
  <c r="R56" i="9"/>
  <c r="V58" i="9"/>
  <c r="J62" i="9"/>
  <c r="R63" i="9"/>
  <c r="V70" i="9"/>
  <c r="R81" i="9"/>
  <c r="J86" i="9"/>
  <c r="V87" i="9"/>
  <c r="V89" i="9"/>
  <c r="J98" i="9"/>
  <c r="X13" i="12"/>
  <c r="L21" i="12"/>
  <c r="N21" i="12" s="1"/>
  <c r="Z24" i="12"/>
  <c r="N36" i="12"/>
  <c r="N41" i="12"/>
  <c r="Z47" i="12"/>
  <c r="X49" i="12"/>
  <c r="Z49" i="12" s="1"/>
  <c r="L61" i="12"/>
  <c r="N61" i="12" s="1"/>
  <c r="X68" i="12"/>
  <c r="X70" i="12"/>
  <c r="N72" i="12"/>
  <c r="Z83" i="12"/>
  <c r="Z87" i="12"/>
  <c r="Z91" i="12"/>
  <c r="Z95" i="12"/>
  <c r="Z99" i="12"/>
  <c r="Z105" i="12"/>
  <c r="Z174" i="12"/>
  <c r="N192" i="12"/>
  <c r="N260" i="12"/>
  <c r="X16" i="15"/>
  <c r="Z53" i="15"/>
  <c r="N67" i="15"/>
  <c r="N71" i="15"/>
  <c r="Z77" i="15"/>
  <c r="V24" i="6"/>
  <c r="V26" i="6"/>
  <c r="V28" i="6"/>
  <c r="V29" i="6"/>
  <c r="X12" i="9"/>
  <c r="R32" i="9"/>
  <c r="J35" i="9"/>
  <c r="R36" i="9"/>
  <c r="J41" i="9"/>
  <c r="R44" i="9"/>
  <c r="R45" i="9"/>
  <c r="J53" i="9"/>
  <c r="V63" i="9"/>
  <c r="J67" i="9"/>
  <c r="R68" i="9"/>
  <c r="R69" i="9"/>
  <c r="J75" i="9"/>
  <c r="J79" i="9"/>
  <c r="V81" i="9"/>
  <c r="J85" i="9"/>
  <c r="Z16" i="12"/>
  <c r="Z44" i="12"/>
  <c r="Z68" i="12"/>
  <c r="N76" i="12"/>
  <c r="N262" i="12"/>
  <c r="D12" i="15"/>
  <c r="Z16" i="15"/>
  <c r="R173" i="15"/>
  <c r="L203" i="15"/>
  <c r="N203" i="15" s="1"/>
  <c r="Z209" i="15"/>
  <c r="X209" i="15"/>
  <c r="X226" i="15"/>
  <c r="Z226" i="15" s="1"/>
  <c r="N75" i="12"/>
  <c r="N79" i="12"/>
  <c r="N83" i="12"/>
  <c r="N87" i="12"/>
  <c r="N91" i="12"/>
  <c r="N95" i="12"/>
  <c r="N99" i="12"/>
  <c r="N103" i="12"/>
  <c r="L204" i="12"/>
  <c r="N204" i="12" s="1"/>
  <c r="X210" i="12"/>
  <c r="Z210" i="12" s="1"/>
  <c r="L258" i="12"/>
  <c r="N258" i="12" s="1"/>
  <c r="J250" i="15"/>
  <c r="J242" i="15"/>
  <c r="J230" i="15"/>
  <c r="J248" i="15"/>
  <c r="J244" i="15"/>
  <c r="Z14" i="15"/>
  <c r="J106" i="15"/>
  <c r="J110" i="15"/>
  <c r="J114" i="15"/>
  <c r="J118" i="15"/>
  <c r="J122" i="15"/>
  <c r="J126" i="15"/>
  <c r="J130" i="15"/>
  <c r="J134" i="15"/>
  <c r="J138" i="15"/>
  <c r="J142" i="15"/>
  <c r="J146" i="15"/>
  <c r="J150" i="15"/>
  <c r="H155" i="15"/>
  <c r="J178" i="15"/>
  <c r="J186" i="15"/>
  <c r="J196" i="15"/>
  <c r="J206" i="15"/>
  <c r="J238" i="15"/>
  <c r="J243" i="15"/>
  <c r="Z15" i="18"/>
  <c r="X15" i="18"/>
  <c r="Z43" i="18"/>
  <c r="X43" i="18"/>
  <c r="X99" i="18"/>
  <c r="Z99" i="18" s="1"/>
  <c r="J105" i="15"/>
  <c r="J157" i="15"/>
  <c r="J159" i="15"/>
  <c r="J163" i="15"/>
  <c r="J167" i="15"/>
  <c r="J177" i="15"/>
  <c r="J195" i="15"/>
  <c r="J205" i="15"/>
  <c r="J219" i="15"/>
  <c r="J229" i="15"/>
  <c r="J237" i="15"/>
  <c r="X19" i="18"/>
  <c r="Z19" i="18" s="1"/>
  <c r="Z21" i="18"/>
  <c r="X23" i="18"/>
  <c r="Z23" i="18" s="1"/>
  <c r="Z25" i="18"/>
  <c r="Z27" i="18"/>
  <c r="X27" i="18"/>
  <c r="Z29" i="18"/>
  <c r="Z31" i="18"/>
  <c r="X31" i="18"/>
  <c r="Z33" i="18"/>
  <c r="X35" i="18"/>
  <c r="Z35" i="18" s="1"/>
  <c r="Z37" i="18"/>
  <c r="X39" i="18"/>
  <c r="Z39" i="18" s="1"/>
  <c r="N52" i="18"/>
  <c r="Z68" i="18"/>
  <c r="N81" i="18"/>
  <c r="Z93" i="18"/>
  <c r="Z95" i="18"/>
  <c r="X95" i="18"/>
  <c r="Z116" i="18"/>
  <c r="J109" i="15"/>
  <c r="J113" i="15"/>
  <c r="J117" i="15"/>
  <c r="J121" i="15"/>
  <c r="J125" i="15"/>
  <c r="J129" i="15"/>
  <c r="J133" i="15"/>
  <c r="J137" i="15"/>
  <c r="J141" i="15"/>
  <c r="J145" i="15"/>
  <c r="J149" i="15"/>
  <c r="J153" i="15"/>
  <c r="J185" i="15"/>
  <c r="J193" i="15"/>
  <c r="J203" i="15"/>
  <c r="J217" i="15"/>
  <c r="J223" i="15"/>
  <c r="J236" i="15"/>
  <c r="J251" i="15"/>
  <c r="J252" i="15"/>
  <c r="J253" i="15"/>
  <c r="N16" i="18"/>
  <c r="X52" i="18"/>
  <c r="Z56" i="18"/>
  <c r="Z60" i="18"/>
  <c r="Z81" i="18"/>
  <c r="Z85" i="18"/>
  <c r="X87" i="18"/>
  <c r="Z87" i="18" s="1"/>
  <c r="N121" i="18"/>
  <c r="N271" i="18"/>
  <c r="J162" i="15"/>
  <c r="J166" i="15"/>
  <c r="J184" i="15"/>
  <c r="J192" i="15"/>
  <c r="J202" i="15"/>
  <c r="J222" i="15"/>
  <c r="J228" i="15"/>
  <c r="J249" i="15"/>
  <c r="Z52" i="18"/>
  <c r="X79" i="18"/>
  <c r="Z79" i="18" s="1"/>
  <c r="Z83" i="18"/>
  <c r="X83" i="18"/>
  <c r="J171" i="15"/>
  <c r="J175" i="15"/>
  <c r="J183" i="15"/>
  <c r="J191" i="15"/>
  <c r="J201" i="15"/>
  <c r="J211" i="15"/>
  <c r="J241" i="15"/>
  <c r="H246" i="15"/>
  <c r="J247" i="15"/>
  <c r="X14" i="18"/>
  <c r="X16" i="18"/>
  <c r="Z16" i="18" s="1"/>
  <c r="X44" i="18"/>
  <c r="Z48" i="18"/>
  <c r="Z73" i="18"/>
  <c r="X75" i="18"/>
  <c r="Z75" i="18" s="1"/>
  <c r="Z104" i="18"/>
  <c r="N113" i="18"/>
  <c r="Z121" i="18"/>
  <c r="H254" i="12"/>
  <c r="J108" i="15"/>
  <c r="J112" i="15"/>
  <c r="J116" i="15"/>
  <c r="J120" i="15"/>
  <c r="J124" i="15"/>
  <c r="J128" i="15"/>
  <c r="J132" i="15"/>
  <c r="J136" i="15"/>
  <c r="J140" i="15"/>
  <c r="J144" i="15"/>
  <c r="J148" i="15"/>
  <c r="J152" i="15"/>
  <c r="J182" i="15"/>
  <c r="J190" i="15"/>
  <c r="J200" i="15"/>
  <c r="J216" i="15"/>
  <c r="J231" i="15"/>
  <c r="J235" i="15"/>
  <c r="J246" i="15"/>
  <c r="X253" i="15"/>
  <c r="Z253" i="15" s="1"/>
  <c r="T12" i="18"/>
  <c r="Z14" i="18"/>
  <c r="X18" i="18"/>
  <c r="X20" i="18"/>
  <c r="X24" i="18"/>
  <c r="Z24" i="18" s="1"/>
  <c r="X28" i="18"/>
  <c r="X32" i="18"/>
  <c r="Z32" i="18" s="1"/>
  <c r="X36" i="18"/>
  <c r="Z36" i="18" s="1"/>
  <c r="X40" i="18"/>
  <c r="Z44" i="18"/>
  <c r="N55" i="18"/>
  <c r="N59" i="18"/>
  <c r="Z71" i="18"/>
  <c r="X71" i="18"/>
  <c r="J161" i="15"/>
  <c r="J165" i="15"/>
  <c r="J181" i="15"/>
  <c r="J189" i="15"/>
  <c r="J199" i="15"/>
  <c r="J221" i="15"/>
  <c r="Z254" i="15"/>
  <c r="J258" i="15"/>
  <c r="Z18" i="18"/>
  <c r="Z20" i="18"/>
  <c r="Z28" i="18"/>
  <c r="Z40" i="18"/>
  <c r="X67" i="18"/>
  <c r="Z67" i="18" s="1"/>
  <c r="Z96" i="18"/>
  <c r="N109" i="18"/>
  <c r="N221" i="18"/>
  <c r="X15" i="15"/>
  <c r="Z15" i="15" s="1"/>
  <c r="X19" i="15"/>
  <c r="Z19" i="15" s="1"/>
  <c r="X23" i="15"/>
  <c r="Z23" i="15" s="1"/>
  <c r="X27" i="15"/>
  <c r="Z27" i="15" s="1"/>
  <c r="X31" i="15"/>
  <c r="Z31" i="15" s="1"/>
  <c r="X35" i="15"/>
  <c r="X39" i="15"/>
  <c r="Z39" i="15" s="1"/>
  <c r="X43" i="15"/>
  <c r="Z43" i="15" s="1"/>
  <c r="X47" i="15"/>
  <c r="Z47" i="15" s="1"/>
  <c r="X51" i="15"/>
  <c r="Z51" i="15" s="1"/>
  <c r="X55" i="15"/>
  <c r="Z55" i="15" s="1"/>
  <c r="X59" i="15"/>
  <c r="X63" i="15"/>
  <c r="X67" i="15"/>
  <c r="Z67" i="15" s="1"/>
  <c r="X71" i="15"/>
  <c r="Z71" i="15" s="1"/>
  <c r="X75" i="15"/>
  <c r="Z75" i="15" s="1"/>
  <c r="X79" i="15"/>
  <c r="Z79" i="15" s="1"/>
  <c r="X83" i="15"/>
  <c r="Z83" i="15" s="1"/>
  <c r="X87" i="15"/>
  <c r="X91" i="15"/>
  <c r="Z91" i="15" s="1"/>
  <c r="X95" i="15"/>
  <c r="J170" i="15"/>
  <c r="J174" i="15"/>
  <c r="J198" i="15"/>
  <c r="J210" i="15"/>
  <c r="J227" i="15"/>
  <c r="J234" i="15"/>
  <c r="Z252" i="15"/>
  <c r="F273" i="18"/>
  <c r="F272" i="18"/>
  <c r="F263" i="18"/>
  <c r="F262" i="18"/>
  <c r="F265" i="18"/>
  <c r="F264" i="18"/>
  <c r="F257" i="18"/>
  <c r="F253" i="18"/>
  <c r="F285" i="18"/>
  <c r="F280" i="18"/>
  <c r="F278" i="18"/>
  <c r="F249" i="18"/>
  <c r="F248" i="18"/>
  <c r="F279" i="18"/>
  <c r="F218" i="18"/>
  <c r="F217" i="18"/>
  <c r="F210" i="18"/>
  <c r="F209" i="18"/>
  <c r="F178" i="18"/>
  <c r="F174" i="18"/>
  <c r="F170" i="18"/>
  <c r="F166" i="18"/>
  <c r="F162" i="18"/>
  <c r="F158" i="18"/>
  <c r="F154" i="18"/>
  <c r="F150" i="18"/>
  <c r="F146" i="18"/>
  <c r="F142" i="18"/>
  <c r="F138" i="18"/>
  <c r="F134" i="18"/>
  <c r="F130" i="18"/>
  <c r="F126" i="18"/>
  <c r="F275" i="18"/>
  <c r="F255" i="18"/>
  <c r="F246" i="18"/>
  <c r="F242" i="18"/>
  <c r="F237" i="18"/>
  <c r="F229" i="18"/>
  <c r="F228" i="18"/>
  <c r="F201" i="18"/>
  <c r="F197" i="18"/>
  <c r="F258" i="18"/>
  <c r="F220" i="18"/>
  <c r="F219" i="18"/>
  <c r="F192" i="18"/>
  <c r="F188" i="18"/>
  <c r="F184" i="18"/>
  <c r="F183" i="18"/>
  <c r="F276" i="18"/>
  <c r="F271" i="18"/>
  <c r="F267" i="18"/>
  <c r="F261" i="18"/>
  <c r="F231" i="18"/>
  <c r="F230" i="18"/>
  <c r="F211" i="18"/>
  <c r="F203" i="18"/>
  <c r="F202" i="18"/>
  <c r="F182" i="18"/>
  <c r="F175" i="18"/>
  <c r="F171" i="18"/>
  <c r="F167" i="18"/>
  <c r="F163" i="18"/>
  <c r="F159" i="18"/>
  <c r="F155" i="18"/>
  <c r="F151" i="18"/>
  <c r="F147" i="18"/>
  <c r="F143" i="18"/>
  <c r="F139" i="18"/>
  <c r="F135" i="18"/>
  <c r="F131" i="18"/>
  <c r="F127" i="18"/>
  <c r="F244" i="18"/>
  <c r="F243" i="18"/>
  <c r="F238" i="18"/>
  <c r="F222" i="18"/>
  <c r="F221" i="18"/>
  <c r="F198" i="18"/>
  <c r="D180" i="18"/>
  <c r="F180" i="18" s="1"/>
  <c r="F281" i="18"/>
  <c r="F256" i="18"/>
  <c r="F250" i="18"/>
  <c r="F233" i="18"/>
  <c r="F232" i="18"/>
  <c r="F213" i="18"/>
  <c r="F212" i="18"/>
  <c r="F205" i="18"/>
  <c r="F204" i="18"/>
  <c r="F193" i="18"/>
  <c r="F189" i="18"/>
  <c r="F185" i="18"/>
  <c r="F268" i="18"/>
  <c r="F247" i="18"/>
  <c r="F240" i="18"/>
  <c r="F239" i="18"/>
  <c r="F176" i="18"/>
  <c r="F172" i="18"/>
  <c r="F168" i="18"/>
  <c r="F164" i="18"/>
  <c r="F160" i="18"/>
  <c r="F156" i="18"/>
  <c r="F152" i="18"/>
  <c r="F148" i="18"/>
  <c r="F144" i="18"/>
  <c r="F140" i="18"/>
  <c r="F136" i="18"/>
  <c r="F132" i="18"/>
  <c r="F128" i="18"/>
  <c r="F124" i="18"/>
  <c r="F123" i="18"/>
  <c r="F277" i="18"/>
  <c r="F259" i="18"/>
  <c r="F254" i="18"/>
  <c r="F235" i="18"/>
  <c r="F234" i="18"/>
  <c r="F223" i="18"/>
  <c r="F199" i="18"/>
  <c r="F195" i="18"/>
  <c r="F194" i="18"/>
  <c r="F260" i="18"/>
  <c r="F214" i="18"/>
  <c r="F206" i="18"/>
  <c r="F190" i="18"/>
  <c r="F186" i="18"/>
  <c r="F266" i="18"/>
  <c r="F251" i="18"/>
  <c r="F245" i="18"/>
  <c r="F225" i="18"/>
  <c r="F224" i="18"/>
  <c r="F177" i="18"/>
  <c r="F173" i="18"/>
  <c r="F169" i="18"/>
  <c r="F165" i="18"/>
  <c r="F161" i="18"/>
  <c r="F157" i="18"/>
  <c r="F153" i="18"/>
  <c r="F149" i="18"/>
  <c r="F145" i="18"/>
  <c r="F141" i="18"/>
  <c r="F137" i="18"/>
  <c r="F133" i="18"/>
  <c r="F129" i="18"/>
  <c r="F125" i="18"/>
  <c r="F274" i="18"/>
  <c r="F269" i="18"/>
  <c r="F252" i="18"/>
  <c r="F241" i="18"/>
  <c r="F236" i="18"/>
  <c r="F216" i="18"/>
  <c r="F215" i="18"/>
  <c r="F208" i="18"/>
  <c r="F207" i="18"/>
  <c r="F200" i="18"/>
  <c r="F196" i="18"/>
  <c r="F227" i="18"/>
  <c r="F226" i="18"/>
  <c r="F191" i="18"/>
  <c r="F187" i="18"/>
  <c r="N47" i="18"/>
  <c r="N49" i="18"/>
  <c r="X53" i="18"/>
  <c r="Z57" i="18"/>
  <c r="Z61" i="18"/>
  <c r="X63" i="18"/>
  <c r="Z63" i="18" s="1"/>
  <c r="Z92" i="18"/>
  <c r="N105" i="18"/>
  <c r="Z115" i="18"/>
  <c r="Z182" i="18"/>
  <c r="N204" i="18"/>
  <c r="Z228" i="18"/>
  <c r="J107" i="15"/>
  <c r="J111" i="15"/>
  <c r="J115" i="15"/>
  <c r="J119" i="15"/>
  <c r="J123" i="15"/>
  <c r="J127" i="15"/>
  <c r="J131" i="15"/>
  <c r="J135" i="15"/>
  <c r="J139" i="15"/>
  <c r="J143" i="15"/>
  <c r="J147" i="15"/>
  <c r="J151" i="15"/>
  <c r="J169" i="15"/>
  <c r="J209" i="15"/>
  <c r="J215" i="15"/>
  <c r="N226" i="15"/>
  <c r="J240" i="15"/>
  <c r="T246" i="15"/>
  <c r="N15" i="18"/>
  <c r="N17" i="18"/>
  <c r="Z53" i="18"/>
  <c r="Z55" i="18"/>
  <c r="X55" i="18"/>
  <c r="Z59" i="18"/>
  <c r="X59" i="18"/>
  <c r="Z88" i="18"/>
  <c r="N101" i="18"/>
  <c r="Z109" i="18"/>
  <c r="Z209" i="18"/>
  <c r="J160" i="15"/>
  <c r="J164" i="15"/>
  <c r="J168" i="15"/>
  <c r="J180" i="15"/>
  <c r="J188" i="15"/>
  <c r="J208" i="15"/>
  <c r="J214" i="15"/>
  <c r="J220" i="15"/>
  <c r="J226" i="15"/>
  <c r="J233" i="15"/>
  <c r="J239" i="15"/>
  <c r="N41" i="18"/>
  <c r="Z49" i="18"/>
  <c r="Z51" i="18"/>
  <c r="X51" i="18"/>
  <c r="Z80" i="18"/>
  <c r="Z84" i="18"/>
  <c r="J173" i="15"/>
  <c r="J179" i="15"/>
  <c r="J187" i="15"/>
  <c r="J197" i="15"/>
  <c r="J207" i="15"/>
  <c r="J213" i="15"/>
  <c r="J225" i="15"/>
  <c r="R279" i="18"/>
  <c r="R285" i="18"/>
  <c r="R278" i="18"/>
  <c r="R248" i="18"/>
  <c r="R247" i="18"/>
  <c r="R276" i="18"/>
  <c r="R249" i="18"/>
  <c r="R274" i="18"/>
  <c r="R268" i="18"/>
  <c r="R267" i="18"/>
  <c r="R255" i="18"/>
  <c r="R272" i="18"/>
  <c r="R269" i="18"/>
  <c r="R262" i="18"/>
  <c r="R261" i="18"/>
  <c r="R245" i="18"/>
  <c r="R281" i="18"/>
  <c r="R258" i="18"/>
  <c r="R253" i="18"/>
  <c r="R239" i="18"/>
  <c r="R238" i="18"/>
  <c r="R222" i="18"/>
  <c r="R198" i="18"/>
  <c r="R123" i="18"/>
  <c r="R256" i="18"/>
  <c r="R244" i="18"/>
  <c r="R234" i="18"/>
  <c r="R233" i="18"/>
  <c r="R213" i="18"/>
  <c r="R205" i="18"/>
  <c r="R194" i="18"/>
  <c r="R193" i="18"/>
  <c r="R189" i="18"/>
  <c r="R185" i="18"/>
  <c r="R277" i="18"/>
  <c r="R265" i="18"/>
  <c r="R259" i="18"/>
  <c r="R250" i="18"/>
  <c r="R240" i="18"/>
  <c r="R176" i="18"/>
  <c r="R172" i="18"/>
  <c r="R168" i="18"/>
  <c r="R164" i="18"/>
  <c r="R160" i="18"/>
  <c r="R156" i="18"/>
  <c r="R152" i="18"/>
  <c r="R148" i="18"/>
  <c r="R144" i="18"/>
  <c r="R140" i="18"/>
  <c r="R136" i="18"/>
  <c r="R132" i="18"/>
  <c r="R128" i="18"/>
  <c r="R124" i="18"/>
  <c r="R251" i="18"/>
  <c r="R235" i="18"/>
  <c r="R224" i="18"/>
  <c r="R223" i="18"/>
  <c r="R199" i="18"/>
  <c r="R195" i="18"/>
  <c r="R273" i="18"/>
  <c r="R215" i="18"/>
  <c r="R214" i="18"/>
  <c r="R207" i="18"/>
  <c r="R206" i="18"/>
  <c r="R190" i="18"/>
  <c r="R186" i="18"/>
  <c r="R254" i="18"/>
  <c r="R226" i="18"/>
  <c r="R225" i="18"/>
  <c r="R177" i="18"/>
  <c r="R173" i="18"/>
  <c r="R169" i="18"/>
  <c r="R165" i="18"/>
  <c r="R161" i="18"/>
  <c r="R157" i="18"/>
  <c r="R153" i="18"/>
  <c r="R149" i="18"/>
  <c r="R145" i="18"/>
  <c r="R141" i="18"/>
  <c r="R137" i="18"/>
  <c r="R133" i="18"/>
  <c r="R129" i="18"/>
  <c r="R125" i="18"/>
  <c r="R260" i="18"/>
  <c r="R252" i="18"/>
  <c r="R241" i="18"/>
  <c r="R236" i="18"/>
  <c r="R217" i="18"/>
  <c r="R216" i="18"/>
  <c r="R209" i="18"/>
  <c r="R208" i="18"/>
  <c r="R200" i="18"/>
  <c r="R196" i="18"/>
  <c r="X12" i="18"/>
  <c r="R266" i="18"/>
  <c r="R263" i="18"/>
  <c r="R257" i="18"/>
  <c r="R228" i="18"/>
  <c r="R227" i="18"/>
  <c r="R191" i="18"/>
  <c r="R187" i="18"/>
  <c r="R275" i="18"/>
  <c r="R219" i="18"/>
  <c r="R218" i="18"/>
  <c r="R210" i="18"/>
  <c r="R183" i="18"/>
  <c r="R178" i="18"/>
  <c r="R174" i="18"/>
  <c r="R170" i="18"/>
  <c r="R166" i="18"/>
  <c r="R162" i="18"/>
  <c r="R158" i="18"/>
  <c r="R154" i="18"/>
  <c r="R150" i="18"/>
  <c r="R146" i="18"/>
  <c r="R142" i="18"/>
  <c r="R138" i="18"/>
  <c r="R134" i="18"/>
  <c r="R130" i="18"/>
  <c r="R126" i="18"/>
  <c r="R264" i="18"/>
  <c r="R242" i="18"/>
  <c r="R237" i="18"/>
  <c r="R230" i="18"/>
  <c r="R229" i="18"/>
  <c r="R202" i="18"/>
  <c r="R201" i="18"/>
  <c r="R197" i="18"/>
  <c r="R182" i="18"/>
  <c r="R246" i="18"/>
  <c r="R243" i="18"/>
  <c r="R221" i="18"/>
  <c r="R220" i="18"/>
  <c r="R192" i="18"/>
  <c r="R188" i="18"/>
  <c r="R184" i="18"/>
  <c r="P180" i="18"/>
  <c r="R280" i="18"/>
  <c r="R271" i="18"/>
  <c r="R232" i="18"/>
  <c r="R231" i="18"/>
  <c r="R212" i="18"/>
  <c r="R211" i="18"/>
  <c r="R204" i="18"/>
  <c r="R203" i="18"/>
  <c r="R175" i="18"/>
  <c r="R171" i="18"/>
  <c r="R167" i="18"/>
  <c r="R163" i="18"/>
  <c r="R159" i="18"/>
  <c r="R155" i="18"/>
  <c r="R151" i="18"/>
  <c r="R147" i="18"/>
  <c r="R143" i="18"/>
  <c r="R139" i="18"/>
  <c r="R135" i="18"/>
  <c r="R131" i="18"/>
  <c r="R127" i="18"/>
  <c r="X17" i="18"/>
  <c r="Z17" i="18" s="1"/>
  <c r="X41" i="18"/>
  <c r="Z41" i="18" s="1"/>
  <c r="Z45" i="18"/>
  <c r="X47" i="18"/>
  <c r="Z47" i="18" s="1"/>
  <c r="Z76" i="18"/>
  <c r="N93" i="18"/>
  <c r="Z101" i="18"/>
  <c r="N116" i="18"/>
  <c r="Z217" i="18"/>
  <c r="Z226" i="18"/>
  <c r="J271" i="18"/>
  <c r="J264" i="18"/>
  <c r="J246" i="18"/>
  <c r="J280" i="18"/>
  <c r="J278" i="18"/>
  <c r="J266" i="18"/>
  <c r="J258" i="18"/>
  <c r="J254" i="18"/>
  <c r="J276" i="18"/>
  <c r="J260" i="18"/>
  <c r="J244" i="18"/>
  <c r="J126" i="18"/>
  <c r="J130" i="18"/>
  <c r="J134" i="18"/>
  <c r="J138" i="18"/>
  <c r="J142" i="18"/>
  <c r="J146" i="18"/>
  <c r="J150" i="18"/>
  <c r="J154" i="18"/>
  <c r="J158" i="18"/>
  <c r="J162" i="18"/>
  <c r="J166" i="18"/>
  <c r="J170" i="18"/>
  <c r="J174" i="18"/>
  <c r="J178" i="18"/>
  <c r="J210" i="18"/>
  <c r="J218" i="18"/>
  <c r="J228" i="18"/>
  <c r="J275" i="18"/>
  <c r="N19" i="21"/>
  <c r="J41" i="21"/>
  <c r="J69" i="21"/>
  <c r="L112" i="18"/>
  <c r="N112" i="18" s="1"/>
  <c r="L116" i="18"/>
  <c r="L120" i="18"/>
  <c r="N120" i="18" s="1"/>
  <c r="J187" i="18"/>
  <c r="J191" i="18"/>
  <c r="J209" i="18"/>
  <c r="J217" i="18"/>
  <c r="J227" i="18"/>
  <c r="J257" i="18"/>
  <c r="J263" i="18"/>
  <c r="J279" i="18"/>
  <c r="Z280" i="18"/>
  <c r="N22" i="21"/>
  <c r="J114" i="24"/>
  <c r="J106" i="24"/>
  <c r="J98" i="24"/>
  <c r="J70" i="24"/>
  <c r="J66" i="24"/>
  <c r="J62" i="24"/>
  <c r="J58" i="24"/>
  <c r="J54" i="24"/>
  <c r="J50" i="24"/>
  <c r="J115" i="24"/>
  <c r="J107" i="24"/>
  <c r="J99" i="24"/>
  <c r="J89" i="24"/>
  <c r="J116" i="24"/>
  <c r="J108" i="24"/>
  <c r="J100" i="24"/>
  <c r="J90" i="24"/>
  <c r="J84" i="24"/>
  <c r="J80" i="24"/>
  <c r="J109" i="24"/>
  <c r="J101" i="24"/>
  <c r="J91" i="24"/>
  <c r="J85" i="24"/>
  <c r="J71" i="24"/>
  <c r="J67" i="24"/>
  <c r="J63" i="24"/>
  <c r="J59" i="24"/>
  <c r="J55" i="24"/>
  <c r="J51" i="24"/>
  <c r="J118" i="24"/>
  <c r="J110" i="24"/>
  <c r="J102" i="24"/>
  <c r="J92" i="24"/>
  <c r="J86" i="24"/>
  <c r="J76" i="24"/>
  <c r="J93" i="24"/>
  <c r="J81" i="24"/>
  <c r="J77" i="24"/>
  <c r="J75" i="24"/>
  <c r="J73" i="24"/>
  <c r="J122" i="24"/>
  <c r="J94" i="24"/>
  <c r="H73" i="24"/>
  <c r="J68" i="24"/>
  <c r="J64" i="24"/>
  <c r="J60" i="24"/>
  <c r="J56" i="24"/>
  <c r="J52" i="24"/>
  <c r="J111" i="24"/>
  <c r="J103" i="24"/>
  <c r="J95" i="24"/>
  <c r="J87" i="24"/>
  <c r="J104" i="24"/>
  <c r="J82" i="24"/>
  <c r="J78" i="24"/>
  <c r="J48" i="24"/>
  <c r="J105" i="24"/>
  <c r="J69" i="24"/>
  <c r="J65" i="24"/>
  <c r="J61" i="24"/>
  <c r="J57" i="24"/>
  <c r="J53" i="24"/>
  <c r="J49" i="24"/>
  <c r="J112" i="24"/>
  <c r="J96" i="24"/>
  <c r="J88" i="24"/>
  <c r="J113" i="24"/>
  <c r="J97" i="24"/>
  <c r="J83" i="24"/>
  <c r="J79" i="24"/>
  <c r="Z113" i="24"/>
  <c r="N12" i="18"/>
  <c r="X13" i="18"/>
  <c r="X123" i="18"/>
  <c r="Z123" i="18" s="1"/>
  <c r="J196" i="18"/>
  <c r="J200" i="18"/>
  <c r="J208" i="18"/>
  <c r="L209" i="18"/>
  <c r="N209" i="18" s="1"/>
  <c r="J216" i="18"/>
  <c r="L217" i="18"/>
  <c r="N217" i="18" s="1"/>
  <c r="J226" i="18"/>
  <c r="J236" i="18"/>
  <c r="X239" i="18"/>
  <c r="Z239" i="18" s="1"/>
  <c r="J241" i="18"/>
  <c r="N248" i="18"/>
  <c r="J252" i="18"/>
  <c r="J269" i="18"/>
  <c r="D12" i="21"/>
  <c r="Z27" i="24"/>
  <c r="Z29" i="24"/>
  <c r="R102" i="27"/>
  <c r="R101" i="27"/>
  <c r="R103" i="27"/>
  <c r="R105" i="27"/>
  <c r="R104" i="27"/>
  <c r="R99" i="27"/>
  <c r="R112" i="27"/>
  <c r="R111" i="27"/>
  <c r="R108" i="27"/>
  <c r="R100" i="27"/>
  <c r="R106" i="27"/>
  <c r="R94" i="27"/>
  <c r="R66" i="27"/>
  <c r="R62" i="27"/>
  <c r="R98" i="27"/>
  <c r="R86" i="27"/>
  <c r="R85" i="27"/>
  <c r="R53" i="27"/>
  <c r="R49" i="27"/>
  <c r="R45" i="27"/>
  <c r="R113" i="27"/>
  <c r="R107" i="27"/>
  <c r="R77" i="27"/>
  <c r="R76" i="27"/>
  <c r="R72" i="27"/>
  <c r="X12" i="27"/>
  <c r="R117" i="27"/>
  <c r="R110" i="27"/>
  <c r="R87" i="27"/>
  <c r="R67" i="27"/>
  <c r="R63" i="27"/>
  <c r="R79" i="27"/>
  <c r="R78" i="27"/>
  <c r="R54" i="27"/>
  <c r="R50" i="27"/>
  <c r="R46" i="27"/>
  <c r="R95" i="27"/>
  <c r="R73" i="27"/>
  <c r="R42" i="27"/>
  <c r="R89" i="27"/>
  <c r="R88" i="27"/>
  <c r="R80" i="27"/>
  <c r="R68" i="27"/>
  <c r="R64" i="27"/>
  <c r="R96" i="27"/>
  <c r="R60" i="27"/>
  <c r="R55" i="27"/>
  <c r="R51" i="27"/>
  <c r="R47" i="27"/>
  <c r="R43" i="27"/>
  <c r="R91" i="27"/>
  <c r="R90" i="27"/>
  <c r="R74" i="27"/>
  <c r="R59" i="27"/>
  <c r="R82" i="27"/>
  <c r="R81" i="27"/>
  <c r="R70" i="27"/>
  <c r="R69" i="27"/>
  <c r="R65" i="27"/>
  <c r="R61" i="27"/>
  <c r="P57" i="27"/>
  <c r="R97" i="27"/>
  <c r="R93" i="27"/>
  <c r="R92" i="27"/>
  <c r="R52" i="27"/>
  <c r="R48" i="27"/>
  <c r="R44" i="27"/>
  <c r="R84" i="27"/>
  <c r="R83" i="27"/>
  <c r="R75" i="27"/>
  <c r="R71" i="27"/>
  <c r="Z33" i="27"/>
  <c r="N42" i="27"/>
  <c r="J125" i="18"/>
  <c r="J129" i="18"/>
  <c r="J133" i="18"/>
  <c r="J137" i="18"/>
  <c r="J141" i="18"/>
  <c r="J145" i="18"/>
  <c r="J149" i="18"/>
  <c r="J153" i="18"/>
  <c r="J157" i="18"/>
  <c r="J161" i="18"/>
  <c r="J165" i="18"/>
  <c r="J169" i="18"/>
  <c r="J173" i="18"/>
  <c r="J177" i="18"/>
  <c r="J207" i="18"/>
  <c r="J215" i="18"/>
  <c r="J225" i="18"/>
  <c r="J245" i="18"/>
  <c r="J248" i="18"/>
  <c r="Z264" i="18"/>
  <c r="J273" i="18"/>
  <c r="J274" i="18"/>
  <c r="N278" i="18"/>
  <c r="X22" i="21"/>
  <c r="X62" i="21"/>
  <c r="Z62" i="21" s="1"/>
  <c r="Z64" i="21"/>
  <c r="J186" i="18"/>
  <c r="J190" i="18"/>
  <c r="J206" i="18"/>
  <c r="J214" i="18"/>
  <c r="J224" i="18"/>
  <c r="J251" i="18"/>
  <c r="P12" i="21"/>
  <c r="Z22" i="21"/>
  <c r="X182" i="18"/>
  <c r="J195" i="18"/>
  <c r="J199" i="18"/>
  <c r="J223" i="18"/>
  <c r="J235" i="18"/>
  <c r="L56" i="21"/>
  <c r="N56" i="21" s="1"/>
  <c r="N60" i="21"/>
  <c r="Z74" i="21"/>
  <c r="N101" i="24"/>
  <c r="F117" i="27"/>
  <c r="F112" i="27"/>
  <c r="F111" i="27"/>
  <c r="F103" i="27"/>
  <c r="F102" i="27"/>
  <c r="F95" i="27"/>
  <c r="F97" i="27"/>
  <c r="F96" i="27"/>
  <c r="F104" i="27"/>
  <c r="F90" i="27"/>
  <c r="F89" i="27"/>
  <c r="F74" i="27"/>
  <c r="F81" i="27"/>
  <c r="F69" i="27"/>
  <c r="F65" i="27"/>
  <c r="F61" i="27"/>
  <c r="F60" i="27"/>
  <c r="F92" i="27"/>
  <c r="F91" i="27"/>
  <c r="F59" i="27"/>
  <c r="F52" i="27"/>
  <c r="F48" i="27"/>
  <c r="F44" i="27"/>
  <c r="F100" i="27"/>
  <c r="F83" i="27"/>
  <c r="F82" i="27"/>
  <c r="F75" i="27"/>
  <c r="F71" i="27"/>
  <c r="F70" i="27"/>
  <c r="D57" i="27"/>
  <c r="F106" i="27"/>
  <c r="F94" i="27"/>
  <c r="F93" i="27"/>
  <c r="F66" i="27"/>
  <c r="F62" i="27"/>
  <c r="F98" i="27"/>
  <c r="F85" i="27"/>
  <c r="F84" i="27"/>
  <c r="F53" i="27"/>
  <c r="F49" i="27"/>
  <c r="F45" i="27"/>
  <c r="F110" i="27"/>
  <c r="F76" i="27"/>
  <c r="F72" i="27"/>
  <c r="L12" i="27"/>
  <c r="F113" i="27"/>
  <c r="F107" i="27"/>
  <c r="F87" i="27"/>
  <c r="F86" i="27"/>
  <c r="F67" i="27"/>
  <c r="F63" i="27"/>
  <c r="F99" i="27"/>
  <c r="F78" i="27"/>
  <c r="F77" i="27"/>
  <c r="F54" i="27"/>
  <c r="F50" i="27"/>
  <c r="F46" i="27"/>
  <c r="F73" i="27"/>
  <c r="F108" i="27"/>
  <c r="F101" i="27"/>
  <c r="F88" i="27"/>
  <c r="F80" i="27"/>
  <c r="F79" i="27"/>
  <c r="F68" i="27"/>
  <c r="F64" i="27"/>
  <c r="F105" i="27"/>
  <c r="F55" i="27"/>
  <c r="F51" i="27"/>
  <c r="F47" i="27"/>
  <c r="F43" i="27"/>
  <c r="F42" i="27"/>
  <c r="Z28" i="27"/>
  <c r="Z60" i="27"/>
  <c r="J124" i="18"/>
  <c r="J128" i="18"/>
  <c r="J132" i="18"/>
  <c r="J136" i="18"/>
  <c r="J140" i="18"/>
  <c r="J144" i="18"/>
  <c r="J148" i="18"/>
  <c r="J152" i="18"/>
  <c r="J156" i="18"/>
  <c r="J160" i="18"/>
  <c r="J164" i="18"/>
  <c r="J168" i="18"/>
  <c r="J172" i="18"/>
  <c r="J176" i="18"/>
  <c r="J194" i="18"/>
  <c r="J234" i="18"/>
  <c r="J240" i="18"/>
  <c r="J247" i="18"/>
  <c r="J259" i="18"/>
  <c r="J262" i="18"/>
  <c r="J265" i="18"/>
  <c r="N268" i="18"/>
  <c r="J272" i="18"/>
  <c r="Z274" i="18"/>
  <c r="J277" i="18"/>
  <c r="H100" i="21"/>
  <c r="J100" i="21" s="1"/>
  <c r="Z93" i="21"/>
  <c r="F83" i="24"/>
  <c r="F79" i="24"/>
  <c r="F114" i="24"/>
  <c r="F113" i="24"/>
  <c r="F106" i="24"/>
  <c r="F98" i="24"/>
  <c r="F97" i="24"/>
  <c r="F70" i="24"/>
  <c r="F66" i="24"/>
  <c r="F62" i="24"/>
  <c r="F58" i="24"/>
  <c r="F54" i="24"/>
  <c r="F50" i="24"/>
  <c r="F89" i="24"/>
  <c r="F116" i="24"/>
  <c r="F115" i="24"/>
  <c r="F108" i="24"/>
  <c r="F107" i="24"/>
  <c r="F100" i="24"/>
  <c r="F99" i="24"/>
  <c r="F84" i="24"/>
  <c r="F80" i="24"/>
  <c r="F91" i="24"/>
  <c r="F90" i="24"/>
  <c r="F71" i="24"/>
  <c r="F67" i="24"/>
  <c r="F63" i="24"/>
  <c r="F59" i="24"/>
  <c r="F55" i="24"/>
  <c r="F51" i="24"/>
  <c r="F110" i="24"/>
  <c r="F109" i="24"/>
  <c r="F102" i="24"/>
  <c r="F101" i="24"/>
  <c r="F86" i="24"/>
  <c r="F85" i="24"/>
  <c r="F118" i="24"/>
  <c r="F93" i="24"/>
  <c r="F92" i="24"/>
  <c r="F81" i="24"/>
  <c r="F77" i="24"/>
  <c r="F76" i="24"/>
  <c r="F122" i="24"/>
  <c r="F75" i="24"/>
  <c r="F73" i="24"/>
  <c r="F68" i="24"/>
  <c r="F64" i="24"/>
  <c r="F60" i="24"/>
  <c r="F56" i="24"/>
  <c r="F52" i="24"/>
  <c r="F111" i="24"/>
  <c r="F103" i="24"/>
  <c r="F95" i="24"/>
  <c r="F94" i="24"/>
  <c r="F87" i="24"/>
  <c r="D73" i="24"/>
  <c r="F82" i="24"/>
  <c r="F78" i="24"/>
  <c r="F105" i="24"/>
  <c r="F104" i="24"/>
  <c r="F69" i="24"/>
  <c r="F65" i="24"/>
  <c r="F61" i="24"/>
  <c r="F57" i="24"/>
  <c r="F53" i="24"/>
  <c r="F49" i="24"/>
  <c r="F48" i="24"/>
  <c r="F112" i="24"/>
  <c r="F96" i="24"/>
  <c r="F88" i="24"/>
  <c r="L12" i="24"/>
  <c r="N12" i="24" s="1"/>
  <c r="Z19" i="24"/>
  <c r="Z21" i="24"/>
  <c r="Z85" i="24"/>
  <c r="N109" i="24"/>
  <c r="J112" i="27"/>
  <c r="J108" i="27"/>
  <c r="J100" i="27"/>
  <c r="J110" i="27"/>
  <c r="J101" i="27"/>
  <c r="J103" i="27"/>
  <c r="J96" i="27"/>
  <c r="J104" i="27"/>
  <c r="J98" i="27"/>
  <c r="J105" i="27"/>
  <c r="J99" i="27"/>
  <c r="J91" i="27"/>
  <c r="J81" i="27"/>
  <c r="J69" i="27"/>
  <c r="J65" i="27"/>
  <c r="J61" i="27"/>
  <c r="J59" i="27"/>
  <c r="J97" i="27"/>
  <c r="J92" i="27"/>
  <c r="J82" i="27"/>
  <c r="J70" i="27"/>
  <c r="H57" i="27"/>
  <c r="J57" i="27" s="1"/>
  <c r="J52" i="27"/>
  <c r="J48" i="27"/>
  <c r="J44" i="27"/>
  <c r="J102" i="27"/>
  <c r="J93" i="27"/>
  <c r="J83" i="27"/>
  <c r="J75" i="27"/>
  <c r="J71" i="27"/>
  <c r="J106" i="27"/>
  <c r="J94" i="27"/>
  <c r="J84" i="27"/>
  <c r="J66" i="27"/>
  <c r="J62" i="27"/>
  <c r="J85" i="27"/>
  <c r="J53" i="27"/>
  <c r="J49" i="27"/>
  <c r="J45" i="27"/>
  <c r="J113" i="27"/>
  <c r="J107" i="27"/>
  <c r="J86" i="27"/>
  <c r="J76" i="27"/>
  <c r="J72" i="27"/>
  <c r="N12" i="27"/>
  <c r="J117" i="27"/>
  <c r="J87" i="27"/>
  <c r="J77" i="27"/>
  <c r="J67" i="27"/>
  <c r="J63" i="27"/>
  <c r="J78" i="27"/>
  <c r="J54" i="27"/>
  <c r="J50" i="27"/>
  <c r="J46" i="27"/>
  <c r="J95" i="27"/>
  <c r="J79" i="27"/>
  <c r="J73" i="27"/>
  <c r="J88" i="27"/>
  <c r="J80" i="27"/>
  <c r="J68" i="27"/>
  <c r="J64" i="27"/>
  <c r="J42" i="27"/>
  <c r="J111" i="27"/>
  <c r="J89" i="27"/>
  <c r="J55" i="27"/>
  <c r="J51" i="27"/>
  <c r="J47" i="27"/>
  <c r="J43" i="27"/>
  <c r="J90" i="27"/>
  <c r="J74" i="27"/>
  <c r="J60" i="27"/>
  <c r="Z30" i="27"/>
  <c r="J123" i="18"/>
  <c r="J185" i="18"/>
  <c r="J189" i="18"/>
  <c r="J193" i="18"/>
  <c r="J205" i="18"/>
  <c r="J213" i="18"/>
  <c r="J233" i="18"/>
  <c r="J239" i="18"/>
  <c r="J250" i="18"/>
  <c r="J256" i="18"/>
  <c r="J268" i="18"/>
  <c r="L272" i="18"/>
  <c r="J285" i="18"/>
  <c r="J79" i="21"/>
  <c r="J63" i="21"/>
  <c r="J43" i="21"/>
  <c r="J39" i="21"/>
  <c r="J29" i="21"/>
  <c r="J90" i="21"/>
  <c r="J86" i="21"/>
  <c r="J64" i="21"/>
  <c r="J34" i="21"/>
  <c r="J30" i="21"/>
  <c r="J28" i="21"/>
  <c r="J26" i="21"/>
  <c r="J91" i="21"/>
  <c r="J73" i="21"/>
  <c r="J65" i="21"/>
  <c r="J53" i="21"/>
  <c r="J92" i="21"/>
  <c r="J80" i="21"/>
  <c r="J74" i="21"/>
  <c r="J66" i="21"/>
  <c r="J54" i="21"/>
  <c r="J44" i="21"/>
  <c r="J40" i="21"/>
  <c r="J93" i="21"/>
  <c r="J87" i="21"/>
  <c r="J81" i="21"/>
  <c r="J75" i="21"/>
  <c r="J67" i="21"/>
  <c r="J55" i="21"/>
  <c r="J45" i="21"/>
  <c r="J35" i="21"/>
  <c r="J31" i="21"/>
  <c r="J94" i="21"/>
  <c r="J82" i="21"/>
  <c r="J76" i="21"/>
  <c r="J68" i="21"/>
  <c r="J56" i="21"/>
  <c r="J46" i="21"/>
  <c r="J95" i="21"/>
  <c r="J83" i="21"/>
  <c r="J96" i="21"/>
  <c r="J88" i="21"/>
  <c r="J84" i="21"/>
  <c r="J70" i="21"/>
  <c r="J58" i="21"/>
  <c r="J48" i="21"/>
  <c r="J36" i="21"/>
  <c r="J32" i="21"/>
  <c r="J22" i="21"/>
  <c r="J71" i="21"/>
  <c r="J59" i="21"/>
  <c r="J49" i="21"/>
  <c r="J98" i="21"/>
  <c r="J78" i="21"/>
  <c r="J60" i="21"/>
  <c r="J50" i="21"/>
  <c r="J89" i="21"/>
  <c r="J85" i="21"/>
  <c r="J61" i="21"/>
  <c r="J51" i="21"/>
  <c r="J37" i="21"/>
  <c r="J33" i="21"/>
  <c r="J102" i="21"/>
  <c r="J72" i="21"/>
  <c r="J62" i="21"/>
  <c r="J52" i="21"/>
  <c r="J38" i="21"/>
  <c r="J24" i="21"/>
  <c r="J23" i="21"/>
  <c r="Z60" i="21"/>
  <c r="Z101" i="24"/>
  <c r="X103" i="18"/>
  <c r="Z103" i="18" s="1"/>
  <c r="X107" i="18"/>
  <c r="Z107" i="18" s="1"/>
  <c r="X111" i="18"/>
  <c r="Z111" i="18" s="1"/>
  <c r="X115" i="18"/>
  <c r="X119" i="18"/>
  <c r="Z119" i="18" s="1"/>
  <c r="J198" i="18"/>
  <c r="J204" i="18"/>
  <c r="J212" i="18"/>
  <c r="J222" i="18"/>
  <c r="J232" i="18"/>
  <c r="J238" i="18"/>
  <c r="J253" i="18"/>
  <c r="J281" i="18"/>
  <c r="N68" i="21"/>
  <c r="Z15" i="24"/>
  <c r="Z17" i="24"/>
  <c r="N75" i="24"/>
  <c r="Z109" i="24"/>
  <c r="Z32" i="27"/>
  <c r="J127" i="18"/>
  <c r="J131" i="18"/>
  <c r="J135" i="18"/>
  <c r="J139" i="18"/>
  <c r="J143" i="18"/>
  <c r="J147" i="18"/>
  <c r="J151" i="18"/>
  <c r="J155" i="18"/>
  <c r="J159" i="18"/>
  <c r="J163" i="18"/>
  <c r="J167" i="18"/>
  <c r="J171" i="18"/>
  <c r="J175" i="18"/>
  <c r="H180" i="18"/>
  <c r="J203" i="18"/>
  <c r="J211" i="18"/>
  <c r="J221" i="18"/>
  <c r="J231" i="18"/>
  <c r="J243" i="18"/>
  <c r="J261" i="18"/>
  <c r="J267" i="18"/>
  <c r="N276" i="18"/>
  <c r="N15" i="21"/>
  <c r="V105" i="27"/>
  <c r="V97" i="27"/>
  <c r="V113" i="27"/>
  <c r="V107" i="27"/>
  <c r="V99" i="27"/>
  <c r="V112" i="27"/>
  <c r="V106" i="27"/>
  <c r="V110" i="27"/>
  <c r="V108" i="27"/>
  <c r="V100" i="27"/>
  <c r="V117" i="27"/>
  <c r="V85" i="27"/>
  <c r="V77" i="27"/>
  <c r="V53" i="27"/>
  <c r="V49" i="27"/>
  <c r="V45" i="27"/>
  <c r="V76" i="27"/>
  <c r="V72" i="27"/>
  <c r="Z12" i="27"/>
  <c r="V87" i="27"/>
  <c r="V79" i="27"/>
  <c r="V67" i="27"/>
  <c r="V63" i="27"/>
  <c r="V104" i="27"/>
  <c r="V78" i="27"/>
  <c r="V54" i="27"/>
  <c r="V50" i="27"/>
  <c r="V46" i="27"/>
  <c r="V42" i="27"/>
  <c r="V95" i="27"/>
  <c r="V89" i="27"/>
  <c r="V73" i="27"/>
  <c r="V96" i="27"/>
  <c r="V88" i="27"/>
  <c r="V80" i="27"/>
  <c r="V68" i="27"/>
  <c r="V64" i="27"/>
  <c r="V60" i="27"/>
  <c r="V111" i="27"/>
  <c r="V91" i="27"/>
  <c r="V59" i="27"/>
  <c r="V55" i="27"/>
  <c r="V51" i="27"/>
  <c r="V47" i="27"/>
  <c r="V43" i="27"/>
  <c r="V101" i="27"/>
  <c r="V90" i="27"/>
  <c r="V82" i="27"/>
  <c r="V74" i="27"/>
  <c r="V70" i="27"/>
  <c r="T57" i="27"/>
  <c r="V57" i="27" s="1"/>
  <c r="V103" i="27"/>
  <c r="V93" i="27"/>
  <c r="V81" i="27"/>
  <c r="V69" i="27"/>
  <c r="V65" i="27"/>
  <c r="V61" i="27"/>
  <c r="V92" i="27"/>
  <c r="V84" i="27"/>
  <c r="V52" i="27"/>
  <c r="V48" i="27"/>
  <c r="V44" i="27"/>
  <c r="V83" i="27"/>
  <c r="V75" i="27"/>
  <c r="V71" i="27"/>
  <c r="V102" i="27"/>
  <c r="V98" i="27"/>
  <c r="V94" i="27"/>
  <c r="V86" i="27"/>
  <c r="V66" i="27"/>
  <c r="V62" i="27"/>
  <c r="Z17" i="27"/>
  <c r="J180" i="18"/>
  <c r="J182" i="18"/>
  <c r="J184" i="18"/>
  <c r="J188" i="18"/>
  <c r="J192" i="18"/>
  <c r="J202" i="18"/>
  <c r="J220" i="18"/>
  <c r="J230" i="18"/>
  <c r="Z262" i="18"/>
  <c r="Z268" i="18"/>
  <c r="Z272" i="18"/>
  <c r="T271" i="18"/>
  <c r="T12" i="21"/>
  <c r="X13" i="21"/>
  <c r="J47" i="21"/>
  <c r="J57" i="21"/>
  <c r="V110" i="24"/>
  <c r="V102" i="24"/>
  <c r="V94" i="24"/>
  <c r="V86" i="24"/>
  <c r="T73" i="24"/>
  <c r="V93" i="24"/>
  <c r="V81" i="24"/>
  <c r="V77" i="24"/>
  <c r="V122" i="24"/>
  <c r="V104" i="24"/>
  <c r="V68" i="24"/>
  <c r="V64" i="24"/>
  <c r="V60" i="24"/>
  <c r="V56" i="24"/>
  <c r="V52" i="24"/>
  <c r="V48" i="24"/>
  <c r="V111" i="24"/>
  <c r="V103" i="24"/>
  <c r="V95" i="24"/>
  <c r="V87" i="24"/>
  <c r="V82" i="24"/>
  <c r="V78" i="24"/>
  <c r="V113" i="24"/>
  <c r="V105" i="24"/>
  <c r="V97" i="24"/>
  <c r="V69" i="24"/>
  <c r="V65" i="24"/>
  <c r="V61" i="24"/>
  <c r="V57" i="24"/>
  <c r="V53" i="24"/>
  <c r="V49" i="24"/>
  <c r="V112" i="24"/>
  <c r="V96" i="24"/>
  <c r="V88" i="24"/>
  <c r="V115" i="24"/>
  <c r="V107" i="24"/>
  <c r="V99" i="24"/>
  <c r="V83" i="24"/>
  <c r="V79" i="24"/>
  <c r="V114" i="24"/>
  <c r="V106" i="24"/>
  <c r="V98" i="24"/>
  <c r="V90" i="24"/>
  <c r="V70" i="24"/>
  <c r="V66" i="24"/>
  <c r="V62" i="24"/>
  <c r="V58" i="24"/>
  <c r="V54" i="24"/>
  <c r="V50" i="24"/>
  <c r="V109" i="24"/>
  <c r="V101" i="24"/>
  <c r="V89" i="24"/>
  <c r="V85" i="24"/>
  <c r="V118" i="24"/>
  <c r="V116" i="24"/>
  <c r="V108" i="24"/>
  <c r="V100" i="24"/>
  <c r="V92" i="24"/>
  <c r="V84" i="24"/>
  <c r="V80" i="24"/>
  <c r="V76" i="24"/>
  <c r="V91" i="24"/>
  <c r="V75" i="24"/>
  <c r="V73" i="24"/>
  <c r="V71" i="24"/>
  <c r="V67" i="24"/>
  <c r="V63" i="24"/>
  <c r="V59" i="24"/>
  <c r="V55" i="24"/>
  <c r="V51" i="24"/>
  <c r="Z37" i="24"/>
  <c r="Z97" i="24"/>
  <c r="Z23" i="27"/>
  <c r="Z27" i="27"/>
  <c r="Z36" i="27"/>
  <c r="J183" i="18"/>
  <c r="J197" i="18"/>
  <c r="J201" i="18"/>
  <c r="J219" i="18"/>
  <c r="J229" i="18"/>
  <c r="J237" i="18"/>
  <c r="J242" i="18"/>
  <c r="J249" i="18"/>
  <c r="J255" i="18"/>
  <c r="P271" i="18"/>
  <c r="X276" i="18"/>
  <c r="Z276" i="18" s="1"/>
  <c r="Z13" i="21"/>
  <c r="L19" i="21"/>
  <c r="N28" i="21"/>
  <c r="X38" i="21"/>
  <c r="Z38" i="21" s="1"/>
  <c r="Z54" i="21"/>
  <c r="N66" i="21"/>
  <c r="L76" i="21"/>
  <c r="N76" i="21" s="1"/>
  <c r="N40" i="24"/>
  <c r="N113" i="24"/>
  <c r="Z38" i="27"/>
  <c r="L40" i="24"/>
  <c r="L44" i="24"/>
  <c r="N44" i="24" s="1"/>
  <c r="X15" i="27"/>
  <c r="Z15" i="27" s="1"/>
  <c r="X19" i="27"/>
  <c r="Z19" i="27" s="1"/>
  <c r="X23" i="27"/>
  <c r="X27" i="27"/>
  <c r="F153" i="30"/>
  <c r="F140" i="30"/>
  <c r="F136" i="30"/>
  <c r="F135" i="30"/>
  <c r="F128" i="30"/>
  <c r="F120" i="30"/>
  <c r="F119" i="30"/>
  <c r="F100" i="30"/>
  <c r="F96" i="30"/>
  <c r="D82" i="30"/>
  <c r="F157" i="30"/>
  <c r="F152" i="30"/>
  <c r="F111" i="30"/>
  <c r="F110" i="30"/>
  <c r="F144" i="30"/>
  <c r="F143" i="30"/>
  <c r="F124" i="30"/>
  <c r="F123" i="30"/>
  <c r="F104" i="30"/>
  <c r="F103" i="30"/>
  <c r="F125" i="30"/>
  <c r="F93" i="30"/>
  <c r="F89" i="30"/>
  <c r="F132" i="30"/>
  <c r="F116" i="30"/>
  <c r="F115" i="30"/>
  <c r="F108" i="30"/>
  <c r="F107" i="30"/>
  <c r="F80" i="30"/>
  <c r="F76" i="30"/>
  <c r="F72" i="30"/>
  <c r="F68" i="30"/>
  <c r="F64" i="30"/>
  <c r="F147" i="30"/>
  <c r="F139" i="30"/>
  <c r="F127" i="30"/>
  <c r="F126" i="30"/>
  <c r="F99" i="30"/>
  <c r="F95" i="30"/>
  <c r="F141" i="30"/>
  <c r="F61" i="30"/>
  <c r="F57" i="30"/>
  <c r="F113" i="30"/>
  <c r="F105" i="30"/>
  <c r="F86" i="30"/>
  <c r="F79" i="30"/>
  <c r="F65" i="30"/>
  <c r="L12" i="30"/>
  <c r="N12" i="30" s="1"/>
  <c r="F122" i="30"/>
  <c r="F92" i="30"/>
  <c r="F142" i="30"/>
  <c r="F129" i="30"/>
  <c r="F69" i="30"/>
  <c r="F62" i="30"/>
  <c r="F58" i="30"/>
  <c r="F54" i="30"/>
  <c r="F53" i="30"/>
  <c r="F134" i="30"/>
  <c r="F98" i="30"/>
  <c r="F87" i="30"/>
  <c r="F151" i="30"/>
  <c r="F137" i="30"/>
  <c r="F106" i="30"/>
  <c r="F73" i="30"/>
  <c r="F66" i="30"/>
  <c r="F145" i="30"/>
  <c r="F130" i="30"/>
  <c r="F117" i="30"/>
  <c r="F114" i="30"/>
  <c r="F109" i="30"/>
  <c r="F90" i="30"/>
  <c r="F77" i="30"/>
  <c r="F63" i="30"/>
  <c r="F59" i="30"/>
  <c r="F55" i="30"/>
  <c r="F148" i="30"/>
  <c r="F101" i="30"/>
  <c r="F70" i="30"/>
  <c r="F138" i="30"/>
  <c r="F74" i="30"/>
  <c r="F67" i="30"/>
  <c r="F112" i="30"/>
  <c r="F91" i="30"/>
  <c r="F88" i="30"/>
  <c r="F60" i="30"/>
  <c r="F56" i="30"/>
  <c r="F146" i="30"/>
  <c r="F102" i="30"/>
  <c r="F94" i="30"/>
  <c r="F82" i="30"/>
  <c r="F78" i="30"/>
  <c r="F71" i="30"/>
  <c r="F149" i="30"/>
  <c r="F133" i="30"/>
  <c r="F131" i="30"/>
  <c r="F121" i="30"/>
  <c r="F118" i="30"/>
  <c r="F97" i="30"/>
  <c r="F85" i="30"/>
  <c r="F84" i="30"/>
  <c r="F75" i="30"/>
  <c r="X32" i="30"/>
  <c r="X36" i="30"/>
  <c r="L113" i="24"/>
  <c r="J157" i="30"/>
  <c r="J151" i="30"/>
  <c r="J141" i="30"/>
  <c r="J129" i="30"/>
  <c r="J121" i="30"/>
  <c r="J111" i="30"/>
  <c r="J101" i="30"/>
  <c r="J91" i="30"/>
  <c r="J87" i="30"/>
  <c r="J142" i="30"/>
  <c r="J130" i="30"/>
  <c r="J122" i="30"/>
  <c r="J112" i="30"/>
  <c r="J102" i="30"/>
  <c r="J145" i="30"/>
  <c r="J131" i="30"/>
  <c r="J105" i="30"/>
  <c r="J132" i="30"/>
  <c r="J126" i="30"/>
  <c r="J116" i="30"/>
  <c r="J108" i="30"/>
  <c r="J94" i="30"/>
  <c r="J147" i="30"/>
  <c r="J139" i="30"/>
  <c r="J133" i="30"/>
  <c r="J127" i="30"/>
  <c r="J117" i="30"/>
  <c r="J99" i="30"/>
  <c r="J95" i="30"/>
  <c r="J85" i="30"/>
  <c r="J148" i="30"/>
  <c r="J134" i="30"/>
  <c r="J118" i="30"/>
  <c r="J144" i="30"/>
  <c r="J113" i="30"/>
  <c r="J86" i="30"/>
  <c r="J79" i="30"/>
  <c r="J65" i="30"/>
  <c r="J119" i="30"/>
  <c r="J103" i="30"/>
  <c r="J92" i="30"/>
  <c r="J89" i="30"/>
  <c r="J72" i="30"/>
  <c r="J53" i="30"/>
  <c r="J100" i="30"/>
  <c r="J76" i="30"/>
  <c r="J69" i="30"/>
  <c r="J62" i="30"/>
  <c r="J58" i="30"/>
  <c r="J54" i="30"/>
  <c r="J98" i="30"/>
  <c r="J137" i="30"/>
  <c r="J106" i="30"/>
  <c r="J73" i="30"/>
  <c r="J66" i="30"/>
  <c r="J123" i="30"/>
  <c r="J114" i="30"/>
  <c r="J109" i="30"/>
  <c r="J96" i="30"/>
  <c r="J90" i="30"/>
  <c r="J80" i="30"/>
  <c r="J77" i="30"/>
  <c r="J63" i="30"/>
  <c r="J59" i="30"/>
  <c r="J55" i="30"/>
  <c r="J143" i="30"/>
  <c r="J140" i="30"/>
  <c r="J135" i="30"/>
  <c r="J125" i="30"/>
  <c r="J120" i="30"/>
  <c r="J93" i="30"/>
  <c r="J70" i="30"/>
  <c r="J138" i="30"/>
  <c r="J107" i="30"/>
  <c r="J104" i="30"/>
  <c r="J74" i="30"/>
  <c r="J67" i="30"/>
  <c r="J152" i="30"/>
  <c r="J115" i="30"/>
  <c r="J88" i="30"/>
  <c r="J60" i="30"/>
  <c r="J56" i="30"/>
  <c r="J146" i="30"/>
  <c r="J128" i="30"/>
  <c r="J84" i="30"/>
  <c r="H82" i="30"/>
  <c r="J82" i="30" s="1"/>
  <c r="J78" i="30"/>
  <c r="J71" i="30"/>
  <c r="J64" i="30"/>
  <c r="J153" i="30"/>
  <c r="J149" i="30"/>
  <c r="J110" i="30"/>
  <c r="J97" i="30"/>
  <c r="J75" i="30"/>
  <c r="J136" i="30"/>
  <c r="J124" i="30"/>
  <c r="J68" i="30"/>
  <c r="J61" i="30"/>
  <c r="J57" i="30"/>
  <c r="Z36" i="30"/>
  <c r="L51" i="21"/>
  <c r="N51" i="21" s="1"/>
  <c r="X81" i="21"/>
  <c r="Z81" i="21" s="1"/>
  <c r="X93" i="21"/>
  <c r="P12" i="24"/>
  <c r="Z13" i="24"/>
  <c r="L89" i="27"/>
  <c r="N23" i="30"/>
  <c r="Z38" i="30"/>
  <c r="Z40" i="30"/>
  <c r="Z53" i="30"/>
  <c r="L15" i="24"/>
  <c r="N15" i="24" s="1"/>
  <c r="L19" i="24"/>
  <c r="N19" i="24" s="1"/>
  <c r="L23" i="24"/>
  <c r="N23" i="24" s="1"/>
  <c r="L27" i="24"/>
  <c r="L31" i="24"/>
  <c r="N31" i="24" s="1"/>
  <c r="L35" i="24"/>
  <c r="N35" i="24" s="1"/>
  <c r="L39" i="24"/>
  <c r="N39" i="24" s="1"/>
  <c r="L43" i="24"/>
  <c r="N43" i="24" s="1"/>
  <c r="N13" i="27"/>
  <c r="X14" i="27"/>
  <c r="Z14" i="27" s="1"/>
  <c r="Z46" i="30"/>
  <c r="Z111" i="27"/>
  <c r="Z15" i="30"/>
  <c r="N35" i="30"/>
  <c r="Z48" i="30"/>
  <c r="Z50" i="30"/>
  <c r="L14" i="24"/>
  <c r="N14" i="24" s="1"/>
  <c r="L18" i="24"/>
  <c r="N18" i="24" s="1"/>
  <c r="L22" i="24"/>
  <c r="N22" i="24" s="1"/>
  <c r="L26" i="24"/>
  <c r="N26" i="24" s="1"/>
  <c r="L30" i="24"/>
  <c r="L34" i="24"/>
  <c r="N34" i="24" s="1"/>
  <c r="L38" i="24"/>
  <c r="N38" i="24" s="1"/>
  <c r="L42" i="24"/>
  <c r="N42" i="24" s="1"/>
  <c r="L46" i="24"/>
  <c r="X13" i="27"/>
  <c r="X17" i="27"/>
  <c r="X21" i="27"/>
  <c r="Z21" i="27" s="1"/>
  <c r="X25" i="27"/>
  <c r="Z25" i="27" s="1"/>
  <c r="X29" i="27"/>
  <c r="Z29" i="27" s="1"/>
  <c r="X33" i="27"/>
  <c r="X37" i="27"/>
  <c r="Z37" i="27" s="1"/>
  <c r="X97" i="24"/>
  <c r="Z13" i="27"/>
  <c r="X96" i="27"/>
  <c r="Z96" i="27" s="1"/>
  <c r="N98" i="27"/>
  <c r="P110" i="27"/>
  <c r="X110" i="27" s="1"/>
  <c r="Z110" i="27" s="1"/>
  <c r="X89" i="27"/>
  <c r="Z89" i="27" s="1"/>
  <c r="N102" i="27"/>
  <c r="L112" i="27"/>
  <c r="Z43" i="30"/>
  <c r="Z47" i="30"/>
  <c r="X102" i="27"/>
  <c r="Z107" i="27"/>
  <c r="N112" i="27"/>
  <c r="Z113" i="27"/>
  <c r="T12" i="30"/>
  <c r="Z14" i="30"/>
  <c r="X16" i="30"/>
  <c r="X20" i="30"/>
  <c r="Z20" i="30" s="1"/>
  <c r="X24" i="30"/>
  <c r="Z51" i="30"/>
  <c r="Z98" i="27"/>
  <c r="Z102" i="27"/>
  <c r="L105" i="27"/>
  <c r="L111" i="27"/>
  <c r="N111" i="27" s="1"/>
  <c r="D110" i="27"/>
  <c r="L110" i="27" s="1"/>
  <c r="N110" i="27" s="1"/>
  <c r="X112" i="27"/>
  <c r="Z112" i="27" s="1"/>
  <c r="Z24" i="30"/>
  <c r="X28" i="30"/>
  <c r="R145" i="30"/>
  <c r="R144" i="30"/>
  <c r="R124" i="30"/>
  <c r="R105" i="30"/>
  <c r="R104" i="30"/>
  <c r="R92" i="30"/>
  <c r="R88" i="30"/>
  <c r="R131" i="30"/>
  <c r="R133" i="30"/>
  <c r="R132" i="30"/>
  <c r="R117" i="30"/>
  <c r="R116" i="30"/>
  <c r="R108" i="30"/>
  <c r="R152" i="30"/>
  <c r="R149" i="30"/>
  <c r="R110" i="30"/>
  <c r="R109" i="30"/>
  <c r="R151" i="30"/>
  <c r="R141" i="30"/>
  <c r="R140" i="30"/>
  <c r="R136" i="30"/>
  <c r="R129" i="30"/>
  <c r="R128" i="30"/>
  <c r="R121" i="30"/>
  <c r="R120" i="30"/>
  <c r="R101" i="30"/>
  <c r="R100" i="30"/>
  <c r="R96" i="30"/>
  <c r="R157" i="30"/>
  <c r="R112" i="30"/>
  <c r="R111" i="30"/>
  <c r="Z13" i="30"/>
  <c r="Z17" i="30"/>
  <c r="Z21" i="30"/>
  <c r="Z25" i="30"/>
  <c r="Z29" i="30"/>
  <c r="Z33" i="30"/>
  <c r="R54" i="30"/>
  <c r="R58" i="30"/>
  <c r="R62" i="30"/>
  <c r="R76" i="30"/>
  <c r="R103" i="30"/>
  <c r="R119" i="30"/>
  <c r="R122" i="30"/>
  <c r="H151" i="30"/>
  <c r="N151" i="30" s="1"/>
  <c r="N153" i="30"/>
  <c r="L153" i="30"/>
  <c r="Z57" i="33"/>
  <c r="X57" i="33"/>
  <c r="Z18" i="36"/>
  <c r="F72" i="92"/>
  <c r="F61" i="92"/>
  <c r="F57" i="92"/>
  <c r="F56" i="92"/>
  <c r="F49" i="92"/>
  <c r="F48" i="92"/>
  <c r="F59" i="92"/>
  <c r="F66" i="92"/>
  <c r="F65" i="92"/>
  <c r="F64" i="92"/>
  <c r="F41" i="92"/>
  <c r="F40" i="92"/>
  <c r="F29" i="92"/>
  <c r="F25" i="92"/>
  <c r="F50" i="92"/>
  <c r="F68" i="92"/>
  <c r="F58" i="92"/>
  <c r="F51" i="92"/>
  <c r="F43" i="92"/>
  <c r="F42" i="92"/>
  <c r="F35" i="92"/>
  <c r="F30" i="92"/>
  <c r="F26" i="92"/>
  <c r="F55" i="92"/>
  <c r="F45" i="92"/>
  <c r="F44" i="92"/>
  <c r="F17" i="92"/>
  <c r="F16" i="92"/>
  <c r="F77" i="92"/>
  <c r="F36" i="92"/>
  <c r="F32" i="92"/>
  <c r="F31" i="92"/>
  <c r="L12" i="92"/>
  <c r="F52" i="92"/>
  <c r="F46" i="92"/>
  <c r="F27" i="92"/>
  <c r="F23" i="92"/>
  <c r="F22" i="92"/>
  <c r="F47" i="92"/>
  <c r="F21" i="92"/>
  <c r="F19" i="92"/>
  <c r="F70" i="92"/>
  <c r="F62" i="92"/>
  <c r="F37" i="92"/>
  <c r="F33" i="92"/>
  <c r="D19" i="92"/>
  <c r="F28" i="92"/>
  <c r="F24" i="92"/>
  <c r="F74" i="92"/>
  <c r="F63" i="92"/>
  <c r="F60" i="92"/>
  <c r="F53" i="92"/>
  <c r="F39" i="92"/>
  <c r="F38" i="92"/>
  <c r="F54" i="92"/>
  <c r="F34" i="92"/>
  <c r="R65" i="30"/>
  <c r="R72" i="30"/>
  <c r="R89" i="30"/>
  <c r="R95" i="30"/>
  <c r="R113" i="30"/>
  <c r="R139" i="30"/>
  <c r="N38" i="33"/>
  <c r="F62" i="33"/>
  <c r="N66" i="33"/>
  <c r="F85" i="33"/>
  <c r="X12" i="30"/>
  <c r="R53" i="30"/>
  <c r="R79" i="30"/>
  <c r="L85" i="30"/>
  <c r="N85" i="30" s="1"/>
  <c r="R86" i="30"/>
  <c r="X119" i="30"/>
  <c r="Z119" i="30" s="1"/>
  <c r="X15" i="33"/>
  <c r="Z15" i="33" s="1"/>
  <c r="L19" i="33"/>
  <c r="N15" i="36"/>
  <c r="Z41" i="36"/>
  <c r="L84" i="36"/>
  <c r="N84" i="36" s="1"/>
  <c r="Z117" i="36"/>
  <c r="T116" i="36"/>
  <c r="R57" i="30"/>
  <c r="R61" i="30"/>
  <c r="R68" i="30"/>
  <c r="R97" i="30"/>
  <c r="Z105" i="30"/>
  <c r="X105" i="30"/>
  <c r="R118" i="30"/>
  <c r="R153" i="30"/>
  <c r="F89" i="33"/>
  <c r="F72" i="33"/>
  <c r="F71" i="33"/>
  <c r="F52" i="33"/>
  <c r="F88" i="33"/>
  <c r="F63" i="33"/>
  <c r="F47" i="33"/>
  <c r="F43" i="33"/>
  <c r="F78" i="33"/>
  <c r="F74" i="33"/>
  <c r="F73" i="33"/>
  <c r="F54" i="33"/>
  <c r="F53" i="33"/>
  <c r="F34" i="33"/>
  <c r="F30" i="33"/>
  <c r="F29" i="33"/>
  <c r="F65" i="33"/>
  <c r="F64" i="33"/>
  <c r="F49" i="33"/>
  <c r="F48" i="33"/>
  <c r="F56" i="33"/>
  <c r="F55" i="33"/>
  <c r="F44" i="33"/>
  <c r="F40" i="33"/>
  <c r="F39" i="33"/>
  <c r="F79" i="33"/>
  <c r="F75" i="33"/>
  <c r="F67" i="33"/>
  <c r="F66" i="33"/>
  <c r="F38" i="33"/>
  <c r="F36" i="33"/>
  <c r="F31" i="33"/>
  <c r="F58" i="33"/>
  <c r="F57" i="33"/>
  <c r="F50" i="33"/>
  <c r="F81" i="33"/>
  <c r="F80" i="33"/>
  <c r="F69" i="33"/>
  <c r="F68" i="33"/>
  <c r="F45" i="33"/>
  <c r="F41" i="33"/>
  <c r="F93" i="33"/>
  <c r="F76" i="33"/>
  <c r="F60" i="33"/>
  <c r="F59" i="33"/>
  <c r="F32" i="33"/>
  <c r="F97" i="33"/>
  <c r="F92" i="33"/>
  <c r="F83" i="33"/>
  <c r="F82" i="33"/>
  <c r="F51" i="33"/>
  <c r="N19" i="33"/>
  <c r="Z88" i="33"/>
  <c r="X22" i="36"/>
  <c r="Z22" i="36" s="1"/>
  <c r="F72" i="36"/>
  <c r="R75" i="30"/>
  <c r="R102" i="30"/>
  <c r="R126" i="30"/>
  <c r="Z133" i="30"/>
  <c r="L135" i="30"/>
  <c r="N135" i="30" s="1"/>
  <c r="N143" i="30"/>
  <c r="L152" i="30"/>
  <c r="Z38" i="33"/>
  <c r="F46" i="33"/>
  <c r="Z66" i="33"/>
  <c r="X66" i="33"/>
  <c r="F77" i="33"/>
  <c r="Z15" i="36"/>
  <c r="F70" i="36"/>
  <c r="R64" i="30"/>
  <c r="R71" i="30"/>
  <c r="R78" i="30"/>
  <c r="P82" i="30"/>
  <c r="R84" i="30"/>
  <c r="R85" i="30"/>
  <c r="R91" i="30"/>
  <c r="X94" i="30"/>
  <c r="Z94" i="30" s="1"/>
  <c r="R99" i="30"/>
  <c r="N123" i="30"/>
  <c r="R146" i="30"/>
  <c r="N148" i="30"/>
  <c r="X153" i="30"/>
  <c r="P12" i="33"/>
  <c r="X19" i="33"/>
  <c r="Z19" i="33" s="1"/>
  <c r="R56" i="30"/>
  <c r="R60" i="30"/>
  <c r="R82" i="30"/>
  <c r="Z85" i="30"/>
  <c r="R94" i="30"/>
  <c r="Z110" i="30"/>
  <c r="R115" i="30"/>
  <c r="N23" i="33"/>
  <c r="N71" i="33"/>
  <c r="H87" i="33"/>
  <c r="N89" i="33"/>
  <c r="F123" i="36"/>
  <c r="F118" i="36"/>
  <c r="F101" i="36"/>
  <c r="F97" i="36"/>
  <c r="F85" i="36"/>
  <c r="F84" i="36"/>
  <c r="F77" i="36"/>
  <c r="F76" i="36"/>
  <c r="F57" i="36"/>
  <c r="F117" i="36"/>
  <c r="F108" i="36"/>
  <c r="F107" i="36"/>
  <c r="F68" i="36"/>
  <c r="F67" i="36"/>
  <c r="F48" i="36"/>
  <c r="F44" i="36"/>
  <c r="F116" i="36"/>
  <c r="F91" i="36"/>
  <c r="F79" i="36"/>
  <c r="F78" i="36"/>
  <c r="F110" i="36"/>
  <c r="F109" i="36"/>
  <c r="F102" i="36"/>
  <c r="F98" i="36"/>
  <c r="F86" i="36"/>
  <c r="F58" i="36"/>
  <c r="F50" i="36"/>
  <c r="F49" i="36"/>
  <c r="F81" i="36"/>
  <c r="F80" i="36"/>
  <c r="F69" i="36"/>
  <c r="F92" i="36"/>
  <c r="F88" i="36"/>
  <c r="F87" i="36"/>
  <c r="F60" i="36"/>
  <c r="F59" i="36"/>
  <c r="F52" i="36"/>
  <c r="F51" i="36"/>
  <c r="F40" i="36"/>
  <c r="F36" i="36"/>
  <c r="F32" i="36"/>
  <c r="F31" i="36"/>
  <c r="F94" i="36"/>
  <c r="F93" i="36"/>
  <c r="F82" i="36"/>
  <c r="F62" i="36"/>
  <c r="F61" i="36"/>
  <c r="F54" i="36"/>
  <c r="F53" i="36"/>
  <c r="F46" i="36"/>
  <c r="F42" i="36"/>
  <c r="F41" i="36"/>
  <c r="F89" i="36"/>
  <c r="F112" i="36"/>
  <c r="F104" i="36"/>
  <c r="F100" i="36"/>
  <c r="F96" i="36"/>
  <c r="F95" i="36"/>
  <c r="F64" i="36"/>
  <c r="F63" i="36"/>
  <c r="F56" i="36"/>
  <c r="F55" i="36"/>
  <c r="F83" i="36"/>
  <c r="F75" i="36"/>
  <c r="F74" i="36"/>
  <c r="F38" i="36"/>
  <c r="F119" i="36"/>
  <c r="F99" i="36"/>
  <c r="F30" i="36"/>
  <c r="D28" i="36"/>
  <c r="F28" i="36" s="1"/>
  <c r="F73" i="36"/>
  <c r="F34" i="36"/>
  <c r="F103" i="36"/>
  <c r="F90" i="36"/>
  <c r="F71" i="36"/>
  <c r="F39" i="36"/>
  <c r="F113" i="36"/>
  <c r="F111" i="36"/>
  <c r="F105" i="36"/>
  <c r="F65" i="36"/>
  <c r="F37" i="36"/>
  <c r="F47" i="36"/>
  <c r="F35" i="36"/>
  <c r="F25" i="36"/>
  <c r="F24" i="36"/>
  <c r="F45" i="36"/>
  <c r="F33" i="36"/>
  <c r="Z19" i="36"/>
  <c r="R67" i="30"/>
  <c r="R74" i="30"/>
  <c r="R107" i="30"/>
  <c r="R125" i="30"/>
  <c r="R135" i="30"/>
  <c r="R138" i="30"/>
  <c r="R143" i="30"/>
  <c r="R148" i="30"/>
  <c r="X152" i="30"/>
  <c r="T151" i="30"/>
  <c r="T12" i="39"/>
  <c r="N13" i="30"/>
  <c r="R70" i="30"/>
  <c r="R77" i="30"/>
  <c r="R93" i="30"/>
  <c r="R123" i="30"/>
  <c r="R130" i="30"/>
  <c r="Z148" i="30"/>
  <c r="H12" i="33"/>
  <c r="L12" i="33" s="1"/>
  <c r="Z14" i="33"/>
  <c r="T12" i="33"/>
  <c r="Z23" i="33"/>
  <c r="X23" i="33"/>
  <c r="F61" i="33"/>
  <c r="F84" i="33"/>
  <c r="X87" i="33"/>
  <c r="F91" i="33"/>
  <c r="F66" i="36"/>
  <c r="R55" i="30"/>
  <c r="R59" i="30"/>
  <c r="R63" i="30"/>
  <c r="R80" i="30"/>
  <c r="R90" i="30"/>
  <c r="N103" i="30"/>
  <c r="R114" i="30"/>
  <c r="Z117" i="30"/>
  <c r="N119" i="30"/>
  <c r="L119" i="30"/>
  <c r="Z152" i="30"/>
  <c r="X14" i="33"/>
  <c r="D36" i="33"/>
  <c r="F42" i="33"/>
  <c r="F43" i="36"/>
  <c r="R66" i="30"/>
  <c r="R73" i="30"/>
  <c r="R87" i="30"/>
  <c r="R106" i="30"/>
  <c r="R127" i="30"/>
  <c r="R134" i="30"/>
  <c r="R137" i="30"/>
  <c r="Z145" i="30"/>
  <c r="X145" i="30"/>
  <c r="Z27" i="33"/>
  <c r="X27" i="33"/>
  <c r="F33" i="33"/>
  <c r="D87" i="33"/>
  <c r="T12" i="36"/>
  <c r="X12" i="36" s="1"/>
  <c r="R69" i="30"/>
  <c r="L84" i="30"/>
  <c r="N84" i="30" s="1"/>
  <c r="R98" i="30"/>
  <c r="R142" i="30"/>
  <c r="R147" i="30"/>
  <c r="L15" i="33"/>
  <c r="N15" i="33" s="1"/>
  <c r="Z61" i="33"/>
  <c r="F70" i="33"/>
  <c r="X14" i="36"/>
  <c r="Z14" i="36" s="1"/>
  <c r="L55" i="36"/>
  <c r="N55" i="36" s="1"/>
  <c r="L76" i="36"/>
  <c r="N76" i="36"/>
  <c r="F106" i="36"/>
  <c r="H12" i="36"/>
  <c r="L12" i="36" s="1"/>
  <c r="Z51" i="36"/>
  <c r="Z53" i="36"/>
  <c r="R84" i="36"/>
  <c r="R110" i="36"/>
  <c r="Z119" i="36"/>
  <c r="Z21" i="39"/>
  <c r="Z25" i="39"/>
  <c r="N46" i="39"/>
  <c r="F52" i="39"/>
  <c r="X56" i="39"/>
  <c r="Z56" i="39" s="1"/>
  <c r="X64" i="39"/>
  <c r="Z64" i="39" s="1"/>
  <c r="Z122" i="39"/>
  <c r="P28" i="36"/>
  <c r="R31" i="36"/>
  <c r="R102" i="36"/>
  <c r="L14" i="39"/>
  <c r="N16" i="39"/>
  <c r="L18" i="39"/>
  <c r="N20" i="39"/>
  <c r="N29" i="39"/>
  <c r="L70" i="39"/>
  <c r="N70" i="39" s="1"/>
  <c r="V113" i="42"/>
  <c r="V111" i="42"/>
  <c r="V103" i="42"/>
  <c r="V87" i="42"/>
  <c r="V75" i="42"/>
  <c r="V63" i="42"/>
  <c r="V55" i="42"/>
  <c r="V23" i="42"/>
  <c r="V120" i="42"/>
  <c r="V106" i="42"/>
  <c r="V98" i="42"/>
  <c r="V94" i="42"/>
  <c r="V82" i="42"/>
  <c r="V74" i="42"/>
  <c r="V66" i="42"/>
  <c r="V46" i="42"/>
  <c r="V42" i="42"/>
  <c r="V105" i="42"/>
  <c r="V77" i="42"/>
  <c r="V65" i="42"/>
  <c r="V37" i="42"/>
  <c r="V33" i="42"/>
  <c r="V88" i="42"/>
  <c r="V84" i="42"/>
  <c r="V76" i="42"/>
  <c r="V56" i="42"/>
  <c r="V48" i="42"/>
  <c r="V107" i="42"/>
  <c r="V99" i="42"/>
  <c r="V95" i="42"/>
  <c r="V83" i="42"/>
  <c r="V67" i="42"/>
  <c r="V90" i="42"/>
  <c r="V78" i="42"/>
  <c r="V58" i="42"/>
  <c r="V50" i="42"/>
  <c r="V38" i="42"/>
  <c r="V34" i="42"/>
  <c r="V30" i="42"/>
  <c r="V108" i="42"/>
  <c r="V100" i="42"/>
  <c r="V96" i="42"/>
  <c r="V92" i="42"/>
  <c r="V68" i="42"/>
  <c r="V60" i="42"/>
  <c r="V52" i="42"/>
  <c r="V44" i="42"/>
  <c r="V40" i="42"/>
  <c r="V91" i="42"/>
  <c r="V79" i="42"/>
  <c r="V71" i="42"/>
  <c r="V59" i="42"/>
  <c r="V51" i="42"/>
  <c r="V39" i="42"/>
  <c r="V35" i="42"/>
  <c r="V31" i="42"/>
  <c r="V116" i="42"/>
  <c r="V110" i="42"/>
  <c r="V102" i="42"/>
  <c r="V86" i="42"/>
  <c r="V70" i="42"/>
  <c r="V62" i="42"/>
  <c r="V54" i="42"/>
  <c r="V115" i="42"/>
  <c r="V109" i="42"/>
  <c r="V101" i="42"/>
  <c r="V97" i="42"/>
  <c r="V93" i="42"/>
  <c r="V81" i="42"/>
  <c r="V73" i="42"/>
  <c r="V61" i="42"/>
  <c r="V53" i="42"/>
  <c r="V45" i="42"/>
  <c r="V41" i="42"/>
  <c r="V69" i="42"/>
  <c r="V85" i="42"/>
  <c r="V32" i="42"/>
  <c r="T27" i="42"/>
  <c r="V80" i="42"/>
  <c r="V64" i="42"/>
  <c r="V43" i="42"/>
  <c r="V24" i="42"/>
  <c r="V36" i="42"/>
  <c r="V114" i="42"/>
  <c r="V89" i="42"/>
  <c r="V29" i="42"/>
  <c r="V104" i="42"/>
  <c r="V49" i="42"/>
  <c r="V47" i="42"/>
  <c r="V72" i="42"/>
  <c r="T87" i="33"/>
  <c r="R28" i="36"/>
  <c r="R30" i="36"/>
  <c r="Z31" i="36"/>
  <c r="R43" i="36"/>
  <c r="R50" i="36"/>
  <c r="N59" i="36"/>
  <c r="N61" i="36"/>
  <c r="L118" i="36"/>
  <c r="N118" i="36" s="1"/>
  <c r="H12" i="39"/>
  <c r="N14" i="39"/>
  <c r="N18" i="39"/>
  <c r="L22" i="39"/>
  <c r="N24" i="39"/>
  <c r="L26" i="39"/>
  <c r="X36" i="39"/>
  <c r="Z36" i="39" s="1"/>
  <c r="Z46" i="39"/>
  <c r="N80" i="39"/>
  <c r="R81" i="36"/>
  <c r="R70" i="36"/>
  <c r="R69" i="36"/>
  <c r="R93" i="36"/>
  <c r="R92" i="36"/>
  <c r="R88" i="36"/>
  <c r="R61" i="36"/>
  <c r="R60" i="36"/>
  <c r="R53" i="36"/>
  <c r="R52" i="36"/>
  <c r="R41" i="36"/>
  <c r="R40" i="36"/>
  <c r="R36" i="36"/>
  <c r="R32" i="36"/>
  <c r="R111" i="36"/>
  <c r="R103" i="36"/>
  <c r="R99" i="36"/>
  <c r="R72" i="36"/>
  <c r="R71" i="36"/>
  <c r="R95" i="36"/>
  <c r="R94" i="36"/>
  <c r="R82" i="36"/>
  <c r="R63" i="36"/>
  <c r="R62" i="36"/>
  <c r="R55" i="36"/>
  <c r="R54" i="36"/>
  <c r="R46" i="36"/>
  <c r="R42" i="36"/>
  <c r="R89" i="36"/>
  <c r="R74" i="36"/>
  <c r="R73" i="36"/>
  <c r="R119" i="36"/>
  <c r="R113" i="36"/>
  <c r="R112" i="36"/>
  <c r="R105" i="36"/>
  <c r="R104" i="36"/>
  <c r="R100" i="36"/>
  <c r="R96" i="36"/>
  <c r="R65" i="36"/>
  <c r="R64" i="36"/>
  <c r="R56" i="36"/>
  <c r="R117" i="36"/>
  <c r="R114" i="36"/>
  <c r="R107" i="36"/>
  <c r="R106" i="36"/>
  <c r="R90" i="36"/>
  <c r="R67" i="36"/>
  <c r="R66" i="36"/>
  <c r="R38" i="36"/>
  <c r="R34" i="36"/>
  <c r="R123" i="36"/>
  <c r="R101" i="36"/>
  <c r="R97" i="36"/>
  <c r="R85" i="36"/>
  <c r="R109" i="36"/>
  <c r="R108" i="36"/>
  <c r="R68" i="36"/>
  <c r="R49" i="36"/>
  <c r="R48" i="36"/>
  <c r="R91" i="36"/>
  <c r="R80" i="36"/>
  <c r="R79" i="36"/>
  <c r="R26" i="36"/>
  <c r="R33" i="36"/>
  <c r="R45" i="36"/>
  <c r="R57" i="36"/>
  <c r="N63" i="36"/>
  <c r="R78" i="36"/>
  <c r="N22" i="39"/>
  <c r="N26" i="39"/>
  <c r="X84" i="39"/>
  <c r="Z84" i="39" s="1"/>
  <c r="R112" i="39"/>
  <c r="L15" i="36"/>
  <c r="L19" i="36"/>
  <c r="N19" i="36" s="1"/>
  <c r="Z61" i="36"/>
  <c r="L63" i="36"/>
  <c r="R98" i="36"/>
  <c r="R118" i="36"/>
  <c r="Z14" i="39"/>
  <c r="Z18" i="39"/>
  <c r="Z29" i="39"/>
  <c r="R44" i="39"/>
  <c r="Z75" i="39"/>
  <c r="L78" i="39"/>
  <c r="N78" i="39" s="1"/>
  <c r="L68" i="33"/>
  <c r="N68" i="33" s="1"/>
  <c r="L80" i="33"/>
  <c r="N80" i="33" s="1"/>
  <c r="X88" i="33"/>
  <c r="L24" i="36"/>
  <c r="N24" i="36" s="1"/>
  <c r="X30" i="36"/>
  <c r="Z30" i="36" s="1"/>
  <c r="R35" i="36"/>
  <c r="R59" i="36"/>
  <c r="X63" i="36"/>
  <c r="Z63" i="36" s="1"/>
  <c r="R87" i="36"/>
  <c r="N35" i="39"/>
  <c r="Z80" i="39"/>
  <c r="R123" i="39"/>
  <c r="L114" i="42"/>
  <c r="N114" i="42" s="1"/>
  <c r="H113" i="42"/>
  <c r="R25" i="36"/>
  <c r="R37" i="36"/>
  <c r="R47" i="36"/>
  <c r="Z59" i="36"/>
  <c r="R83" i="36"/>
  <c r="L14" i="42"/>
  <c r="N14" i="42" s="1"/>
  <c r="Z18" i="42"/>
  <c r="X90" i="42"/>
  <c r="Z90" i="42" s="1"/>
  <c r="R75" i="36"/>
  <c r="F125" i="39"/>
  <c r="F95" i="39"/>
  <c r="F79" i="39"/>
  <c r="F78" i="39"/>
  <c r="F71" i="39"/>
  <c r="F70" i="39"/>
  <c r="F43" i="39"/>
  <c r="F39" i="39"/>
  <c r="F118" i="39"/>
  <c r="F110" i="39"/>
  <c r="F106" i="39"/>
  <c r="F102" i="39"/>
  <c r="F101" i="39"/>
  <c r="F62" i="39"/>
  <c r="F30" i="39"/>
  <c r="F29" i="39"/>
  <c r="F89" i="39"/>
  <c r="F81" i="39"/>
  <c r="F80" i="39"/>
  <c r="F73" i="39"/>
  <c r="F72" i="39"/>
  <c r="F53" i="39"/>
  <c r="F49" i="39"/>
  <c r="F120" i="39"/>
  <c r="F119" i="39"/>
  <c r="F112" i="39"/>
  <c r="F111" i="39"/>
  <c r="F96" i="39"/>
  <c r="F44" i="39"/>
  <c r="F40" i="39"/>
  <c r="F124" i="39"/>
  <c r="F107" i="39"/>
  <c r="F103" i="39"/>
  <c r="F91" i="39"/>
  <c r="F90" i="39"/>
  <c r="F83" i="39"/>
  <c r="F82" i="39"/>
  <c r="F63" i="39"/>
  <c r="F55" i="39"/>
  <c r="F54" i="39"/>
  <c r="F31" i="39"/>
  <c r="F123" i="39"/>
  <c r="F114" i="39"/>
  <c r="F113" i="39"/>
  <c r="F74" i="39"/>
  <c r="F50" i="39"/>
  <c r="F97" i="39"/>
  <c r="F85" i="39"/>
  <c r="F84" i="39"/>
  <c r="F65" i="39"/>
  <c r="F64" i="39"/>
  <c r="F57" i="39"/>
  <c r="F56" i="39"/>
  <c r="F45" i="39"/>
  <c r="F41" i="39"/>
  <c r="F116" i="39"/>
  <c r="F115" i="39"/>
  <c r="F108" i="39"/>
  <c r="F104" i="39"/>
  <c r="F92" i="39"/>
  <c r="F76" i="39"/>
  <c r="F75" i="39"/>
  <c r="F35" i="39"/>
  <c r="F87" i="39"/>
  <c r="F86" i="39"/>
  <c r="F67" i="39"/>
  <c r="F66" i="39"/>
  <c r="F59" i="39"/>
  <c r="F58" i="39"/>
  <c r="F51" i="39"/>
  <c r="F47" i="39"/>
  <c r="F46" i="39"/>
  <c r="D33" i="39"/>
  <c r="F33" i="39" s="1"/>
  <c r="F98" i="39"/>
  <c r="F94" i="39"/>
  <c r="F93" i="39"/>
  <c r="F42" i="39"/>
  <c r="F38" i="39"/>
  <c r="F117" i="39"/>
  <c r="F109" i="39"/>
  <c r="F105" i="39"/>
  <c r="F77" i="39"/>
  <c r="F69" i="39"/>
  <c r="F68" i="39"/>
  <c r="F61" i="39"/>
  <c r="F60" i="39"/>
  <c r="Z35" i="39"/>
  <c r="N58" i="39"/>
  <c r="R96" i="39"/>
  <c r="N101" i="39"/>
  <c r="N113" i="39"/>
  <c r="Z115" i="39"/>
  <c r="R125" i="39"/>
  <c r="R24" i="36"/>
  <c r="R39" i="36"/>
  <c r="N41" i="36"/>
  <c r="R44" i="36"/>
  <c r="Z49" i="36"/>
  <c r="N51" i="36"/>
  <c r="R77" i="36"/>
  <c r="L93" i="36"/>
  <c r="Z105" i="36"/>
  <c r="X107" i="36"/>
  <c r="Z107" i="36" s="1"/>
  <c r="Z113" i="36"/>
  <c r="H116" i="36"/>
  <c r="F48" i="39"/>
  <c r="F88" i="39"/>
  <c r="F99" i="39"/>
  <c r="L52" i="45"/>
  <c r="N52" i="45" s="1"/>
  <c r="N31" i="36"/>
  <c r="N53" i="36"/>
  <c r="R58" i="36"/>
  <c r="X67" i="36"/>
  <c r="Z67" i="36" s="1"/>
  <c r="N93" i="36"/>
  <c r="N95" i="36"/>
  <c r="R40" i="39"/>
  <c r="Z58" i="39"/>
  <c r="Z66" i="39"/>
  <c r="F129" i="39"/>
  <c r="R122" i="39"/>
  <c r="R107" i="39"/>
  <c r="R103" i="39"/>
  <c r="R91" i="39"/>
  <c r="R84" i="39"/>
  <c r="R83" i="39"/>
  <c r="R64" i="39"/>
  <c r="R63" i="39"/>
  <c r="R56" i="39"/>
  <c r="R55" i="39"/>
  <c r="R36" i="39"/>
  <c r="R31" i="39"/>
  <c r="R115" i="39"/>
  <c r="R114" i="39"/>
  <c r="R75" i="39"/>
  <c r="R74" i="39"/>
  <c r="R50" i="39"/>
  <c r="R35" i="39"/>
  <c r="R97" i="39"/>
  <c r="R86" i="39"/>
  <c r="R85" i="39"/>
  <c r="R66" i="39"/>
  <c r="R65" i="39"/>
  <c r="R58" i="39"/>
  <c r="R57" i="39"/>
  <c r="R46" i="39"/>
  <c r="R45" i="39"/>
  <c r="R41" i="39"/>
  <c r="R37" i="39"/>
  <c r="P33" i="39"/>
  <c r="R116" i="39"/>
  <c r="R108" i="39"/>
  <c r="R104" i="39"/>
  <c r="R93" i="39"/>
  <c r="R92" i="39"/>
  <c r="R76" i="39"/>
  <c r="R87" i="39"/>
  <c r="R68" i="39"/>
  <c r="R67" i="39"/>
  <c r="R60" i="39"/>
  <c r="R59" i="39"/>
  <c r="R51" i="39"/>
  <c r="R47" i="39"/>
  <c r="R99" i="39"/>
  <c r="R98" i="39"/>
  <c r="R94" i="39"/>
  <c r="R42" i="39"/>
  <c r="R38" i="39"/>
  <c r="R117" i="39"/>
  <c r="R109" i="39"/>
  <c r="R105" i="39"/>
  <c r="R78" i="39"/>
  <c r="R77" i="39"/>
  <c r="R70" i="39"/>
  <c r="R69" i="39"/>
  <c r="R61" i="39"/>
  <c r="R101" i="39"/>
  <c r="R100" i="39"/>
  <c r="R88" i="39"/>
  <c r="R52" i="39"/>
  <c r="R48" i="39"/>
  <c r="R29" i="39"/>
  <c r="X12" i="39"/>
  <c r="R95" i="39"/>
  <c r="R80" i="39"/>
  <c r="R79" i="39"/>
  <c r="R72" i="39"/>
  <c r="R71" i="39"/>
  <c r="R43" i="39"/>
  <c r="R39" i="39"/>
  <c r="R129" i="39"/>
  <c r="R119" i="39"/>
  <c r="R118" i="39"/>
  <c r="R111" i="39"/>
  <c r="R110" i="39"/>
  <c r="R106" i="39"/>
  <c r="R102" i="39"/>
  <c r="R62" i="39"/>
  <c r="R30" i="39"/>
  <c r="R124" i="39"/>
  <c r="R90" i="39"/>
  <c r="R89" i="39"/>
  <c r="R82" i="39"/>
  <c r="R81" i="39"/>
  <c r="R73" i="39"/>
  <c r="R54" i="39"/>
  <c r="R53" i="39"/>
  <c r="R49" i="39"/>
  <c r="X17" i="39"/>
  <c r="Z17" i="39" s="1"/>
  <c r="R120" i="39"/>
  <c r="L117" i="36"/>
  <c r="X13" i="39"/>
  <c r="Z13" i="39" s="1"/>
  <c r="Z125" i="39"/>
  <c r="L16" i="42"/>
  <c r="N16" i="42" s="1"/>
  <c r="X19" i="42"/>
  <c r="Z19" i="42" s="1"/>
  <c r="N21" i="42"/>
  <c r="Z81" i="42"/>
  <c r="X81" i="42"/>
  <c r="F84" i="42"/>
  <c r="N102" i="42"/>
  <c r="N116" i="42"/>
  <c r="P116" i="36"/>
  <c r="X116" i="36" s="1"/>
  <c r="N117" i="36"/>
  <c r="F36" i="42"/>
  <c r="Z113" i="42"/>
  <c r="X123" i="39"/>
  <c r="Z123" i="39" s="1"/>
  <c r="D27" i="42"/>
  <c r="N64" i="42"/>
  <c r="L64" i="42"/>
  <c r="D122" i="39"/>
  <c r="L122" i="39" s="1"/>
  <c r="N122" i="39" s="1"/>
  <c r="F108" i="42"/>
  <c r="F100" i="42"/>
  <c r="F96" i="42"/>
  <c r="F68" i="42"/>
  <c r="F44" i="42"/>
  <c r="F91" i="42"/>
  <c r="F90" i="42"/>
  <c r="F79" i="42"/>
  <c r="F59" i="42"/>
  <c r="F58" i="42"/>
  <c r="F51" i="42"/>
  <c r="F50" i="42"/>
  <c r="F39" i="42"/>
  <c r="F35" i="42"/>
  <c r="F31" i="42"/>
  <c r="F30" i="42"/>
  <c r="F86" i="42"/>
  <c r="F70" i="42"/>
  <c r="F69" i="42"/>
  <c r="F29" i="42"/>
  <c r="F27" i="42"/>
  <c r="F109" i="42"/>
  <c r="F101" i="42"/>
  <c r="F97" i="42"/>
  <c r="F93" i="42"/>
  <c r="F92" i="42"/>
  <c r="F61" i="42"/>
  <c r="F60" i="42"/>
  <c r="F53" i="42"/>
  <c r="F52" i="42"/>
  <c r="F45" i="42"/>
  <c r="F41" i="42"/>
  <c r="F40" i="42"/>
  <c r="F80" i="42"/>
  <c r="F72" i="42"/>
  <c r="F71" i="42"/>
  <c r="F116" i="42"/>
  <c r="F111" i="42"/>
  <c r="F110" i="42"/>
  <c r="F103" i="42"/>
  <c r="F102" i="42"/>
  <c r="F87" i="42"/>
  <c r="F63" i="42"/>
  <c r="F62" i="42"/>
  <c r="F55" i="42"/>
  <c r="F54" i="42"/>
  <c r="F114" i="42"/>
  <c r="F105" i="42"/>
  <c r="F104" i="42"/>
  <c r="F65" i="42"/>
  <c r="F64" i="42"/>
  <c r="F37" i="42"/>
  <c r="F33" i="42"/>
  <c r="F113" i="42"/>
  <c r="F88" i="42"/>
  <c r="F76" i="42"/>
  <c r="F75" i="42"/>
  <c r="F56" i="42"/>
  <c r="F24" i="42"/>
  <c r="F23" i="42"/>
  <c r="F107" i="42"/>
  <c r="F106" i="42"/>
  <c r="F99" i="42"/>
  <c r="F95" i="42"/>
  <c r="F83" i="42"/>
  <c r="F67" i="42"/>
  <c r="F66" i="42"/>
  <c r="F47" i="42"/>
  <c r="F43" i="42"/>
  <c r="F78" i="42"/>
  <c r="F77" i="42"/>
  <c r="F38" i="42"/>
  <c r="F34" i="42"/>
  <c r="X16" i="42"/>
  <c r="Z16" i="42" s="1"/>
  <c r="N18" i="42"/>
  <c r="F98" i="42"/>
  <c r="V72" i="57"/>
  <c r="V69" i="57"/>
  <c r="V67" i="57"/>
  <c r="V25" i="57"/>
  <c r="V21" i="57"/>
  <c r="V58" i="57"/>
  <c r="V50" i="57"/>
  <c r="V42" i="57"/>
  <c r="V57" i="57"/>
  <c r="V49" i="57"/>
  <c r="V16" i="57"/>
  <c r="V41" i="57"/>
  <c r="V36" i="57"/>
  <c r="V18" i="57"/>
  <c r="T16" i="57"/>
  <c r="V65" i="57"/>
  <c r="V54" i="57"/>
  <c r="V37" i="57"/>
  <c r="V22" i="57"/>
  <c r="V19" i="57"/>
  <c r="V60" i="57"/>
  <c r="V59" i="57"/>
  <c r="V46" i="57"/>
  <c r="V32" i="57"/>
  <c r="V29" i="57"/>
  <c r="V52" i="57"/>
  <c r="V51" i="57"/>
  <c r="V33" i="57"/>
  <c r="V44" i="57"/>
  <c r="V43" i="57"/>
  <c r="V55" i="57"/>
  <c r="V38" i="57"/>
  <c r="V26" i="57"/>
  <c r="V23" i="57"/>
  <c r="V20" i="57"/>
  <c r="V56" i="57"/>
  <c r="V47" i="57"/>
  <c r="V30" i="57"/>
  <c r="Z12" i="57"/>
  <c r="V61" i="57"/>
  <c r="V48" i="57"/>
  <c r="V34" i="57"/>
  <c r="V40" i="57"/>
  <c r="V45" i="57"/>
  <c r="V28" i="57"/>
  <c r="V24" i="57"/>
  <c r="V63" i="57"/>
  <c r="V53" i="57"/>
  <c r="V39" i="57"/>
  <c r="V14" i="57"/>
  <c r="V27" i="57"/>
  <c r="V31" i="57"/>
  <c r="V35" i="57"/>
  <c r="L13" i="42"/>
  <c r="N13" i="42" s="1"/>
  <c r="X18" i="42"/>
  <c r="L23" i="42"/>
  <c r="N23" i="42" s="1"/>
  <c r="F32" i="42"/>
  <c r="F48" i="42"/>
  <c r="N62" i="42"/>
  <c r="Z77" i="42"/>
  <c r="F85" i="42"/>
  <c r="X101" i="39"/>
  <c r="Z101" i="39" s="1"/>
  <c r="L115" i="39"/>
  <c r="P12" i="42"/>
  <c r="N15" i="42"/>
  <c r="F46" i="42"/>
  <c r="F94" i="42"/>
  <c r="F115" i="42"/>
  <c r="F120" i="42"/>
  <c r="N125" i="39"/>
  <c r="X20" i="42"/>
  <c r="Z20" i="42" s="1"/>
  <c r="X48" i="42"/>
  <c r="Z48" i="42" s="1"/>
  <c r="N54" i="42"/>
  <c r="X73" i="42"/>
  <c r="Z73" i="42" s="1"/>
  <c r="X13" i="42"/>
  <c r="Z13" i="42" s="1"/>
  <c r="X15" i="42"/>
  <c r="Z15" i="42" s="1"/>
  <c r="N17" i="42"/>
  <c r="F25" i="42"/>
  <c r="F57" i="42"/>
  <c r="Z58" i="42"/>
  <c r="R93" i="45"/>
  <c r="R72" i="45"/>
  <c r="R71" i="45"/>
  <c r="R56" i="45"/>
  <c r="R55" i="45"/>
  <c r="R44" i="45"/>
  <c r="R43" i="45"/>
  <c r="R39" i="45"/>
  <c r="R82" i="45"/>
  <c r="R81" i="45"/>
  <c r="R77" i="45"/>
  <c r="R73" i="45"/>
  <c r="R58" i="45"/>
  <c r="R57" i="45"/>
  <c r="R46" i="45"/>
  <c r="R45" i="45"/>
  <c r="R26" i="45"/>
  <c r="R21" i="45"/>
  <c r="R40" i="45"/>
  <c r="R25" i="45"/>
  <c r="X12" i="45"/>
  <c r="R84" i="45"/>
  <c r="R83" i="45"/>
  <c r="R68" i="45"/>
  <c r="R67" i="45"/>
  <c r="R60" i="45"/>
  <c r="R59" i="45"/>
  <c r="R48" i="45"/>
  <c r="R47" i="45"/>
  <c r="R87" i="45"/>
  <c r="R79" i="45"/>
  <c r="R75" i="45"/>
  <c r="R64" i="45"/>
  <c r="R63" i="45"/>
  <c r="R52" i="45"/>
  <c r="R51" i="45"/>
  <c r="R89" i="45"/>
  <c r="R70" i="45"/>
  <c r="R42" i="45"/>
  <c r="R38" i="45"/>
  <c r="R19" i="45"/>
  <c r="R86" i="45"/>
  <c r="R53" i="45"/>
  <c r="R66" i="45"/>
  <c r="R61" i="45"/>
  <c r="R37" i="45"/>
  <c r="R34" i="45"/>
  <c r="R29" i="45"/>
  <c r="R41" i="45"/>
  <c r="R69" i="45"/>
  <c r="R54" i="45"/>
  <c r="R32" i="45"/>
  <c r="R27" i="45"/>
  <c r="R62" i="45"/>
  <c r="R49" i="45"/>
  <c r="R35" i="45"/>
  <c r="R30" i="45"/>
  <c r="P23" i="45"/>
  <c r="R23" i="45" s="1"/>
  <c r="R85" i="45"/>
  <c r="R78" i="45"/>
  <c r="R74" i="45"/>
  <c r="R65" i="45"/>
  <c r="R36" i="45"/>
  <c r="R33" i="45"/>
  <c r="R80" i="45"/>
  <c r="R76" i="45"/>
  <c r="R28" i="45"/>
  <c r="R20" i="45"/>
  <c r="R50" i="45"/>
  <c r="N26" i="45"/>
  <c r="Z46" i="45"/>
  <c r="X14" i="39"/>
  <c r="X18" i="39"/>
  <c r="X22" i="39"/>
  <c r="Z22" i="39" s="1"/>
  <c r="X26" i="39"/>
  <c r="Z26" i="39" s="1"/>
  <c r="F74" i="42"/>
  <c r="F81" i="42"/>
  <c r="X115" i="42"/>
  <c r="Z115" i="42" s="1"/>
  <c r="V82" i="45"/>
  <c r="V66" i="45"/>
  <c r="V58" i="45"/>
  <c r="V46" i="45"/>
  <c r="V34" i="45"/>
  <c r="V30" i="45"/>
  <c r="V26" i="45"/>
  <c r="V81" i="45"/>
  <c r="V84" i="45"/>
  <c r="V68" i="45"/>
  <c r="V60" i="45"/>
  <c r="V48" i="45"/>
  <c r="V40" i="45"/>
  <c r="V36" i="45"/>
  <c r="T23" i="45"/>
  <c r="V23" i="45" s="1"/>
  <c r="V83" i="45"/>
  <c r="V67" i="45"/>
  <c r="V59" i="45"/>
  <c r="V47" i="45"/>
  <c r="V35" i="45"/>
  <c r="V31" i="45"/>
  <c r="V27" i="45"/>
  <c r="V86" i="45"/>
  <c r="V78" i="45"/>
  <c r="V74" i="45"/>
  <c r="V62" i="45"/>
  <c r="V50" i="45"/>
  <c r="V70" i="45"/>
  <c r="V54" i="45"/>
  <c r="V42" i="45"/>
  <c r="V38" i="45"/>
  <c r="V65" i="45"/>
  <c r="V53" i="45"/>
  <c r="V33" i="45"/>
  <c r="V29" i="45"/>
  <c r="V63" i="45"/>
  <c r="V61" i="45"/>
  <c r="V37" i="45"/>
  <c r="Z12" i="45"/>
  <c r="V93" i="45"/>
  <c r="V56" i="45"/>
  <c r="V45" i="45"/>
  <c r="V41" i="45"/>
  <c r="V39" i="45"/>
  <c r="V21" i="45"/>
  <c r="V79" i="45"/>
  <c r="V77" i="45"/>
  <c r="V75" i="45"/>
  <c r="V73" i="45"/>
  <c r="V69" i="45"/>
  <c r="V64" i="45"/>
  <c r="V43" i="45"/>
  <c r="V19" i="45"/>
  <c r="V71" i="45"/>
  <c r="V32" i="45"/>
  <c r="V51" i="45"/>
  <c r="V49" i="45"/>
  <c r="V52" i="45"/>
  <c r="V44" i="45"/>
  <c r="V87" i="45"/>
  <c r="V85" i="45"/>
  <c r="V72" i="45"/>
  <c r="V80" i="45"/>
  <c r="V76" i="45"/>
  <c r="V57" i="45"/>
  <c r="V28" i="45"/>
  <c r="V25" i="45"/>
  <c r="V20" i="45"/>
  <c r="V55" i="45"/>
  <c r="Z15" i="45"/>
  <c r="X17" i="45"/>
  <c r="Z17" i="45" s="1"/>
  <c r="R31" i="45"/>
  <c r="Z58" i="45"/>
  <c r="X58" i="45"/>
  <c r="X20" i="51"/>
  <c r="P12" i="51"/>
  <c r="H12" i="42"/>
  <c r="L12" i="42" s="1"/>
  <c r="N19" i="42"/>
  <c r="Z23" i="42"/>
  <c r="N29" i="42"/>
  <c r="Z30" i="42"/>
  <c r="F42" i="42"/>
  <c r="F49" i="42"/>
  <c r="Z50" i="42"/>
  <c r="N104" i="42"/>
  <c r="L104" i="42"/>
  <c r="D113" i="42"/>
  <c r="Z26" i="45"/>
  <c r="X26" i="45"/>
  <c r="J104" i="51"/>
  <c r="J98" i="51"/>
  <c r="J88" i="51"/>
  <c r="J78" i="51"/>
  <c r="J70" i="51"/>
  <c r="J89" i="51"/>
  <c r="J79" i="51"/>
  <c r="J65" i="51"/>
  <c r="J61" i="51"/>
  <c r="J39" i="51"/>
  <c r="J80" i="51"/>
  <c r="J52" i="51"/>
  <c r="J48" i="51"/>
  <c r="J44" i="51"/>
  <c r="J40" i="51"/>
  <c r="J71" i="51"/>
  <c r="J57" i="51"/>
  <c r="J90" i="51"/>
  <c r="J66" i="51"/>
  <c r="J62" i="51"/>
  <c r="J58" i="51"/>
  <c r="J56" i="51"/>
  <c r="J81" i="51"/>
  <c r="J67" i="51"/>
  <c r="H54" i="51"/>
  <c r="J54" i="51" s="1"/>
  <c r="J49" i="51"/>
  <c r="J45" i="51"/>
  <c r="J41" i="51"/>
  <c r="J92" i="51"/>
  <c r="J84" i="51"/>
  <c r="J74" i="51"/>
  <c r="J50" i="51"/>
  <c r="J93" i="51"/>
  <c r="J85" i="51"/>
  <c r="J75" i="51"/>
  <c r="J69" i="51"/>
  <c r="J99" i="51"/>
  <c r="J59" i="51"/>
  <c r="J94" i="51"/>
  <c r="J63" i="51"/>
  <c r="J83" i="51"/>
  <c r="J86" i="51"/>
  <c r="J100" i="51"/>
  <c r="J76" i="51"/>
  <c r="J43" i="51"/>
  <c r="J77" i="51"/>
  <c r="J72" i="51"/>
  <c r="J47" i="51"/>
  <c r="N12" i="51"/>
  <c r="J60" i="51"/>
  <c r="J95" i="51"/>
  <c r="J82" i="51"/>
  <c r="J64" i="51"/>
  <c r="J51" i="51"/>
  <c r="J73" i="51"/>
  <c r="J68" i="51"/>
  <c r="J46" i="51"/>
  <c r="J87" i="51"/>
  <c r="J42" i="51"/>
  <c r="D12" i="45"/>
  <c r="J57" i="45"/>
  <c r="N72" i="45"/>
  <c r="H17" i="48"/>
  <c r="J28" i="48"/>
  <c r="N30" i="48"/>
  <c r="J41" i="48"/>
  <c r="X45" i="48"/>
  <c r="Z45" i="48" s="1"/>
  <c r="F49" i="48"/>
  <c r="Z20" i="51"/>
  <c r="Z24" i="51"/>
  <c r="F56" i="51"/>
  <c r="F69" i="51"/>
  <c r="Z88" i="51"/>
  <c r="X88" i="51"/>
  <c r="Z114" i="42"/>
  <c r="N13" i="45"/>
  <c r="J35" i="45"/>
  <c r="J40" i="45"/>
  <c r="N44" i="45"/>
  <c r="L62" i="45"/>
  <c r="J67" i="45"/>
  <c r="X72" i="45"/>
  <c r="Z72" i="45" s="1"/>
  <c r="N82" i="45"/>
  <c r="J87" i="45"/>
  <c r="F20" i="48"/>
  <c r="J30" i="48"/>
  <c r="V45" i="48"/>
  <c r="X35" i="57"/>
  <c r="Z35" i="57" s="1"/>
  <c r="L13" i="45"/>
  <c r="J30" i="45"/>
  <c r="X44" i="45"/>
  <c r="Z44" i="45" s="1"/>
  <c r="N46" i="45"/>
  <c r="N62" i="45"/>
  <c r="J82" i="45"/>
  <c r="X17" i="48"/>
  <c r="F24" i="48"/>
  <c r="X30" i="48"/>
  <c r="X30" i="51"/>
  <c r="L32" i="51"/>
  <c r="N32" i="51" s="1"/>
  <c r="L100" i="51"/>
  <c r="N100" i="51" s="1"/>
  <c r="D31" i="55"/>
  <c r="L46" i="56"/>
  <c r="N46" i="56" s="1"/>
  <c r="J27" i="45"/>
  <c r="J46" i="45"/>
  <c r="J51" i="45"/>
  <c r="J59" i="45"/>
  <c r="F65" i="48"/>
  <c r="F60" i="48"/>
  <c r="F35" i="48"/>
  <c r="F31" i="48"/>
  <c r="F30" i="48"/>
  <c r="D17" i="48"/>
  <c r="F54" i="48"/>
  <c r="F53" i="48"/>
  <c r="F46" i="48"/>
  <c r="F45" i="48"/>
  <c r="F26" i="48"/>
  <c r="F22" i="48"/>
  <c r="F37" i="48"/>
  <c r="F36" i="48"/>
  <c r="F48" i="48"/>
  <c r="F47" i="48"/>
  <c r="F32" i="48"/>
  <c r="L12" i="48"/>
  <c r="F55" i="48"/>
  <c r="F39" i="48"/>
  <c r="F38" i="48"/>
  <c r="F27" i="48"/>
  <c r="F23" i="48"/>
  <c r="F56" i="48"/>
  <c r="F28" i="48"/>
  <c r="F51" i="48"/>
  <c r="F43" i="48"/>
  <c r="F42" i="48"/>
  <c r="F58" i="48"/>
  <c r="F57" i="48"/>
  <c r="F34" i="48"/>
  <c r="L60" i="48"/>
  <c r="Z30" i="51"/>
  <c r="Z30" i="48"/>
  <c r="V30" i="48"/>
  <c r="N60" i="48"/>
  <c r="J70" i="45"/>
  <c r="J64" i="45"/>
  <c r="J52" i="45"/>
  <c r="J42" i="45"/>
  <c r="J38" i="45"/>
  <c r="J89" i="45"/>
  <c r="J80" i="45"/>
  <c r="J76" i="45"/>
  <c r="J54" i="45"/>
  <c r="J20" i="45"/>
  <c r="J93" i="45"/>
  <c r="J71" i="45"/>
  <c r="J55" i="45"/>
  <c r="J43" i="45"/>
  <c r="J39" i="45"/>
  <c r="J72" i="45"/>
  <c r="J66" i="45"/>
  <c r="J56" i="45"/>
  <c r="J44" i="45"/>
  <c r="J84" i="45"/>
  <c r="J78" i="45"/>
  <c r="J74" i="45"/>
  <c r="J68" i="45"/>
  <c r="J60" i="45"/>
  <c r="J48" i="45"/>
  <c r="J36" i="45"/>
  <c r="H23" i="45"/>
  <c r="J85" i="45"/>
  <c r="J69" i="45"/>
  <c r="J61" i="45"/>
  <c r="J49" i="45"/>
  <c r="J41" i="45"/>
  <c r="J37" i="45"/>
  <c r="X13" i="45"/>
  <c r="Z13" i="45" s="1"/>
  <c r="N15" i="45"/>
  <c r="Z16" i="45"/>
  <c r="F19" i="48"/>
  <c r="F40" i="48"/>
  <c r="X49" i="48"/>
  <c r="Z49" i="48" s="1"/>
  <c r="J53" i="48"/>
  <c r="J60" i="48"/>
  <c r="J65" i="48"/>
  <c r="F100" i="51"/>
  <c r="F95" i="51"/>
  <c r="F94" i="51"/>
  <c r="F87" i="51"/>
  <c r="F86" i="51"/>
  <c r="F51" i="51"/>
  <c r="F47" i="51"/>
  <c r="F43" i="51"/>
  <c r="F104" i="51"/>
  <c r="F99" i="51"/>
  <c r="F78" i="51"/>
  <c r="F77" i="51"/>
  <c r="F70" i="51"/>
  <c r="F98" i="51"/>
  <c r="F89" i="51"/>
  <c r="F88" i="51"/>
  <c r="F65" i="51"/>
  <c r="F61" i="51"/>
  <c r="F97" i="51"/>
  <c r="F80" i="51"/>
  <c r="F79" i="51"/>
  <c r="F52" i="51"/>
  <c r="F48" i="51"/>
  <c r="F44" i="51"/>
  <c r="F40" i="51"/>
  <c r="F39" i="51"/>
  <c r="F71" i="51"/>
  <c r="F90" i="51"/>
  <c r="F66" i="51"/>
  <c r="F62" i="51"/>
  <c r="F58" i="51"/>
  <c r="F57" i="51"/>
  <c r="F91" i="51"/>
  <c r="F83" i="51"/>
  <c r="F82" i="51"/>
  <c r="F63" i="51"/>
  <c r="F59" i="51"/>
  <c r="F74" i="51"/>
  <c r="F73" i="51"/>
  <c r="F50" i="51"/>
  <c r="F46" i="51"/>
  <c r="F42" i="51"/>
  <c r="F85" i="51"/>
  <c r="F67" i="51"/>
  <c r="F41" i="51"/>
  <c r="F92" i="51"/>
  <c r="F81" i="51"/>
  <c r="F45" i="51"/>
  <c r="F68" i="51"/>
  <c r="F49" i="51"/>
  <c r="F84" i="51"/>
  <c r="F72" i="51"/>
  <c r="L12" i="51"/>
  <c r="F60" i="51"/>
  <c r="F93" i="51"/>
  <c r="F64" i="51"/>
  <c r="X17" i="51"/>
  <c r="Z17" i="51" s="1"/>
  <c r="X98" i="51"/>
  <c r="Z98" i="51" s="1"/>
  <c r="T97" i="51"/>
  <c r="N56" i="45"/>
  <c r="Z62" i="45"/>
  <c r="F33" i="48"/>
  <c r="F52" i="48"/>
  <c r="Z25" i="51"/>
  <c r="L27" i="51"/>
  <c r="N37" i="51"/>
  <c r="X56" i="56"/>
  <c r="Z56" i="56" s="1"/>
  <c r="J21" i="45"/>
  <c r="J26" i="45"/>
  <c r="J34" i="45"/>
  <c r="J45" i="45"/>
  <c r="X46" i="45"/>
  <c r="J53" i="45"/>
  <c r="X56" i="45"/>
  <c r="N58" i="45"/>
  <c r="Z64" i="45"/>
  <c r="N86" i="45"/>
  <c r="N19" i="48"/>
  <c r="F25" i="48"/>
  <c r="J33" i="48"/>
  <c r="J35" i="48"/>
  <c r="R38" i="48"/>
  <c r="X40" i="48"/>
  <c r="F50" i="48"/>
  <c r="J52" i="48"/>
  <c r="T12" i="51"/>
  <c r="Z14" i="51"/>
  <c r="N16" i="51"/>
  <c r="X25" i="51"/>
  <c r="L37" i="51"/>
  <c r="F75" i="51"/>
  <c r="N17" i="45"/>
  <c r="L26" i="45"/>
  <c r="J31" i="45"/>
  <c r="Z56" i="45"/>
  <c r="J58" i="45"/>
  <c r="J63" i="45"/>
  <c r="J86" i="45"/>
  <c r="Z40" i="48"/>
  <c r="J45" i="48"/>
  <c r="L75" i="51"/>
  <c r="N75" i="51" s="1"/>
  <c r="J25" i="45"/>
  <c r="J83" i="45"/>
  <c r="X86" i="45"/>
  <c r="Z86" i="45" s="1"/>
  <c r="Z17" i="48"/>
  <c r="T63" i="48"/>
  <c r="R19" i="48"/>
  <c r="F21" i="48"/>
  <c r="V40" i="48"/>
  <c r="F44" i="48"/>
  <c r="F61" i="48"/>
  <c r="X35" i="51"/>
  <c r="Z35" i="51" s="1"/>
  <c r="J47" i="45"/>
  <c r="J50" i="45"/>
  <c r="J54" i="48"/>
  <c r="J46" i="48"/>
  <c r="J36" i="48"/>
  <c r="J26" i="48"/>
  <c r="J22" i="48"/>
  <c r="J47" i="48"/>
  <c r="J37" i="48"/>
  <c r="J48" i="48"/>
  <c r="J38" i="48"/>
  <c r="J32" i="48"/>
  <c r="N12" i="48"/>
  <c r="J55" i="48"/>
  <c r="J49" i="48"/>
  <c r="J39" i="48"/>
  <c r="J27" i="48"/>
  <c r="J23" i="48"/>
  <c r="J50" i="48"/>
  <c r="J40" i="48"/>
  <c r="J56" i="48"/>
  <c r="J57" i="48"/>
  <c r="J51" i="48"/>
  <c r="J43" i="48"/>
  <c r="J58" i="48"/>
  <c r="J34" i="48"/>
  <c r="J20" i="48"/>
  <c r="J61" i="48"/>
  <c r="J29" i="48"/>
  <c r="J25" i="48"/>
  <c r="J21" i="48"/>
  <c r="J19" i="48"/>
  <c r="J17" i="48"/>
  <c r="J15" i="48"/>
  <c r="J44" i="48"/>
  <c r="L61" i="48"/>
  <c r="N61" i="48" s="1"/>
  <c r="D54" i="51"/>
  <c r="F54" i="51" s="1"/>
  <c r="X97" i="51"/>
  <c r="P16" i="54"/>
  <c r="X14" i="54"/>
  <c r="R22" i="48"/>
  <c r="R26" i="48"/>
  <c r="V37" i="48"/>
  <c r="R46" i="48"/>
  <c r="R47" i="48"/>
  <c r="V49" i="48"/>
  <c r="R54" i="48"/>
  <c r="N19" i="51"/>
  <c r="X22" i="51"/>
  <c r="Z22" i="51" s="1"/>
  <c r="N29" i="51"/>
  <c r="Z23" i="55"/>
  <c r="J77" i="56"/>
  <c r="J53" i="56"/>
  <c r="J37" i="56"/>
  <c r="J29" i="56"/>
  <c r="J19" i="56"/>
  <c r="J68" i="56"/>
  <c r="J60" i="56"/>
  <c r="J54" i="56"/>
  <c r="J48" i="56"/>
  <c r="J38" i="56"/>
  <c r="J24" i="56"/>
  <c r="J20" i="56"/>
  <c r="J18" i="56"/>
  <c r="J16" i="56"/>
  <c r="J14" i="56"/>
  <c r="J61" i="56"/>
  <c r="J55" i="56"/>
  <c r="J39" i="56"/>
  <c r="H16" i="56"/>
  <c r="J70" i="56"/>
  <c r="J62" i="56"/>
  <c r="J56" i="56"/>
  <c r="J40" i="56"/>
  <c r="J30" i="56"/>
  <c r="J63" i="56"/>
  <c r="J57" i="56"/>
  <c r="J49" i="56"/>
  <c r="J41" i="56"/>
  <c r="J25" i="56"/>
  <c r="J21" i="56"/>
  <c r="J50" i="56"/>
  <c r="J42" i="56"/>
  <c r="J64" i="56"/>
  <c r="J51" i="56"/>
  <c r="J43" i="56"/>
  <c r="J72" i="56"/>
  <c r="J58" i="56"/>
  <c r="J44" i="56"/>
  <c r="J32" i="56"/>
  <c r="J26" i="56"/>
  <c r="J22" i="56"/>
  <c r="J65" i="56"/>
  <c r="J45" i="56"/>
  <c r="J33" i="56"/>
  <c r="J52" i="56"/>
  <c r="J46" i="56"/>
  <c r="J34" i="56"/>
  <c r="N12" i="56"/>
  <c r="J31" i="56"/>
  <c r="J35" i="56"/>
  <c r="Z42" i="56"/>
  <c r="Z50" i="56"/>
  <c r="J66" i="56"/>
  <c r="R39" i="57"/>
  <c r="J32" i="58"/>
  <c r="V22" i="48"/>
  <c r="V26" i="48"/>
  <c r="R31" i="48"/>
  <c r="R35" i="48"/>
  <c r="R36" i="48"/>
  <c r="V38" i="48"/>
  <c r="V46" i="48"/>
  <c r="V54" i="48"/>
  <c r="R65" i="48"/>
  <c r="X32" i="51"/>
  <c r="Z32" i="51" s="1"/>
  <c r="Z99" i="51"/>
  <c r="L12" i="56"/>
  <c r="P70" i="56"/>
  <c r="Z36" i="56"/>
  <c r="Z38" i="56"/>
  <c r="X48" i="57"/>
  <c r="X52" i="58"/>
  <c r="Z52" i="58" s="1"/>
  <c r="N14" i="61"/>
  <c r="H16" i="61"/>
  <c r="X50" i="63"/>
  <c r="Z50" i="63" s="1"/>
  <c r="P60" i="48"/>
  <c r="X16" i="51"/>
  <c r="Z16" i="51" s="1"/>
  <c r="N21" i="51"/>
  <c r="Z16" i="55"/>
  <c r="T31" i="55"/>
  <c r="Z25" i="55"/>
  <c r="X40" i="56"/>
  <c r="Z40" i="56" s="1"/>
  <c r="R34" i="57"/>
  <c r="Z48" i="57"/>
  <c r="V49" i="59"/>
  <c r="V33" i="59"/>
  <c r="V29" i="59"/>
  <c r="T16" i="59"/>
  <c r="V51" i="59"/>
  <c r="V43" i="59"/>
  <c r="V35" i="59"/>
  <c r="V34" i="59"/>
  <c r="V30" i="59"/>
  <c r="V53" i="59"/>
  <c r="V45" i="59"/>
  <c r="V37" i="59"/>
  <c r="V25" i="59"/>
  <c r="V21" i="59"/>
  <c r="V44" i="59"/>
  <c r="V36" i="59"/>
  <c r="V47" i="59"/>
  <c r="V39" i="59"/>
  <c r="V31" i="59"/>
  <c r="V58" i="59"/>
  <c r="V56" i="59"/>
  <c r="V54" i="59"/>
  <c r="V46" i="59"/>
  <c r="V38" i="59"/>
  <c r="V26" i="59"/>
  <c r="V22" i="59"/>
  <c r="V41" i="59"/>
  <c r="V48" i="59"/>
  <c r="V40" i="59"/>
  <c r="V32" i="59"/>
  <c r="Z12" i="59"/>
  <c r="V14" i="59"/>
  <c r="V23" i="59"/>
  <c r="V65" i="59"/>
  <c r="V28" i="59"/>
  <c r="V19" i="59"/>
  <c r="V52" i="59"/>
  <c r="V50" i="59"/>
  <c r="V62" i="59"/>
  <c r="V42" i="59"/>
  <c r="V24" i="59"/>
  <c r="V16" i="59"/>
  <c r="V20" i="59"/>
  <c r="N15" i="51"/>
  <c r="X24" i="51"/>
  <c r="X34" i="51"/>
  <c r="Z34" i="51" s="1"/>
  <c r="Z57" i="51"/>
  <c r="N19" i="55"/>
  <c r="Z54" i="56"/>
  <c r="R65" i="57"/>
  <c r="R63" i="57"/>
  <c r="R37" i="57"/>
  <c r="R36" i="57"/>
  <c r="R24" i="57"/>
  <c r="R20" i="57"/>
  <c r="P16" i="57"/>
  <c r="R54" i="57"/>
  <c r="R46" i="57"/>
  <c r="R38" i="57"/>
  <c r="R30" i="57"/>
  <c r="R72" i="57"/>
  <c r="R69" i="57"/>
  <c r="R56" i="57"/>
  <c r="R55" i="57"/>
  <c r="R48" i="57"/>
  <c r="R47" i="57"/>
  <c r="R45" i="57"/>
  <c r="R40" i="57"/>
  <c r="R35" i="57"/>
  <c r="R31" i="57"/>
  <c r="R27" i="57"/>
  <c r="R58" i="57"/>
  <c r="R57" i="57"/>
  <c r="R28" i="57"/>
  <c r="R14" i="57"/>
  <c r="R50" i="57"/>
  <c r="R49" i="57"/>
  <c r="R42" i="57"/>
  <c r="R41" i="57"/>
  <c r="R25" i="57"/>
  <c r="R16" i="57"/>
  <c r="R22" i="57"/>
  <c r="R18" i="57"/>
  <c r="R59" i="57"/>
  <c r="R32" i="57"/>
  <c r="R29" i="57"/>
  <c r="R19" i="57"/>
  <c r="R60" i="57"/>
  <c r="R51" i="57"/>
  <c r="R52" i="57"/>
  <c r="R43" i="57"/>
  <c r="R33" i="57"/>
  <c r="R67" i="57"/>
  <c r="R44" i="57"/>
  <c r="R26" i="57"/>
  <c r="R23" i="57"/>
  <c r="X12" i="57"/>
  <c r="R21" i="57"/>
  <c r="P16" i="58"/>
  <c r="X14" i="58"/>
  <c r="N19" i="58"/>
  <c r="L19" i="58"/>
  <c r="X62" i="58"/>
  <c r="Z62" i="58" s="1"/>
  <c r="X12" i="59"/>
  <c r="R20" i="48"/>
  <c r="V34" i="48"/>
  <c r="R43" i="48"/>
  <c r="R51" i="48"/>
  <c r="X53" i="48"/>
  <c r="Z53" i="48" s="1"/>
  <c r="V58" i="48"/>
  <c r="V60" i="48"/>
  <c r="N23" i="51"/>
  <c r="N56" i="51"/>
  <c r="X77" i="51"/>
  <c r="N86" i="51"/>
  <c r="L86" i="51"/>
  <c r="J24" i="55"/>
  <c r="J25" i="55"/>
  <c r="J26" i="55"/>
  <c r="N12" i="55"/>
  <c r="J27" i="55"/>
  <c r="J31" i="55"/>
  <c r="J29" i="55"/>
  <c r="J19" i="55"/>
  <c r="J20" i="55"/>
  <c r="J18" i="55"/>
  <c r="J16" i="55"/>
  <c r="J14" i="55"/>
  <c r="J33" i="55"/>
  <c r="J21" i="55"/>
  <c r="H16" i="55"/>
  <c r="N21" i="55"/>
  <c r="L21" i="55"/>
  <c r="J59" i="56"/>
  <c r="J40" i="58"/>
  <c r="D52" i="61"/>
  <c r="V15" i="48"/>
  <c r="V17" i="48"/>
  <c r="V19" i="48"/>
  <c r="R24" i="48"/>
  <c r="R28" i="48"/>
  <c r="V43" i="48"/>
  <c r="V51" i="48"/>
  <c r="R56" i="48"/>
  <c r="R57" i="48"/>
  <c r="V61" i="48"/>
  <c r="L33" i="51"/>
  <c r="N33" i="51" s="1"/>
  <c r="X36" i="51"/>
  <c r="Z79" i="51"/>
  <c r="N28" i="56"/>
  <c r="N32" i="56"/>
  <c r="N61" i="56"/>
  <c r="J74" i="56"/>
  <c r="Z28" i="57"/>
  <c r="J47" i="58"/>
  <c r="P12" i="68"/>
  <c r="X14" i="68"/>
  <c r="L33" i="68"/>
  <c r="N33" i="68" s="1"/>
  <c r="V24" i="48"/>
  <c r="V28" i="48"/>
  <c r="R33" i="48"/>
  <c r="R41" i="48"/>
  <c r="R42" i="48"/>
  <c r="V56" i="48"/>
  <c r="N25" i="51"/>
  <c r="Z36" i="51"/>
  <c r="X56" i="51"/>
  <c r="Z56" i="51" s="1"/>
  <c r="Z77" i="51"/>
  <c r="N94" i="51"/>
  <c r="L94" i="51"/>
  <c r="J28" i="56"/>
  <c r="N34" i="56"/>
  <c r="L34" i="56"/>
  <c r="N33" i="57"/>
  <c r="R61" i="57"/>
  <c r="F53" i="58"/>
  <c r="F52" i="58"/>
  <c r="F73" i="58"/>
  <c r="F18" i="58"/>
  <c r="F16" i="58"/>
  <c r="F14" i="58"/>
  <c r="F61" i="58"/>
  <c r="F29" i="58"/>
  <c r="F25" i="58"/>
  <c r="F21" i="58"/>
  <c r="F63" i="58"/>
  <c r="F62" i="58"/>
  <c r="F31" i="58"/>
  <c r="F30" i="58"/>
  <c r="F58" i="58"/>
  <c r="F57" i="58"/>
  <c r="F50" i="58"/>
  <c r="F49" i="58"/>
  <c r="F38" i="58"/>
  <c r="F37" i="58"/>
  <c r="F26" i="58"/>
  <c r="F22" i="58"/>
  <c r="F65" i="58"/>
  <c r="F64" i="58"/>
  <c r="F40" i="58"/>
  <c r="F39" i="58"/>
  <c r="F32" i="58"/>
  <c r="F47" i="58"/>
  <c r="F19" i="58"/>
  <c r="F75" i="58"/>
  <c r="F54" i="58"/>
  <c r="F67" i="58"/>
  <c r="F44" i="58"/>
  <c r="F35" i="58"/>
  <c r="F27" i="58"/>
  <c r="F60" i="58"/>
  <c r="F41" i="58"/>
  <c r="F20" i="58"/>
  <c r="F55" i="58"/>
  <c r="F48" i="58"/>
  <c r="F36" i="58"/>
  <c r="F33" i="58"/>
  <c r="F45" i="58"/>
  <c r="F42" i="58"/>
  <c r="F23" i="58"/>
  <c r="F69" i="58"/>
  <c r="F28" i="58"/>
  <c r="D16" i="58"/>
  <c r="F56" i="58"/>
  <c r="F51" i="58"/>
  <c r="F78" i="58"/>
  <c r="F66" i="58"/>
  <c r="F59" i="58"/>
  <c r="F46" i="58"/>
  <c r="L12" i="58"/>
  <c r="L18" i="58"/>
  <c r="V27" i="59"/>
  <c r="F99" i="68"/>
  <c r="F98" i="68"/>
  <c r="F91" i="68"/>
  <c r="F90" i="68"/>
  <c r="F107" i="68"/>
  <c r="F94" i="68"/>
  <c r="F101" i="68"/>
  <c r="F104" i="68"/>
  <c r="F66" i="68"/>
  <c r="F64" i="68"/>
  <c r="F59" i="68"/>
  <c r="F55" i="68"/>
  <c r="F51" i="68"/>
  <c r="F47" i="68"/>
  <c r="F95" i="68"/>
  <c r="F86" i="68"/>
  <c r="F85" i="68"/>
  <c r="F78" i="68"/>
  <c r="D64" i="68"/>
  <c r="F92" i="68"/>
  <c r="F73" i="68"/>
  <c r="F69" i="68"/>
  <c r="F105" i="68"/>
  <c r="F60" i="68"/>
  <c r="F56" i="68"/>
  <c r="F52" i="68"/>
  <c r="F48" i="68"/>
  <c r="F44" i="68"/>
  <c r="F43" i="68"/>
  <c r="F102" i="68"/>
  <c r="F96" i="68"/>
  <c r="F93" i="68"/>
  <c r="F87" i="68"/>
  <c r="F79" i="68"/>
  <c r="F74" i="68"/>
  <c r="F70" i="68"/>
  <c r="F111" i="68"/>
  <c r="F89" i="68"/>
  <c r="F88" i="68"/>
  <c r="F61" i="68"/>
  <c r="F57" i="68"/>
  <c r="F53" i="68"/>
  <c r="F49" i="68"/>
  <c r="F45" i="68"/>
  <c r="F100" i="68"/>
  <c r="F80" i="68"/>
  <c r="L12" i="68"/>
  <c r="F103" i="68"/>
  <c r="F97" i="68"/>
  <c r="F75" i="68"/>
  <c r="F71" i="68"/>
  <c r="F82" i="68"/>
  <c r="F81" i="68"/>
  <c r="F62" i="68"/>
  <c r="F58" i="68"/>
  <c r="F54" i="68"/>
  <c r="F50" i="68"/>
  <c r="F46" i="68"/>
  <c r="F83" i="68"/>
  <c r="F76" i="68"/>
  <c r="F68" i="68"/>
  <c r="F84" i="68"/>
  <c r="F77" i="68"/>
  <c r="F72" i="68"/>
  <c r="F67" i="68"/>
  <c r="T12" i="68"/>
  <c r="Z14" i="68"/>
  <c r="R50" i="48"/>
  <c r="Z39" i="51"/>
  <c r="H97" i="51"/>
  <c r="N28" i="54"/>
  <c r="Z18" i="56"/>
  <c r="N36" i="56"/>
  <c r="Z63" i="56"/>
  <c r="J60" i="58"/>
  <c r="J44" i="58"/>
  <c r="J54" i="58"/>
  <c r="J46" i="58"/>
  <c r="J34" i="58"/>
  <c r="J78" i="58"/>
  <c r="J75" i="58"/>
  <c r="J62" i="58"/>
  <c r="J56" i="58"/>
  <c r="J48" i="58"/>
  <c r="J36" i="58"/>
  <c r="J30" i="58"/>
  <c r="J64" i="58"/>
  <c r="J58" i="58"/>
  <c r="J50" i="58"/>
  <c r="J38" i="58"/>
  <c r="J26" i="58"/>
  <c r="J22" i="58"/>
  <c r="J65" i="58"/>
  <c r="J39" i="58"/>
  <c r="J66" i="58"/>
  <c r="J67" i="58"/>
  <c r="J59" i="58"/>
  <c r="J51" i="58"/>
  <c r="J41" i="58"/>
  <c r="J27" i="58"/>
  <c r="J23" i="58"/>
  <c r="J52" i="58"/>
  <c r="J35" i="58"/>
  <c r="J55" i="58"/>
  <c r="J25" i="58"/>
  <c r="J20" i="58"/>
  <c r="J14" i="58"/>
  <c r="J45" i="58"/>
  <c r="J33" i="58"/>
  <c r="J69" i="58"/>
  <c r="J42" i="58"/>
  <c r="J16" i="58"/>
  <c r="J31" i="58"/>
  <c r="J28" i="58"/>
  <c r="J21" i="58"/>
  <c r="H16" i="58"/>
  <c r="J73" i="58"/>
  <c r="J63" i="58"/>
  <c r="J53" i="58"/>
  <c r="J49" i="58"/>
  <c r="J37" i="58"/>
  <c r="N12" i="58"/>
  <c r="J61" i="58"/>
  <c r="J43" i="58"/>
  <c r="J18" i="58"/>
  <c r="N18" i="58"/>
  <c r="Z55" i="58"/>
  <c r="X55" i="58"/>
  <c r="V60" i="59"/>
  <c r="N38" i="61"/>
  <c r="R23" i="48"/>
  <c r="R27" i="48"/>
  <c r="R39" i="48"/>
  <c r="R40" i="48"/>
  <c r="V42" i="48"/>
  <c r="Z23" i="51"/>
  <c r="Z28" i="51"/>
  <c r="N67" i="51"/>
  <c r="Z86" i="51"/>
  <c r="X28" i="56"/>
  <c r="Z28" i="56" s="1"/>
  <c r="J36" i="56"/>
  <c r="F24" i="58"/>
  <c r="F71" i="58"/>
  <c r="Z19" i="60"/>
  <c r="X41" i="61"/>
  <c r="Z41" i="61" s="1"/>
  <c r="N99" i="51"/>
  <c r="T16" i="54"/>
  <c r="F19" i="55"/>
  <c r="F20" i="55"/>
  <c r="R24" i="55"/>
  <c r="R25" i="55"/>
  <c r="F29" i="55"/>
  <c r="F31" i="55"/>
  <c r="R14" i="56"/>
  <c r="R16" i="56"/>
  <c r="R18" i="56"/>
  <c r="V20" i="56"/>
  <c r="V24" i="56"/>
  <c r="R29" i="56"/>
  <c r="F32" i="56"/>
  <c r="F33" i="56"/>
  <c r="R37" i="56"/>
  <c r="R38" i="56"/>
  <c r="V40" i="56"/>
  <c r="F44" i="56"/>
  <c r="F45" i="56"/>
  <c r="V48" i="56"/>
  <c r="R53" i="56"/>
  <c r="R54" i="56"/>
  <c r="V56" i="56"/>
  <c r="V60" i="56"/>
  <c r="R68" i="56"/>
  <c r="V70" i="56"/>
  <c r="J60" i="57"/>
  <c r="D16" i="60"/>
  <c r="V36" i="60"/>
  <c r="Z18" i="61"/>
  <c r="T59" i="67"/>
  <c r="V14" i="54"/>
  <c r="V16" i="54"/>
  <c r="V18" i="54"/>
  <c r="V20" i="54"/>
  <c r="V22" i="54"/>
  <c r="R65" i="56"/>
  <c r="R64" i="56"/>
  <c r="T16" i="56"/>
  <c r="R19" i="56"/>
  <c r="V29" i="56"/>
  <c r="V37" i="56"/>
  <c r="V53" i="56"/>
  <c r="F58" i="56"/>
  <c r="V61" i="56"/>
  <c r="R66" i="56"/>
  <c r="D16" i="57"/>
  <c r="N19" i="57"/>
  <c r="J32" i="57"/>
  <c r="N37" i="57"/>
  <c r="Z35" i="58"/>
  <c r="L39" i="58"/>
  <c r="N39" i="58" s="1"/>
  <c r="V39" i="60"/>
  <c r="V27" i="60"/>
  <c r="V23" i="60"/>
  <c r="V19" i="60"/>
  <c r="X12" i="60"/>
  <c r="V56" i="60"/>
  <c r="V53" i="60"/>
  <c r="V51" i="60"/>
  <c r="V29" i="60"/>
  <c r="T16" i="60"/>
  <c r="V40" i="60"/>
  <c r="V32" i="60"/>
  <c r="V24" i="60"/>
  <c r="V20" i="60"/>
  <c r="V31" i="60"/>
  <c r="V42" i="60"/>
  <c r="V34" i="60"/>
  <c r="V41" i="60"/>
  <c r="V33" i="60"/>
  <c r="V25" i="60"/>
  <c r="V21" i="60"/>
  <c r="V44" i="60"/>
  <c r="V43" i="60"/>
  <c r="V35" i="60"/>
  <c r="V26" i="60"/>
  <c r="V22" i="60"/>
  <c r="V14" i="56"/>
  <c r="V16" i="56"/>
  <c r="V18" i="56"/>
  <c r="V38" i="56"/>
  <c r="V54" i="56"/>
  <c r="V66" i="56"/>
  <c r="V68" i="56"/>
  <c r="V77" i="56"/>
  <c r="Z44" i="57"/>
  <c r="V59" i="56"/>
  <c r="Z52" i="57"/>
  <c r="X47" i="58"/>
  <c r="Z47" i="58" s="1"/>
  <c r="L19" i="59"/>
  <c r="N19" i="59" s="1"/>
  <c r="L16" i="61"/>
  <c r="N42" i="63"/>
  <c r="L42" i="63"/>
  <c r="N83" i="68"/>
  <c r="D16" i="54"/>
  <c r="L28" i="54"/>
  <c r="L29" i="54"/>
  <c r="N29" i="54" s="1"/>
  <c r="L12" i="55"/>
  <c r="P16" i="55"/>
  <c r="R20" i="55"/>
  <c r="R21" i="55"/>
  <c r="Z12" i="56"/>
  <c r="X19" i="56"/>
  <c r="Z19" i="56" s="1"/>
  <c r="F21" i="56"/>
  <c r="F25" i="56"/>
  <c r="V28" i="56"/>
  <c r="R33" i="56"/>
  <c r="R34" i="56"/>
  <c r="V36" i="56"/>
  <c r="F40" i="56"/>
  <c r="F41" i="56"/>
  <c r="R45" i="56"/>
  <c r="R46" i="56"/>
  <c r="F49" i="56"/>
  <c r="V52" i="56"/>
  <c r="F56" i="56"/>
  <c r="F57" i="56"/>
  <c r="N63" i="56"/>
  <c r="F70" i="56"/>
  <c r="V74" i="56"/>
  <c r="J36" i="57"/>
  <c r="X44" i="57"/>
  <c r="J49" i="57"/>
  <c r="J58" i="57"/>
  <c r="Z66" i="58"/>
  <c r="X29" i="59"/>
  <c r="Z29" i="59" s="1"/>
  <c r="N45" i="59"/>
  <c r="N32" i="60"/>
  <c r="N37" i="60"/>
  <c r="N19" i="61"/>
  <c r="F62" i="63"/>
  <c r="J24" i="54"/>
  <c r="R14" i="55"/>
  <c r="R16" i="55"/>
  <c r="R18" i="55"/>
  <c r="D16" i="56"/>
  <c r="R22" i="56"/>
  <c r="R26" i="56"/>
  <c r="F30" i="56"/>
  <c r="V33" i="56"/>
  <c r="V45" i="56"/>
  <c r="R58" i="56"/>
  <c r="F61" i="56"/>
  <c r="F62" i="56"/>
  <c r="R72" i="56"/>
  <c r="J14" i="57"/>
  <c r="N16" i="57"/>
  <c r="J28" i="57"/>
  <c r="J40" i="57"/>
  <c r="J57" i="57"/>
  <c r="Z18" i="58"/>
  <c r="Z19" i="59"/>
  <c r="N37" i="59"/>
  <c r="L47" i="59"/>
  <c r="N47" i="59" s="1"/>
  <c r="V28" i="60"/>
  <c r="V30" i="60"/>
  <c r="Z32" i="61"/>
  <c r="Z14" i="63"/>
  <c r="T16" i="63"/>
  <c r="N62" i="63"/>
  <c r="L62" i="63"/>
  <c r="H16" i="54"/>
  <c r="R19" i="55"/>
  <c r="F25" i="55"/>
  <c r="F26" i="55"/>
  <c r="R29" i="55"/>
  <c r="R31" i="55"/>
  <c r="F14" i="56"/>
  <c r="F16" i="56"/>
  <c r="F18" i="56"/>
  <c r="V22" i="56"/>
  <c r="V26" i="56"/>
  <c r="R31" i="56"/>
  <c r="R32" i="56"/>
  <c r="V34" i="56"/>
  <c r="F38" i="56"/>
  <c r="F39" i="56"/>
  <c r="R43" i="56"/>
  <c r="R44" i="56"/>
  <c r="V46" i="56"/>
  <c r="R51" i="56"/>
  <c r="F54" i="56"/>
  <c r="F55" i="56"/>
  <c r="V58" i="56"/>
  <c r="V64" i="56"/>
  <c r="F68" i="56"/>
  <c r="V72" i="56"/>
  <c r="J31" i="57"/>
  <c r="N35" i="57"/>
  <c r="L40" i="57"/>
  <c r="N40" i="57" s="1"/>
  <c r="J63" i="57"/>
  <c r="H69" i="57"/>
  <c r="Z19" i="63"/>
  <c r="J14" i="54"/>
  <c r="J16" i="54"/>
  <c r="J18" i="54"/>
  <c r="J20" i="54"/>
  <c r="R26" i="54"/>
  <c r="R28" i="54"/>
  <c r="R29" i="54"/>
  <c r="R31" i="54"/>
  <c r="V14" i="55"/>
  <c r="V16" i="55"/>
  <c r="V18" i="55"/>
  <c r="R27" i="55"/>
  <c r="F19" i="56"/>
  <c r="F20" i="56"/>
  <c r="F24" i="56"/>
  <c r="V31" i="56"/>
  <c r="V43" i="56"/>
  <c r="F48" i="56"/>
  <c r="V51" i="56"/>
  <c r="F60" i="56"/>
  <c r="J21" i="57"/>
  <c r="J24" i="57"/>
  <c r="J39" i="57"/>
  <c r="J48" i="57"/>
  <c r="N30" i="58"/>
  <c r="L52" i="58"/>
  <c r="N41" i="59"/>
  <c r="X19" i="60"/>
  <c r="N34" i="60"/>
  <c r="Z37" i="60"/>
  <c r="L18" i="61"/>
  <c r="N18" i="61" s="1"/>
  <c r="V19" i="55"/>
  <c r="F23" i="55"/>
  <c r="F24" i="55"/>
  <c r="V27" i="55"/>
  <c r="V29" i="55"/>
  <c r="F35" i="55"/>
  <c r="R21" i="56"/>
  <c r="R25" i="56"/>
  <c r="F28" i="56"/>
  <c r="F29" i="56"/>
  <c r="V32" i="56"/>
  <c r="F36" i="56"/>
  <c r="F37" i="56"/>
  <c r="R41" i="56"/>
  <c r="R42" i="56"/>
  <c r="V44" i="56"/>
  <c r="R49" i="56"/>
  <c r="R50" i="56"/>
  <c r="F53" i="56"/>
  <c r="R57" i="56"/>
  <c r="R63" i="56"/>
  <c r="F77" i="56"/>
  <c r="J59" i="57"/>
  <c r="J51" i="57"/>
  <c r="J43" i="57"/>
  <c r="J33" i="57"/>
  <c r="J27" i="57"/>
  <c r="J23" i="57"/>
  <c r="L12" i="57"/>
  <c r="J61" i="57"/>
  <c r="J53" i="57"/>
  <c r="J45" i="57"/>
  <c r="J35" i="57"/>
  <c r="J29" i="57"/>
  <c r="J19" i="57"/>
  <c r="J65" i="57"/>
  <c r="J54" i="57"/>
  <c r="J46" i="57"/>
  <c r="X18" i="57"/>
  <c r="Z18" i="57" s="1"/>
  <c r="J34" i="57"/>
  <c r="X40" i="57"/>
  <c r="Z40" i="57" s="1"/>
  <c r="J56" i="57"/>
  <c r="N52" i="58"/>
  <c r="N62" i="58"/>
  <c r="V37" i="60"/>
  <c r="X47" i="60"/>
  <c r="L38" i="61"/>
  <c r="F90" i="63"/>
  <c r="F82" i="63"/>
  <c r="F78" i="63"/>
  <c r="F77" i="63"/>
  <c r="F70" i="63"/>
  <c r="F26" i="63"/>
  <c r="F22" i="63"/>
  <c r="F65" i="63"/>
  <c r="F64" i="63"/>
  <c r="F53" i="63"/>
  <c r="F52" i="63"/>
  <c r="F45" i="63"/>
  <c r="F44" i="63"/>
  <c r="F92" i="63"/>
  <c r="F91" i="63"/>
  <c r="F72" i="63"/>
  <c r="F71" i="63"/>
  <c r="F36" i="63"/>
  <c r="F32" i="63"/>
  <c r="F98" i="63"/>
  <c r="F96" i="63"/>
  <c r="F83" i="63"/>
  <c r="F79" i="63"/>
  <c r="F67" i="63"/>
  <c r="F66" i="63"/>
  <c r="F55" i="63"/>
  <c r="F54" i="63"/>
  <c r="F27" i="63"/>
  <c r="F23" i="63"/>
  <c r="F100" i="63"/>
  <c r="F95" i="63"/>
  <c r="F94" i="63"/>
  <c r="F85" i="63"/>
  <c r="F84" i="63"/>
  <c r="F73" i="63"/>
  <c r="F57" i="63"/>
  <c r="F56" i="63"/>
  <c r="F33" i="63"/>
  <c r="F80" i="63"/>
  <c r="F68" i="63"/>
  <c r="F48" i="63"/>
  <c r="F47" i="63"/>
  <c r="F40" i="63"/>
  <c r="F39" i="63"/>
  <c r="F28" i="63"/>
  <c r="F24" i="63"/>
  <c r="F20" i="63"/>
  <c r="F19" i="63"/>
  <c r="F105" i="63"/>
  <c r="F102" i="63"/>
  <c r="F87" i="63"/>
  <c r="F86" i="63"/>
  <c r="F59" i="63"/>
  <c r="F58" i="63"/>
  <c r="F18" i="63"/>
  <c r="F16" i="63"/>
  <c r="F14" i="63"/>
  <c r="F74" i="63"/>
  <c r="F34" i="63"/>
  <c r="F89" i="63"/>
  <c r="F88" i="63"/>
  <c r="F81" i="63"/>
  <c r="F69" i="63"/>
  <c r="F61" i="63"/>
  <c r="F60" i="63"/>
  <c r="F49" i="63"/>
  <c r="F41" i="63"/>
  <c r="F25" i="63"/>
  <c r="F21" i="63"/>
  <c r="F50" i="63"/>
  <c r="F76" i="63"/>
  <c r="F37" i="63"/>
  <c r="F31" i="63"/>
  <c r="F63" i="63"/>
  <c r="F43" i="63"/>
  <c r="F35" i="63"/>
  <c r="F75" i="63"/>
  <c r="F51" i="63"/>
  <c r="F29" i="63"/>
  <c r="D16" i="63"/>
  <c r="L12" i="63"/>
  <c r="N56" i="63"/>
  <c r="L56" i="63"/>
  <c r="N35" i="68"/>
  <c r="N37" i="68"/>
  <c r="N41" i="68"/>
  <c r="N92" i="70"/>
  <c r="L92" i="70"/>
  <c r="V24" i="54"/>
  <c r="V26" i="54"/>
  <c r="V28" i="54"/>
  <c r="V29" i="54"/>
  <c r="V21" i="56"/>
  <c r="V25" i="56"/>
  <c r="R30" i="56"/>
  <c r="V41" i="56"/>
  <c r="V49" i="56"/>
  <c r="V57" i="56"/>
  <c r="R62" i="56"/>
  <c r="F66" i="56"/>
  <c r="X30" i="58"/>
  <c r="Z30" i="58" s="1"/>
  <c r="Z18" i="59"/>
  <c r="L14" i="61"/>
  <c r="Z27" i="61"/>
  <c r="N31" i="68"/>
  <c r="V35" i="58"/>
  <c r="R44" i="58"/>
  <c r="R45" i="58"/>
  <c r="V47" i="58"/>
  <c r="V55" i="58"/>
  <c r="R60" i="58"/>
  <c r="V73" i="58"/>
  <c r="V75" i="58"/>
  <c r="V78" i="58"/>
  <c r="J36" i="59"/>
  <c r="J44" i="59"/>
  <c r="R56" i="59"/>
  <c r="R58" i="59"/>
  <c r="F14" i="60"/>
  <c r="F16" i="60"/>
  <c r="F18" i="60"/>
  <c r="F30" i="60"/>
  <c r="F31" i="60"/>
  <c r="J32" i="60"/>
  <c r="R43" i="60"/>
  <c r="R44" i="60"/>
  <c r="J19" i="61"/>
  <c r="J29" i="61"/>
  <c r="R30" i="61"/>
  <c r="J37" i="61"/>
  <c r="R52" i="61"/>
  <c r="V23" i="63"/>
  <c r="R25" i="63"/>
  <c r="R34" i="63"/>
  <c r="R36" i="63"/>
  <c r="V46" i="63"/>
  <c r="L77" i="63"/>
  <c r="V83" i="63"/>
  <c r="J49" i="67"/>
  <c r="J41" i="67"/>
  <c r="J33" i="67"/>
  <c r="J19" i="67"/>
  <c r="J50" i="67"/>
  <c r="J42" i="67"/>
  <c r="J28" i="67"/>
  <c r="J24" i="67"/>
  <c r="J20" i="67"/>
  <c r="J18" i="67"/>
  <c r="J16" i="67"/>
  <c r="J14" i="67"/>
  <c r="J51" i="67"/>
  <c r="J43" i="67"/>
  <c r="J29" i="67"/>
  <c r="H16" i="67"/>
  <c r="J34" i="67"/>
  <c r="J30" i="67"/>
  <c r="J55" i="67"/>
  <c r="J53" i="67"/>
  <c r="J25" i="67"/>
  <c r="J21" i="67"/>
  <c r="J44" i="67"/>
  <c r="J57" i="67"/>
  <c r="J45" i="67"/>
  <c r="J35" i="67"/>
  <c r="J31" i="67"/>
  <c r="J46" i="67"/>
  <c r="J36" i="67"/>
  <c r="J26" i="67"/>
  <c r="J22" i="67"/>
  <c r="J62" i="67"/>
  <c r="J59" i="67"/>
  <c r="J37" i="67"/>
  <c r="J38" i="67"/>
  <c r="J32" i="67"/>
  <c r="N12" i="67"/>
  <c r="P16" i="67"/>
  <c r="J23" i="67"/>
  <c r="J39" i="67"/>
  <c r="H12" i="68"/>
  <c r="N13" i="68"/>
  <c r="Z16" i="68"/>
  <c r="X18" i="68"/>
  <c r="V58" i="73"/>
  <c r="V54" i="73"/>
  <c r="V75" i="73"/>
  <c r="V73" i="73"/>
  <c r="V65" i="73"/>
  <c r="V64" i="73"/>
  <c r="T51" i="73"/>
  <c r="V67" i="73"/>
  <c r="V59" i="73"/>
  <c r="V55" i="73"/>
  <c r="V68" i="73"/>
  <c r="V60" i="73"/>
  <c r="V56" i="73"/>
  <c r="V70" i="73"/>
  <c r="V62" i="73"/>
  <c r="V69" i="73"/>
  <c r="V61" i="73"/>
  <c r="V57" i="73"/>
  <c r="V53" i="73"/>
  <c r="V37" i="73"/>
  <c r="V39" i="73"/>
  <c r="V72" i="73"/>
  <c r="V43" i="73"/>
  <c r="V41" i="73"/>
  <c r="V63" i="73"/>
  <c r="V49" i="73"/>
  <c r="V47" i="73"/>
  <c r="V45" i="73"/>
  <c r="V79" i="73"/>
  <c r="V36" i="73"/>
  <c r="V34" i="73"/>
  <c r="V38" i="73"/>
  <c r="V42" i="73"/>
  <c r="V40" i="73"/>
  <c r="V51" i="73"/>
  <c r="V44" i="73"/>
  <c r="V66" i="73"/>
  <c r="V48" i="73"/>
  <c r="V46" i="73"/>
  <c r="V35" i="73"/>
  <c r="V60" i="58"/>
  <c r="D16" i="59"/>
  <c r="J21" i="59"/>
  <c r="R22" i="59"/>
  <c r="J25" i="59"/>
  <c r="R26" i="59"/>
  <c r="J35" i="59"/>
  <c r="R38" i="59"/>
  <c r="R39" i="59"/>
  <c r="R46" i="59"/>
  <c r="R47" i="59"/>
  <c r="J53" i="59"/>
  <c r="R54" i="59"/>
  <c r="H16" i="60"/>
  <c r="J31" i="60"/>
  <c r="F39" i="60"/>
  <c r="F40" i="60"/>
  <c r="J53" i="60"/>
  <c r="J56" i="60"/>
  <c r="J36" i="61"/>
  <c r="R39" i="61"/>
  <c r="J46" i="61"/>
  <c r="J48" i="61"/>
  <c r="V25" i="63"/>
  <c r="X42" i="63"/>
  <c r="Z42" i="63" s="1"/>
  <c r="X62" i="63"/>
  <c r="Z62" i="63" s="1"/>
  <c r="N77" i="63"/>
  <c r="Z18" i="68"/>
  <c r="N67" i="68"/>
  <c r="T12" i="69"/>
  <c r="L101" i="74"/>
  <c r="N101" i="74" s="1"/>
  <c r="T16" i="58"/>
  <c r="R19" i="58"/>
  <c r="V33" i="58"/>
  <c r="R42" i="58"/>
  <c r="R43" i="58"/>
  <c r="V45" i="58"/>
  <c r="V53" i="58"/>
  <c r="R69" i="58"/>
  <c r="R71" i="58"/>
  <c r="J30" i="59"/>
  <c r="R31" i="59"/>
  <c r="J34" i="59"/>
  <c r="F43" i="59"/>
  <c r="F50" i="59"/>
  <c r="F51" i="59"/>
  <c r="J52" i="59"/>
  <c r="F62" i="59"/>
  <c r="F65" i="59"/>
  <c r="J14" i="60"/>
  <c r="J16" i="60"/>
  <c r="J18" i="60"/>
  <c r="J20" i="60"/>
  <c r="J24" i="60"/>
  <c r="F28" i="60"/>
  <c r="F29" i="60"/>
  <c r="J30" i="60"/>
  <c r="J40" i="60"/>
  <c r="F51" i="60"/>
  <c r="L12" i="61"/>
  <c r="P16" i="61"/>
  <c r="R20" i="61"/>
  <c r="J23" i="61"/>
  <c r="R24" i="61"/>
  <c r="F27" i="61"/>
  <c r="F28" i="61"/>
  <c r="J35" i="61"/>
  <c r="F43" i="61"/>
  <c r="F44" i="61"/>
  <c r="R50" i="61"/>
  <c r="R100" i="63"/>
  <c r="R47" i="63"/>
  <c r="R46" i="63"/>
  <c r="R39" i="63"/>
  <c r="R38" i="63"/>
  <c r="R19" i="63"/>
  <c r="R105" i="63"/>
  <c r="R102" i="63"/>
  <c r="R86" i="63"/>
  <c r="R85" i="63"/>
  <c r="R73" i="63"/>
  <c r="R58" i="63"/>
  <c r="R57" i="63"/>
  <c r="R33" i="63"/>
  <c r="R18" i="63"/>
  <c r="R16" i="63"/>
  <c r="R14" i="63"/>
  <c r="R80" i="63"/>
  <c r="R68" i="63"/>
  <c r="R48" i="63"/>
  <c r="R40" i="63"/>
  <c r="R29" i="63"/>
  <c r="R28" i="63"/>
  <c r="R24" i="63"/>
  <c r="R20" i="63"/>
  <c r="R88" i="63"/>
  <c r="R87" i="63"/>
  <c r="R60" i="63"/>
  <c r="R59" i="63"/>
  <c r="R75" i="63"/>
  <c r="R74" i="63"/>
  <c r="R89" i="63"/>
  <c r="R81" i="63"/>
  <c r="R69" i="63"/>
  <c r="R62" i="63"/>
  <c r="R61" i="63"/>
  <c r="R50" i="63"/>
  <c r="R49" i="63"/>
  <c r="R42" i="63"/>
  <c r="R41" i="63"/>
  <c r="R77" i="63"/>
  <c r="R76" i="63"/>
  <c r="R64" i="63"/>
  <c r="R63" i="63"/>
  <c r="R52" i="63"/>
  <c r="R51" i="63"/>
  <c r="R44" i="63"/>
  <c r="R43" i="63"/>
  <c r="R35" i="63"/>
  <c r="R31" i="63"/>
  <c r="R91" i="63"/>
  <c r="R90" i="63"/>
  <c r="R82" i="63"/>
  <c r="R78" i="63"/>
  <c r="R71" i="63"/>
  <c r="R70" i="63"/>
  <c r="R98" i="63"/>
  <c r="R96" i="63"/>
  <c r="R66" i="63"/>
  <c r="R65" i="63"/>
  <c r="R54" i="63"/>
  <c r="R53" i="63"/>
  <c r="R45" i="63"/>
  <c r="H16" i="63"/>
  <c r="Z18" i="63"/>
  <c r="R27" i="63"/>
  <c r="Z56" i="63"/>
  <c r="X56" i="63"/>
  <c r="Z58" i="63"/>
  <c r="R79" i="63"/>
  <c r="Z20" i="68"/>
  <c r="X22" i="68"/>
  <c r="Z22" i="68" s="1"/>
  <c r="V71" i="73"/>
  <c r="V14" i="58"/>
  <c r="V16" i="58"/>
  <c r="V18" i="58"/>
  <c r="V42" i="58"/>
  <c r="R51" i="58"/>
  <c r="R52" i="58"/>
  <c r="R59" i="58"/>
  <c r="R67" i="58"/>
  <c r="H16" i="59"/>
  <c r="J29" i="59"/>
  <c r="R36" i="59"/>
  <c r="R37" i="59"/>
  <c r="J43" i="59"/>
  <c r="R44" i="59"/>
  <c r="R45" i="59"/>
  <c r="J51" i="59"/>
  <c r="J19" i="60"/>
  <c r="J29" i="60"/>
  <c r="F37" i="60"/>
  <c r="F38" i="60"/>
  <c r="J39" i="60"/>
  <c r="F47" i="60"/>
  <c r="F49" i="60"/>
  <c r="J51" i="60"/>
  <c r="N12" i="61"/>
  <c r="R14" i="61"/>
  <c r="R16" i="61"/>
  <c r="R18" i="61"/>
  <c r="J28" i="61"/>
  <c r="R29" i="61"/>
  <c r="J34" i="61"/>
  <c r="R37" i="61"/>
  <c r="R38" i="61"/>
  <c r="J44" i="61"/>
  <c r="V85" i="63"/>
  <c r="V73" i="63"/>
  <c r="V57" i="63"/>
  <c r="V33" i="63"/>
  <c r="V29" i="63"/>
  <c r="V88" i="63"/>
  <c r="V80" i="63"/>
  <c r="V68" i="63"/>
  <c r="V60" i="63"/>
  <c r="V48" i="63"/>
  <c r="V40" i="63"/>
  <c r="V28" i="63"/>
  <c r="V24" i="63"/>
  <c r="V20" i="63"/>
  <c r="V87" i="63"/>
  <c r="V75" i="63"/>
  <c r="V59" i="63"/>
  <c r="V74" i="63"/>
  <c r="V62" i="63"/>
  <c r="V50" i="63"/>
  <c r="V42" i="63"/>
  <c r="V34" i="63"/>
  <c r="V30" i="63"/>
  <c r="V89" i="63"/>
  <c r="V81" i="63"/>
  <c r="V77" i="63"/>
  <c r="V69" i="63"/>
  <c r="V76" i="63"/>
  <c r="V64" i="63"/>
  <c r="V52" i="63"/>
  <c r="V44" i="63"/>
  <c r="V91" i="63"/>
  <c r="V71" i="63"/>
  <c r="V63" i="63"/>
  <c r="V51" i="63"/>
  <c r="V43" i="63"/>
  <c r="V35" i="63"/>
  <c r="V31" i="63"/>
  <c r="V98" i="63"/>
  <c r="V96" i="63"/>
  <c r="V90" i="63"/>
  <c r="V82" i="63"/>
  <c r="V78" i="63"/>
  <c r="V70" i="63"/>
  <c r="V66" i="63"/>
  <c r="V54" i="63"/>
  <c r="V26" i="63"/>
  <c r="V22" i="63"/>
  <c r="V95" i="63"/>
  <c r="V65" i="63"/>
  <c r="V53" i="63"/>
  <c r="V45" i="63"/>
  <c r="V37" i="63"/>
  <c r="V94" i="63"/>
  <c r="V92" i="63"/>
  <c r="V84" i="63"/>
  <c r="V72" i="63"/>
  <c r="V56" i="63"/>
  <c r="V36" i="63"/>
  <c r="V32" i="63"/>
  <c r="Z12" i="63"/>
  <c r="V18" i="63"/>
  <c r="V27" i="63"/>
  <c r="V49" i="63"/>
  <c r="V58" i="63"/>
  <c r="V79" i="63"/>
  <c r="P94" i="63"/>
  <c r="X94" i="63" s="1"/>
  <c r="Z94" i="63" s="1"/>
  <c r="X95" i="63"/>
  <c r="N88" i="68"/>
  <c r="Z92" i="68"/>
  <c r="Z32" i="69"/>
  <c r="X32" i="69"/>
  <c r="Z27" i="70"/>
  <c r="N33" i="70"/>
  <c r="J50" i="59"/>
  <c r="J62" i="59"/>
  <c r="J65" i="59"/>
  <c r="J28" i="60"/>
  <c r="J38" i="60"/>
  <c r="T16" i="61"/>
  <c r="R19" i="61"/>
  <c r="F26" i="61"/>
  <c r="J27" i="61"/>
  <c r="J33" i="61"/>
  <c r="F41" i="61"/>
  <c r="F42" i="61"/>
  <c r="J43" i="61"/>
  <c r="X12" i="63"/>
  <c r="N47" i="63"/>
  <c r="Z77" i="63"/>
  <c r="R95" i="63"/>
  <c r="V100" i="63"/>
  <c r="L38" i="67"/>
  <c r="L17" i="68"/>
  <c r="N17" i="68" s="1"/>
  <c r="Z24" i="68"/>
  <c r="L104" i="68"/>
  <c r="N104" i="68" s="1"/>
  <c r="Z19" i="70"/>
  <c r="Z25" i="70"/>
  <c r="F33" i="57"/>
  <c r="F34" i="57"/>
  <c r="Z12" i="58"/>
  <c r="V32" i="58"/>
  <c r="V40" i="58"/>
  <c r="V52" i="58"/>
  <c r="R65" i="58"/>
  <c r="R66" i="58"/>
  <c r="J19" i="59"/>
  <c r="R30" i="59"/>
  <c r="J33" i="59"/>
  <c r="R34" i="59"/>
  <c r="R35" i="59"/>
  <c r="F41" i="59"/>
  <c r="F42" i="59"/>
  <c r="J49" i="59"/>
  <c r="F60" i="59"/>
  <c r="L12" i="60"/>
  <c r="P16" i="60"/>
  <c r="R20" i="60"/>
  <c r="J23" i="60"/>
  <c r="R24" i="60"/>
  <c r="J27" i="60"/>
  <c r="F36" i="60"/>
  <c r="J37" i="60"/>
  <c r="R40" i="60"/>
  <c r="J47" i="60"/>
  <c r="J49" i="60"/>
  <c r="R53" i="60"/>
  <c r="R56" i="60"/>
  <c r="V55" i="61"/>
  <c r="V52" i="61"/>
  <c r="V50" i="61"/>
  <c r="V14" i="61"/>
  <c r="V16" i="61"/>
  <c r="V18" i="61"/>
  <c r="J22" i="61"/>
  <c r="R23" i="61"/>
  <c r="J26" i="61"/>
  <c r="F31" i="61"/>
  <c r="J32" i="61"/>
  <c r="R35" i="61"/>
  <c r="R36" i="61"/>
  <c r="V38" i="61"/>
  <c r="J42" i="61"/>
  <c r="R46" i="61"/>
  <c r="R48" i="61"/>
  <c r="F55" i="61"/>
  <c r="P16" i="63"/>
  <c r="N39" i="63"/>
  <c r="V41" i="63"/>
  <c r="R55" i="63"/>
  <c r="V61" i="63"/>
  <c r="R67" i="63"/>
  <c r="N84" i="63"/>
  <c r="Z95" i="63"/>
  <c r="N21" i="68"/>
  <c r="Z26" i="68"/>
  <c r="N36" i="68"/>
  <c r="N40" i="68"/>
  <c r="Z88" i="68"/>
  <c r="X88" i="68"/>
  <c r="Z21" i="70"/>
  <c r="N22" i="76"/>
  <c r="X37" i="59"/>
  <c r="Z37" i="59" s="1"/>
  <c r="J42" i="59"/>
  <c r="R43" i="59"/>
  <c r="X45" i="59"/>
  <c r="Z45" i="59" s="1"/>
  <c r="R51" i="59"/>
  <c r="R52" i="59"/>
  <c r="J60" i="59"/>
  <c r="N12" i="60"/>
  <c r="J36" i="60"/>
  <c r="L37" i="60"/>
  <c r="L47" i="60"/>
  <c r="X12" i="61"/>
  <c r="X14" i="61"/>
  <c r="X18" i="61"/>
  <c r="R28" i="61"/>
  <c r="R44" i="61"/>
  <c r="N38" i="67"/>
  <c r="L66" i="68"/>
  <c r="N66" i="68" s="1"/>
  <c r="R97" i="70"/>
  <c r="R96" i="70"/>
  <c r="R72" i="70"/>
  <c r="R41" i="70"/>
  <c r="X12" i="70"/>
  <c r="R104" i="70"/>
  <c r="R103" i="70"/>
  <c r="R88" i="70"/>
  <c r="R87" i="70"/>
  <c r="R79" i="70"/>
  <c r="R67" i="70"/>
  <c r="R63" i="70"/>
  <c r="R98" i="70"/>
  <c r="R59" i="70"/>
  <c r="R54" i="70"/>
  <c r="R50" i="70"/>
  <c r="R46" i="70"/>
  <c r="R42" i="70"/>
  <c r="R112" i="70"/>
  <c r="R106" i="70"/>
  <c r="R105" i="70"/>
  <c r="R90" i="70"/>
  <c r="R89" i="70"/>
  <c r="R73" i="70"/>
  <c r="R58" i="70"/>
  <c r="R111" i="70"/>
  <c r="R81" i="70"/>
  <c r="R80" i="70"/>
  <c r="R69" i="70"/>
  <c r="R68" i="70"/>
  <c r="R64" i="70"/>
  <c r="R60" i="70"/>
  <c r="P56" i="70"/>
  <c r="R56" i="70" s="1"/>
  <c r="R110" i="70"/>
  <c r="R107" i="70"/>
  <c r="R99" i="70"/>
  <c r="R92" i="70"/>
  <c r="R91" i="70"/>
  <c r="R51" i="70"/>
  <c r="R47" i="70"/>
  <c r="R43" i="70"/>
  <c r="R116" i="70"/>
  <c r="R83" i="70"/>
  <c r="R82" i="70"/>
  <c r="R74" i="70"/>
  <c r="R70" i="70"/>
  <c r="R93" i="70"/>
  <c r="R65" i="70"/>
  <c r="R61" i="70"/>
  <c r="R101" i="70"/>
  <c r="R100" i="70"/>
  <c r="R85" i="70"/>
  <c r="R84" i="70"/>
  <c r="R52" i="70"/>
  <c r="R48" i="70"/>
  <c r="R44" i="70"/>
  <c r="R76" i="70"/>
  <c r="R75" i="70"/>
  <c r="R71" i="70"/>
  <c r="R77" i="70"/>
  <c r="R49" i="70"/>
  <c r="R102" i="70"/>
  <c r="R95" i="70"/>
  <c r="R62" i="70"/>
  <c r="R78" i="70"/>
  <c r="R53" i="70"/>
  <c r="R86" i="70"/>
  <c r="R66" i="70"/>
  <c r="N109" i="70"/>
  <c r="V22" i="58"/>
  <c r="V26" i="58"/>
  <c r="R31" i="58"/>
  <c r="V38" i="58"/>
  <c r="V50" i="58"/>
  <c r="V58" i="58"/>
  <c r="R63" i="58"/>
  <c r="R64" i="58"/>
  <c r="V66" i="58"/>
  <c r="L12" i="59"/>
  <c r="P16" i="59"/>
  <c r="R20" i="59"/>
  <c r="J23" i="59"/>
  <c r="R24" i="59"/>
  <c r="J27" i="59"/>
  <c r="R28" i="59"/>
  <c r="R29" i="59"/>
  <c r="F32" i="59"/>
  <c r="F39" i="59"/>
  <c r="F40" i="59"/>
  <c r="J41" i="59"/>
  <c r="F47" i="59"/>
  <c r="R19" i="60"/>
  <c r="F22" i="60"/>
  <c r="R38" i="60"/>
  <c r="J45" i="60"/>
  <c r="Z12" i="61"/>
  <c r="F21" i="61"/>
  <c r="V28" i="61"/>
  <c r="R33" i="61"/>
  <c r="R34" i="61"/>
  <c r="V36" i="61"/>
  <c r="J40" i="61"/>
  <c r="V44" i="61"/>
  <c r="V46" i="61"/>
  <c r="V48" i="61"/>
  <c r="J55" i="61"/>
  <c r="V16" i="63"/>
  <c r="N19" i="63"/>
  <c r="R26" i="63"/>
  <c r="X39" i="63"/>
  <c r="Z47" i="63"/>
  <c r="R84" i="63"/>
  <c r="Z86" i="63"/>
  <c r="R92" i="63"/>
  <c r="V102" i="63"/>
  <c r="J40" i="67"/>
  <c r="N48" i="67"/>
  <c r="X53" i="67"/>
  <c r="N25" i="68"/>
  <c r="Z30" i="68"/>
  <c r="Z34" i="68"/>
  <c r="Z36" i="68"/>
  <c r="Z38" i="68"/>
  <c r="Z40" i="68"/>
  <c r="T12" i="70"/>
  <c r="R22" i="61"/>
  <c r="R26" i="61"/>
  <c r="R27" i="61"/>
  <c r="R42" i="61"/>
  <c r="R43" i="61"/>
  <c r="X46" i="61"/>
  <c r="J52" i="61"/>
  <c r="L14" i="63"/>
  <c r="Z39" i="63"/>
  <c r="Z84" i="63"/>
  <c r="X84" i="63"/>
  <c r="V86" i="63"/>
  <c r="L83" i="68"/>
  <c r="R94" i="70"/>
  <c r="V48" i="58"/>
  <c r="V56" i="58"/>
  <c r="R19" i="59"/>
  <c r="J39" i="59"/>
  <c r="R42" i="59"/>
  <c r="J35" i="60"/>
  <c r="R31" i="61"/>
  <c r="X19" i="63"/>
  <c r="V39" i="63"/>
  <c r="N50" i="63"/>
  <c r="L50" i="63"/>
  <c r="N94" i="63"/>
  <c r="V105" i="63"/>
  <c r="N29" i="68"/>
  <c r="Z66" i="68"/>
  <c r="N85" i="68"/>
  <c r="T12" i="75"/>
  <c r="J42" i="63"/>
  <c r="J50" i="63"/>
  <c r="J62" i="63"/>
  <c r="J76" i="63"/>
  <c r="R14" i="67"/>
  <c r="R16" i="67"/>
  <c r="R18" i="67"/>
  <c r="V20" i="67"/>
  <c r="V24" i="67"/>
  <c r="V28" i="67"/>
  <c r="R33" i="67"/>
  <c r="F36" i="67"/>
  <c r="F37" i="67"/>
  <c r="R41" i="67"/>
  <c r="R42" i="67"/>
  <c r="R49" i="67"/>
  <c r="R50" i="67"/>
  <c r="F59" i="69"/>
  <c r="F58" i="69"/>
  <c r="F43" i="69"/>
  <c r="F42" i="69"/>
  <c r="F35" i="69"/>
  <c r="F30" i="69"/>
  <c r="F26" i="69"/>
  <c r="F53" i="69"/>
  <c r="F45" i="69"/>
  <c r="F44" i="69"/>
  <c r="F17" i="69"/>
  <c r="F16" i="69"/>
  <c r="F63" i="69"/>
  <c r="F61" i="69"/>
  <c r="F36" i="69"/>
  <c r="F65" i="69"/>
  <c r="F55" i="69"/>
  <c r="F54" i="69"/>
  <c r="F47" i="69"/>
  <c r="F46" i="69"/>
  <c r="F49" i="69"/>
  <c r="F48" i="69"/>
  <c r="F37" i="69"/>
  <c r="F33" i="69"/>
  <c r="F32" i="69"/>
  <c r="F70" i="69"/>
  <c r="F67" i="69"/>
  <c r="F56" i="69"/>
  <c r="F28" i="69"/>
  <c r="F24" i="69"/>
  <c r="F23" i="69"/>
  <c r="F39" i="69"/>
  <c r="F38" i="69"/>
  <c r="F50" i="69"/>
  <c r="F34" i="69"/>
  <c r="D20" i="69"/>
  <c r="F57" i="69"/>
  <c r="Z29" i="70"/>
  <c r="Z31" i="70"/>
  <c r="Z35" i="70"/>
  <c r="Z39" i="70"/>
  <c r="F111" i="70"/>
  <c r="F61" i="72"/>
  <c r="F72" i="72"/>
  <c r="F70" i="72"/>
  <c r="F63" i="72"/>
  <c r="F74" i="72"/>
  <c r="F56" i="72"/>
  <c r="F48" i="72"/>
  <c r="F47" i="72"/>
  <c r="F20" i="72"/>
  <c r="F19" i="72"/>
  <c r="F64" i="72"/>
  <c r="F39" i="72"/>
  <c r="F50" i="72"/>
  <c r="F49" i="72"/>
  <c r="F34" i="72"/>
  <c r="F30" i="72"/>
  <c r="F58" i="72"/>
  <c r="F57" i="72"/>
  <c r="F21" i="72"/>
  <c r="F66" i="72"/>
  <c r="F65" i="72"/>
  <c r="F62" i="72"/>
  <c r="F52" i="72"/>
  <c r="F51" i="72"/>
  <c r="F40" i="72"/>
  <c r="F36" i="72"/>
  <c r="F35" i="72"/>
  <c r="L12" i="72"/>
  <c r="F31" i="72"/>
  <c r="F27" i="72"/>
  <c r="F26" i="72"/>
  <c r="F76" i="72"/>
  <c r="F54" i="72"/>
  <c r="F53" i="72"/>
  <c r="F42" i="72"/>
  <c r="F41" i="72"/>
  <c r="F25" i="72"/>
  <c r="F23" i="72"/>
  <c r="F59" i="72"/>
  <c r="F37" i="72"/>
  <c r="D23" i="72"/>
  <c r="F67" i="72"/>
  <c r="F44" i="72"/>
  <c r="F43" i="72"/>
  <c r="F32" i="72"/>
  <c r="F28" i="72"/>
  <c r="F60" i="72"/>
  <c r="F55" i="72"/>
  <c r="N17" i="72"/>
  <c r="X25" i="72"/>
  <c r="Z25" i="72" s="1"/>
  <c r="F38" i="72"/>
  <c r="X14" i="73"/>
  <c r="P12" i="73"/>
  <c r="X24" i="73"/>
  <c r="N18" i="74"/>
  <c r="L18" i="74"/>
  <c r="H12" i="74"/>
  <c r="L20" i="74"/>
  <c r="N20" i="74" s="1"/>
  <c r="Z24" i="76"/>
  <c r="Z26" i="76"/>
  <c r="J41" i="63"/>
  <c r="J49" i="63"/>
  <c r="J61" i="63"/>
  <c r="J69" i="63"/>
  <c r="J75" i="63"/>
  <c r="J81" i="63"/>
  <c r="J89" i="63"/>
  <c r="R19" i="67"/>
  <c r="F22" i="67"/>
  <c r="F26" i="67"/>
  <c r="V29" i="67"/>
  <c r="V33" i="67"/>
  <c r="V41" i="67"/>
  <c r="F45" i="67"/>
  <c r="F46" i="67"/>
  <c r="V49" i="67"/>
  <c r="J44" i="69"/>
  <c r="J30" i="69"/>
  <c r="J26" i="69"/>
  <c r="J16" i="69"/>
  <c r="J61" i="69"/>
  <c r="J53" i="69"/>
  <c r="J45" i="69"/>
  <c r="J17" i="69"/>
  <c r="J54" i="69"/>
  <c r="J46" i="69"/>
  <c r="J36" i="69"/>
  <c r="J65" i="69"/>
  <c r="J55" i="69"/>
  <c r="J47" i="69"/>
  <c r="J31" i="69"/>
  <c r="J27" i="69"/>
  <c r="J48" i="69"/>
  <c r="J49" i="69"/>
  <c r="J37" i="69"/>
  <c r="J33" i="69"/>
  <c r="J56" i="69"/>
  <c r="J38" i="69"/>
  <c r="J28" i="69"/>
  <c r="J24" i="69"/>
  <c r="J22" i="69"/>
  <c r="J20" i="69"/>
  <c r="J39" i="69"/>
  <c r="H20" i="69"/>
  <c r="J50" i="69"/>
  <c r="J40" i="69"/>
  <c r="J34" i="69"/>
  <c r="J57" i="69"/>
  <c r="J51" i="69"/>
  <c r="J41" i="69"/>
  <c r="J29" i="69"/>
  <c r="J25" i="69"/>
  <c r="F31" i="69"/>
  <c r="Z54" i="69"/>
  <c r="Z33" i="70"/>
  <c r="Z37" i="70"/>
  <c r="F69" i="70"/>
  <c r="F74" i="70"/>
  <c r="Z92" i="70"/>
  <c r="F116" i="70"/>
  <c r="V25" i="72"/>
  <c r="Z24" i="73"/>
  <c r="X16" i="76"/>
  <c r="P12" i="76"/>
  <c r="J30" i="63"/>
  <c r="J34" i="63"/>
  <c r="J60" i="63"/>
  <c r="J74" i="63"/>
  <c r="J88" i="63"/>
  <c r="V14" i="67"/>
  <c r="V16" i="67"/>
  <c r="V18" i="67"/>
  <c r="R23" i="67"/>
  <c r="R27" i="67"/>
  <c r="F31" i="67"/>
  <c r="F35" i="67"/>
  <c r="R39" i="67"/>
  <c r="R40" i="67"/>
  <c r="V42" i="67"/>
  <c r="R47" i="67"/>
  <c r="R48" i="67"/>
  <c r="V50" i="67"/>
  <c r="F57" i="67"/>
  <c r="L90" i="68"/>
  <c r="L12" i="69"/>
  <c r="N12" i="69" s="1"/>
  <c r="H12" i="70"/>
  <c r="D56" i="70"/>
  <c r="N69" i="70"/>
  <c r="P12" i="72"/>
  <c r="Z15" i="72"/>
  <c r="Z17" i="72"/>
  <c r="Z35" i="72"/>
  <c r="N47" i="72"/>
  <c r="L47" i="72"/>
  <c r="F110" i="74"/>
  <c r="F109" i="74"/>
  <c r="F102" i="74"/>
  <c r="F101" i="74"/>
  <c r="F77" i="74"/>
  <c r="F70" i="74"/>
  <c r="F66" i="74"/>
  <c r="F62" i="74"/>
  <c r="F58" i="74"/>
  <c r="F54" i="74"/>
  <c r="F117" i="74"/>
  <c r="F116" i="74"/>
  <c r="F93" i="74"/>
  <c r="F89" i="74"/>
  <c r="D75" i="74"/>
  <c r="F112" i="74"/>
  <c r="F111" i="74"/>
  <c r="F84" i="74"/>
  <c r="F80" i="74"/>
  <c r="F119" i="74"/>
  <c r="F118" i="74"/>
  <c r="F103" i="74"/>
  <c r="F95" i="74"/>
  <c r="F94" i="74"/>
  <c r="F71" i="74"/>
  <c r="F67" i="74"/>
  <c r="F63" i="74"/>
  <c r="F59" i="74"/>
  <c r="F55" i="74"/>
  <c r="F51" i="74"/>
  <c r="F50" i="74"/>
  <c r="F90" i="74"/>
  <c r="F121" i="74"/>
  <c r="F120" i="74"/>
  <c r="F113" i="74"/>
  <c r="F105" i="74"/>
  <c r="F104" i="74"/>
  <c r="F97" i="74"/>
  <c r="F96" i="74"/>
  <c r="F85" i="74"/>
  <c r="F81" i="74"/>
  <c r="F125" i="74"/>
  <c r="F72" i="74"/>
  <c r="F68" i="74"/>
  <c r="F64" i="74"/>
  <c r="F60" i="74"/>
  <c r="F56" i="74"/>
  <c r="F52" i="74"/>
  <c r="F129" i="74"/>
  <c r="F124" i="74"/>
  <c r="F107" i="74"/>
  <c r="F106" i="74"/>
  <c r="F91" i="74"/>
  <c r="F123" i="74"/>
  <c r="F114" i="74"/>
  <c r="F98" i="74"/>
  <c r="F86" i="74"/>
  <c r="F82" i="74"/>
  <c r="F73" i="74"/>
  <c r="F69" i="74"/>
  <c r="F65" i="74"/>
  <c r="F61" i="74"/>
  <c r="F57" i="74"/>
  <c r="F53" i="74"/>
  <c r="F88" i="74"/>
  <c r="L12" i="74"/>
  <c r="F83" i="74"/>
  <c r="F78" i="74"/>
  <c r="F100" i="74"/>
  <c r="F87" i="74"/>
  <c r="F115" i="74"/>
  <c r="F92" i="74"/>
  <c r="F99" i="74"/>
  <c r="Z30" i="75"/>
  <c r="J29" i="63"/>
  <c r="J59" i="63"/>
  <c r="J87" i="63"/>
  <c r="D94" i="63"/>
  <c r="L94" i="63" s="1"/>
  <c r="X12" i="67"/>
  <c r="V19" i="67"/>
  <c r="V23" i="67"/>
  <c r="V27" i="67"/>
  <c r="R32" i="67"/>
  <c r="V39" i="67"/>
  <c r="F44" i="67"/>
  <c r="V47" i="67"/>
  <c r="F53" i="67"/>
  <c r="F55" i="67"/>
  <c r="Z104" i="68"/>
  <c r="F20" i="69"/>
  <c r="N42" i="69"/>
  <c r="L42" i="69"/>
  <c r="L14" i="70"/>
  <c r="N14" i="70" s="1"/>
  <c r="L18" i="70"/>
  <c r="L22" i="70"/>
  <c r="N22" i="70" s="1"/>
  <c r="L26" i="70"/>
  <c r="N26" i="70" s="1"/>
  <c r="N30" i="70"/>
  <c r="N78" i="70"/>
  <c r="F93" i="70"/>
  <c r="Z111" i="70"/>
  <c r="V62" i="72"/>
  <c r="V74" i="72"/>
  <c r="V56" i="72"/>
  <c r="V66" i="72"/>
  <c r="V59" i="72"/>
  <c r="V43" i="72"/>
  <c r="V31" i="72"/>
  <c r="V27" i="72"/>
  <c r="V67" i="72"/>
  <c r="V54" i="72"/>
  <c r="V42" i="72"/>
  <c r="V45" i="72"/>
  <c r="V37" i="72"/>
  <c r="V44" i="72"/>
  <c r="V32" i="72"/>
  <c r="V28" i="72"/>
  <c r="V60" i="72"/>
  <c r="V55" i="72"/>
  <c r="V47" i="72"/>
  <c r="V19" i="72"/>
  <c r="V63" i="72"/>
  <c r="V46" i="72"/>
  <c r="V38" i="72"/>
  <c r="V68" i="72"/>
  <c r="V49" i="72"/>
  <c r="V33" i="72"/>
  <c r="V29" i="72"/>
  <c r="V57" i="72"/>
  <c r="V48" i="72"/>
  <c r="V20" i="72"/>
  <c r="V65" i="72"/>
  <c r="V61" i="72"/>
  <c r="V51" i="72"/>
  <c r="V39" i="72"/>
  <c r="V35" i="72"/>
  <c r="V64" i="72"/>
  <c r="V50" i="72"/>
  <c r="V34" i="72"/>
  <c r="V30" i="72"/>
  <c r="V26" i="72"/>
  <c r="F45" i="72"/>
  <c r="N51" i="72"/>
  <c r="V70" i="72"/>
  <c r="N48" i="74"/>
  <c r="L48" i="74"/>
  <c r="F79" i="74"/>
  <c r="J48" i="63"/>
  <c r="J58" i="63"/>
  <c r="J68" i="63"/>
  <c r="J80" i="63"/>
  <c r="J86" i="63"/>
  <c r="J102" i="63"/>
  <c r="J105" i="63"/>
  <c r="V48" i="67"/>
  <c r="Z48" i="69"/>
  <c r="X48" i="69"/>
  <c r="X41" i="70"/>
  <c r="Z41" i="70" s="1"/>
  <c r="X97" i="70"/>
  <c r="Z97" i="70" s="1"/>
  <c r="N19" i="72"/>
  <c r="L19" i="72"/>
  <c r="Z53" i="72"/>
  <c r="X53" i="72"/>
  <c r="L21" i="73"/>
  <c r="N21" i="73" s="1"/>
  <c r="N46" i="74"/>
  <c r="L46" i="74"/>
  <c r="T123" i="74"/>
  <c r="Z125" i="74"/>
  <c r="X125" i="74"/>
  <c r="J85" i="63"/>
  <c r="D16" i="67"/>
  <c r="F34" i="67"/>
  <c r="R46" i="67"/>
  <c r="R59" i="67"/>
  <c r="R62" i="67"/>
  <c r="L15" i="68"/>
  <c r="N15" i="68" s="1"/>
  <c r="L19" i="68"/>
  <c r="N19" i="68" s="1"/>
  <c r="L23" i="68"/>
  <c r="N23" i="68" s="1"/>
  <c r="L27" i="68"/>
  <c r="N27" i="68" s="1"/>
  <c r="L31" i="68"/>
  <c r="L35" i="68"/>
  <c r="L39" i="68"/>
  <c r="F40" i="69"/>
  <c r="N51" i="69"/>
  <c r="L51" i="69"/>
  <c r="L58" i="69"/>
  <c r="N58" i="69" s="1"/>
  <c r="L34" i="70"/>
  <c r="L38" i="70"/>
  <c r="N38" i="70" s="1"/>
  <c r="N58" i="70"/>
  <c r="F65" i="70"/>
  <c r="F81" i="70"/>
  <c r="N83" i="70"/>
  <c r="L83" i="70"/>
  <c r="D109" i="70"/>
  <c r="L109" i="70" s="1"/>
  <c r="V21" i="72"/>
  <c r="X26" i="72"/>
  <c r="F29" i="72"/>
  <c r="V36" i="72"/>
  <c r="V53" i="72"/>
  <c r="L44" i="74"/>
  <c r="N44" i="74" s="1"/>
  <c r="F108" i="74"/>
  <c r="J38" i="63"/>
  <c r="J46" i="63"/>
  <c r="J56" i="63"/>
  <c r="J84" i="63"/>
  <c r="J94" i="63"/>
  <c r="J100" i="63"/>
  <c r="F14" i="67"/>
  <c r="F16" i="67"/>
  <c r="F18" i="67"/>
  <c r="V22" i="67"/>
  <c r="V26" i="67"/>
  <c r="R31" i="67"/>
  <c r="R35" i="67"/>
  <c r="R36" i="67"/>
  <c r="V38" i="67"/>
  <c r="F42" i="67"/>
  <c r="F43" i="67"/>
  <c r="V46" i="67"/>
  <c r="F50" i="67"/>
  <c r="F51" i="67"/>
  <c r="R57" i="67"/>
  <c r="F27" i="69"/>
  <c r="N40" i="69"/>
  <c r="J58" i="69"/>
  <c r="F70" i="70"/>
  <c r="X78" i="70"/>
  <c r="Z78" i="70" s="1"/>
  <c r="H12" i="72"/>
  <c r="N14" i="72"/>
  <c r="X41" i="72"/>
  <c r="Z41" i="72" s="1"/>
  <c r="Z51" i="72"/>
  <c r="V58" i="72"/>
  <c r="Z65" i="72"/>
  <c r="X19" i="73"/>
  <c r="Z19" i="73"/>
  <c r="J55" i="63"/>
  <c r="J67" i="63"/>
  <c r="J79" i="63"/>
  <c r="J83" i="63"/>
  <c r="L84" i="63"/>
  <c r="J95" i="63"/>
  <c r="F19" i="67"/>
  <c r="F20" i="67"/>
  <c r="F24" i="67"/>
  <c r="F28" i="67"/>
  <c r="V31" i="67"/>
  <c r="V35" i="67"/>
  <c r="X38" i="67"/>
  <c r="Z38" i="67" s="1"/>
  <c r="R44" i="67"/>
  <c r="R45" i="67"/>
  <c r="V57" i="67"/>
  <c r="V59" i="67"/>
  <c r="V62" i="67"/>
  <c r="L110" i="70"/>
  <c r="N110" i="70" s="1"/>
  <c r="T72" i="72"/>
  <c r="V72" i="72" s="1"/>
  <c r="Z26" i="72"/>
  <c r="F68" i="72"/>
  <c r="Z36" i="74"/>
  <c r="J32" i="63"/>
  <c r="J36" i="63"/>
  <c r="J54" i="63"/>
  <c r="J66" i="63"/>
  <c r="J72" i="63"/>
  <c r="J92" i="63"/>
  <c r="J96" i="63"/>
  <c r="J98" i="63"/>
  <c r="R21" i="67"/>
  <c r="R25" i="67"/>
  <c r="F33" i="67"/>
  <c r="V36" i="67"/>
  <c r="F40" i="67"/>
  <c r="F41" i="67"/>
  <c r="V44" i="67"/>
  <c r="F48" i="67"/>
  <c r="J32" i="69"/>
  <c r="Z40" i="69"/>
  <c r="J43" i="69"/>
  <c r="Z58" i="69"/>
  <c r="F109" i="70"/>
  <c r="F100" i="70"/>
  <c r="F84" i="70"/>
  <c r="F83" i="70"/>
  <c r="F52" i="70"/>
  <c r="F48" i="70"/>
  <c r="F44" i="70"/>
  <c r="F75" i="70"/>
  <c r="F71" i="70"/>
  <c r="F102" i="70"/>
  <c r="F101" i="70"/>
  <c r="F94" i="70"/>
  <c r="F86" i="70"/>
  <c r="F85" i="70"/>
  <c r="F66" i="70"/>
  <c r="F62" i="70"/>
  <c r="F77" i="70"/>
  <c r="F76" i="70"/>
  <c r="F53" i="70"/>
  <c r="F49" i="70"/>
  <c r="F45" i="70"/>
  <c r="F96" i="70"/>
  <c r="F95" i="70"/>
  <c r="F72" i="70"/>
  <c r="L12" i="70"/>
  <c r="F103" i="70"/>
  <c r="F87" i="70"/>
  <c r="F79" i="70"/>
  <c r="F78" i="70"/>
  <c r="F67" i="70"/>
  <c r="F63" i="70"/>
  <c r="F98" i="70"/>
  <c r="F97" i="70"/>
  <c r="F54" i="70"/>
  <c r="F50" i="70"/>
  <c r="F46" i="70"/>
  <c r="F42" i="70"/>
  <c r="F41" i="70"/>
  <c r="F105" i="70"/>
  <c r="F104" i="70"/>
  <c r="F89" i="70"/>
  <c r="F88" i="70"/>
  <c r="F73" i="70"/>
  <c r="F80" i="70"/>
  <c r="F68" i="70"/>
  <c r="F64" i="70"/>
  <c r="F60" i="70"/>
  <c r="F59" i="70"/>
  <c r="F112" i="70"/>
  <c r="F107" i="70"/>
  <c r="F106" i="70"/>
  <c r="F99" i="70"/>
  <c r="F91" i="70"/>
  <c r="F90" i="70"/>
  <c r="F58" i="70"/>
  <c r="F56" i="70"/>
  <c r="F51" i="70"/>
  <c r="F47" i="70"/>
  <c r="F43" i="70"/>
  <c r="V23" i="72"/>
  <c r="F46" i="72"/>
  <c r="F79" i="72"/>
  <c r="X120" i="74"/>
  <c r="Z120" i="74" s="1"/>
  <c r="Z18" i="75"/>
  <c r="J45" i="63"/>
  <c r="J53" i="63"/>
  <c r="J65" i="63"/>
  <c r="J71" i="63"/>
  <c r="R30" i="67"/>
  <c r="R34" i="67"/>
  <c r="R53" i="67"/>
  <c r="P12" i="69"/>
  <c r="X13" i="69"/>
  <c r="Z13" i="69" s="1"/>
  <c r="F25" i="69"/>
  <c r="F52" i="69"/>
  <c r="X15" i="70"/>
  <c r="Z15" i="70" s="1"/>
  <c r="X19" i="70"/>
  <c r="X23" i="70"/>
  <c r="Z23" i="70" s="1"/>
  <c r="V52" i="72"/>
  <c r="X29" i="73"/>
  <c r="Z29" i="73"/>
  <c r="X25" i="74"/>
  <c r="Z14" i="73"/>
  <c r="N34" i="73"/>
  <c r="Z62" i="73"/>
  <c r="L22" i="74"/>
  <c r="N22" i="74" s="1"/>
  <c r="N77" i="74"/>
  <c r="L77" i="74"/>
  <c r="N53" i="75"/>
  <c r="D12" i="76"/>
  <c r="Z14" i="76"/>
  <c r="Z16" i="76"/>
  <c r="Z20" i="76"/>
  <c r="Z22" i="76"/>
  <c r="L31" i="76"/>
  <c r="Z16" i="74"/>
  <c r="L24" i="74"/>
  <c r="N24" i="74" s="1"/>
  <c r="Z40" i="74"/>
  <c r="X96" i="74"/>
  <c r="Z96" i="74" s="1"/>
  <c r="N99" i="74"/>
  <c r="N21" i="75"/>
  <c r="N26" i="75"/>
  <c r="L26" i="75"/>
  <c r="Z40" i="75"/>
  <c r="N72" i="75"/>
  <c r="H12" i="76"/>
  <c r="L13" i="70"/>
  <c r="P109" i="70"/>
  <c r="X109" i="70" s="1"/>
  <c r="Z109" i="70" s="1"/>
  <c r="L13" i="72"/>
  <c r="N13" i="72" s="1"/>
  <c r="X65" i="72"/>
  <c r="H12" i="73"/>
  <c r="N13" i="73"/>
  <c r="Z16" i="73"/>
  <c r="Z26" i="73"/>
  <c r="Z31" i="73"/>
  <c r="L54" i="73"/>
  <c r="N54" i="73" s="1"/>
  <c r="L72" i="73"/>
  <c r="N26" i="74"/>
  <c r="L26" i="74"/>
  <c r="X33" i="74"/>
  <c r="Z44" i="74"/>
  <c r="Z101" i="74"/>
  <c r="N104" i="74"/>
  <c r="H12" i="75"/>
  <c r="N13" i="75"/>
  <c r="L17" i="75"/>
  <c r="N17" i="75" s="1"/>
  <c r="L21" i="75"/>
  <c r="N58" i="75"/>
  <c r="L58" i="75"/>
  <c r="L15" i="76"/>
  <c r="N15" i="76" s="1"/>
  <c r="L23" i="76"/>
  <c r="N23" i="76" s="1"/>
  <c r="N16" i="80"/>
  <c r="X18" i="73"/>
  <c r="Z18" i="73" s="1"/>
  <c r="N25" i="73"/>
  <c r="N72" i="73"/>
  <c r="P12" i="74"/>
  <c r="X13" i="74"/>
  <c r="Z33" i="74"/>
  <c r="N87" i="74"/>
  <c r="L31" i="75"/>
  <c r="N31" i="75" s="1"/>
  <c r="X53" i="75"/>
  <c r="Z53" i="75" s="1"/>
  <c r="L19" i="76"/>
  <c r="L56" i="78"/>
  <c r="Z28" i="73"/>
  <c r="Z17" i="75"/>
  <c r="N50" i="75"/>
  <c r="L50" i="75"/>
  <c r="N19" i="76"/>
  <c r="Z23" i="73"/>
  <c r="X30" i="73"/>
  <c r="X34" i="73"/>
  <c r="Z34" i="73" s="1"/>
  <c r="Z70" i="73"/>
  <c r="X72" i="73"/>
  <c r="X15" i="74"/>
  <c r="N30" i="74"/>
  <c r="L30" i="74"/>
  <c r="Z37" i="74"/>
  <c r="X41" i="74"/>
  <c r="Z87" i="74"/>
  <c r="X104" i="74"/>
  <c r="Z104" i="74" s="1"/>
  <c r="N109" i="74"/>
  <c r="L109" i="74"/>
  <c r="Z31" i="75"/>
  <c r="F48" i="75"/>
  <c r="Z15" i="76"/>
  <c r="N39" i="76"/>
  <c r="X56" i="76"/>
  <c r="Z56" i="76" s="1"/>
  <c r="P12" i="79"/>
  <c r="X13" i="79"/>
  <c r="Z13" i="79" s="1"/>
  <c r="L32" i="69"/>
  <c r="N32" i="69" s="1"/>
  <c r="X42" i="69"/>
  <c r="Z42" i="69" s="1"/>
  <c r="L48" i="69"/>
  <c r="N48" i="69" s="1"/>
  <c r="X58" i="69"/>
  <c r="X13" i="70"/>
  <c r="L41" i="70"/>
  <c r="N41" i="70" s="1"/>
  <c r="X83" i="70"/>
  <c r="Z83" i="70" s="1"/>
  <c r="L97" i="70"/>
  <c r="N97" i="70" s="1"/>
  <c r="X13" i="72"/>
  <c r="X19" i="72"/>
  <c r="Z19" i="72" s="1"/>
  <c r="L25" i="72"/>
  <c r="N25" i="72" s="1"/>
  <c r="Z30" i="73"/>
  <c r="Z72" i="73"/>
  <c r="L34" i="74"/>
  <c r="N34" i="74" s="1"/>
  <c r="Z41" i="74"/>
  <c r="N48" i="75"/>
  <c r="Z56" i="75"/>
  <c r="N73" i="75"/>
  <c r="L73" i="75"/>
  <c r="Z13" i="70"/>
  <c r="Z13" i="72"/>
  <c r="L17" i="73"/>
  <c r="N17" i="73" s="1"/>
  <c r="Z20" i="73"/>
  <c r="Z25" i="73"/>
  <c r="X67" i="73"/>
  <c r="Z28" i="74"/>
  <c r="L32" i="74"/>
  <c r="N32" i="74" s="1"/>
  <c r="Z43" i="74"/>
  <c r="L78" i="74"/>
  <c r="N78" i="74" s="1"/>
  <c r="N120" i="74"/>
  <c r="Z65" i="75"/>
  <c r="X65" i="75"/>
  <c r="H63" i="78"/>
  <c r="J63" i="78" s="1"/>
  <c r="D12" i="73"/>
  <c r="Z15" i="73"/>
  <c r="X22" i="73"/>
  <c r="Z22" i="73" s="1"/>
  <c r="N29" i="73"/>
  <c r="T12" i="74"/>
  <c r="L14" i="74"/>
  <c r="Z19" i="74"/>
  <c r="X21" i="74"/>
  <c r="L36" i="74"/>
  <c r="N36" i="74" s="1"/>
  <c r="N38" i="74"/>
  <c r="L38" i="74"/>
  <c r="Z45" i="74"/>
  <c r="Z47" i="74"/>
  <c r="Z109" i="74"/>
  <c r="X22" i="75"/>
  <c r="L30" i="75"/>
  <c r="N30" i="75" s="1"/>
  <c r="Z48" i="75"/>
  <c r="Z73" i="75"/>
  <c r="Z36" i="76"/>
  <c r="N57" i="76"/>
  <c r="Z32" i="73"/>
  <c r="Z67" i="73"/>
  <c r="Z21" i="74"/>
  <c r="N40" i="74"/>
  <c r="L42" i="74"/>
  <c r="N42" i="74" s="1"/>
  <c r="P12" i="75"/>
  <c r="X14" i="75"/>
  <c r="Z14" i="75" s="1"/>
  <c r="X18" i="75"/>
  <c r="Z22" i="75"/>
  <c r="Z44" i="75"/>
  <c r="X44" i="75"/>
  <c r="F62" i="75"/>
  <c r="F69" i="75"/>
  <c r="F70" i="75"/>
  <c r="V90" i="76"/>
  <c r="V82" i="76"/>
  <c r="V66" i="76"/>
  <c r="V81" i="76"/>
  <c r="V73" i="76"/>
  <c r="V92" i="76"/>
  <c r="V84" i="76"/>
  <c r="V72" i="76"/>
  <c r="V68" i="76"/>
  <c r="V91" i="76"/>
  <c r="V83" i="76"/>
  <c r="V75" i="76"/>
  <c r="V63" i="76"/>
  <c r="V59" i="76"/>
  <c r="V100" i="76"/>
  <c r="V94" i="76"/>
  <c r="V86" i="76"/>
  <c r="V99" i="76"/>
  <c r="V93" i="76"/>
  <c r="V85" i="76"/>
  <c r="V77" i="76"/>
  <c r="V69" i="76"/>
  <c r="V98" i="76"/>
  <c r="V88" i="76"/>
  <c r="V95" i="76"/>
  <c r="V87" i="76"/>
  <c r="V79" i="76"/>
  <c r="V104" i="76"/>
  <c r="V78" i="76"/>
  <c r="V80" i="76"/>
  <c r="V56" i="76"/>
  <c r="V52" i="76"/>
  <c r="V42" i="76"/>
  <c r="V46" i="76"/>
  <c r="T54" i="76"/>
  <c r="J45" i="78"/>
  <c r="F57" i="78"/>
  <c r="F59" i="78"/>
  <c r="V51" i="79"/>
  <c r="V43" i="79"/>
  <c r="V35" i="79"/>
  <c r="V58" i="79"/>
  <c r="V46" i="79"/>
  <c r="V30" i="79"/>
  <c r="V26" i="79"/>
  <c r="V53" i="79"/>
  <c r="V45" i="79"/>
  <c r="V17" i="79"/>
  <c r="V70" i="79"/>
  <c r="V36" i="79"/>
  <c r="V32" i="79"/>
  <c r="V59" i="79"/>
  <c r="V47" i="79"/>
  <c r="V31" i="79"/>
  <c r="V27" i="79"/>
  <c r="V23" i="79"/>
  <c r="V54" i="79"/>
  <c r="V38" i="79"/>
  <c r="V22" i="79"/>
  <c r="V18" i="79"/>
  <c r="V61" i="79"/>
  <c r="V37" i="79"/>
  <c r="V33" i="79"/>
  <c r="T20" i="79"/>
  <c r="V60" i="79"/>
  <c r="V56" i="79"/>
  <c r="V48" i="79"/>
  <c r="V40" i="79"/>
  <c r="V28" i="79"/>
  <c r="V24" i="79"/>
  <c r="V63" i="79"/>
  <c r="V55" i="79"/>
  <c r="V39" i="79"/>
  <c r="V62" i="79"/>
  <c r="V50" i="79"/>
  <c r="V42" i="79"/>
  <c r="V57" i="79"/>
  <c r="V49" i="79"/>
  <c r="V41" i="79"/>
  <c r="V29" i="79"/>
  <c r="V25" i="79"/>
  <c r="V44" i="79"/>
  <c r="V66" i="79"/>
  <c r="N37" i="80"/>
  <c r="Z62" i="80"/>
  <c r="F35" i="75"/>
  <c r="F39" i="75"/>
  <c r="F46" i="75"/>
  <c r="F47" i="75"/>
  <c r="F55" i="75"/>
  <c r="V49" i="76"/>
  <c r="L12" i="75"/>
  <c r="F67" i="75"/>
  <c r="F68" i="75"/>
  <c r="P72" i="75"/>
  <c r="X72" i="75" s="1"/>
  <c r="V61" i="76"/>
  <c r="V70" i="76"/>
  <c r="V89" i="76"/>
  <c r="F56" i="78"/>
  <c r="F47" i="78"/>
  <c r="F46" i="78"/>
  <c r="F26" i="78"/>
  <c r="F24" i="78"/>
  <c r="F19" i="78"/>
  <c r="F38" i="78"/>
  <c r="D24" i="78"/>
  <c r="F49" i="78"/>
  <c r="F48" i="78"/>
  <c r="F33" i="78"/>
  <c r="F29" i="78"/>
  <c r="F40" i="78"/>
  <c r="F39" i="78"/>
  <c r="F20" i="78"/>
  <c r="F51" i="78"/>
  <c r="F50" i="78"/>
  <c r="F42" i="78"/>
  <c r="F41" i="78"/>
  <c r="F34" i="78"/>
  <c r="F30" i="78"/>
  <c r="F21" i="78"/>
  <c r="F63" i="78"/>
  <c r="F61" i="78"/>
  <c r="F52" i="78"/>
  <c r="F44" i="78"/>
  <c r="F43" i="78"/>
  <c r="F36" i="78"/>
  <c r="F35" i="78"/>
  <c r="L12" i="78"/>
  <c r="N12" i="78" s="1"/>
  <c r="F65" i="78"/>
  <c r="F60" i="78"/>
  <c r="F31" i="78"/>
  <c r="F58" i="78"/>
  <c r="F45" i="78"/>
  <c r="F37" i="78"/>
  <c r="F70" i="78"/>
  <c r="Z63" i="79"/>
  <c r="R69" i="80"/>
  <c r="R67" i="80"/>
  <c r="R45" i="80"/>
  <c r="R44" i="80"/>
  <c r="R59" i="80"/>
  <c r="R35" i="80"/>
  <c r="R16" i="80"/>
  <c r="R54" i="80"/>
  <c r="R47" i="80"/>
  <c r="R46" i="80"/>
  <c r="R30" i="80"/>
  <c r="R26" i="80"/>
  <c r="R71" i="80"/>
  <c r="R17" i="80"/>
  <c r="R76" i="80"/>
  <c r="R73" i="80"/>
  <c r="R60" i="80"/>
  <c r="R49" i="80"/>
  <c r="R48" i="80"/>
  <c r="R37" i="80"/>
  <c r="R36" i="80"/>
  <c r="X12" i="80"/>
  <c r="R56" i="80"/>
  <c r="R55" i="80"/>
  <c r="R32" i="80"/>
  <c r="R31" i="80"/>
  <c r="R27" i="80"/>
  <c r="R50" i="80"/>
  <c r="R39" i="80"/>
  <c r="R38" i="80"/>
  <c r="R23" i="80"/>
  <c r="R18" i="80"/>
  <c r="R62" i="80"/>
  <c r="R61" i="80"/>
  <c r="R57" i="80"/>
  <c r="R33" i="80"/>
  <c r="R22" i="80"/>
  <c r="R20" i="80"/>
  <c r="R41" i="80"/>
  <c r="R40" i="80"/>
  <c r="R28" i="80"/>
  <c r="R24" i="80"/>
  <c r="P20" i="80"/>
  <c r="R64" i="80"/>
  <c r="R63" i="80"/>
  <c r="R52" i="80"/>
  <c r="R51" i="80"/>
  <c r="R58" i="80"/>
  <c r="R43" i="80"/>
  <c r="R42" i="80"/>
  <c r="R34" i="80"/>
  <c r="Z37" i="80"/>
  <c r="R53" i="80"/>
  <c r="X13" i="75"/>
  <c r="X17" i="75"/>
  <c r="X21" i="75"/>
  <c r="Z21" i="75" s="1"/>
  <c r="F44" i="75"/>
  <c r="F45" i="75"/>
  <c r="F61" i="75"/>
  <c r="L18" i="76"/>
  <c r="N18" i="76" s="1"/>
  <c r="L22" i="76"/>
  <c r="L26" i="76"/>
  <c r="N26" i="76" s="1"/>
  <c r="L30" i="76"/>
  <c r="N30" i="76" s="1"/>
  <c r="V41" i="76"/>
  <c r="V45" i="76"/>
  <c r="L56" i="76"/>
  <c r="N56" i="76" s="1"/>
  <c r="L94" i="76"/>
  <c r="N94" i="76" s="1"/>
  <c r="F17" i="78"/>
  <c r="L26" i="78"/>
  <c r="N26" i="78" s="1"/>
  <c r="F28" i="78"/>
  <c r="F54" i="78"/>
  <c r="N61" i="78"/>
  <c r="N14" i="79"/>
  <c r="Z38" i="79"/>
  <c r="V59" i="80"/>
  <c r="V47" i="80"/>
  <c r="V35" i="80"/>
  <c r="V54" i="80"/>
  <c r="V46" i="80"/>
  <c r="V30" i="80"/>
  <c r="V26" i="80"/>
  <c r="V71" i="80"/>
  <c r="V49" i="80"/>
  <c r="V37" i="80"/>
  <c r="V17" i="80"/>
  <c r="V60" i="80"/>
  <c r="V56" i="80"/>
  <c r="V48" i="80"/>
  <c r="V36" i="80"/>
  <c r="V32" i="80"/>
  <c r="Z12" i="80"/>
  <c r="V55" i="80"/>
  <c r="V39" i="80"/>
  <c r="V31" i="80"/>
  <c r="V27" i="80"/>
  <c r="V23" i="80"/>
  <c r="V62" i="80"/>
  <c r="V50" i="80"/>
  <c r="V38" i="80"/>
  <c r="V22" i="80"/>
  <c r="V18" i="80"/>
  <c r="V61" i="80"/>
  <c r="V57" i="80"/>
  <c r="V41" i="80"/>
  <c r="V33" i="80"/>
  <c r="T20" i="80"/>
  <c r="V64" i="80"/>
  <c r="V52" i="80"/>
  <c r="V40" i="80"/>
  <c r="V28" i="80"/>
  <c r="V24" i="80"/>
  <c r="V63" i="80"/>
  <c r="V51" i="80"/>
  <c r="V43" i="80"/>
  <c r="V58" i="80"/>
  <c r="V42" i="80"/>
  <c r="V34" i="80"/>
  <c r="V67" i="80"/>
  <c r="V65" i="80"/>
  <c r="V53" i="80"/>
  <c r="V45" i="80"/>
  <c r="V29" i="80"/>
  <c r="V25" i="80"/>
  <c r="F34" i="75"/>
  <c r="F38" i="75"/>
  <c r="F53" i="75"/>
  <c r="F54" i="75"/>
  <c r="F65" i="75"/>
  <c r="F66" i="75"/>
  <c r="T72" i="75"/>
  <c r="N67" i="76"/>
  <c r="Z75" i="76"/>
  <c r="N92" i="76"/>
  <c r="H97" i="76"/>
  <c r="X50" i="78"/>
  <c r="Z57" i="78"/>
  <c r="Z22" i="80"/>
  <c r="Z32" i="80"/>
  <c r="N43" i="80"/>
  <c r="X45" i="80"/>
  <c r="Z45" i="80" s="1"/>
  <c r="R19" i="82"/>
  <c r="R25" i="82"/>
  <c r="R23" i="82"/>
  <c r="R21" i="82"/>
  <c r="P21" i="82"/>
  <c r="R29" i="82"/>
  <c r="R17" i="82"/>
  <c r="X12" i="82"/>
  <c r="Z12" i="82" s="1"/>
  <c r="T34" i="82"/>
  <c r="F43" i="75"/>
  <c r="V48" i="76"/>
  <c r="Z50" i="78"/>
  <c r="Z22" i="79"/>
  <c r="N52" i="79"/>
  <c r="V64" i="79"/>
  <c r="F40" i="80"/>
  <c r="F39" i="80"/>
  <c r="F28" i="80"/>
  <c r="F24" i="80"/>
  <c r="F23" i="80"/>
  <c r="F63" i="80"/>
  <c r="F62" i="80"/>
  <c r="F51" i="80"/>
  <c r="F22" i="80"/>
  <c r="F20" i="80"/>
  <c r="F58" i="80"/>
  <c r="F42" i="80"/>
  <c r="F41" i="80"/>
  <c r="F34" i="80"/>
  <c r="D20" i="80"/>
  <c r="F65" i="80"/>
  <c r="F64" i="80"/>
  <c r="F53" i="80"/>
  <c r="F52" i="80"/>
  <c r="F29" i="80"/>
  <c r="F25" i="80"/>
  <c r="F44" i="80"/>
  <c r="F43" i="80"/>
  <c r="F59" i="80"/>
  <c r="F35" i="80"/>
  <c r="F69" i="80"/>
  <c r="F67" i="80"/>
  <c r="F54" i="80"/>
  <c r="F46" i="80"/>
  <c r="F45" i="80"/>
  <c r="F30" i="80"/>
  <c r="F26" i="80"/>
  <c r="F71" i="80"/>
  <c r="F17" i="80"/>
  <c r="F16" i="80"/>
  <c r="F60" i="80"/>
  <c r="F48" i="80"/>
  <c r="F47" i="80"/>
  <c r="F36" i="80"/>
  <c r="L12" i="80"/>
  <c r="F55" i="80"/>
  <c r="F31" i="80"/>
  <c r="F27" i="80"/>
  <c r="F76" i="80"/>
  <c r="F73" i="80"/>
  <c r="F50" i="80"/>
  <c r="F49" i="80"/>
  <c r="F38" i="80"/>
  <c r="F37" i="80"/>
  <c r="F18" i="80"/>
  <c r="R25" i="80"/>
  <c r="X16" i="75"/>
  <c r="Z16" i="75" s="1"/>
  <c r="X20" i="75"/>
  <c r="Z20" i="75" s="1"/>
  <c r="X24" i="75"/>
  <c r="Z24" i="75" s="1"/>
  <c r="F52" i="75"/>
  <c r="F60" i="75"/>
  <c r="F64" i="75"/>
  <c r="L21" i="76"/>
  <c r="N21" i="76" s="1"/>
  <c r="L25" i="76"/>
  <c r="N25" i="76" s="1"/>
  <c r="L29" i="76"/>
  <c r="N29" i="76" s="1"/>
  <c r="L33" i="76"/>
  <c r="N33" i="76" s="1"/>
  <c r="L37" i="76"/>
  <c r="N37" i="76" s="1"/>
  <c r="V40" i="76"/>
  <c r="V44" i="76"/>
  <c r="V58" i="76"/>
  <c r="V65" i="76"/>
  <c r="V74" i="76"/>
  <c r="X77" i="76"/>
  <c r="Z77" i="76" s="1"/>
  <c r="X98" i="76"/>
  <c r="Z98" i="76" s="1"/>
  <c r="P97" i="76"/>
  <c r="X97" i="76" s="1"/>
  <c r="L100" i="76"/>
  <c r="N100" i="76" s="1"/>
  <c r="J48" i="78"/>
  <c r="J38" i="78"/>
  <c r="J49" i="78"/>
  <c r="J39" i="78"/>
  <c r="J33" i="78"/>
  <c r="J29" i="78"/>
  <c r="J50" i="78"/>
  <c r="J40" i="78"/>
  <c r="J20" i="78"/>
  <c r="J51" i="78"/>
  <c r="J41" i="78"/>
  <c r="J42" i="78"/>
  <c r="J34" i="78"/>
  <c r="J30" i="78"/>
  <c r="J61" i="78"/>
  <c r="J43" i="78"/>
  <c r="J35" i="78"/>
  <c r="J21" i="78"/>
  <c r="J60" i="78"/>
  <c r="J52" i="78"/>
  <c r="J44" i="78"/>
  <c r="J36" i="78"/>
  <c r="J65" i="78"/>
  <c r="J59" i="78"/>
  <c r="J53" i="78"/>
  <c r="J31" i="78"/>
  <c r="J17" i="78"/>
  <c r="J58" i="78"/>
  <c r="J54" i="78"/>
  <c r="J22" i="78"/>
  <c r="J18" i="78"/>
  <c r="J46" i="78"/>
  <c r="J32" i="78"/>
  <c r="J28" i="78"/>
  <c r="J26" i="78"/>
  <c r="J24" i="78"/>
  <c r="F22" i="78"/>
  <c r="L46" i="78"/>
  <c r="J61" i="79"/>
  <c r="J55" i="79"/>
  <c r="J39" i="79"/>
  <c r="H20" i="79"/>
  <c r="J62" i="79"/>
  <c r="J56" i="79"/>
  <c r="J40" i="79"/>
  <c r="J34" i="79"/>
  <c r="J63" i="79"/>
  <c r="J57" i="79"/>
  <c r="J49" i="79"/>
  <c r="J41" i="79"/>
  <c r="J29" i="79"/>
  <c r="J25" i="79"/>
  <c r="J64" i="79"/>
  <c r="J50" i="79"/>
  <c r="J42" i="79"/>
  <c r="J51" i="79"/>
  <c r="J43" i="79"/>
  <c r="J35" i="79"/>
  <c r="J66" i="79"/>
  <c r="J58" i="79"/>
  <c r="J52" i="79"/>
  <c r="J44" i="79"/>
  <c r="J30" i="79"/>
  <c r="J26" i="79"/>
  <c r="J16" i="79"/>
  <c r="J53" i="79"/>
  <c r="J45" i="79"/>
  <c r="J17" i="79"/>
  <c r="J70" i="79"/>
  <c r="J46" i="79"/>
  <c r="J36" i="79"/>
  <c r="J59" i="79"/>
  <c r="J47" i="79"/>
  <c r="J31" i="79"/>
  <c r="J27" i="79"/>
  <c r="J54" i="79"/>
  <c r="J37" i="79"/>
  <c r="J33" i="79"/>
  <c r="J23" i="79"/>
  <c r="F33" i="80"/>
  <c r="Z43" i="80"/>
  <c r="F33" i="75"/>
  <c r="F37" i="75"/>
  <c r="N13" i="76"/>
  <c r="V51" i="76"/>
  <c r="V60" i="76"/>
  <c r="N13" i="78"/>
  <c r="F53" i="78"/>
  <c r="J18" i="79"/>
  <c r="J48" i="79"/>
  <c r="N23" i="80"/>
  <c r="L23" i="80"/>
  <c r="Z67" i="80"/>
  <c r="X67" i="80"/>
  <c r="F18" i="82"/>
  <c r="F17" i="82"/>
  <c r="F19" i="82"/>
  <c r="F25" i="82"/>
  <c r="F23" i="82"/>
  <c r="F29" i="82"/>
  <c r="D21" i="82"/>
  <c r="R18" i="82"/>
  <c r="J76" i="83"/>
  <c r="J56" i="83"/>
  <c r="J36" i="83"/>
  <c r="J63" i="83"/>
  <c r="J57" i="83"/>
  <c r="J31" i="83"/>
  <c r="J27" i="83"/>
  <c r="J78" i="83"/>
  <c r="J70" i="83"/>
  <c r="J58" i="83"/>
  <c r="J47" i="83"/>
  <c r="J37" i="83"/>
  <c r="J33" i="83"/>
  <c r="J23" i="83"/>
  <c r="J82" i="83"/>
  <c r="J64" i="83"/>
  <c r="J48" i="83"/>
  <c r="J38" i="83"/>
  <c r="J71" i="83"/>
  <c r="J65" i="83"/>
  <c r="J59" i="83"/>
  <c r="J49" i="83"/>
  <c r="J39" i="83"/>
  <c r="J66" i="83"/>
  <c r="J50" i="83"/>
  <c r="J40" i="83"/>
  <c r="J34" i="83"/>
  <c r="J72" i="83"/>
  <c r="J68" i="83"/>
  <c r="J60" i="83"/>
  <c r="J73" i="83"/>
  <c r="J61" i="83"/>
  <c r="J53" i="83"/>
  <c r="J43" i="83"/>
  <c r="J35" i="83"/>
  <c r="J74" i="83"/>
  <c r="J62" i="83"/>
  <c r="J22" i="83"/>
  <c r="J51" i="83"/>
  <c r="J41" i="83"/>
  <c r="J30" i="83"/>
  <c r="J28" i="83"/>
  <c r="J17" i="83"/>
  <c r="J46" i="83"/>
  <c r="J44" i="83"/>
  <c r="J26" i="83"/>
  <c r="J54" i="83"/>
  <c r="J24" i="83"/>
  <c r="J18" i="83"/>
  <c r="J67" i="83"/>
  <c r="J42" i="83"/>
  <c r="J29" i="83"/>
  <c r="J75" i="83"/>
  <c r="J69" i="83"/>
  <c r="J55" i="83"/>
  <c r="J52" i="83"/>
  <c r="J32" i="83"/>
  <c r="J45" i="83"/>
  <c r="H20" i="83"/>
  <c r="J20" i="83" s="1"/>
  <c r="D28" i="75"/>
  <c r="F42" i="75"/>
  <c r="V76" i="76"/>
  <c r="Z100" i="76"/>
  <c r="P12" i="78"/>
  <c r="F27" i="78"/>
  <c r="H56" i="78"/>
  <c r="N16" i="79"/>
  <c r="J32" i="79"/>
  <c r="V34" i="79"/>
  <c r="V52" i="79"/>
  <c r="J60" i="79"/>
  <c r="L39" i="80"/>
  <c r="N39" i="80" s="1"/>
  <c r="N49" i="80"/>
  <c r="X15" i="84"/>
  <c r="Z15" i="84" s="1"/>
  <c r="F26" i="75"/>
  <c r="F28" i="75"/>
  <c r="F30" i="75"/>
  <c r="F50" i="75"/>
  <c r="F51" i="75"/>
  <c r="F58" i="75"/>
  <c r="F59" i="75"/>
  <c r="F63" i="75"/>
  <c r="F72" i="75"/>
  <c r="V39" i="76"/>
  <c r="V43" i="76"/>
  <c r="V47" i="76"/>
  <c r="Z57" i="76"/>
  <c r="V67" i="76"/>
  <c r="V71" i="76"/>
  <c r="L73" i="76"/>
  <c r="N73" i="76" s="1"/>
  <c r="N15" i="78"/>
  <c r="N13" i="79"/>
  <c r="L23" i="79"/>
  <c r="N23" i="79" s="1"/>
  <c r="J28" i="79"/>
  <c r="N44" i="79"/>
  <c r="X14" i="80"/>
  <c r="Z14" i="80" s="1"/>
  <c r="V44" i="80"/>
  <c r="H12" i="82"/>
  <c r="N15" i="82"/>
  <c r="L15" i="82"/>
  <c r="X23" i="83"/>
  <c r="Z23" i="83" s="1"/>
  <c r="N98" i="76"/>
  <c r="V20" i="78"/>
  <c r="V40" i="78"/>
  <c r="D12" i="79"/>
  <c r="J23" i="80"/>
  <c r="J33" i="80"/>
  <c r="J39" i="80"/>
  <c r="J57" i="80"/>
  <c r="J61" i="80"/>
  <c r="V18" i="82"/>
  <c r="P12" i="83"/>
  <c r="V17" i="83"/>
  <c r="X35" i="84"/>
  <c r="Z35" i="84" s="1"/>
  <c r="R58" i="84"/>
  <c r="R74" i="84"/>
  <c r="J18" i="80"/>
  <c r="J32" i="80"/>
  <c r="J38" i="80"/>
  <c r="J50" i="80"/>
  <c r="J56" i="80"/>
  <c r="V82" i="83"/>
  <c r="V64" i="83"/>
  <c r="V48" i="83"/>
  <c r="V40" i="83"/>
  <c r="V28" i="83"/>
  <c r="V24" i="83"/>
  <c r="V71" i="83"/>
  <c r="V67" i="83"/>
  <c r="V59" i="83"/>
  <c r="V51" i="83"/>
  <c r="V39" i="83"/>
  <c r="V66" i="83"/>
  <c r="V50" i="83"/>
  <c r="V73" i="83"/>
  <c r="V61" i="83"/>
  <c r="V53" i="83"/>
  <c r="V41" i="83"/>
  <c r="V29" i="83"/>
  <c r="V25" i="83"/>
  <c r="V72" i="83"/>
  <c r="V68" i="83"/>
  <c r="V60" i="83"/>
  <c r="V52" i="83"/>
  <c r="V44" i="83"/>
  <c r="V75" i="83"/>
  <c r="V55" i="83"/>
  <c r="V43" i="83"/>
  <c r="V35" i="83"/>
  <c r="V74" i="83"/>
  <c r="V62" i="83"/>
  <c r="V54" i="83"/>
  <c r="V30" i="83"/>
  <c r="V26" i="83"/>
  <c r="V78" i="83"/>
  <c r="V76" i="83"/>
  <c r="V63" i="83"/>
  <c r="V47" i="83"/>
  <c r="V70" i="83"/>
  <c r="V58" i="83"/>
  <c r="N65" i="83"/>
  <c r="Z19" i="84"/>
  <c r="X19" i="84"/>
  <c r="N25" i="85"/>
  <c r="T97" i="76"/>
  <c r="V97" i="76" s="1"/>
  <c r="V38" i="78"/>
  <c r="V50" i="78"/>
  <c r="L57" i="78"/>
  <c r="J27" i="80"/>
  <c r="J31" i="80"/>
  <c r="J37" i="80"/>
  <c r="J49" i="80"/>
  <c r="J55" i="80"/>
  <c r="V22" i="83"/>
  <c r="V36" i="83"/>
  <c r="V38" i="83"/>
  <c r="N42" i="83"/>
  <c r="N67" i="83"/>
  <c r="D12" i="84"/>
  <c r="L56" i="84"/>
  <c r="N56" i="84" s="1"/>
  <c r="N98" i="84"/>
  <c r="N106" i="84"/>
  <c r="V19" i="78"/>
  <c r="V39" i="78"/>
  <c r="V47" i="78"/>
  <c r="P56" i="78"/>
  <c r="N12" i="80"/>
  <c r="X13" i="80"/>
  <c r="J36" i="80"/>
  <c r="J48" i="80"/>
  <c r="J60" i="80"/>
  <c r="V17" i="82"/>
  <c r="X22" i="83"/>
  <c r="Z22" i="83" s="1"/>
  <c r="V34" i="83"/>
  <c r="Z38" i="83"/>
  <c r="V45" i="83"/>
  <c r="N47" i="83"/>
  <c r="X57" i="83"/>
  <c r="V69" i="83"/>
  <c r="Z32" i="84"/>
  <c r="R86" i="84"/>
  <c r="Z25" i="85"/>
  <c r="V28" i="78"/>
  <c r="V32" i="78"/>
  <c r="X39" i="78"/>
  <c r="Z39" i="78" s="1"/>
  <c r="V48" i="78"/>
  <c r="Z13" i="80"/>
  <c r="J17" i="80"/>
  <c r="J47" i="80"/>
  <c r="J71" i="80"/>
  <c r="X17" i="82"/>
  <c r="Z17" i="82" s="1"/>
  <c r="L23" i="82"/>
  <c r="L25" i="82"/>
  <c r="V34" i="82"/>
  <c r="N14" i="83"/>
  <c r="T20" i="83"/>
  <c r="V27" i="83"/>
  <c r="Z32" i="83"/>
  <c r="Z57" i="83"/>
  <c r="V65" i="83"/>
  <c r="T12" i="84"/>
  <c r="X23" i="84"/>
  <c r="Z23" i="84" s="1"/>
  <c r="R62" i="84"/>
  <c r="N75" i="84"/>
  <c r="V26" i="85"/>
  <c r="V28" i="85"/>
  <c r="V15" i="85"/>
  <c r="V21" i="85"/>
  <c r="V20" i="85"/>
  <c r="V16" i="85"/>
  <c r="V23" i="85"/>
  <c r="T18" i="85"/>
  <c r="V22" i="85"/>
  <c r="V25" i="85"/>
  <c r="V24" i="85"/>
  <c r="V32" i="85"/>
  <c r="T24" i="78"/>
  <c r="V24" i="78" s="1"/>
  <c r="V37" i="78"/>
  <c r="V45" i="78"/>
  <c r="T56" i="78"/>
  <c r="J16" i="80"/>
  <c r="J26" i="80"/>
  <c r="J30" i="80"/>
  <c r="J46" i="80"/>
  <c r="J54" i="80"/>
  <c r="V29" i="82"/>
  <c r="V31" i="82"/>
  <c r="D12" i="83"/>
  <c r="V16" i="83"/>
  <c r="V20" i="83"/>
  <c r="V32" i="83"/>
  <c r="V57" i="83"/>
  <c r="J100" i="84"/>
  <c r="J84" i="84"/>
  <c r="J72" i="84"/>
  <c r="H53" i="84"/>
  <c r="J48" i="84"/>
  <c r="J44" i="84"/>
  <c r="J40" i="84"/>
  <c r="J113" i="84"/>
  <c r="J85" i="84"/>
  <c r="J73" i="84"/>
  <c r="J67" i="84"/>
  <c r="J94" i="84"/>
  <c r="J86" i="84"/>
  <c r="J74" i="84"/>
  <c r="J62" i="84"/>
  <c r="J58" i="84"/>
  <c r="J101" i="84"/>
  <c r="J87" i="84"/>
  <c r="J75" i="84"/>
  <c r="J49" i="84"/>
  <c r="J45" i="84"/>
  <c r="J41" i="84"/>
  <c r="J102" i="84"/>
  <c r="J88" i="84"/>
  <c r="J76" i="84"/>
  <c r="J68" i="84"/>
  <c r="J103" i="84"/>
  <c r="J95" i="84"/>
  <c r="J89" i="84"/>
  <c r="J77" i="84"/>
  <c r="J63" i="84"/>
  <c r="J59" i="84"/>
  <c r="J104" i="84"/>
  <c r="J96" i="84"/>
  <c r="J90" i="84"/>
  <c r="J78" i="84"/>
  <c r="J50" i="84"/>
  <c r="J46" i="84"/>
  <c r="J42" i="84"/>
  <c r="J105" i="84"/>
  <c r="J97" i="84"/>
  <c r="J79" i="84"/>
  <c r="J69" i="84"/>
  <c r="J106" i="84"/>
  <c r="J98" i="84"/>
  <c r="J80" i="84"/>
  <c r="J64" i="84"/>
  <c r="J60" i="84"/>
  <c r="J38" i="84"/>
  <c r="J107" i="84"/>
  <c r="J99" i="84"/>
  <c r="J91" i="84"/>
  <c r="J81" i="84"/>
  <c r="J65" i="84"/>
  <c r="J51" i="84"/>
  <c r="J47" i="84"/>
  <c r="J43" i="84"/>
  <c r="J39" i="84"/>
  <c r="J92" i="84"/>
  <c r="J82" i="84"/>
  <c r="J70" i="84"/>
  <c r="J66" i="84"/>
  <c r="J56" i="84"/>
  <c r="Z34" i="84"/>
  <c r="J53" i="84"/>
  <c r="L21" i="85"/>
  <c r="N21" i="85" s="1"/>
  <c r="J21" i="85"/>
  <c r="Z23" i="85"/>
  <c r="X99" i="76"/>
  <c r="Z99" i="76" s="1"/>
  <c r="V18" i="78"/>
  <c r="V22" i="78"/>
  <c r="V26" i="78"/>
  <c r="V46" i="78"/>
  <c r="V54" i="78"/>
  <c r="V56" i="78"/>
  <c r="J35" i="80"/>
  <c r="J45" i="80"/>
  <c r="J59" i="80"/>
  <c r="J67" i="80"/>
  <c r="L13" i="82"/>
  <c r="N13" i="82" s="1"/>
  <c r="V37" i="83"/>
  <c r="N49" i="83"/>
  <c r="L51" i="83"/>
  <c r="J57" i="84"/>
  <c r="F30" i="85"/>
  <c r="F28" i="85"/>
  <c r="F22" i="85"/>
  <c r="F21" i="85"/>
  <c r="F20" i="85"/>
  <c r="F18" i="85"/>
  <c r="F32" i="85"/>
  <c r="F24" i="85"/>
  <c r="F23" i="85"/>
  <c r="D18" i="85"/>
  <c r="L12" i="85"/>
  <c r="F26" i="85"/>
  <c r="F25" i="85"/>
  <c r="F34" i="85"/>
  <c r="F37" i="85"/>
  <c r="F16" i="85"/>
  <c r="F15" i="85"/>
  <c r="V27" i="78"/>
  <c r="V31" i="78"/>
  <c r="V57" i="78"/>
  <c r="V65" i="78"/>
  <c r="J44" i="80"/>
  <c r="L13" i="83"/>
  <c r="N13" i="83" s="1"/>
  <c r="V18" i="83"/>
  <c r="N23" i="83"/>
  <c r="V31" i="83"/>
  <c r="V42" i="83"/>
  <c r="N44" i="83"/>
  <c r="N51" i="83"/>
  <c r="X27" i="84"/>
  <c r="Z27" i="84" s="1"/>
  <c r="V36" i="78"/>
  <c r="V44" i="78"/>
  <c r="V52" i="78"/>
  <c r="V58" i="78"/>
  <c r="J25" i="80"/>
  <c r="J29" i="80"/>
  <c r="X32" i="80"/>
  <c r="J43" i="80"/>
  <c r="J53" i="80"/>
  <c r="J65" i="80"/>
  <c r="X47" i="83"/>
  <c r="Z47" i="83" s="1"/>
  <c r="R102" i="84"/>
  <c r="R101" i="84"/>
  <c r="R49" i="84"/>
  <c r="R45" i="84"/>
  <c r="R41" i="84"/>
  <c r="R89" i="84"/>
  <c r="R88" i="84"/>
  <c r="R77" i="84"/>
  <c r="R76" i="84"/>
  <c r="R68" i="84"/>
  <c r="X12" i="84"/>
  <c r="R104" i="84"/>
  <c r="R103" i="84"/>
  <c r="R96" i="84"/>
  <c r="R95" i="84"/>
  <c r="R63" i="84"/>
  <c r="R59" i="84"/>
  <c r="R90" i="84"/>
  <c r="R79" i="84"/>
  <c r="R78" i="84"/>
  <c r="R50" i="84"/>
  <c r="R46" i="84"/>
  <c r="R42" i="84"/>
  <c r="R106" i="84"/>
  <c r="R105" i="84"/>
  <c r="R98" i="84"/>
  <c r="R97" i="84"/>
  <c r="R69" i="84"/>
  <c r="R38" i="84"/>
  <c r="R81" i="84"/>
  <c r="R80" i="84"/>
  <c r="R65" i="84"/>
  <c r="R64" i="84"/>
  <c r="R60" i="84"/>
  <c r="R107" i="84"/>
  <c r="R99" i="84"/>
  <c r="R92" i="84"/>
  <c r="R91" i="84"/>
  <c r="R56" i="84"/>
  <c r="R51" i="84"/>
  <c r="R47" i="84"/>
  <c r="R43" i="84"/>
  <c r="R39" i="84"/>
  <c r="R109" i="84"/>
  <c r="R83" i="84"/>
  <c r="R82" i="84"/>
  <c r="R71" i="84"/>
  <c r="R70" i="84"/>
  <c r="R66" i="84"/>
  <c r="R55" i="84"/>
  <c r="R93" i="84"/>
  <c r="R61" i="84"/>
  <c r="R57" i="84"/>
  <c r="P53" i="84"/>
  <c r="R100" i="84"/>
  <c r="R85" i="84"/>
  <c r="R84" i="84"/>
  <c r="R73" i="84"/>
  <c r="R72" i="84"/>
  <c r="R48" i="84"/>
  <c r="R44" i="84"/>
  <c r="R40" i="84"/>
  <c r="R113" i="84"/>
  <c r="R67" i="84"/>
  <c r="J55" i="84"/>
  <c r="J71" i="84"/>
  <c r="R94" i="84"/>
  <c r="R28" i="85"/>
  <c r="R26" i="85"/>
  <c r="R15" i="85"/>
  <c r="R21" i="85"/>
  <c r="R16" i="85"/>
  <c r="R20" i="85"/>
  <c r="R23" i="85"/>
  <c r="R22" i="85"/>
  <c r="P18" i="85"/>
  <c r="R25" i="85"/>
  <c r="R24" i="85"/>
  <c r="X12" i="85"/>
  <c r="Z12" i="85" s="1"/>
  <c r="V17" i="78"/>
  <c r="V21" i="78"/>
  <c r="V53" i="78"/>
  <c r="V59" i="78"/>
  <c r="J34" i="80"/>
  <c r="J42" i="80"/>
  <c r="J52" i="80"/>
  <c r="J58" i="80"/>
  <c r="J64" i="80"/>
  <c r="V19" i="82"/>
  <c r="V21" i="82"/>
  <c r="V23" i="82"/>
  <c r="V25" i="82"/>
  <c r="V33" i="83"/>
  <c r="V49" i="83"/>
  <c r="L53" i="83"/>
  <c r="N53" i="83" s="1"/>
  <c r="V56" i="83"/>
  <c r="R87" i="84"/>
  <c r="L92" i="84"/>
  <c r="N92" i="84" s="1"/>
  <c r="X102" i="84"/>
  <c r="Z102" i="84" s="1"/>
  <c r="V30" i="78"/>
  <c r="V34" i="78"/>
  <c r="V42" i="78"/>
  <c r="H20" i="80"/>
  <c r="J41" i="80"/>
  <c r="J51" i="80"/>
  <c r="L40" i="83"/>
  <c r="N40" i="83" s="1"/>
  <c r="V46" i="83"/>
  <c r="X31" i="84"/>
  <c r="Z31" i="84" s="1"/>
  <c r="J61" i="84"/>
  <c r="R18" i="87"/>
  <c r="F37" i="87"/>
  <c r="V71" i="88"/>
  <c r="V53" i="88"/>
  <c r="V45" i="88"/>
  <c r="V60" i="88"/>
  <c r="V56" i="88"/>
  <c r="V48" i="88"/>
  <c r="V36" i="88"/>
  <c r="V32" i="88"/>
  <c r="V55" i="88"/>
  <c r="V47" i="88"/>
  <c r="V31" i="88"/>
  <c r="V27" i="88"/>
  <c r="V23" i="88"/>
  <c r="V62" i="88"/>
  <c r="V50" i="88"/>
  <c r="V38" i="88"/>
  <c r="V22" i="88"/>
  <c r="V18" i="88"/>
  <c r="V61" i="88"/>
  <c r="V57" i="88"/>
  <c r="V49" i="88"/>
  <c r="V37" i="88"/>
  <c r="V33" i="88"/>
  <c r="T20" i="88"/>
  <c r="V20" i="88" s="1"/>
  <c r="V64" i="88"/>
  <c r="V40" i="88"/>
  <c r="V28" i="88"/>
  <c r="V24" i="88"/>
  <c r="V63" i="88"/>
  <c r="V51" i="88"/>
  <c r="V39" i="88"/>
  <c r="V58" i="88"/>
  <c r="V42" i="88"/>
  <c r="V34" i="88"/>
  <c r="V67" i="88"/>
  <c r="V65" i="88"/>
  <c r="V41" i="88"/>
  <c r="V29" i="88"/>
  <c r="V25" i="88"/>
  <c r="V52" i="88"/>
  <c r="V44" i="88"/>
  <c r="V16" i="88"/>
  <c r="V59" i="88"/>
  <c r="V43" i="88"/>
  <c r="V35" i="88"/>
  <c r="V30" i="88"/>
  <c r="N44" i="88"/>
  <c r="Z50" i="88"/>
  <c r="X16" i="87"/>
  <c r="Z16" i="87" s="1"/>
  <c r="V22" i="87"/>
  <c r="R31" i="87"/>
  <c r="N40" i="88"/>
  <c r="V46" i="88"/>
  <c r="Z62" i="88"/>
  <c r="J15" i="85"/>
  <c r="F45" i="87"/>
  <c r="F17" i="87"/>
  <c r="F16" i="87"/>
  <c r="F76" i="87"/>
  <c r="F75" i="87"/>
  <c r="F68" i="87"/>
  <c r="F64" i="87"/>
  <c r="F63" i="87"/>
  <c r="F56" i="87"/>
  <c r="F55" i="87"/>
  <c r="F36" i="87"/>
  <c r="F47" i="87"/>
  <c r="F46" i="87"/>
  <c r="F31" i="87"/>
  <c r="F27" i="87"/>
  <c r="F58" i="87"/>
  <c r="F57" i="87"/>
  <c r="F80" i="87"/>
  <c r="F78" i="87"/>
  <c r="F69" i="87"/>
  <c r="F65" i="87"/>
  <c r="F49" i="87"/>
  <c r="F48" i="87"/>
  <c r="F33" i="87"/>
  <c r="F32" i="87"/>
  <c r="F82" i="87"/>
  <c r="F40" i="87"/>
  <c r="F39" i="87"/>
  <c r="F28" i="87"/>
  <c r="F24" i="87"/>
  <c r="F23" i="87"/>
  <c r="F59" i="87"/>
  <c r="F51" i="87"/>
  <c r="F50" i="87"/>
  <c r="F22" i="87"/>
  <c r="F20" i="87"/>
  <c r="F70" i="87"/>
  <c r="F66" i="87"/>
  <c r="F42" i="87"/>
  <c r="F41" i="87"/>
  <c r="F34" i="87"/>
  <c r="D20" i="87"/>
  <c r="F87" i="87"/>
  <c r="F84" i="87"/>
  <c r="F53" i="87"/>
  <c r="F52" i="87"/>
  <c r="F29" i="87"/>
  <c r="F25" i="87"/>
  <c r="F72" i="87"/>
  <c r="F71" i="87"/>
  <c r="F60" i="87"/>
  <c r="F44" i="87"/>
  <c r="F43" i="87"/>
  <c r="X22" i="87"/>
  <c r="Z22" i="87" s="1"/>
  <c r="F54" i="87"/>
  <c r="Z22" i="88"/>
  <c r="R35" i="88"/>
  <c r="J58" i="88"/>
  <c r="T89" i="91"/>
  <c r="Z16" i="91"/>
  <c r="R69" i="87"/>
  <c r="R65" i="87"/>
  <c r="R50" i="87"/>
  <c r="R49" i="87"/>
  <c r="R33" i="87"/>
  <c r="R22" i="87"/>
  <c r="R20" i="87"/>
  <c r="R82" i="87"/>
  <c r="R41" i="87"/>
  <c r="R40" i="87"/>
  <c r="R28" i="87"/>
  <c r="R24" i="87"/>
  <c r="P20" i="87"/>
  <c r="R87" i="87"/>
  <c r="R84" i="87"/>
  <c r="R59" i="87"/>
  <c r="R52" i="87"/>
  <c r="R51" i="87"/>
  <c r="R71" i="87"/>
  <c r="R70" i="87"/>
  <c r="R66" i="87"/>
  <c r="R43" i="87"/>
  <c r="R42" i="87"/>
  <c r="R53" i="87"/>
  <c r="R29" i="87"/>
  <c r="R25" i="87"/>
  <c r="R73" i="87"/>
  <c r="R72" i="87"/>
  <c r="R61" i="87"/>
  <c r="R60" i="87"/>
  <c r="R44" i="87"/>
  <c r="R67" i="87"/>
  <c r="R35" i="87"/>
  <c r="R16" i="87"/>
  <c r="R75" i="87"/>
  <c r="R74" i="87"/>
  <c r="R63" i="87"/>
  <c r="R62" i="87"/>
  <c r="R55" i="87"/>
  <c r="R54" i="87"/>
  <c r="R30" i="87"/>
  <c r="R26" i="87"/>
  <c r="R46" i="87"/>
  <c r="R45" i="87"/>
  <c r="R17" i="87"/>
  <c r="R76" i="87"/>
  <c r="R68" i="87"/>
  <c r="R64" i="87"/>
  <c r="R57" i="87"/>
  <c r="R56" i="87"/>
  <c r="R58" i="87"/>
  <c r="Z14" i="84"/>
  <c r="V82" i="87"/>
  <c r="V52" i="87"/>
  <c r="V40" i="87"/>
  <c r="V28" i="87"/>
  <c r="V24" i="87"/>
  <c r="V71" i="87"/>
  <c r="V59" i="87"/>
  <c r="V51" i="87"/>
  <c r="V43" i="87"/>
  <c r="V70" i="87"/>
  <c r="V66" i="87"/>
  <c r="V42" i="87"/>
  <c r="V34" i="87"/>
  <c r="V73" i="87"/>
  <c r="V61" i="87"/>
  <c r="V53" i="87"/>
  <c r="V72" i="87"/>
  <c r="V60" i="87"/>
  <c r="V44" i="87"/>
  <c r="V16" i="87"/>
  <c r="V75" i="87"/>
  <c r="V67" i="87"/>
  <c r="V63" i="87"/>
  <c r="V55" i="87"/>
  <c r="V35" i="87"/>
  <c r="V74" i="87"/>
  <c r="V62" i="87"/>
  <c r="V54" i="87"/>
  <c r="V46" i="87"/>
  <c r="V30" i="87"/>
  <c r="V26" i="87"/>
  <c r="V57" i="87"/>
  <c r="V45" i="87"/>
  <c r="V37" i="87"/>
  <c r="V17" i="87"/>
  <c r="V78" i="87"/>
  <c r="V76" i="87"/>
  <c r="V68" i="87"/>
  <c r="V64" i="87"/>
  <c r="V56" i="87"/>
  <c r="V48" i="87"/>
  <c r="V36" i="87"/>
  <c r="V32" i="87"/>
  <c r="V47" i="87"/>
  <c r="V39" i="87"/>
  <c r="R37" i="87"/>
  <c r="V58" i="87"/>
  <c r="L13" i="85"/>
  <c r="N13" i="85" s="1"/>
  <c r="X12" i="87"/>
  <c r="Z12" i="87" s="1"/>
  <c r="T20" i="87"/>
  <c r="R27" i="87"/>
  <c r="L32" i="87"/>
  <c r="F61" i="87"/>
  <c r="F30" i="87"/>
  <c r="N32" i="87"/>
  <c r="N61" i="87"/>
  <c r="L61" i="87"/>
  <c r="V65" i="87"/>
  <c r="F73" i="87"/>
  <c r="R30" i="88"/>
  <c r="R26" i="88"/>
  <c r="R71" i="88"/>
  <c r="R54" i="88"/>
  <c r="R53" i="88"/>
  <c r="R46" i="88"/>
  <c r="R45" i="88"/>
  <c r="R17" i="88"/>
  <c r="R73" i="88"/>
  <c r="R60" i="88"/>
  <c r="R36" i="88"/>
  <c r="X12" i="88"/>
  <c r="Z12" i="88" s="1"/>
  <c r="R76" i="88"/>
  <c r="R56" i="88"/>
  <c r="R55" i="88"/>
  <c r="R48" i="88"/>
  <c r="R47" i="88"/>
  <c r="R32" i="88"/>
  <c r="R31" i="88"/>
  <c r="R27" i="88"/>
  <c r="R23" i="88"/>
  <c r="R18" i="88"/>
  <c r="R62" i="88"/>
  <c r="R61" i="88"/>
  <c r="R57" i="88"/>
  <c r="R50" i="88"/>
  <c r="R49" i="88"/>
  <c r="R38" i="88"/>
  <c r="R37" i="88"/>
  <c r="R33" i="88"/>
  <c r="R22" i="88"/>
  <c r="R20" i="88"/>
  <c r="R28" i="88"/>
  <c r="R24" i="88"/>
  <c r="P20" i="88"/>
  <c r="R64" i="88"/>
  <c r="R63" i="88"/>
  <c r="R51" i="88"/>
  <c r="R40" i="88"/>
  <c r="R39" i="88"/>
  <c r="R58" i="88"/>
  <c r="R34" i="88"/>
  <c r="R65" i="88"/>
  <c r="R42" i="88"/>
  <c r="R41" i="88"/>
  <c r="R29" i="88"/>
  <c r="R25" i="88"/>
  <c r="R69" i="88"/>
  <c r="R67" i="88"/>
  <c r="R52" i="88"/>
  <c r="V26" i="88"/>
  <c r="R85" i="91"/>
  <c r="R70" i="91"/>
  <c r="R19" i="91"/>
  <c r="R96" i="91"/>
  <c r="R93" i="91"/>
  <c r="R61" i="91"/>
  <c r="R60" i="91"/>
  <c r="R29" i="91"/>
  <c r="R28" i="91"/>
  <c r="R24" i="91"/>
  <c r="R20" i="91"/>
  <c r="P16" i="91"/>
  <c r="R79" i="91"/>
  <c r="R71" i="91"/>
  <c r="R52" i="91"/>
  <c r="R51" i="91"/>
  <c r="R67" i="91"/>
  <c r="R66" i="91"/>
  <c r="R62" i="91"/>
  <c r="R42" i="91"/>
  <c r="R34" i="91"/>
  <c r="R30" i="91"/>
  <c r="R54" i="91"/>
  <c r="R53" i="91"/>
  <c r="R25" i="91"/>
  <c r="R21" i="91"/>
  <c r="R80" i="91"/>
  <c r="R72" i="91"/>
  <c r="R68" i="91"/>
  <c r="R63" i="91"/>
  <c r="R56" i="91"/>
  <c r="R55" i="91"/>
  <c r="R44" i="91"/>
  <c r="R43" i="91"/>
  <c r="R36" i="91"/>
  <c r="R35" i="91"/>
  <c r="R31" i="91"/>
  <c r="R26" i="91"/>
  <c r="R22" i="91"/>
  <c r="R82" i="91"/>
  <c r="R81" i="91"/>
  <c r="R74" i="91"/>
  <c r="R73" i="91"/>
  <c r="R69" i="91"/>
  <c r="R58" i="91"/>
  <c r="R57" i="91"/>
  <c r="R46" i="91"/>
  <c r="R45" i="91"/>
  <c r="R38" i="91"/>
  <c r="R37" i="91"/>
  <c r="R89" i="91"/>
  <c r="R87" i="91"/>
  <c r="R64" i="91"/>
  <c r="R32" i="91"/>
  <c r="X12" i="91"/>
  <c r="R86" i="91"/>
  <c r="R83" i="91"/>
  <c r="R76" i="91"/>
  <c r="R75" i="91"/>
  <c r="R59" i="91"/>
  <c r="R16" i="91"/>
  <c r="R41" i="91"/>
  <c r="R39" i="91"/>
  <c r="R77" i="91"/>
  <c r="R49" i="91"/>
  <c r="R47" i="91"/>
  <c r="R33" i="91"/>
  <c r="R65" i="91"/>
  <c r="R23" i="91"/>
  <c r="R40" i="91"/>
  <c r="R18" i="91"/>
  <c r="R14" i="91"/>
  <c r="R48" i="91"/>
  <c r="R78" i="91"/>
  <c r="R50" i="91"/>
  <c r="R91" i="91"/>
  <c r="R27" i="91"/>
  <c r="J26" i="85"/>
  <c r="R34" i="87"/>
  <c r="R36" i="87"/>
  <c r="F38" i="87"/>
  <c r="R39" i="87"/>
  <c r="X50" i="87"/>
  <c r="Z50" i="87" s="1"/>
  <c r="N73" i="87"/>
  <c r="L73" i="87"/>
  <c r="R78" i="87"/>
  <c r="J34" i="88"/>
  <c r="X65" i="84"/>
  <c r="Z65" i="84" s="1"/>
  <c r="L75" i="84"/>
  <c r="X81" i="84"/>
  <c r="Z81" i="84" s="1"/>
  <c r="L87" i="84"/>
  <c r="N87" i="84" s="1"/>
  <c r="J25" i="85"/>
  <c r="H12" i="87"/>
  <c r="L13" i="87"/>
  <c r="N13" i="87" s="1"/>
  <c r="R32" i="87"/>
  <c r="X39" i="87"/>
  <c r="Z39" i="87" s="1"/>
  <c r="R48" i="87"/>
  <c r="V50" i="87"/>
  <c r="R43" i="88"/>
  <c r="X98" i="84"/>
  <c r="Z98" i="84" s="1"/>
  <c r="X106" i="84"/>
  <c r="Z106" i="84" s="1"/>
  <c r="N12" i="85"/>
  <c r="X13" i="85"/>
  <c r="Z13" i="85" s="1"/>
  <c r="X15" i="85"/>
  <c r="Z15" i="85" s="1"/>
  <c r="J24" i="85"/>
  <c r="L25" i="85"/>
  <c r="X28" i="85"/>
  <c r="F18" i="87"/>
  <c r="R23" i="87"/>
  <c r="Z32" i="87"/>
  <c r="Z48" i="87"/>
  <c r="Z73" i="87"/>
  <c r="D12" i="88"/>
  <c r="L13" i="88"/>
  <c r="N16" i="88"/>
  <c r="V54" i="88"/>
  <c r="R59" i="88"/>
  <c r="H18" i="85"/>
  <c r="J23" i="85"/>
  <c r="L16" i="87"/>
  <c r="N16" i="87" s="1"/>
  <c r="X23" i="87"/>
  <c r="Z23" i="87" s="1"/>
  <c r="F26" i="87"/>
  <c r="R38" i="87"/>
  <c r="R80" i="87"/>
  <c r="J65" i="88"/>
  <c r="J41" i="88"/>
  <c r="J29" i="88"/>
  <c r="J25" i="88"/>
  <c r="J52" i="88"/>
  <c r="J42" i="88"/>
  <c r="J67" i="88"/>
  <c r="J59" i="88"/>
  <c r="J43" i="88"/>
  <c r="J35" i="88"/>
  <c r="J44" i="88"/>
  <c r="J30" i="88"/>
  <c r="J26" i="88"/>
  <c r="J16" i="88"/>
  <c r="J71" i="88"/>
  <c r="J53" i="88"/>
  <c r="J45" i="88"/>
  <c r="J17" i="88"/>
  <c r="J60" i="88"/>
  <c r="J54" i="88"/>
  <c r="J46" i="88"/>
  <c r="J36" i="88"/>
  <c r="J55" i="88"/>
  <c r="J47" i="88"/>
  <c r="J31" i="88"/>
  <c r="J27" i="88"/>
  <c r="J56" i="88"/>
  <c r="J48" i="88"/>
  <c r="J32" i="88"/>
  <c r="J18" i="88"/>
  <c r="J61" i="88"/>
  <c r="J57" i="88"/>
  <c r="J49" i="88"/>
  <c r="J37" i="88"/>
  <c r="J33" i="88"/>
  <c r="J23" i="88"/>
  <c r="J62" i="88"/>
  <c r="J50" i="88"/>
  <c r="J38" i="88"/>
  <c r="J28" i="88"/>
  <c r="J24" i="88"/>
  <c r="J22" i="88"/>
  <c r="J63" i="88"/>
  <c r="J51" i="88"/>
  <c r="J39" i="88"/>
  <c r="H20" i="88"/>
  <c r="J20" i="88" s="1"/>
  <c r="L40" i="88"/>
  <c r="X46" i="88"/>
  <c r="Z46" i="88" s="1"/>
  <c r="X54" i="88"/>
  <c r="Z54" i="88" s="1"/>
  <c r="L64" i="88"/>
  <c r="V96" i="91"/>
  <c r="V93" i="91"/>
  <c r="V91" i="91"/>
  <c r="V77" i="91"/>
  <c r="V65" i="91"/>
  <c r="V61" i="91"/>
  <c r="V49" i="91"/>
  <c r="V41" i="91"/>
  <c r="V33" i="91"/>
  <c r="V29" i="91"/>
  <c r="V79" i="91"/>
  <c r="V71" i="91"/>
  <c r="V67" i="91"/>
  <c r="V51" i="91"/>
  <c r="V66" i="91"/>
  <c r="V62" i="91"/>
  <c r="V54" i="91"/>
  <c r="V42" i="91"/>
  <c r="V34" i="91"/>
  <c r="V30" i="91"/>
  <c r="V53" i="91"/>
  <c r="V25" i="91"/>
  <c r="V21" i="91"/>
  <c r="V80" i="91"/>
  <c r="V72" i="91"/>
  <c r="V68" i="91"/>
  <c r="V56" i="91"/>
  <c r="V44" i="91"/>
  <c r="V36" i="91"/>
  <c r="V63" i="91"/>
  <c r="V55" i="91"/>
  <c r="V43" i="91"/>
  <c r="V35" i="91"/>
  <c r="V31" i="91"/>
  <c r="V82" i="91"/>
  <c r="V74" i="91"/>
  <c r="V58" i="91"/>
  <c r="V46" i="91"/>
  <c r="V38" i="91"/>
  <c r="V26" i="91"/>
  <c r="V22" i="91"/>
  <c r="V89" i="91"/>
  <c r="V87" i="91"/>
  <c r="V81" i="91"/>
  <c r="V73" i="91"/>
  <c r="V69" i="91"/>
  <c r="V57" i="91"/>
  <c r="V45" i="91"/>
  <c r="V37" i="91"/>
  <c r="V86" i="91"/>
  <c r="V76" i="91"/>
  <c r="V64" i="91"/>
  <c r="V48" i="91"/>
  <c r="V40" i="91"/>
  <c r="V32" i="91"/>
  <c r="Z12" i="91"/>
  <c r="V85" i="91"/>
  <c r="V83" i="91"/>
  <c r="V75" i="91"/>
  <c r="V59" i="91"/>
  <c r="V47" i="91"/>
  <c r="V39" i="91"/>
  <c r="V27" i="91"/>
  <c r="V23" i="91"/>
  <c r="V19" i="91"/>
  <c r="V78" i="91"/>
  <c r="V70" i="91"/>
  <c r="V16" i="91"/>
  <c r="Z19" i="91"/>
  <c r="Z29" i="91"/>
  <c r="J50" i="92"/>
  <c r="J51" i="92"/>
  <c r="J64" i="92"/>
  <c r="J66" i="92"/>
  <c r="J54" i="92"/>
  <c r="J68" i="92"/>
  <c r="J42" i="92"/>
  <c r="J58" i="92"/>
  <c r="J43" i="92"/>
  <c r="J35" i="92"/>
  <c r="J44" i="92"/>
  <c r="J30" i="92"/>
  <c r="J26" i="92"/>
  <c r="J16" i="92"/>
  <c r="J72" i="92"/>
  <c r="J61" i="92"/>
  <c r="J55" i="92"/>
  <c r="J45" i="92"/>
  <c r="J31" i="92"/>
  <c r="J17" i="92"/>
  <c r="J65" i="92"/>
  <c r="J46" i="92"/>
  <c r="J36" i="92"/>
  <c r="J32" i="92"/>
  <c r="J22" i="92"/>
  <c r="N12" i="92"/>
  <c r="J59" i="92"/>
  <c r="J52" i="92"/>
  <c r="J27" i="92"/>
  <c r="J23" i="92"/>
  <c r="J21" i="92"/>
  <c r="J19" i="92"/>
  <c r="J56" i="92"/>
  <c r="J47" i="92"/>
  <c r="H19" i="92"/>
  <c r="J62" i="92"/>
  <c r="J37" i="92"/>
  <c r="J33" i="92"/>
  <c r="J63" i="92"/>
  <c r="J53" i="92"/>
  <c r="J48" i="92"/>
  <c r="J38" i="92"/>
  <c r="J28" i="92"/>
  <c r="J24" i="92"/>
  <c r="J60" i="92"/>
  <c r="J57" i="92"/>
  <c r="J39" i="92"/>
  <c r="J49" i="92"/>
  <c r="J40" i="92"/>
  <c r="J34" i="92"/>
  <c r="J41" i="92"/>
  <c r="J29" i="92"/>
  <c r="J25" i="92"/>
  <c r="Z16" i="92"/>
  <c r="Z50" i="92"/>
  <c r="N13" i="88"/>
  <c r="X14" i="88"/>
  <c r="Z14" i="88" s="1"/>
  <c r="N52" i="91"/>
  <c r="N67" i="91"/>
  <c r="Z86" i="91"/>
  <c r="N18" i="91"/>
  <c r="V60" i="91"/>
  <c r="Z76" i="91"/>
  <c r="X14" i="91"/>
  <c r="V20" i="91"/>
  <c r="Z48" i="91"/>
  <c r="V50" i="91"/>
  <c r="X13" i="88"/>
  <c r="Z13" i="88" s="1"/>
  <c r="V28" i="91"/>
  <c r="V52" i="91"/>
  <c r="Z74" i="91"/>
  <c r="N42" i="92"/>
  <c r="Z40" i="91"/>
  <c r="X73" i="87"/>
  <c r="V14" i="91"/>
  <c r="V18" i="91"/>
  <c r="Z58" i="91"/>
  <c r="Z85" i="91"/>
  <c r="Z14" i="92"/>
  <c r="Z22" i="92"/>
  <c r="N40" i="92"/>
  <c r="Z42" i="92"/>
  <c r="N61" i="91"/>
  <c r="Z87" i="91"/>
  <c r="N38" i="92"/>
  <c r="H16" i="91"/>
  <c r="N16" i="92"/>
  <c r="Z61" i="91"/>
  <c r="L42" i="92"/>
  <c r="Z46" i="92"/>
  <c r="R66" i="94"/>
  <c r="R31" i="94"/>
  <c r="R30" i="94"/>
  <c r="R26" i="94"/>
  <c r="R62" i="94"/>
  <c r="R54" i="94"/>
  <c r="R38" i="94"/>
  <c r="R37" i="94"/>
  <c r="R17" i="94"/>
  <c r="R67" i="94"/>
  <c r="R59" i="94"/>
  <c r="R49" i="94"/>
  <c r="R32" i="94"/>
  <c r="X12" i="94"/>
  <c r="R74" i="94"/>
  <c r="R55" i="94"/>
  <c r="R40" i="94"/>
  <c r="R39" i="94"/>
  <c r="R27" i="94"/>
  <c r="R23" i="94"/>
  <c r="R68" i="94"/>
  <c r="R63" i="94"/>
  <c r="R42" i="94"/>
  <c r="R41" i="94"/>
  <c r="R33" i="94"/>
  <c r="R22" i="94"/>
  <c r="R60" i="94"/>
  <c r="R56" i="94"/>
  <c r="R50" i="94"/>
  <c r="R28" i="94"/>
  <c r="R24" i="94"/>
  <c r="P20" i="94"/>
  <c r="R20" i="94" s="1"/>
  <c r="R57" i="94"/>
  <c r="R51" i="94"/>
  <c r="R44" i="94"/>
  <c r="R43" i="94"/>
  <c r="R70" i="94"/>
  <c r="R34" i="94"/>
  <c r="R64" i="94"/>
  <c r="R46" i="94"/>
  <c r="R45" i="94"/>
  <c r="R29" i="94"/>
  <c r="R25" i="94"/>
  <c r="J31" i="91"/>
  <c r="J35" i="91"/>
  <c r="J43" i="91"/>
  <c r="J55" i="91"/>
  <c r="J63" i="91"/>
  <c r="F67" i="91"/>
  <c r="F68" i="91"/>
  <c r="F72" i="91"/>
  <c r="F80" i="91"/>
  <c r="R16" i="92"/>
  <c r="V22" i="92"/>
  <c r="V26" i="92"/>
  <c r="V30" i="92"/>
  <c r="R35" i="92"/>
  <c r="R43" i="92"/>
  <c r="R44" i="92"/>
  <c r="V46" i="92"/>
  <c r="V51" i="92"/>
  <c r="R58" i="92"/>
  <c r="R63" i="93"/>
  <c r="R56" i="93"/>
  <c r="R41" i="93"/>
  <c r="R40" i="93"/>
  <c r="R28" i="93"/>
  <c r="R24" i="93"/>
  <c r="P20" i="93"/>
  <c r="R68" i="93"/>
  <c r="R51" i="93"/>
  <c r="R50" i="93"/>
  <c r="R43" i="93"/>
  <c r="R42" i="93"/>
  <c r="R34" i="93"/>
  <c r="R73" i="93"/>
  <c r="R70" i="93"/>
  <c r="R57" i="93"/>
  <c r="R29" i="93"/>
  <c r="R25" i="93"/>
  <c r="R35" i="93"/>
  <c r="R16" i="93"/>
  <c r="R58" i="93"/>
  <c r="R47" i="93"/>
  <c r="R46" i="93"/>
  <c r="R30" i="93"/>
  <c r="R26" i="93"/>
  <c r="R54" i="93"/>
  <c r="R53" i="93"/>
  <c r="R17" i="93"/>
  <c r="R48" i="93"/>
  <c r="R37" i="93"/>
  <c r="R36" i="93"/>
  <c r="X12" i="93"/>
  <c r="R20" i="93"/>
  <c r="R27" i="93"/>
  <c r="R39" i="93"/>
  <c r="F53" i="93"/>
  <c r="V64" i="94"/>
  <c r="V60" i="94"/>
  <c r="V52" i="94"/>
  <c r="V66" i="94"/>
  <c r="V54" i="94"/>
  <c r="V67" i="94"/>
  <c r="V62" i="94"/>
  <c r="V37" i="94"/>
  <c r="V17" i="94"/>
  <c r="V59" i="94"/>
  <c r="V55" i="94"/>
  <c r="V49" i="94"/>
  <c r="V40" i="94"/>
  <c r="V32" i="94"/>
  <c r="Z12" i="94"/>
  <c r="V74" i="94"/>
  <c r="V39" i="94"/>
  <c r="V27" i="94"/>
  <c r="V23" i="94"/>
  <c r="V42" i="94"/>
  <c r="V22" i="94"/>
  <c r="V20" i="94"/>
  <c r="V18" i="94"/>
  <c r="V68" i="94"/>
  <c r="V63" i="94"/>
  <c r="V41" i="94"/>
  <c r="V33" i="94"/>
  <c r="V57" i="94"/>
  <c r="V56" i="94"/>
  <c r="V51" i="94"/>
  <c r="V50" i="94"/>
  <c r="V44" i="94"/>
  <c r="V28" i="94"/>
  <c r="V24" i="94"/>
  <c r="V70" i="94"/>
  <c r="V43" i="94"/>
  <c r="V46" i="94"/>
  <c r="V34" i="94"/>
  <c r="V65" i="94"/>
  <c r="V45" i="94"/>
  <c r="V29" i="94"/>
  <c r="V25" i="94"/>
  <c r="V61" i="94"/>
  <c r="V58" i="94"/>
  <c r="V53" i="94"/>
  <c r="V48" i="94"/>
  <c r="V36" i="94"/>
  <c r="V16" i="94"/>
  <c r="L42" i="94"/>
  <c r="N42" i="94" s="1"/>
  <c r="X25" i="100"/>
  <c r="Z25" i="100" s="1"/>
  <c r="V25" i="100"/>
  <c r="F25" i="91"/>
  <c r="F52" i="91"/>
  <c r="F53" i="91"/>
  <c r="J54" i="91"/>
  <c r="J68" i="91"/>
  <c r="J72" i="91"/>
  <c r="J80" i="91"/>
  <c r="V31" i="92"/>
  <c r="V35" i="92"/>
  <c r="V43" i="92"/>
  <c r="V58" i="92"/>
  <c r="V68" i="92"/>
  <c r="V51" i="93"/>
  <c r="V43" i="93"/>
  <c r="V68" i="93"/>
  <c r="V50" i="93"/>
  <c r="V42" i="93"/>
  <c r="V34" i="93"/>
  <c r="V57" i="93"/>
  <c r="V45" i="93"/>
  <c r="V29" i="93"/>
  <c r="V25" i="93"/>
  <c r="V52" i="93"/>
  <c r="V44" i="93"/>
  <c r="V58" i="93"/>
  <c r="V54" i="93"/>
  <c r="V46" i="93"/>
  <c r="V30" i="93"/>
  <c r="V26" i="93"/>
  <c r="V53" i="93"/>
  <c r="V37" i="93"/>
  <c r="V17" i="93"/>
  <c r="V60" i="93"/>
  <c r="V48" i="93"/>
  <c r="V36" i="93"/>
  <c r="V32" i="93"/>
  <c r="Z12" i="93"/>
  <c r="V59" i="93"/>
  <c r="V55" i="93"/>
  <c r="V39" i="93"/>
  <c r="V31" i="93"/>
  <c r="V27" i="93"/>
  <c r="V23" i="93"/>
  <c r="T20" i="93"/>
  <c r="Z39" i="93"/>
  <c r="L47" i="93"/>
  <c r="N47" i="93" s="1"/>
  <c r="N64" i="93"/>
  <c r="H63" i="93"/>
  <c r="D12" i="94"/>
  <c r="L13" i="94"/>
  <c r="R18" i="94"/>
  <c r="N40" i="94"/>
  <c r="R48" i="94"/>
  <c r="R53" i="94"/>
  <c r="R65" i="94"/>
  <c r="X38" i="95"/>
  <c r="Z38" i="95" s="1"/>
  <c r="V73" i="97"/>
  <c r="V61" i="97"/>
  <c r="V37" i="97"/>
  <c r="V33" i="97"/>
  <c r="V78" i="97"/>
  <c r="V77" i="97"/>
  <c r="V75" i="97"/>
  <c r="V63" i="97"/>
  <c r="V47" i="97"/>
  <c r="V39" i="97"/>
  <c r="V59" i="97"/>
  <c r="V51" i="97"/>
  <c r="V43" i="97"/>
  <c r="V70" i="97"/>
  <c r="V66" i="97"/>
  <c r="V58" i="97"/>
  <c r="V42" i="97"/>
  <c r="V53" i="97"/>
  <c r="V45" i="97"/>
  <c r="V72" i="97"/>
  <c r="V60" i="97"/>
  <c r="V44" i="97"/>
  <c r="V36" i="97"/>
  <c r="V40" i="97"/>
  <c r="V34" i="97"/>
  <c r="V24" i="97"/>
  <c r="V48" i="97"/>
  <c r="V68" i="97"/>
  <c r="V28" i="97"/>
  <c r="V56" i="97"/>
  <c r="V46" i="97"/>
  <c r="V41" i="97"/>
  <c r="V32" i="97"/>
  <c r="V31" i="97"/>
  <c r="V25" i="97"/>
  <c r="V38" i="97"/>
  <c r="V35" i="97"/>
  <c r="V16" i="97"/>
  <c r="V54" i="97"/>
  <c r="V74" i="97"/>
  <c r="V71" i="97"/>
  <c r="V52" i="97"/>
  <c r="V29" i="97"/>
  <c r="V26" i="97"/>
  <c r="V69" i="97"/>
  <c r="V64" i="97"/>
  <c r="V49" i="97"/>
  <c r="V17" i="97"/>
  <c r="V82" i="97"/>
  <c r="V55" i="97"/>
  <c r="V67" i="97"/>
  <c r="V57" i="97"/>
  <c r="V23" i="97"/>
  <c r="V65" i="97"/>
  <c r="V30" i="97"/>
  <c r="V27" i="97"/>
  <c r="V22" i="97"/>
  <c r="V50" i="97"/>
  <c r="V62" i="97"/>
  <c r="T20" i="97"/>
  <c r="V18" i="97"/>
  <c r="D16" i="91"/>
  <c r="J21" i="91"/>
  <c r="J25" i="91"/>
  <c r="F29" i="91"/>
  <c r="F30" i="91"/>
  <c r="F34" i="91"/>
  <c r="X40" i="91"/>
  <c r="F42" i="91"/>
  <c r="X48" i="91"/>
  <c r="J53" i="91"/>
  <c r="F61" i="91"/>
  <c r="F62" i="91"/>
  <c r="F66" i="91"/>
  <c r="J67" i="91"/>
  <c r="X76" i="91"/>
  <c r="X86" i="91"/>
  <c r="F93" i="91"/>
  <c r="F96" i="91"/>
  <c r="L13" i="92"/>
  <c r="V16" i="92"/>
  <c r="R25" i="92"/>
  <c r="R29" i="92"/>
  <c r="X31" i="92"/>
  <c r="Z31" i="92" s="1"/>
  <c r="R41" i="92"/>
  <c r="R42" i="92"/>
  <c r="V44" i="92"/>
  <c r="R50" i="92"/>
  <c r="R54" i="92"/>
  <c r="V20" i="93"/>
  <c r="R23" i="93"/>
  <c r="R45" i="93"/>
  <c r="R49" i="93"/>
  <c r="H12" i="94"/>
  <c r="N13" i="94"/>
  <c r="N16" i="94"/>
  <c r="Z42" i="94"/>
  <c r="X48" i="94"/>
  <c r="Z48" i="94" s="1"/>
  <c r="N16" i="97"/>
  <c r="L16" i="97"/>
  <c r="J16" i="97"/>
  <c r="J30" i="91"/>
  <c r="J34" i="91"/>
  <c r="J42" i="91"/>
  <c r="F50" i="91"/>
  <c r="F51" i="91"/>
  <c r="J52" i="91"/>
  <c r="J62" i="91"/>
  <c r="J66" i="91"/>
  <c r="F71" i="91"/>
  <c r="F78" i="91"/>
  <c r="F79" i="91"/>
  <c r="N13" i="92"/>
  <c r="V25" i="92"/>
  <c r="V29" i="92"/>
  <c r="R34" i="92"/>
  <c r="V41" i="92"/>
  <c r="R49" i="92"/>
  <c r="V54" i="92"/>
  <c r="R60" i="92"/>
  <c r="R66" i="92"/>
  <c r="R74" i="92"/>
  <c r="F48" i="93"/>
  <c r="F47" i="93"/>
  <c r="F36" i="93"/>
  <c r="L12" i="93"/>
  <c r="F59" i="93"/>
  <c r="F55" i="93"/>
  <c r="F54" i="93"/>
  <c r="F31" i="93"/>
  <c r="F27" i="93"/>
  <c r="F38" i="93"/>
  <c r="F37" i="93"/>
  <c r="F18" i="93"/>
  <c r="F61" i="93"/>
  <c r="F60" i="93"/>
  <c r="F49" i="93"/>
  <c r="F33" i="93"/>
  <c r="F32" i="93"/>
  <c r="F66" i="93"/>
  <c r="F64" i="93"/>
  <c r="F22" i="93"/>
  <c r="F20" i="93"/>
  <c r="F68" i="93"/>
  <c r="F63" i="93"/>
  <c r="F50" i="93"/>
  <c r="F42" i="93"/>
  <c r="F41" i="93"/>
  <c r="F34" i="93"/>
  <c r="D20" i="93"/>
  <c r="F57" i="93"/>
  <c r="F29" i="93"/>
  <c r="F25" i="93"/>
  <c r="F52" i="93"/>
  <c r="F51" i="93"/>
  <c r="F44" i="93"/>
  <c r="F43" i="93"/>
  <c r="Z14" i="93"/>
  <c r="Z23" i="93"/>
  <c r="F28" i="93"/>
  <c r="F30" i="93"/>
  <c r="F40" i="93"/>
  <c r="V41" i="93"/>
  <c r="Z45" i="93"/>
  <c r="V49" i="93"/>
  <c r="R59" i="93"/>
  <c r="R64" i="93"/>
  <c r="N23" i="94"/>
  <c r="N36" i="94"/>
  <c r="Z46" i="94"/>
  <c r="L77" i="95"/>
  <c r="N77" i="95" s="1"/>
  <c r="F19" i="91"/>
  <c r="F20" i="91"/>
  <c r="F24" i="91"/>
  <c r="F28" i="91"/>
  <c r="J29" i="91"/>
  <c r="J51" i="91"/>
  <c r="F60" i="91"/>
  <c r="J61" i="91"/>
  <c r="J71" i="91"/>
  <c r="J79" i="91"/>
  <c r="F85" i="91"/>
  <c r="J93" i="91"/>
  <c r="J96" i="91"/>
  <c r="V34" i="92"/>
  <c r="R39" i="92"/>
  <c r="R40" i="92"/>
  <c r="V42" i="92"/>
  <c r="V49" i="92"/>
  <c r="V50" i="92"/>
  <c r="R57" i="92"/>
  <c r="V66" i="92"/>
  <c r="H12" i="93"/>
  <c r="N13" i="93"/>
  <c r="L16" i="93"/>
  <c r="N22" i="93"/>
  <c r="R38" i="93"/>
  <c r="X41" i="93"/>
  <c r="Z41" i="93" s="1"/>
  <c r="V47" i="93"/>
  <c r="R61" i="93"/>
  <c r="R16" i="94"/>
  <c r="R58" i="94"/>
  <c r="X23" i="95"/>
  <c r="Z23" i="95" s="1"/>
  <c r="J14" i="91"/>
  <c r="J16" i="91"/>
  <c r="J18" i="91"/>
  <c r="J20" i="91"/>
  <c r="J24" i="91"/>
  <c r="J28" i="91"/>
  <c r="F33" i="91"/>
  <c r="F40" i="91"/>
  <c r="F41" i="91"/>
  <c r="F48" i="91"/>
  <c r="F49" i="91"/>
  <c r="J50" i="91"/>
  <c r="J60" i="91"/>
  <c r="F65" i="91"/>
  <c r="F76" i="91"/>
  <c r="F77" i="91"/>
  <c r="J78" i="91"/>
  <c r="H85" i="91"/>
  <c r="F86" i="91"/>
  <c r="F91" i="91"/>
  <c r="R24" i="92"/>
  <c r="R28" i="92"/>
  <c r="V39" i="92"/>
  <c r="L56" i="92"/>
  <c r="N56" i="92" s="1"/>
  <c r="R63" i="92"/>
  <c r="F16" i="93"/>
  <c r="X22" i="93"/>
  <c r="Z22" i="93" s="1"/>
  <c r="F24" i="93"/>
  <c r="F26" i="93"/>
  <c r="V38" i="93"/>
  <c r="V40" i="93"/>
  <c r="F46" i="93"/>
  <c r="R55" i="93"/>
  <c r="V61" i="93"/>
  <c r="V64" i="93"/>
  <c r="Z16" i="94"/>
  <c r="X16" i="94"/>
  <c r="V26" i="94"/>
  <c r="Z31" i="94"/>
  <c r="X31" i="94"/>
  <c r="R36" i="94"/>
  <c r="V38" i="94"/>
  <c r="J19" i="91"/>
  <c r="J33" i="91"/>
  <c r="J41" i="91"/>
  <c r="J49" i="91"/>
  <c r="J65" i="91"/>
  <c r="F70" i="91"/>
  <c r="J77" i="91"/>
  <c r="J85" i="91"/>
  <c r="F87" i="91"/>
  <c r="F89" i="91"/>
  <c r="J91" i="91"/>
  <c r="V24" i="92"/>
  <c r="V28" i="92"/>
  <c r="R33" i="92"/>
  <c r="R37" i="92"/>
  <c r="R38" i="92"/>
  <c r="V40" i="92"/>
  <c r="R48" i="92"/>
  <c r="Z63" i="92"/>
  <c r="N16" i="93"/>
  <c r="R22" i="93"/>
  <c r="V28" i="93"/>
  <c r="R32" i="93"/>
  <c r="F73" i="93"/>
  <c r="T20" i="94"/>
  <c r="V31" i="94"/>
  <c r="X36" i="94"/>
  <c r="Z36" i="94" s="1"/>
  <c r="R47" i="94"/>
  <c r="R61" i="94"/>
  <c r="F23" i="91"/>
  <c r="F27" i="91"/>
  <c r="F38" i="91"/>
  <c r="F39" i="91"/>
  <c r="J40" i="91"/>
  <c r="F46" i="91"/>
  <c r="F47" i="91"/>
  <c r="J48" i="91"/>
  <c r="F58" i="91"/>
  <c r="F59" i="91"/>
  <c r="J70" i="91"/>
  <c r="F74" i="91"/>
  <c r="F75" i="91"/>
  <c r="J76" i="91"/>
  <c r="F82" i="91"/>
  <c r="F83" i="91"/>
  <c r="J86" i="91"/>
  <c r="R65" i="92"/>
  <c r="R64" i="92"/>
  <c r="R53" i="92"/>
  <c r="R52" i="92"/>
  <c r="R70" i="92"/>
  <c r="R68" i="92"/>
  <c r="R56" i="92"/>
  <c r="R55" i="92"/>
  <c r="R72" i="92"/>
  <c r="V33" i="92"/>
  <c r="V37" i="92"/>
  <c r="R47" i="92"/>
  <c r="V53" i="92"/>
  <c r="V62" i="92"/>
  <c r="L68" i="92"/>
  <c r="F35" i="93"/>
  <c r="R44" i="93"/>
  <c r="R66" i="93"/>
  <c r="V47" i="94"/>
  <c r="R52" i="94"/>
  <c r="Z44" i="95"/>
  <c r="J23" i="91"/>
  <c r="J27" i="91"/>
  <c r="F32" i="91"/>
  <c r="J39" i="91"/>
  <c r="J47" i="91"/>
  <c r="J59" i="91"/>
  <c r="F64" i="91"/>
  <c r="J75" i="91"/>
  <c r="J83" i="91"/>
  <c r="J87" i="91"/>
  <c r="J89" i="91"/>
  <c r="V65" i="92"/>
  <c r="V64" i="92"/>
  <c r="V52" i="92"/>
  <c r="V59" i="92"/>
  <c r="V60" i="92"/>
  <c r="V72" i="92"/>
  <c r="V61" i="92"/>
  <c r="V57" i="92"/>
  <c r="P19" i="92"/>
  <c r="R23" i="92"/>
  <c r="R27" i="92"/>
  <c r="V38" i="92"/>
  <c r="V47" i="92"/>
  <c r="V48" i="92"/>
  <c r="R59" i="92"/>
  <c r="R77" i="92"/>
  <c r="X16" i="93"/>
  <c r="R18" i="93"/>
  <c r="V22" i="93"/>
  <c r="V24" i="93"/>
  <c r="R52" i="93"/>
  <c r="F58" i="93"/>
  <c r="Z63" i="93"/>
  <c r="Z16" i="93"/>
  <c r="L22" i="94"/>
  <c r="N22" i="94" s="1"/>
  <c r="Z22" i="95"/>
  <c r="F22" i="91"/>
  <c r="J37" i="91"/>
  <c r="J45" i="91"/>
  <c r="J57" i="91"/>
  <c r="J69" i="91"/>
  <c r="J73" i="91"/>
  <c r="Z12" i="92"/>
  <c r="R17" i="92"/>
  <c r="T19" i="92"/>
  <c r="R22" i="92"/>
  <c r="V32" i="92"/>
  <c r="V36" i="92"/>
  <c r="R45" i="92"/>
  <c r="R46" i="92"/>
  <c r="V55" i="92"/>
  <c r="R61" i="92"/>
  <c r="V16" i="93"/>
  <c r="V35" i="93"/>
  <c r="N39" i="93"/>
  <c r="L45" i="93"/>
  <c r="N45" i="93" s="1"/>
  <c r="V30" i="94"/>
  <c r="R35" i="94"/>
  <c r="D86" i="95"/>
  <c r="N32" i="95"/>
  <c r="Z42" i="95"/>
  <c r="N47" i="95"/>
  <c r="F26" i="97"/>
  <c r="L14" i="98"/>
  <c r="N14" i="98" s="1"/>
  <c r="H12" i="98"/>
  <c r="L12" i="98" s="1"/>
  <c r="X64" i="93"/>
  <c r="Z64" i="93" s="1"/>
  <c r="F73" i="95"/>
  <c r="F45" i="95"/>
  <c r="F44" i="95"/>
  <c r="F17" i="95"/>
  <c r="F16" i="95"/>
  <c r="F80" i="95"/>
  <c r="F79" i="95"/>
  <c r="F68" i="95"/>
  <c r="F67" i="95"/>
  <c r="F56" i="95"/>
  <c r="F55" i="95"/>
  <c r="F36" i="95"/>
  <c r="F63" i="95"/>
  <c r="F31" i="95"/>
  <c r="F27" i="95"/>
  <c r="F82" i="95"/>
  <c r="F81" i="95"/>
  <c r="F74" i="95"/>
  <c r="F70" i="95"/>
  <c r="F69" i="95"/>
  <c r="F58" i="95"/>
  <c r="F57" i="95"/>
  <c r="F46" i="95"/>
  <c r="F18" i="95"/>
  <c r="F37" i="95"/>
  <c r="F33" i="95"/>
  <c r="F32" i="95"/>
  <c r="F64" i="95"/>
  <c r="F48" i="95"/>
  <c r="F47" i="95"/>
  <c r="F86" i="95"/>
  <c r="F84" i="95"/>
  <c r="F75" i="95"/>
  <c r="F71" i="95"/>
  <c r="F59" i="95"/>
  <c r="F39" i="95"/>
  <c r="F38" i="95"/>
  <c r="F22" i="95"/>
  <c r="F20" i="95"/>
  <c r="F88" i="95"/>
  <c r="F50" i="95"/>
  <c r="F49" i="95"/>
  <c r="F65" i="95"/>
  <c r="F41" i="95"/>
  <c r="F40" i="95"/>
  <c r="F29" i="95"/>
  <c r="F76" i="95"/>
  <c r="F72" i="95"/>
  <c r="F60" i="95"/>
  <c r="F52" i="95"/>
  <c r="F51" i="95"/>
  <c r="Z14" i="95"/>
  <c r="F61" i="95"/>
  <c r="J59" i="97"/>
  <c r="J53" i="97"/>
  <c r="J43" i="97"/>
  <c r="J71" i="97"/>
  <c r="J67" i="97"/>
  <c r="J45" i="97"/>
  <c r="J73" i="97"/>
  <c r="J75" i="97"/>
  <c r="J47" i="97"/>
  <c r="J78" i="97"/>
  <c r="J62" i="97"/>
  <c r="J48" i="97"/>
  <c r="J77" i="97"/>
  <c r="J69" i="97"/>
  <c r="J63" i="97"/>
  <c r="J57" i="97"/>
  <c r="J49" i="97"/>
  <c r="J39" i="97"/>
  <c r="J29" i="97"/>
  <c r="J82" i="97"/>
  <c r="J64" i="97"/>
  <c r="J50" i="97"/>
  <c r="J40" i="97"/>
  <c r="J55" i="97"/>
  <c r="J42" i="97"/>
  <c r="N12" i="97"/>
  <c r="J65" i="97"/>
  <c r="J27" i="97"/>
  <c r="J30" i="97"/>
  <c r="J18" i="97"/>
  <c r="J37" i="97"/>
  <c r="J23" i="97"/>
  <c r="J70" i="97"/>
  <c r="J60" i="97"/>
  <c r="J34" i="97"/>
  <c r="J24" i="97"/>
  <c r="J22" i="97"/>
  <c r="J68" i="97"/>
  <c r="H20" i="97"/>
  <c r="J20" i="97" s="1"/>
  <c r="J58" i="97"/>
  <c r="J56" i="97"/>
  <c r="J51" i="97"/>
  <c r="J46" i="97"/>
  <c r="J41" i="97"/>
  <c r="J31" i="97"/>
  <c r="J28" i="97"/>
  <c r="J66" i="97"/>
  <c r="J35" i="97"/>
  <c r="J25" i="97"/>
  <c r="J61" i="97"/>
  <c r="J54" i="97"/>
  <c r="J38" i="97"/>
  <c r="J32" i="97"/>
  <c r="X23" i="97"/>
  <c r="Z23" i="97" s="1"/>
  <c r="J26" i="97"/>
  <c r="F39" i="97"/>
  <c r="D63" i="93"/>
  <c r="L63" i="93" s="1"/>
  <c r="Z14" i="94"/>
  <c r="H12" i="95"/>
  <c r="F43" i="95"/>
  <c r="L61" i="95"/>
  <c r="N61" i="95" s="1"/>
  <c r="F66" i="95"/>
  <c r="Z16" i="97"/>
  <c r="X50" i="97"/>
  <c r="Z50" i="97" s="1"/>
  <c r="L13" i="95"/>
  <c r="N13" i="95" s="1"/>
  <c r="Z32" i="95"/>
  <c r="X47" i="95"/>
  <c r="Z47" i="95" s="1"/>
  <c r="F78" i="95"/>
  <c r="F29" i="97"/>
  <c r="F24" i="95"/>
  <c r="F35" i="95"/>
  <c r="J44" i="97"/>
  <c r="J74" i="97"/>
  <c r="L32" i="97"/>
  <c r="N32" i="97" s="1"/>
  <c r="L50" i="101"/>
  <c r="N50" i="101" s="1"/>
  <c r="Z13" i="95"/>
  <c r="F62" i="95"/>
  <c r="F70" i="97"/>
  <c r="F66" i="97"/>
  <c r="F65" i="97"/>
  <c r="F58" i="97"/>
  <c r="F42" i="97"/>
  <c r="F41" i="97"/>
  <c r="F30" i="97"/>
  <c r="F87" i="97"/>
  <c r="F84" i="97"/>
  <c r="F60" i="97"/>
  <c r="F59" i="97"/>
  <c r="F44" i="97"/>
  <c r="F43" i="97"/>
  <c r="F68" i="97"/>
  <c r="F56" i="97"/>
  <c r="F55" i="97"/>
  <c r="F75" i="97"/>
  <c r="F74" i="97"/>
  <c r="F47" i="97"/>
  <c r="F62" i="97"/>
  <c r="F38" i="97"/>
  <c r="F34" i="97"/>
  <c r="F80" i="97"/>
  <c r="F78" i="97"/>
  <c r="F69" i="97"/>
  <c r="F57" i="97"/>
  <c r="F49" i="97"/>
  <c r="F48" i="97"/>
  <c r="F77" i="97"/>
  <c r="F52" i="97"/>
  <c r="F36" i="97"/>
  <c r="F33" i="97"/>
  <c r="F17" i="97"/>
  <c r="F16" i="97"/>
  <c r="F72" i="97"/>
  <c r="F67" i="97"/>
  <c r="L12" i="97"/>
  <c r="F53" i="97"/>
  <c r="F45" i="97"/>
  <c r="F27" i="97"/>
  <c r="F50" i="97"/>
  <c r="F40" i="97"/>
  <c r="F18" i="97"/>
  <c r="F37" i="97"/>
  <c r="F63" i="97"/>
  <c r="F24" i="97"/>
  <c r="F23" i="97"/>
  <c r="F73" i="97"/>
  <c r="F22" i="97"/>
  <c r="F20" i="97"/>
  <c r="F51" i="97"/>
  <c r="F46" i="97"/>
  <c r="F31" i="97"/>
  <c r="F28" i="97"/>
  <c r="D20" i="97"/>
  <c r="F35" i="97"/>
  <c r="F25" i="97"/>
  <c r="F61" i="97"/>
  <c r="F54" i="97"/>
  <c r="X22" i="97"/>
  <c r="Z22" i="97" s="1"/>
  <c r="Z22" i="101"/>
  <c r="X22" i="101"/>
  <c r="L12" i="95"/>
  <c r="X16" i="95"/>
  <c r="Z16" i="95" s="1"/>
  <c r="F26" i="95"/>
  <c r="F53" i="95"/>
  <c r="J72" i="97"/>
  <c r="L51" i="94"/>
  <c r="N51" i="94" s="1"/>
  <c r="P12" i="95"/>
  <c r="N44" i="95"/>
  <c r="L44" i="95"/>
  <c r="L53" i="95"/>
  <c r="N53" i="95" s="1"/>
  <c r="Z84" i="95"/>
  <c r="X84" i="95"/>
  <c r="J36" i="97"/>
  <c r="X65" i="97"/>
  <c r="Z65" i="97" s="1"/>
  <c r="T12" i="95"/>
  <c r="N22" i="95"/>
  <c r="N38" i="95"/>
  <c r="F42" i="95"/>
  <c r="R55" i="97"/>
  <c r="R54" i="97"/>
  <c r="R46" i="97"/>
  <c r="R74" i="97"/>
  <c r="R73" i="97"/>
  <c r="R68" i="97"/>
  <c r="R56" i="97"/>
  <c r="R80" i="97"/>
  <c r="R78" i="97"/>
  <c r="R75" i="97"/>
  <c r="R77" i="97"/>
  <c r="R82" i="97"/>
  <c r="R65" i="97"/>
  <c r="R64" i="97"/>
  <c r="R41" i="97"/>
  <c r="R40" i="97"/>
  <c r="R87" i="97"/>
  <c r="R84" i="97"/>
  <c r="R52" i="97"/>
  <c r="R51" i="97"/>
  <c r="R70" i="97"/>
  <c r="R66" i="97"/>
  <c r="R59" i="97"/>
  <c r="R58" i="97"/>
  <c r="R43" i="97"/>
  <c r="R42" i="97"/>
  <c r="R30" i="97"/>
  <c r="R53" i="97"/>
  <c r="R50" i="97"/>
  <c r="R37" i="97"/>
  <c r="R22" i="97"/>
  <c r="R20" i="97"/>
  <c r="R60" i="97"/>
  <c r="R34" i="97"/>
  <c r="R24" i="97"/>
  <c r="P20" i="97"/>
  <c r="R63" i="97"/>
  <c r="R48" i="97"/>
  <c r="R28" i="97"/>
  <c r="R31" i="97"/>
  <c r="R25" i="97"/>
  <c r="R61" i="97"/>
  <c r="R38" i="97"/>
  <c r="R35" i="97"/>
  <c r="R32" i="97"/>
  <c r="R16" i="97"/>
  <c r="R71" i="97"/>
  <c r="R44" i="97"/>
  <c r="R39" i="97"/>
  <c r="R29" i="97"/>
  <c r="R26" i="97"/>
  <c r="R69" i="97"/>
  <c r="R49" i="97"/>
  <c r="R36" i="97"/>
  <c r="R33" i="97"/>
  <c r="R17" i="97"/>
  <c r="R72" i="97"/>
  <c r="X12" i="97"/>
  <c r="Z12" i="97" s="1"/>
  <c r="Z14" i="97"/>
  <c r="J33" i="97"/>
  <c r="Z55" i="97"/>
  <c r="N20" i="99"/>
  <c r="X72" i="97"/>
  <c r="Z72" i="97" s="1"/>
  <c r="L14" i="97"/>
  <c r="N14" i="97" s="1"/>
  <c r="N41" i="97"/>
  <c r="Z74" i="97"/>
  <c r="Z36" i="98"/>
  <c r="X32" i="97"/>
  <c r="Z32" i="97" s="1"/>
  <c r="Z39" i="97"/>
  <c r="X31" i="99"/>
  <c r="Z31" i="99" s="1"/>
  <c r="L56" i="100"/>
  <c r="F33" i="98"/>
  <c r="F28" i="98"/>
  <c r="F24" i="98"/>
  <c r="F35" i="98"/>
  <c r="F34" i="98"/>
  <c r="F30" i="98"/>
  <c r="F29" i="98"/>
  <c r="F31" i="98"/>
  <c r="F39" i="98"/>
  <c r="F26" i="98"/>
  <c r="F22" i="98"/>
  <c r="F21" i="98"/>
  <c r="F43" i="98"/>
  <c r="F20" i="98"/>
  <c r="F16" i="98"/>
  <c r="F37" i="98"/>
  <c r="P19" i="100"/>
  <c r="X15" i="100"/>
  <c r="Z15" i="100" s="1"/>
  <c r="L13" i="97"/>
  <c r="Z41" i="97"/>
  <c r="F27" i="98"/>
  <c r="T43" i="99"/>
  <c r="X58" i="101"/>
  <c r="Z58" i="101" s="1"/>
  <c r="Z73" i="101"/>
  <c r="N13" i="97"/>
  <c r="P12" i="98"/>
  <c r="X13" i="98"/>
  <c r="N29" i="98"/>
  <c r="F45" i="99"/>
  <c r="F40" i="99"/>
  <c r="F50" i="99"/>
  <c r="F37" i="99"/>
  <c r="F28" i="99"/>
  <c r="F24" i="99"/>
  <c r="F38" i="99"/>
  <c r="F15" i="99"/>
  <c r="F14" i="99"/>
  <c r="F30" i="99"/>
  <c r="F29" i="99"/>
  <c r="F25" i="99"/>
  <c r="F21" i="99"/>
  <c r="F20" i="99"/>
  <c r="D17" i="99"/>
  <c r="F34" i="99"/>
  <c r="F33" i="99"/>
  <c r="F26" i="99"/>
  <c r="F22" i="99"/>
  <c r="F47" i="99"/>
  <c r="F41" i="99"/>
  <c r="L12" i="99"/>
  <c r="D12" i="100"/>
  <c r="L13" i="100"/>
  <c r="V78" i="101"/>
  <c r="V64" i="101"/>
  <c r="V52" i="101"/>
  <c r="V40" i="101"/>
  <c r="V28" i="101"/>
  <c r="V24" i="101"/>
  <c r="V59" i="101"/>
  <c r="V51" i="101"/>
  <c r="V39" i="101"/>
  <c r="V71" i="101"/>
  <c r="V42" i="101"/>
  <c r="V34" i="101"/>
  <c r="V65" i="101"/>
  <c r="V61" i="101"/>
  <c r="V53" i="101"/>
  <c r="V41" i="101"/>
  <c r="V29" i="101"/>
  <c r="V25" i="101"/>
  <c r="V73" i="101"/>
  <c r="V60" i="101"/>
  <c r="V44" i="101"/>
  <c r="V16" i="101"/>
  <c r="V66" i="101"/>
  <c r="V62" i="101"/>
  <c r="V54" i="101"/>
  <c r="V46" i="101"/>
  <c r="V30" i="101"/>
  <c r="V26" i="101"/>
  <c r="V45" i="101"/>
  <c r="V17" i="101"/>
  <c r="V68" i="101"/>
  <c r="V56" i="101"/>
  <c r="V48" i="101"/>
  <c r="V36" i="101"/>
  <c r="V32" i="101"/>
  <c r="V67" i="101"/>
  <c r="V63" i="101"/>
  <c r="V55" i="101"/>
  <c r="V47" i="101"/>
  <c r="V23" i="101"/>
  <c r="V69" i="101"/>
  <c r="V43" i="101"/>
  <c r="V37" i="101"/>
  <c r="V49" i="101"/>
  <c r="V74" i="101"/>
  <c r="T20" i="101"/>
  <c r="V70" i="101"/>
  <c r="V50" i="101"/>
  <c r="V18" i="101"/>
  <c r="V31" i="101"/>
  <c r="V22" i="101"/>
  <c r="V58" i="101"/>
  <c r="L50" i="97"/>
  <c r="N50" i="97" s="1"/>
  <c r="N65" i="97"/>
  <c r="T12" i="98"/>
  <c r="Z13" i="98"/>
  <c r="F23" i="98"/>
  <c r="F25" i="98"/>
  <c r="F32" i="98"/>
  <c r="J50" i="99"/>
  <c r="J47" i="99"/>
  <c r="J38" i="99"/>
  <c r="J28" i="99"/>
  <c r="J24" i="99"/>
  <c r="J14" i="99"/>
  <c r="J29" i="99"/>
  <c r="J15" i="99"/>
  <c r="J30" i="99"/>
  <c r="J20" i="99"/>
  <c r="J45" i="99"/>
  <c r="J31" i="99"/>
  <c r="J25" i="99"/>
  <c r="J21" i="99"/>
  <c r="J19" i="99"/>
  <c r="J17" i="99"/>
  <c r="J32" i="99"/>
  <c r="H17" i="99"/>
  <c r="J41" i="99"/>
  <c r="J34" i="99"/>
  <c r="J26" i="99"/>
  <c r="J22" i="99"/>
  <c r="J35" i="99"/>
  <c r="N12" i="99"/>
  <c r="J43" i="99"/>
  <c r="J36" i="99"/>
  <c r="J27" i="99"/>
  <c r="J23" i="99"/>
  <c r="H12" i="100"/>
  <c r="N13" i="100"/>
  <c r="X12" i="101"/>
  <c r="Z12" i="101" s="1"/>
  <c r="V63" i="103"/>
  <c r="V55" i="103"/>
  <c r="V43" i="103"/>
  <c r="V31" i="103"/>
  <c r="V27" i="103"/>
  <c r="V54" i="103"/>
  <c r="V42" i="103"/>
  <c r="V18" i="103"/>
  <c r="V69" i="103"/>
  <c r="V57" i="103"/>
  <c r="V45" i="103"/>
  <c r="V37" i="103"/>
  <c r="V81" i="103"/>
  <c r="V79" i="103"/>
  <c r="V74" i="103"/>
  <c r="V73" i="103"/>
  <c r="V64" i="103"/>
  <c r="V56" i="103"/>
  <c r="V44" i="103"/>
  <c r="V32" i="103"/>
  <c r="V28" i="103"/>
  <c r="V24" i="103"/>
  <c r="V59" i="103"/>
  <c r="V47" i="103"/>
  <c r="V23" i="103"/>
  <c r="V19" i="103"/>
  <c r="V70" i="103"/>
  <c r="V66" i="103"/>
  <c r="V58" i="103"/>
  <c r="V46" i="103"/>
  <c r="V38" i="103"/>
  <c r="V34" i="103"/>
  <c r="V65" i="103"/>
  <c r="V49" i="103"/>
  <c r="V33" i="103"/>
  <c r="V29" i="103"/>
  <c r="V25" i="103"/>
  <c r="V76" i="103"/>
  <c r="V75" i="103"/>
  <c r="V60" i="103"/>
  <c r="V48" i="103"/>
  <c r="V71" i="103"/>
  <c r="V67" i="103"/>
  <c r="V51" i="103"/>
  <c r="V39" i="103"/>
  <c r="V35" i="103"/>
  <c r="V85" i="103"/>
  <c r="V62" i="103"/>
  <c r="V50" i="103"/>
  <c r="V30" i="103"/>
  <c r="V26" i="103"/>
  <c r="V17" i="103"/>
  <c r="V72" i="103"/>
  <c r="V78" i="103"/>
  <c r="V53" i="103"/>
  <c r="V68" i="103"/>
  <c r="V61" i="103"/>
  <c r="V52" i="103"/>
  <c r="V41" i="103"/>
  <c r="T21" i="103"/>
  <c r="V21" i="103" s="1"/>
  <c r="V40" i="103"/>
  <c r="N45" i="97"/>
  <c r="N55" i="97"/>
  <c r="Z63" i="97"/>
  <c r="D77" i="97"/>
  <c r="L77" i="97" s="1"/>
  <c r="D18" i="98"/>
  <c r="X19" i="99"/>
  <c r="Z19" i="99" s="1"/>
  <c r="V15" i="99"/>
  <c r="V17" i="99"/>
  <c r="V19" i="99"/>
  <c r="R24" i="99"/>
  <c r="R28" i="99"/>
  <c r="R29" i="99"/>
  <c r="V31" i="99"/>
  <c r="R50" i="99"/>
  <c r="V29" i="100"/>
  <c r="N36" i="100"/>
  <c r="L36" i="100"/>
  <c r="Z42" i="100"/>
  <c r="X42" i="100"/>
  <c r="V54" i="100"/>
  <c r="N16" i="101"/>
  <c r="L44" i="101"/>
  <c r="N44" i="101" s="1"/>
  <c r="R56" i="101"/>
  <c r="J76" i="103"/>
  <c r="J71" i="103"/>
  <c r="J67" i="103"/>
  <c r="J49" i="103"/>
  <c r="J39" i="103"/>
  <c r="J35" i="103"/>
  <c r="J85" i="103"/>
  <c r="J50" i="103"/>
  <c r="J30" i="103"/>
  <c r="J26" i="103"/>
  <c r="J77" i="103"/>
  <c r="J61" i="103"/>
  <c r="J51" i="103"/>
  <c r="J78" i="103"/>
  <c r="J72" i="103"/>
  <c r="J68" i="103"/>
  <c r="J62" i="103"/>
  <c r="J52" i="103"/>
  <c r="J40" i="103"/>
  <c r="J36" i="103"/>
  <c r="J63" i="103"/>
  <c r="J53" i="103"/>
  <c r="J41" i="103"/>
  <c r="J31" i="103"/>
  <c r="J27" i="103"/>
  <c r="J17" i="103"/>
  <c r="J54" i="103"/>
  <c r="J42" i="103"/>
  <c r="J79" i="103"/>
  <c r="J69" i="103"/>
  <c r="J55" i="103"/>
  <c r="J43" i="103"/>
  <c r="J37" i="103"/>
  <c r="J73" i="103"/>
  <c r="J64" i="103"/>
  <c r="J56" i="103"/>
  <c r="J44" i="103"/>
  <c r="J32" i="103"/>
  <c r="J28" i="103"/>
  <c r="J57" i="103"/>
  <c r="J45" i="103"/>
  <c r="J19" i="103"/>
  <c r="J81" i="103"/>
  <c r="J74" i="103"/>
  <c r="J70" i="103"/>
  <c r="J58" i="103"/>
  <c r="J46" i="103"/>
  <c r="J38" i="103"/>
  <c r="J24" i="103"/>
  <c r="J75" i="103"/>
  <c r="H21" i="103"/>
  <c r="J21" i="103" s="1"/>
  <c r="J65" i="103"/>
  <c r="J29" i="103"/>
  <c r="J60" i="103"/>
  <c r="J47" i="103"/>
  <c r="J66" i="103"/>
  <c r="J59" i="103"/>
  <c r="J23" i="103"/>
  <c r="J25" i="103"/>
  <c r="N33" i="104"/>
  <c r="Z35" i="104"/>
  <c r="R14" i="99"/>
  <c r="V20" i="99"/>
  <c r="V24" i="99"/>
  <c r="V28" i="99"/>
  <c r="X37" i="99"/>
  <c r="Z37" i="99" s="1"/>
  <c r="V50" i="99"/>
  <c r="V17" i="100"/>
  <c r="R39" i="100"/>
  <c r="V42" i="100"/>
  <c r="L45" i="100"/>
  <c r="R50" i="100"/>
  <c r="Z57" i="100"/>
  <c r="T56" i="100"/>
  <c r="R63" i="100"/>
  <c r="F45" i="101"/>
  <c r="F44" i="101"/>
  <c r="F17" i="101"/>
  <c r="F16" i="101"/>
  <c r="F36" i="101"/>
  <c r="F76" i="101"/>
  <c r="F67" i="101"/>
  <c r="F63" i="101"/>
  <c r="F55" i="101"/>
  <c r="F47" i="101"/>
  <c r="F46" i="101"/>
  <c r="F31" i="101"/>
  <c r="F27" i="101"/>
  <c r="F18" i="101"/>
  <c r="F83" i="101"/>
  <c r="F69" i="101"/>
  <c r="F68" i="101"/>
  <c r="F57" i="101"/>
  <c r="F56" i="101"/>
  <c r="F49" i="101"/>
  <c r="F48" i="101"/>
  <c r="F37" i="101"/>
  <c r="F33" i="101"/>
  <c r="F32" i="101"/>
  <c r="F78" i="101"/>
  <c r="F71" i="101"/>
  <c r="F70" i="101"/>
  <c r="F59" i="101"/>
  <c r="F58" i="101"/>
  <c r="F51" i="101"/>
  <c r="F50" i="101"/>
  <c r="F39" i="101"/>
  <c r="F38" i="101"/>
  <c r="F22" i="101"/>
  <c r="F20" i="101"/>
  <c r="F34" i="101"/>
  <c r="D20" i="101"/>
  <c r="F65" i="101"/>
  <c r="F53" i="101"/>
  <c r="F52" i="101"/>
  <c r="F41" i="101"/>
  <c r="F40" i="101"/>
  <c r="F29" i="101"/>
  <c r="F25" i="101"/>
  <c r="F60" i="101"/>
  <c r="R18" i="101"/>
  <c r="N38" i="101"/>
  <c r="L38" i="101"/>
  <c r="F42" i="101"/>
  <c r="X50" i="101"/>
  <c r="Z50" i="101" s="1"/>
  <c r="Z56" i="101"/>
  <c r="F61" i="101"/>
  <c r="F74" i="101"/>
  <c r="F80" i="101"/>
  <c r="V29" i="99"/>
  <c r="R37" i="99"/>
  <c r="Z22" i="100"/>
  <c r="V24" i="100"/>
  <c r="V50" i="100"/>
  <c r="H12" i="101"/>
  <c r="L12" i="101" s="1"/>
  <c r="R48" i="101"/>
  <c r="L61" i="101"/>
  <c r="N61" i="101" s="1"/>
  <c r="R63" i="101"/>
  <c r="X70" i="101"/>
  <c r="Z70" i="101" s="1"/>
  <c r="N74" i="101"/>
  <c r="H73" i="101"/>
  <c r="N73" i="101" s="1"/>
  <c r="L45" i="105"/>
  <c r="V14" i="99"/>
  <c r="R23" i="99"/>
  <c r="R27" i="99"/>
  <c r="R36" i="99"/>
  <c r="H40" i="99"/>
  <c r="R43" i="99"/>
  <c r="V22" i="100"/>
  <c r="R36" i="100"/>
  <c r="R41" i="100"/>
  <c r="N47" i="100"/>
  <c r="L53" i="100"/>
  <c r="N53" i="100" s="1"/>
  <c r="X16" i="101"/>
  <c r="Z16" i="101" s="1"/>
  <c r="R36" i="101"/>
  <c r="Z38" i="101"/>
  <c r="X44" i="101"/>
  <c r="Z44" i="101" s="1"/>
  <c r="F66" i="101"/>
  <c r="X73" i="101"/>
  <c r="N45" i="105"/>
  <c r="R35" i="99"/>
  <c r="V43" i="99"/>
  <c r="V47" i="99"/>
  <c r="Z45" i="100"/>
  <c r="F64" i="101"/>
  <c r="R34" i="99"/>
  <c r="R41" i="99"/>
  <c r="L25" i="100"/>
  <c r="N32" i="100"/>
  <c r="L32" i="100"/>
  <c r="V56" i="100"/>
  <c r="R32" i="101"/>
  <c r="F35" i="101"/>
  <c r="F43" i="101"/>
  <c r="R55" i="101"/>
  <c r="J48" i="103"/>
  <c r="V22" i="99"/>
  <c r="V26" i="99"/>
  <c r="V35" i="99"/>
  <c r="R40" i="99"/>
  <c r="R25" i="100"/>
  <c r="R24" i="100"/>
  <c r="R51" i="100"/>
  <c r="R43" i="100"/>
  <c r="R32" i="100"/>
  <c r="R31" i="100"/>
  <c r="R26" i="100"/>
  <c r="R15" i="100"/>
  <c r="R34" i="100"/>
  <c r="R33" i="100"/>
  <c r="R53" i="100"/>
  <c r="R52" i="100"/>
  <c r="R45" i="100"/>
  <c r="R44" i="100"/>
  <c r="R59" i="100"/>
  <c r="R57" i="100"/>
  <c r="R54" i="100"/>
  <c r="R47" i="100"/>
  <c r="R46" i="100"/>
  <c r="R56" i="100"/>
  <c r="R38" i="100"/>
  <c r="R37" i="100"/>
  <c r="R22" i="100"/>
  <c r="R17" i="100"/>
  <c r="R49" i="100"/>
  <c r="R48" i="100"/>
  <c r="R28" i="100"/>
  <c r="R21" i="100"/>
  <c r="R19" i="100"/>
  <c r="X12" i="100"/>
  <c r="R30" i="100"/>
  <c r="R35" i="100"/>
  <c r="Z47" i="100"/>
  <c r="Z53" i="100"/>
  <c r="R23" i="101"/>
  <c r="F28" i="101"/>
  <c r="Z32" i="101"/>
  <c r="F62" i="101"/>
  <c r="R74" i="105"/>
  <c r="R70" i="105"/>
  <c r="R72" i="105"/>
  <c r="R68" i="105"/>
  <c r="R81" i="105"/>
  <c r="R57" i="105"/>
  <c r="R56" i="105"/>
  <c r="R45" i="105"/>
  <c r="R44" i="105"/>
  <c r="R32" i="105"/>
  <c r="R28" i="105"/>
  <c r="R64" i="105"/>
  <c r="R24" i="105"/>
  <c r="R71" i="105"/>
  <c r="R59" i="105"/>
  <c r="R58" i="105"/>
  <c r="R47" i="105"/>
  <c r="R46" i="105"/>
  <c r="R38" i="105"/>
  <c r="R23" i="105"/>
  <c r="R87" i="105"/>
  <c r="R77" i="105"/>
  <c r="R34" i="105"/>
  <c r="R33" i="105"/>
  <c r="R29" i="105"/>
  <c r="R25" i="105"/>
  <c r="P21" i="105"/>
  <c r="R65" i="105"/>
  <c r="R60" i="105"/>
  <c r="R49" i="105"/>
  <c r="R48" i="105"/>
  <c r="R83" i="105"/>
  <c r="R51" i="105"/>
  <c r="R50" i="105"/>
  <c r="R30" i="105"/>
  <c r="R26" i="105"/>
  <c r="R62" i="105"/>
  <c r="R61" i="105"/>
  <c r="R79" i="105"/>
  <c r="R75" i="105"/>
  <c r="R67" i="105"/>
  <c r="R53" i="105"/>
  <c r="R52" i="105"/>
  <c r="R41" i="105"/>
  <c r="R40" i="105"/>
  <c r="R36" i="105"/>
  <c r="R63" i="105"/>
  <c r="R31" i="105"/>
  <c r="R27" i="105"/>
  <c r="R19" i="105"/>
  <c r="R42" i="105"/>
  <c r="R69" i="105"/>
  <c r="R54" i="105"/>
  <c r="R66" i="105"/>
  <c r="R17" i="105"/>
  <c r="R80" i="105"/>
  <c r="R78" i="105"/>
  <c r="R76" i="105"/>
  <c r="R35" i="105"/>
  <c r="R43" i="105"/>
  <c r="R37" i="105"/>
  <c r="R55" i="105"/>
  <c r="R39" i="105"/>
  <c r="R18" i="105"/>
  <c r="R73" i="105"/>
  <c r="X12" i="105"/>
  <c r="Z12" i="105" s="1"/>
  <c r="L13" i="98"/>
  <c r="N13" i="98" s="1"/>
  <c r="Z40" i="99"/>
  <c r="V41" i="99"/>
  <c r="V51" i="100"/>
  <c r="V43" i="100"/>
  <c r="V31" i="100"/>
  <c r="V15" i="100"/>
  <c r="V34" i="100"/>
  <c r="V26" i="100"/>
  <c r="V53" i="100"/>
  <c r="V45" i="100"/>
  <c r="V33" i="100"/>
  <c r="V52" i="100"/>
  <c r="V44" i="100"/>
  <c r="V36" i="100"/>
  <c r="V16" i="100"/>
  <c r="V57" i="100"/>
  <c r="V47" i="100"/>
  <c r="V35" i="100"/>
  <c r="V27" i="100"/>
  <c r="V49" i="100"/>
  <c r="V48" i="100"/>
  <c r="V40" i="100"/>
  <c r="V28" i="100"/>
  <c r="T19" i="100"/>
  <c r="V19" i="100" s="1"/>
  <c r="Z12" i="100"/>
  <c r="V61" i="100"/>
  <c r="V39" i="100"/>
  <c r="V23" i="100"/>
  <c r="N25" i="100"/>
  <c r="X30" i="100"/>
  <c r="Z30" i="100" s="1"/>
  <c r="Z38" i="100"/>
  <c r="X38" i="100"/>
  <c r="R61" i="100"/>
  <c r="X23" i="101"/>
  <c r="Z23" i="101" s="1"/>
  <c r="R47" i="101"/>
  <c r="L58" i="101"/>
  <c r="N58" i="101" s="1"/>
  <c r="R60" i="101"/>
  <c r="X41" i="103"/>
  <c r="Z41" i="103" s="1"/>
  <c r="P17" i="99"/>
  <c r="R21" i="99"/>
  <c r="R25" i="99"/>
  <c r="V32" i="99"/>
  <c r="V40" i="99"/>
  <c r="V45" i="99"/>
  <c r="V30" i="100"/>
  <c r="V38" i="100"/>
  <c r="R40" i="100"/>
  <c r="H56" i="100"/>
  <c r="N56" i="100" s="1"/>
  <c r="N57" i="100"/>
  <c r="R78" i="101"/>
  <c r="R83" i="101"/>
  <c r="R70" i="101"/>
  <c r="R69" i="101"/>
  <c r="R58" i="101"/>
  <c r="R57" i="101"/>
  <c r="R50" i="101"/>
  <c r="R49" i="101"/>
  <c r="R38" i="101"/>
  <c r="R37" i="101"/>
  <c r="R33" i="101"/>
  <c r="R22" i="101"/>
  <c r="R20" i="101"/>
  <c r="R64" i="101"/>
  <c r="R28" i="101"/>
  <c r="R24" i="101"/>
  <c r="P20" i="101"/>
  <c r="R59" i="101"/>
  <c r="R52" i="101"/>
  <c r="R51" i="101"/>
  <c r="R40" i="101"/>
  <c r="R39" i="101"/>
  <c r="R71" i="101"/>
  <c r="R34" i="101"/>
  <c r="R65" i="101"/>
  <c r="R53" i="101"/>
  <c r="R42" i="101"/>
  <c r="R41" i="101"/>
  <c r="R29" i="101"/>
  <c r="R25" i="101"/>
  <c r="R73" i="101"/>
  <c r="R44" i="101"/>
  <c r="R43" i="101"/>
  <c r="R35" i="101"/>
  <c r="R16" i="101"/>
  <c r="R80" i="101"/>
  <c r="R74" i="101"/>
  <c r="R66" i="101"/>
  <c r="R62" i="101"/>
  <c r="R54" i="101"/>
  <c r="R30" i="101"/>
  <c r="R26" i="101"/>
  <c r="R46" i="101"/>
  <c r="R45" i="101"/>
  <c r="R17" i="101"/>
  <c r="N22" i="101"/>
  <c r="F54" i="101"/>
  <c r="F73" i="101"/>
  <c r="N53" i="103"/>
  <c r="D48" i="104"/>
  <c r="F42" i="102"/>
  <c r="F41" i="102"/>
  <c r="D16" i="102"/>
  <c r="F33" i="102"/>
  <c r="F32" i="102"/>
  <c r="F25" i="102"/>
  <c r="F21" i="102"/>
  <c r="F46" i="102"/>
  <c r="F44" i="102"/>
  <c r="F35" i="102"/>
  <c r="F34" i="102"/>
  <c r="F48" i="102"/>
  <c r="F26" i="102"/>
  <c r="F22" i="102"/>
  <c r="F36" i="102"/>
  <c r="L12" i="102"/>
  <c r="F53" i="102"/>
  <c r="F50" i="102"/>
  <c r="F27" i="102"/>
  <c r="F23" i="102"/>
  <c r="F39" i="102"/>
  <c r="V87" i="105"/>
  <c r="V65" i="105"/>
  <c r="V79" i="105"/>
  <c r="V63" i="105"/>
  <c r="V68" i="105"/>
  <c r="V64" i="105"/>
  <c r="V59" i="105"/>
  <c r="V47" i="105"/>
  <c r="V23" i="105"/>
  <c r="V21" i="105"/>
  <c r="V19" i="105"/>
  <c r="V81" i="105"/>
  <c r="V71" i="105"/>
  <c r="V58" i="105"/>
  <c r="V46" i="105"/>
  <c r="V38" i="105"/>
  <c r="V34" i="105"/>
  <c r="V77" i="105"/>
  <c r="V49" i="105"/>
  <c r="V33" i="105"/>
  <c r="V29" i="105"/>
  <c r="V25" i="105"/>
  <c r="V78" i="105"/>
  <c r="V74" i="105"/>
  <c r="V66" i="105"/>
  <c r="V60" i="105"/>
  <c r="V48" i="105"/>
  <c r="V83" i="105"/>
  <c r="V69" i="105"/>
  <c r="V51" i="105"/>
  <c r="V39" i="105"/>
  <c r="V35" i="105"/>
  <c r="V72" i="105"/>
  <c r="V61" i="105"/>
  <c r="V53" i="105"/>
  <c r="V41" i="105"/>
  <c r="V17" i="105"/>
  <c r="V75" i="105"/>
  <c r="V67" i="105"/>
  <c r="V52" i="105"/>
  <c r="V40" i="105"/>
  <c r="V36" i="105"/>
  <c r="V80" i="105"/>
  <c r="V76" i="105"/>
  <c r="V55" i="105"/>
  <c r="V43" i="105"/>
  <c r="V70" i="105"/>
  <c r="V54" i="105"/>
  <c r="V42" i="105"/>
  <c r="V31" i="105"/>
  <c r="V26" i="105"/>
  <c r="V62" i="105"/>
  <c r="V50" i="105"/>
  <c r="V44" i="105"/>
  <c r="V28" i="105"/>
  <c r="V56" i="105"/>
  <c r="V30" i="105"/>
  <c r="T21" i="105"/>
  <c r="V37" i="105"/>
  <c r="V45" i="105"/>
  <c r="V32" i="105"/>
  <c r="V18" i="105"/>
  <c r="V73" i="105"/>
  <c r="V27" i="105"/>
  <c r="V57" i="105"/>
  <c r="Z57" i="105"/>
  <c r="X57" i="105"/>
  <c r="F16" i="102"/>
  <c r="F29" i="102"/>
  <c r="F75" i="103"/>
  <c r="F74" i="103"/>
  <c r="F60" i="103"/>
  <c r="F59" i="103"/>
  <c r="F48" i="103"/>
  <c r="F47" i="103"/>
  <c r="F23" i="103"/>
  <c r="F71" i="103"/>
  <c r="F67" i="103"/>
  <c r="F66" i="103"/>
  <c r="F39" i="103"/>
  <c r="F35" i="103"/>
  <c r="F34" i="103"/>
  <c r="D21" i="103"/>
  <c r="F21" i="103" s="1"/>
  <c r="F85" i="103"/>
  <c r="F76" i="103"/>
  <c r="F50" i="103"/>
  <c r="F49" i="103"/>
  <c r="F30" i="103"/>
  <c r="F26" i="103"/>
  <c r="F77" i="103"/>
  <c r="F61" i="103"/>
  <c r="F72" i="103"/>
  <c r="F68" i="103"/>
  <c r="F52" i="103"/>
  <c r="F51" i="103"/>
  <c r="F40" i="103"/>
  <c r="F36" i="103"/>
  <c r="L12" i="103"/>
  <c r="N12" i="103" s="1"/>
  <c r="F78" i="103"/>
  <c r="F63" i="103"/>
  <c r="F62" i="103"/>
  <c r="F31" i="103"/>
  <c r="F27" i="103"/>
  <c r="F54" i="103"/>
  <c r="F53" i="103"/>
  <c r="F42" i="103"/>
  <c r="F41" i="103"/>
  <c r="F18" i="103"/>
  <c r="F17" i="103"/>
  <c r="F79" i="103"/>
  <c r="F69" i="103"/>
  <c r="F37" i="103"/>
  <c r="F73" i="103"/>
  <c r="F64" i="103"/>
  <c r="F56" i="103"/>
  <c r="F55" i="103"/>
  <c r="F44" i="103"/>
  <c r="F43" i="103"/>
  <c r="F32" i="103"/>
  <c r="F28" i="103"/>
  <c r="F19" i="103"/>
  <c r="L23" i="103"/>
  <c r="N23" i="103" s="1"/>
  <c r="L59" i="103"/>
  <c r="N59" i="103" s="1"/>
  <c r="H16" i="102"/>
  <c r="Z18" i="102"/>
  <c r="Z30" i="102"/>
  <c r="N15" i="103"/>
  <c r="Z34" i="103"/>
  <c r="F81" i="103"/>
  <c r="X31" i="104"/>
  <c r="Z31" i="104" s="1"/>
  <c r="N15" i="105"/>
  <c r="N55" i="105"/>
  <c r="Z74" i="101"/>
  <c r="R48" i="102"/>
  <c r="R26" i="102"/>
  <c r="R22" i="102"/>
  <c r="R53" i="102"/>
  <c r="R50" i="102"/>
  <c r="R37" i="102"/>
  <c r="R36" i="102"/>
  <c r="X12" i="102"/>
  <c r="R28" i="102"/>
  <c r="R27" i="102"/>
  <c r="R23" i="102"/>
  <c r="R39" i="102"/>
  <c r="R38" i="102"/>
  <c r="R19" i="102"/>
  <c r="R41" i="102"/>
  <c r="R40" i="102"/>
  <c r="R24" i="102"/>
  <c r="R20" i="102"/>
  <c r="P16" i="102"/>
  <c r="R32" i="102"/>
  <c r="R31" i="102"/>
  <c r="R46" i="102"/>
  <c r="R44" i="102"/>
  <c r="R34" i="102"/>
  <c r="R33" i="102"/>
  <c r="X34" i="102"/>
  <c r="Z34" i="102" s="1"/>
  <c r="N41" i="102"/>
  <c r="X44" i="102"/>
  <c r="P12" i="103"/>
  <c r="X13" i="103"/>
  <c r="Z13" i="103" s="1"/>
  <c r="X15" i="103"/>
  <c r="Z15" i="103" s="1"/>
  <c r="F33" i="103"/>
  <c r="F57" i="103"/>
  <c r="L13" i="101"/>
  <c r="N13" i="101" s="1"/>
  <c r="F19" i="102"/>
  <c r="F38" i="102"/>
  <c r="Z41" i="102"/>
  <c r="F38" i="103"/>
  <c r="N47" i="103"/>
  <c r="L47" i="103"/>
  <c r="N74" i="103"/>
  <c r="N14" i="104"/>
  <c r="L17" i="104"/>
  <c r="N17" i="104" s="1"/>
  <c r="L39" i="104"/>
  <c r="N39" i="104" s="1"/>
  <c r="F14" i="102"/>
  <c r="T16" i="102"/>
  <c r="N19" i="102"/>
  <c r="F28" i="102"/>
  <c r="F40" i="102"/>
  <c r="N17" i="103"/>
  <c r="X53" i="103"/>
  <c r="Z53" i="103" s="1"/>
  <c r="Z57" i="103"/>
  <c r="N62" i="103"/>
  <c r="Z66" i="103"/>
  <c r="Z76" i="103"/>
  <c r="Z78" i="103"/>
  <c r="X78" i="103"/>
  <c r="N51" i="105"/>
  <c r="L51" i="105"/>
  <c r="F24" i="103"/>
  <c r="F29" i="103"/>
  <c r="F45" i="103"/>
  <c r="F65" i="103"/>
  <c r="T12" i="104"/>
  <c r="X12" i="104" s="1"/>
  <c r="L23" i="104"/>
  <c r="N23" i="104" s="1"/>
  <c r="F18" i="102"/>
  <c r="F24" i="102"/>
  <c r="F30" i="102"/>
  <c r="L14" i="103"/>
  <c r="N14" i="103" s="1"/>
  <c r="Z17" i="103"/>
  <c r="X17" i="103"/>
  <c r="L24" i="103"/>
  <c r="N24" i="103" s="1"/>
  <c r="N45" i="103"/>
  <c r="Z51" i="103"/>
  <c r="F58" i="103"/>
  <c r="X14" i="104"/>
  <c r="Z14" i="104" s="1"/>
  <c r="N17" i="105"/>
  <c r="L74" i="101"/>
  <c r="L14" i="102"/>
  <c r="N18" i="102"/>
  <c r="Z19" i="102"/>
  <c r="R35" i="102"/>
  <c r="F37" i="102"/>
  <c r="R42" i="102"/>
  <c r="X62" i="103"/>
  <c r="Z62" i="103" s="1"/>
  <c r="F70" i="103"/>
  <c r="J40" i="102"/>
  <c r="R24" i="104"/>
  <c r="F29" i="104"/>
  <c r="Z37" i="104"/>
  <c r="N43" i="105"/>
  <c r="F75" i="107"/>
  <c r="F74" i="107"/>
  <c r="F31" i="107"/>
  <c r="F27" i="107"/>
  <c r="F77" i="107"/>
  <c r="F76" i="107"/>
  <c r="F65" i="107"/>
  <c r="F37" i="107"/>
  <c r="F56" i="107"/>
  <c r="F55" i="107"/>
  <c r="F66" i="107"/>
  <c r="F58" i="107"/>
  <c r="F57" i="107"/>
  <c r="F46" i="107"/>
  <c r="F45" i="107"/>
  <c r="F38" i="107"/>
  <c r="F33" i="107"/>
  <c r="F29" i="107"/>
  <c r="F25" i="107"/>
  <c r="F24" i="107"/>
  <c r="F81" i="107"/>
  <c r="F72" i="107"/>
  <c r="F68" i="107"/>
  <c r="F67" i="107"/>
  <c r="F60" i="107"/>
  <c r="F59" i="107"/>
  <c r="F48" i="107"/>
  <c r="F47" i="107"/>
  <c r="F23" i="107"/>
  <c r="F62" i="107"/>
  <c r="F61" i="107"/>
  <c r="F50" i="107"/>
  <c r="F49" i="107"/>
  <c r="F30" i="107"/>
  <c r="F26" i="107"/>
  <c r="F78" i="107"/>
  <c r="F70" i="107"/>
  <c r="F64" i="107"/>
  <c r="F52" i="107"/>
  <c r="F42" i="107"/>
  <c r="F85" i="107"/>
  <c r="F39" i="107"/>
  <c r="F34" i="107"/>
  <c r="F79" i="107"/>
  <c r="F69" i="107"/>
  <c r="F53" i="107"/>
  <c r="F32" i="107"/>
  <c r="F28" i="107"/>
  <c r="F19" i="107"/>
  <c r="F71" i="107"/>
  <c r="F43" i="107"/>
  <c r="F40" i="107"/>
  <c r="F63" i="107"/>
  <c r="F54" i="107"/>
  <c r="F51" i="107"/>
  <c r="F17" i="107"/>
  <c r="F73" i="107"/>
  <c r="F36" i="107"/>
  <c r="F50" i="104"/>
  <c r="F40" i="104"/>
  <c r="F39" i="104"/>
  <c r="F30" i="104"/>
  <c r="F55" i="104"/>
  <c r="F52" i="104"/>
  <c r="F41" i="104"/>
  <c r="F25" i="104"/>
  <c r="F24" i="104"/>
  <c r="F42" i="104"/>
  <c r="F34" i="104"/>
  <c r="F33" i="104"/>
  <c r="F26" i="104"/>
  <c r="R33" i="104"/>
  <c r="R32" i="104"/>
  <c r="R43" i="104"/>
  <c r="R42" i="104"/>
  <c r="R35" i="104"/>
  <c r="R34" i="104"/>
  <c r="R26" i="104"/>
  <c r="R39" i="104"/>
  <c r="R38" i="104"/>
  <c r="R18" i="104"/>
  <c r="F35" i="104"/>
  <c r="R50" i="104"/>
  <c r="X45" i="105"/>
  <c r="Z45" i="105" s="1"/>
  <c r="N49" i="105"/>
  <c r="D21" i="107"/>
  <c r="F21" i="107" s="1"/>
  <c r="J28" i="102"/>
  <c r="V34" i="102"/>
  <c r="J38" i="102"/>
  <c r="V42" i="102"/>
  <c r="V44" i="102"/>
  <c r="V46" i="102"/>
  <c r="L13" i="103"/>
  <c r="N13" i="103" s="1"/>
  <c r="H12" i="104"/>
  <c r="Z13" i="104"/>
  <c r="R23" i="104"/>
  <c r="F28" i="104"/>
  <c r="F32" i="104"/>
  <c r="R36" i="104"/>
  <c r="X39" i="104"/>
  <c r="R41" i="104"/>
  <c r="Z46" i="104"/>
  <c r="D12" i="105"/>
  <c r="L13" i="105"/>
  <c r="L17" i="105"/>
  <c r="Z51" i="105"/>
  <c r="Z55" i="105"/>
  <c r="F41" i="107"/>
  <c r="J23" i="102"/>
  <c r="J27" i="102"/>
  <c r="V31" i="102"/>
  <c r="J37" i="102"/>
  <c r="L12" i="104"/>
  <c r="X13" i="104"/>
  <c r="R17" i="104"/>
  <c r="P21" i="104"/>
  <c r="Z23" i="104"/>
  <c r="F38" i="104"/>
  <c r="Z39" i="104"/>
  <c r="F43" i="104"/>
  <c r="R44" i="104"/>
  <c r="F48" i="104"/>
  <c r="R55" i="104"/>
  <c r="N13" i="105"/>
  <c r="Z43" i="105"/>
  <c r="Z49" i="105"/>
  <c r="Z34" i="107"/>
  <c r="L57" i="107"/>
  <c r="N57" i="107" s="1"/>
  <c r="Z17" i="104"/>
  <c r="F19" i="104"/>
  <c r="R21" i="104"/>
  <c r="R29" i="104"/>
  <c r="V29" i="102"/>
  <c r="V41" i="102"/>
  <c r="F27" i="104"/>
  <c r="F31" i="104"/>
  <c r="Z76" i="105"/>
  <c r="H12" i="107"/>
  <c r="N13" i="107"/>
  <c r="F18" i="107"/>
  <c r="F35" i="107"/>
  <c r="V14" i="102"/>
  <c r="V16" i="102"/>
  <c r="V18" i="102"/>
  <c r="J22" i="102"/>
  <c r="J26" i="102"/>
  <c r="V30" i="102"/>
  <c r="V38" i="102"/>
  <c r="J48" i="102"/>
  <c r="X23" i="103"/>
  <c r="Z23" i="103" s="1"/>
  <c r="L41" i="103"/>
  <c r="N41" i="103" s="1"/>
  <c r="X47" i="103"/>
  <c r="L53" i="103"/>
  <c r="X59" i="103"/>
  <c r="Z59" i="103" s="1"/>
  <c r="X17" i="104"/>
  <c r="R25" i="104"/>
  <c r="N31" i="104"/>
  <c r="N24" i="105"/>
  <c r="V19" i="102"/>
  <c r="V23" i="102"/>
  <c r="V27" i="102"/>
  <c r="J35" i="102"/>
  <c r="V39" i="102"/>
  <c r="Z15" i="104"/>
  <c r="R19" i="104"/>
  <c r="X35" i="104"/>
  <c r="F37" i="104"/>
  <c r="F46" i="104"/>
  <c r="R48" i="104"/>
  <c r="Z12" i="102"/>
  <c r="V28" i="102"/>
  <c r="J34" i="102"/>
  <c r="V36" i="102"/>
  <c r="J44" i="102"/>
  <c r="J46" i="102"/>
  <c r="F18" i="104"/>
  <c r="R27" i="104"/>
  <c r="R28" i="104"/>
  <c r="N37" i="104"/>
  <c r="R52" i="104"/>
  <c r="H12" i="105"/>
  <c r="L57" i="105"/>
  <c r="N57" i="105" s="1"/>
  <c r="F44" i="107"/>
  <c r="J21" i="102"/>
  <c r="J25" i="102"/>
  <c r="F23" i="104"/>
  <c r="R31" i="104"/>
  <c r="L33" i="104"/>
  <c r="R40" i="104"/>
  <c r="V23" i="107"/>
  <c r="Z45" i="107"/>
  <c r="X55" i="107"/>
  <c r="R66" i="107"/>
  <c r="V81" i="107"/>
  <c r="V79" i="107"/>
  <c r="V71" i="107"/>
  <c r="V66" i="107"/>
  <c r="V58" i="107"/>
  <c r="V46" i="107"/>
  <c r="V38" i="107"/>
  <c r="V34" i="107"/>
  <c r="T21" i="107"/>
  <c r="V72" i="107"/>
  <c r="V68" i="107"/>
  <c r="V60" i="107"/>
  <c r="V48" i="107"/>
  <c r="V85" i="107"/>
  <c r="V63" i="107"/>
  <c r="V51" i="107"/>
  <c r="V73" i="107"/>
  <c r="V69" i="107"/>
  <c r="V53" i="107"/>
  <c r="V41" i="107"/>
  <c r="V17" i="107"/>
  <c r="V76" i="107"/>
  <c r="V64" i="107"/>
  <c r="V52" i="107"/>
  <c r="V40" i="107"/>
  <c r="V36" i="107"/>
  <c r="V75" i="107"/>
  <c r="V55" i="107"/>
  <c r="V43" i="107"/>
  <c r="V31" i="107"/>
  <c r="V27" i="107"/>
  <c r="V77" i="107"/>
  <c r="V65" i="107"/>
  <c r="V57" i="107"/>
  <c r="V45" i="107"/>
  <c r="V37" i="107"/>
  <c r="Z55" i="107"/>
  <c r="T39" i="108"/>
  <c r="F61" i="109"/>
  <c r="F52" i="109"/>
  <c r="F44" i="109"/>
  <c r="F19" i="109"/>
  <c r="F17" i="109"/>
  <c r="F15" i="109"/>
  <c r="F65" i="109"/>
  <c r="F60" i="109"/>
  <c r="F54" i="109"/>
  <c r="F53" i="109"/>
  <c r="F46" i="109"/>
  <c r="F45" i="109"/>
  <c r="F26" i="109"/>
  <c r="F22" i="109"/>
  <c r="F48" i="109"/>
  <c r="F47" i="109"/>
  <c r="F32" i="109"/>
  <c r="L12" i="109"/>
  <c r="F55" i="109"/>
  <c r="F50" i="109"/>
  <c r="F49" i="109"/>
  <c r="F56" i="109"/>
  <c r="F28" i="109"/>
  <c r="F24" i="109"/>
  <c r="F58" i="109"/>
  <c r="F57" i="109"/>
  <c r="F34" i="109"/>
  <c r="F43" i="109"/>
  <c r="F39" i="109"/>
  <c r="F33" i="109"/>
  <c r="D17" i="109"/>
  <c r="F30" i="109"/>
  <c r="F31" i="109"/>
  <c r="F51" i="109"/>
  <c r="F36" i="109"/>
  <c r="F37" i="109"/>
  <c r="F40" i="109"/>
  <c r="F41" i="109"/>
  <c r="F29" i="109"/>
  <c r="F27" i="109"/>
  <c r="F20" i="109"/>
  <c r="F38" i="109"/>
  <c r="F35" i="109"/>
  <c r="F21" i="109"/>
  <c r="F23" i="109"/>
  <c r="R79" i="107"/>
  <c r="R71" i="107"/>
  <c r="R24" i="107"/>
  <c r="R19" i="107"/>
  <c r="R83" i="107"/>
  <c r="R81" i="107"/>
  <c r="R34" i="107"/>
  <c r="R33" i="107"/>
  <c r="R29" i="107"/>
  <c r="R25" i="107"/>
  <c r="P21" i="107"/>
  <c r="R72" i="107"/>
  <c r="R68" i="107"/>
  <c r="R61" i="107"/>
  <c r="R60" i="107"/>
  <c r="R49" i="107"/>
  <c r="R48" i="107"/>
  <c r="R85" i="107"/>
  <c r="R90" i="107"/>
  <c r="R87" i="107"/>
  <c r="R63" i="107"/>
  <c r="R62" i="107"/>
  <c r="R51" i="107"/>
  <c r="R50" i="107"/>
  <c r="R30" i="107"/>
  <c r="R26" i="107"/>
  <c r="R74" i="107"/>
  <c r="R73" i="107"/>
  <c r="R69" i="107"/>
  <c r="R64" i="107"/>
  <c r="R53" i="107"/>
  <c r="R52" i="107"/>
  <c r="R41" i="107"/>
  <c r="R40" i="107"/>
  <c r="R36" i="107"/>
  <c r="R17" i="107"/>
  <c r="X12" i="107"/>
  <c r="Z12" i="107" s="1"/>
  <c r="R70" i="107"/>
  <c r="R55" i="107"/>
  <c r="R54" i="107"/>
  <c r="R43" i="107"/>
  <c r="R42" i="107"/>
  <c r="R18" i="107"/>
  <c r="V18" i="107"/>
  <c r="R21" i="107"/>
  <c r="V25" i="107"/>
  <c r="V29" i="107"/>
  <c r="V33" i="107"/>
  <c r="V44" i="107"/>
  <c r="R47" i="107"/>
  <c r="N49" i="107"/>
  <c r="R57" i="107"/>
  <c r="N61" i="107"/>
  <c r="Z78" i="107"/>
  <c r="Z31" i="108"/>
  <c r="R33" i="109"/>
  <c r="L13" i="107"/>
  <c r="Z14" i="107"/>
  <c r="V21" i="107"/>
  <c r="R38" i="107"/>
  <c r="Z57" i="107"/>
  <c r="N63" i="107"/>
  <c r="R75" i="107"/>
  <c r="V78" i="107"/>
  <c r="H63" i="109"/>
  <c r="R46" i="107"/>
  <c r="V49" i="107"/>
  <c r="V54" i="107"/>
  <c r="R56" i="107"/>
  <c r="V61" i="107"/>
  <c r="R77" i="107"/>
  <c r="V56" i="107"/>
  <c r="V59" i="107"/>
  <c r="F29" i="108"/>
  <c r="F37" i="108"/>
  <c r="F32" i="108"/>
  <c r="F26" i="108"/>
  <c r="F16" i="108"/>
  <c r="F14" i="108"/>
  <c r="F31" i="108"/>
  <c r="F23" i="108"/>
  <c r="F20" i="108"/>
  <c r="F19" i="108"/>
  <c r="F18" i="108"/>
  <c r="D16" i="108"/>
  <c r="F39" i="108"/>
  <c r="F27" i="108"/>
  <c r="F24" i="108"/>
  <c r="F42" i="108"/>
  <c r="F33" i="108"/>
  <c r="F28" i="108"/>
  <c r="F21" i="108"/>
  <c r="F35" i="108"/>
  <c r="F25" i="108"/>
  <c r="Z78" i="105"/>
  <c r="Z13" i="107"/>
  <c r="R28" i="107"/>
  <c r="R32" i="107"/>
  <c r="R35" i="107"/>
  <c r="R65" i="107"/>
  <c r="X14" i="108"/>
  <c r="P16" i="108"/>
  <c r="Z18" i="108"/>
  <c r="R49" i="109"/>
  <c r="R48" i="109"/>
  <c r="R32" i="109"/>
  <c r="X12" i="109"/>
  <c r="Z12" i="109" s="1"/>
  <c r="R55" i="109"/>
  <c r="R50" i="109"/>
  <c r="R57" i="109"/>
  <c r="R56" i="109"/>
  <c r="R28" i="109"/>
  <c r="R24" i="109"/>
  <c r="R51" i="109"/>
  <c r="R61" i="109"/>
  <c r="R58" i="109"/>
  <c r="R53" i="109"/>
  <c r="R52" i="109"/>
  <c r="R45" i="109"/>
  <c r="R44" i="109"/>
  <c r="R54" i="109"/>
  <c r="R47" i="109"/>
  <c r="R46" i="109"/>
  <c r="R26" i="109"/>
  <c r="R22" i="109"/>
  <c r="R40" i="109"/>
  <c r="R19" i="109"/>
  <c r="R37" i="109"/>
  <c r="R41" i="109"/>
  <c r="R34" i="109"/>
  <c r="R20" i="109"/>
  <c r="R15" i="109"/>
  <c r="R42" i="109"/>
  <c r="R38" i="109"/>
  <c r="R29" i="109"/>
  <c r="R27" i="109"/>
  <c r="R30" i="109"/>
  <c r="R25" i="109"/>
  <c r="R23" i="109"/>
  <c r="R35" i="109"/>
  <c r="R21" i="109"/>
  <c r="R17" i="109"/>
  <c r="R39" i="109"/>
  <c r="R36" i="109"/>
  <c r="N45" i="109"/>
  <c r="L45" i="109"/>
  <c r="X13" i="107"/>
  <c r="V26" i="107"/>
  <c r="V28" i="107"/>
  <c r="V30" i="107"/>
  <c r="V32" i="107"/>
  <c r="V35" i="107"/>
  <c r="Z43" i="107"/>
  <c r="R58" i="107"/>
  <c r="R67" i="107"/>
  <c r="L12" i="108"/>
  <c r="V19" i="107"/>
  <c r="V24" i="107"/>
  <c r="N45" i="107"/>
  <c r="X13" i="109"/>
  <c r="F25" i="109"/>
  <c r="R43" i="109"/>
  <c r="J32" i="108"/>
  <c r="J24" i="108"/>
  <c r="J20" i="108"/>
  <c r="J18" i="108"/>
  <c r="J16" i="108"/>
  <c r="J22" i="108"/>
  <c r="V23" i="108"/>
  <c r="V27" i="108"/>
  <c r="V31" i="108"/>
  <c r="Z13" i="109"/>
  <c r="V37" i="108"/>
  <c r="J65" i="109"/>
  <c r="J53" i="109"/>
  <c r="J45" i="109"/>
  <c r="J35" i="109"/>
  <c r="J31" i="109"/>
  <c r="J54" i="109"/>
  <c r="J47" i="109"/>
  <c r="J37" i="109"/>
  <c r="J55" i="109"/>
  <c r="J49" i="109"/>
  <c r="J39" i="109"/>
  <c r="J27" i="109"/>
  <c r="J23" i="109"/>
  <c r="J50" i="109"/>
  <c r="J56" i="109"/>
  <c r="J57" i="109"/>
  <c r="J51" i="109"/>
  <c r="J43" i="109"/>
  <c r="J63" i="109"/>
  <c r="J61" i="109"/>
  <c r="J29" i="109"/>
  <c r="J25" i="109"/>
  <c r="J21" i="109"/>
  <c r="J19" i="109"/>
  <c r="J17" i="109"/>
  <c r="X30" i="109"/>
  <c r="Z30" i="109" s="1"/>
  <c r="V36" i="109"/>
  <c r="J38" i="109"/>
  <c r="J60" i="109"/>
  <c r="R37" i="108"/>
  <c r="R25" i="108"/>
  <c r="R21" i="108"/>
  <c r="V16" i="108"/>
  <c r="V19" i="108"/>
  <c r="R22" i="108"/>
  <c r="V29" i="108"/>
  <c r="J35" i="108"/>
  <c r="N12" i="109"/>
  <c r="T17" i="109"/>
  <c r="V17" i="109" s="1"/>
  <c r="V21" i="109"/>
  <c r="J32" i="109"/>
  <c r="V50" i="109"/>
  <c r="L57" i="109"/>
  <c r="V14" i="108"/>
  <c r="V22" i="108"/>
  <c r="V25" i="108"/>
  <c r="V55" i="109"/>
  <c r="V39" i="109"/>
  <c r="V27" i="109"/>
  <c r="V23" i="109"/>
  <c r="V57" i="109"/>
  <c r="V41" i="109"/>
  <c r="V33" i="109"/>
  <c r="V56" i="109"/>
  <c r="V61" i="109"/>
  <c r="V51" i="109"/>
  <c r="V43" i="109"/>
  <c r="V19" i="109"/>
  <c r="V15" i="109"/>
  <c r="V60" i="109"/>
  <c r="V58" i="109"/>
  <c r="V53" i="109"/>
  <c r="V52" i="109"/>
  <c r="V65" i="109"/>
  <c r="V47" i="109"/>
  <c r="V35" i="109"/>
  <c r="V31" i="109"/>
  <c r="V49" i="109"/>
  <c r="V37" i="109"/>
  <c r="J15" i="109"/>
  <c r="J20" i="109"/>
  <c r="V25" i="109"/>
  <c r="J34" i="109"/>
  <c r="J41" i="109"/>
  <c r="Z45" i="109"/>
  <c r="N47" i="109"/>
  <c r="N57" i="109"/>
  <c r="H31" i="108"/>
  <c r="V29" i="109"/>
  <c r="V30" i="109"/>
  <c r="J44" i="109"/>
  <c r="V45" i="109"/>
  <c r="L31" i="108"/>
  <c r="L32" i="108"/>
  <c r="N32" i="108" s="1"/>
  <c r="N19" i="109"/>
  <c r="J22" i="109"/>
  <c r="J24" i="109"/>
  <c r="V32" i="109"/>
  <c r="J40" i="109"/>
  <c r="Z57" i="109"/>
  <c r="V21" i="108"/>
  <c r="R24" i="108"/>
  <c r="R28" i="108"/>
  <c r="P31" i="108"/>
  <c r="X31" i="108" s="1"/>
  <c r="R42" i="108"/>
  <c r="J26" i="109"/>
  <c r="J28" i="109"/>
  <c r="V38" i="109"/>
  <c r="V42" i="109"/>
  <c r="Z47" i="109"/>
  <c r="V34" i="109"/>
  <c r="V44" i="109"/>
  <c r="J46" i="109"/>
  <c r="J58" i="109"/>
  <c r="H16" i="108"/>
  <c r="J19" i="108"/>
  <c r="J26" i="108"/>
  <c r="R33" i="108"/>
  <c r="V20" i="109"/>
  <c r="V22" i="109"/>
  <c r="V24" i="109"/>
  <c r="J36" i="109"/>
  <c r="Z19" i="109"/>
  <c r="V26" i="109"/>
  <c r="V28" i="109"/>
  <c r="J48" i="109"/>
  <c r="Z49" i="109"/>
  <c r="P60" i="109"/>
  <c r="X60" i="109" s="1"/>
  <c r="Z60" i="109" s="1"/>
  <c r="N61" i="109"/>
  <c r="H46" i="102" l="1"/>
  <c r="N16" i="102"/>
  <c r="T80" i="97"/>
  <c r="F76" i="88"/>
  <c r="F58" i="88"/>
  <c r="F34" i="88"/>
  <c r="D20" i="88"/>
  <c r="F65" i="88"/>
  <c r="F64" i="88"/>
  <c r="F41" i="88"/>
  <c r="F40" i="88"/>
  <c r="F29" i="88"/>
  <c r="F25" i="88"/>
  <c r="F52" i="88"/>
  <c r="F59" i="88"/>
  <c r="F43" i="88"/>
  <c r="F42" i="88"/>
  <c r="F35" i="88"/>
  <c r="F69" i="88"/>
  <c r="F67" i="88"/>
  <c r="F30" i="88"/>
  <c r="F26" i="88"/>
  <c r="F71" i="88"/>
  <c r="F53" i="88"/>
  <c r="F45" i="88"/>
  <c r="F44" i="88"/>
  <c r="F17" i="88"/>
  <c r="F16" i="88"/>
  <c r="F60" i="88"/>
  <c r="F36" i="88"/>
  <c r="L12" i="88"/>
  <c r="N12" i="88" s="1"/>
  <c r="F55" i="88"/>
  <c r="F54" i="88"/>
  <c r="F47" i="88"/>
  <c r="F46" i="88"/>
  <c r="F31" i="88"/>
  <c r="F27" i="88"/>
  <c r="F73" i="88"/>
  <c r="F18" i="88"/>
  <c r="F61" i="88"/>
  <c r="F57" i="88"/>
  <c r="F56" i="88"/>
  <c r="F49" i="88"/>
  <c r="F48" i="88"/>
  <c r="F37" i="88"/>
  <c r="F33" i="88"/>
  <c r="F32" i="88"/>
  <c r="F28" i="88"/>
  <c r="F24" i="88"/>
  <c r="F23" i="88"/>
  <c r="F62" i="88"/>
  <c r="F50" i="88"/>
  <c r="F20" i="88"/>
  <c r="F39" i="88"/>
  <c r="F63" i="88"/>
  <c r="F51" i="88"/>
  <c r="F38" i="88"/>
  <c r="F22" i="88"/>
  <c r="D71" i="58"/>
  <c r="L16" i="58"/>
  <c r="T58" i="59"/>
  <c r="Z16" i="59"/>
  <c r="T65" i="57"/>
  <c r="Z16" i="57"/>
  <c r="V95" i="21"/>
  <c r="V87" i="21"/>
  <c r="V83" i="21"/>
  <c r="V75" i="21"/>
  <c r="V67" i="21"/>
  <c r="V55" i="21"/>
  <c r="V47" i="21"/>
  <c r="V35" i="21"/>
  <c r="V31" i="21"/>
  <c r="V94" i="21"/>
  <c r="V82" i="21"/>
  <c r="V70" i="21"/>
  <c r="V58" i="21"/>
  <c r="V46" i="21"/>
  <c r="V22" i="21"/>
  <c r="V77" i="21"/>
  <c r="V69" i="21"/>
  <c r="V57" i="21"/>
  <c r="V49" i="21"/>
  <c r="V41" i="21"/>
  <c r="V98" i="21"/>
  <c r="V96" i="21"/>
  <c r="V88" i="21"/>
  <c r="V84" i="21"/>
  <c r="V60" i="21"/>
  <c r="V48" i="21"/>
  <c r="V36" i="21"/>
  <c r="V32" i="21"/>
  <c r="V71" i="21"/>
  <c r="V59" i="21"/>
  <c r="V51" i="21"/>
  <c r="V78" i="21"/>
  <c r="V62" i="21"/>
  <c r="V50" i="21"/>
  <c r="V42" i="21"/>
  <c r="V38" i="21"/>
  <c r="V89" i="21"/>
  <c r="V85" i="21"/>
  <c r="V102" i="21"/>
  <c r="V72" i="21"/>
  <c r="V64" i="21"/>
  <c r="V52" i="21"/>
  <c r="V28" i="21"/>
  <c r="V24" i="21"/>
  <c r="V91" i="21"/>
  <c r="V79" i="21"/>
  <c r="V63" i="21"/>
  <c r="V43" i="21"/>
  <c r="V39" i="21"/>
  <c r="V90" i="21"/>
  <c r="V86" i="21"/>
  <c r="V74" i="21"/>
  <c r="V66" i="21"/>
  <c r="V54" i="21"/>
  <c r="V93" i="21"/>
  <c r="V81" i="21"/>
  <c r="V73" i="21"/>
  <c r="V65" i="21"/>
  <c r="V53" i="21"/>
  <c r="V45" i="21"/>
  <c r="V92" i="21"/>
  <c r="V80" i="21"/>
  <c r="V76" i="21"/>
  <c r="V68" i="21"/>
  <c r="V56" i="21"/>
  <c r="V44" i="21"/>
  <c r="V40" i="21"/>
  <c r="V61" i="21"/>
  <c r="V29" i="21"/>
  <c r="V23" i="21"/>
  <c r="T26" i="21"/>
  <c r="V34" i="21"/>
  <c r="V37" i="21"/>
  <c r="V30" i="21"/>
  <c r="V33" i="21"/>
  <c r="T27" i="32"/>
  <c r="Z18" i="32"/>
  <c r="X18" i="19"/>
  <c r="P27" i="19"/>
  <c r="X18" i="25"/>
  <c r="P27" i="25"/>
  <c r="X18" i="14"/>
  <c r="P27" i="14"/>
  <c r="V20" i="97"/>
  <c r="F72" i="94"/>
  <c r="F70" i="94"/>
  <c r="F63" i="94"/>
  <c r="F59" i="94"/>
  <c r="F79" i="94"/>
  <c r="F64" i="94"/>
  <c r="F51" i="94"/>
  <c r="F34" i="94"/>
  <c r="D20" i="94"/>
  <c r="F57" i="94"/>
  <c r="F52" i="94"/>
  <c r="F45" i="94"/>
  <c r="F44" i="94"/>
  <c r="F29" i="94"/>
  <c r="F25" i="94"/>
  <c r="F61" i="94"/>
  <c r="F58" i="94"/>
  <c r="F47" i="94"/>
  <c r="F46" i="94"/>
  <c r="F35" i="94"/>
  <c r="F66" i="94"/>
  <c r="F65" i="94"/>
  <c r="F30" i="94"/>
  <c r="F26" i="94"/>
  <c r="F62" i="94"/>
  <c r="F54" i="94"/>
  <c r="F53" i="94"/>
  <c r="F48" i="94"/>
  <c r="F37" i="94"/>
  <c r="F36" i="94"/>
  <c r="F17" i="94"/>
  <c r="F16" i="94"/>
  <c r="F74" i="94"/>
  <c r="F49" i="94"/>
  <c r="F32" i="94"/>
  <c r="F31" i="94"/>
  <c r="L12" i="94"/>
  <c r="F39" i="94"/>
  <c r="F38" i="94"/>
  <c r="F27" i="94"/>
  <c r="F67" i="94"/>
  <c r="F18" i="94"/>
  <c r="F68" i="94"/>
  <c r="F60" i="94"/>
  <c r="F55" i="94"/>
  <c r="F50" i="94"/>
  <c r="F41" i="94"/>
  <c r="F40" i="94"/>
  <c r="F33" i="94"/>
  <c r="F22" i="94"/>
  <c r="F76" i="94"/>
  <c r="F24" i="94"/>
  <c r="F43" i="94"/>
  <c r="F20" i="94"/>
  <c r="F23" i="94"/>
  <c r="F56" i="94"/>
  <c r="F28" i="94"/>
  <c r="F42" i="94"/>
  <c r="N12" i="82"/>
  <c r="J17" i="82"/>
  <c r="J18" i="82"/>
  <c r="J19" i="82"/>
  <c r="J25" i="82"/>
  <c r="J23" i="82"/>
  <c r="H21" i="82"/>
  <c r="J29" i="82"/>
  <c r="Z16" i="56"/>
  <c r="X16" i="56"/>
  <c r="T70" i="56"/>
  <c r="H31" i="55"/>
  <c r="N16" i="55"/>
  <c r="R118" i="24"/>
  <c r="R92" i="24"/>
  <c r="R91" i="24"/>
  <c r="R76" i="24"/>
  <c r="R71" i="24"/>
  <c r="R67" i="24"/>
  <c r="R63" i="24"/>
  <c r="R59" i="24"/>
  <c r="R55" i="24"/>
  <c r="R51" i="24"/>
  <c r="R110" i="24"/>
  <c r="R102" i="24"/>
  <c r="R86" i="24"/>
  <c r="R75" i="24"/>
  <c r="R73" i="24"/>
  <c r="R94" i="24"/>
  <c r="R93" i="24"/>
  <c r="R81" i="24"/>
  <c r="R77" i="24"/>
  <c r="P73" i="24"/>
  <c r="R122" i="24"/>
  <c r="R68" i="24"/>
  <c r="R64" i="24"/>
  <c r="R60" i="24"/>
  <c r="R56" i="24"/>
  <c r="R52" i="24"/>
  <c r="R111" i="24"/>
  <c r="R104" i="24"/>
  <c r="R103" i="24"/>
  <c r="R95" i="24"/>
  <c r="R87" i="24"/>
  <c r="R48" i="24"/>
  <c r="R82" i="24"/>
  <c r="R78" i="24"/>
  <c r="R105" i="24"/>
  <c r="R69" i="24"/>
  <c r="R65" i="24"/>
  <c r="R61" i="24"/>
  <c r="R57" i="24"/>
  <c r="R53" i="24"/>
  <c r="R49" i="24"/>
  <c r="R113" i="24"/>
  <c r="R112" i="24"/>
  <c r="R97" i="24"/>
  <c r="R96" i="24"/>
  <c r="R88" i="24"/>
  <c r="X12" i="24"/>
  <c r="Z12" i="24" s="1"/>
  <c r="R83" i="24"/>
  <c r="R79" i="24"/>
  <c r="R115" i="24"/>
  <c r="R114" i="24"/>
  <c r="R107" i="24"/>
  <c r="R106" i="24"/>
  <c r="R99" i="24"/>
  <c r="R98" i="24"/>
  <c r="R70" i="24"/>
  <c r="R66" i="24"/>
  <c r="R62" i="24"/>
  <c r="R58" i="24"/>
  <c r="R54" i="24"/>
  <c r="R50" i="24"/>
  <c r="R90" i="24"/>
  <c r="R89" i="24"/>
  <c r="R116" i="24"/>
  <c r="R109" i="24"/>
  <c r="R108" i="24"/>
  <c r="R101" i="24"/>
  <c r="R100" i="24"/>
  <c r="R85" i="24"/>
  <c r="R84" i="24"/>
  <c r="R80" i="24"/>
  <c r="R60" i="109"/>
  <c r="J19" i="104"/>
  <c r="J41" i="104"/>
  <c r="J31" i="104"/>
  <c r="J25" i="104"/>
  <c r="J32" i="104"/>
  <c r="J43" i="104"/>
  <c r="J35" i="104"/>
  <c r="J44" i="104"/>
  <c r="J46" i="104"/>
  <c r="J37" i="104"/>
  <c r="J24" i="104"/>
  <c r="J18" i="104"/>
  <c r="J30" i="104"/>
  <c r="J42" i="104"/>
  <c r="J40" i="104"/>
  <c r="J34" i="104"/>
  <c r="J27" i="104"/>
  <c r="J38" i="104"/>
  <c r="J28" i="104"/>
  <c r="N12" i="104"/>
  <c r="J29" i="104"/>
  <c r="H21" i="104"/>
  <c r="J17" i="104"/>
  <c r="J26" i="104"/>
  <c r="J23" i="104"/>
  <c r="J39" i="104"/>
  <c r="J50" i="104"/>
  <c r="J36" i="104"/>
  <c r="J33" i="104"/>
  <c r="J80" i="95"/>
  <c r="J68" i="95"/>
  <c r="J56" i="95"/>
  <c r="J36" i="95"/>
  <c r="N12" i="95"/>
  <c r="J81" i="95"/>
  <c r="J69" i="95"/>
  <c r="J63" i="95"/>
  <c r="J57" i="95"/>
  <c r="J31" i="95"/>
  <c r="J82" i="95"/>
  <c r="J74" i="95"/>
  <c r="J70" i="95"/>
  <c r="J58" i="95"/>
  <c r="J46" i="95"/>
  <c r="J32" i="95"/>
  <c r="J18" i="95"/>
  <c r="J47" i="95"/>
  <c r="J37" i="95"/>
  <c r="J33" i="95"/>
  <c r="J23" i="95"/>
  <c r="J84" i="95"/>
  <c r="J64" i="95"/>
  <c r="J48" i="95"/>
  <c r="J38" i="95"/>
  <c r="J28" i="95"/>
  <c r="J75" i="95"/>
  <c r="J71" i="95"/>
  <c r="J59" i="95"/>
  <c r="J49" i="95"/>
  <c r="J88" i="95"/>
  <c r="J50" i="95"/>
  <c r="J40" i="95"/>
  <c r="J34" i="95"/>
  <c r="J65" i="95"/>
  <c r="J51" i="95"/>
  <c r="J41" i="95"/>
  <c r="J76" i="95"/>
  <c r="J72" i="95"/>
  <c r="J60" i="95"/>
  <c r="J52" i="95"/>
  <c r="J42" i="95"/>
  <c r="J77" i="95"/>
  <c r="J61" i="95"/>
  <c r="J53" i="95"/>
  <c r="J43" i="95"/>
  <c r="J67" i="95"/>
  <c r="J44" i="95"/>
  <c r="J26" i="95"/>
  <c r="J62" i="95"/>
  <c r="J55" i="95"/>
  <c r="J35" i="95"/>
  <c r="J24" i="95"/>
  <c r="J78" i="95"/>
  <c r="J29" i="95"/>
  <c r="J16" i="95"/>
  <c r="J73" i="95"/>
  <c r="J66" i="95"/>
  <c r="J39" i="95"/>
  <c r="J27" i="95"/>
  <c r="J20" i="95"/>
  <c r="J54" i="95"/>
  <c r="J45" i="95"/>
  <c r="H20" i="95"/>
  <c r="J25" i="95"/>
  <c r="J17" i="95"/>
  <c r="J22" i="95"/>
  <c r="J79" i="95"/>
  <c r="J30" i="95"/>
  <c r="N63" i="93"/>
  <c r="V104" i="84"/>
  <c r="V96" i="84"/>
  <c r="V88" i="84"/>
  <c r="V76" i="84"/>
  <c r="V68" i="84"/>
  <c r="Z12" i="84"/>
  <c r="V103" i="84"/>
  <c r="V95" i="84"/>
  <c r="V79" i="84"/>
  <c r="V63" i="84"/>
  <c r="V59" i="84"/>
  <c r="V106" i="84"/>
  <c r="V98" i="84"/>
  <c r="V90" i="84"/>
  <c r="V78" i="84"/>
  <c r="V50" i="84"/>
  <c r="V46" i="84"/>
  <c r="V42" i="84"/>
  <c r="V38" i="84"/>
  <c r="V105" i="84"/>
  <c r="V97" i="84"/>
  <c r="V81" i="84"/>
  <c r="V69" i="84"/>
  <c r="V65" i="84"/>
  <c r="V92" i="84"/>
  <c r="V80" i="84"/>
  <c r="V64" i="84"/>
  <c r="V60" i="84"/>
  <c r="V56" i="84"/>
  <c r="V109" i="84"/>
  <c r="V107" i="84"/>
  <c r="V99" i="84"/>
  <c r="V91" i="84"/>
  <c r="V83" i="84"/>
  <c r="V71" i="84"/>
  <c r="V55" i="84"/>
  <c r="V53" i="84"/>
  <c r="V51" i="84"/>
  <c r="V47" i="84"/>
  <c r="V43" i="84"/>
  <c r="V39" i="84"/>
  <c r="V82" i="84"/>
  <c r="V70" i="84"/>
  <c r="V66" i="84"/>
  <c r="T53" i="84"/>
  <c r="V93" i="84"/>
  <c r="V85" i="84"/>
  <c r="V73" i="84"/>
  <c r="V61" i="84"/>
  <c r="V57" i="84"/>
  <c r="V100" i="84"/>
  <c r="V84" i="84"/>
  <c r="V72" i="84"/>
  <c r="V48" i="84"/>
  <c r="V44" i="84"/>
  <c r="V40" i="84"/>
  <c r="V113" i="84"/>
  <c r="V87" i="84"/>
  <c r="V75" i="84"/>
  <c r="V67" i="84"/>
  <c r="V102" i="84"/>
  <c r="V94" i="84"/>
  <c r="V86" i="84"/>
  <c r="V74" i="84"/>
  <c r="V62" i="84"/>
  <c r="V58" i="84"/>
  <c r="V41" i="84"/>
  <c r="V89" i="84"/>
  <c r="V49" i="84"/>
  <c r="V77" i="84"/>
  <c r="V101" i="84"/>
  <c r="V45" i="84"/>
  <c r="N16" i="54"/>
  <c r="H22" i="54"/>
  <c r="Z16" i="60"/>
  <c r="T49" i="60"/>
  <c r="L16" i="60"/>
  <c r="D49" i="60"/>
  <c r="H71" i="58"/>
  <c r="N16" i="58"/>
  <c r="X60" i="48"/>
  <c r="Z60" i="48" s="1"/>
  <c r="R60" i="48"/>
  <c r="D118" i="42"/>
  <c r="X254" i="12"/>
  <c r="P256" i="15"/>
  <c r="R254" i="12"/>
  <c r="R239" i="12"/>
  <c r="R235" i="12"/>
  <c r="R223" i="12"/>
  <c r="R208" i="12"/>
  <c r="R207" i="12"/>
  <c r="R171" i="12"/>
  <c r="R167" i="12"/>
  <c r="R247" i="12"/>
  <c r="R246" i="12"/>
  <c r="R218" i="12"/>
  <c r="R199" i="12"/>
  <c r="R198" i="12"/>
  <c r="R190" i="12"/>
  <c r="R163" i="12"/>
  <c r="R158" i="12"/>
  <c r="R154" i="12"/>
  <c r="R150" i="12"/>
  <c r="R146" i="12"/>
  <c r="R142" i="12"/>
  <c r="R138" i="12"/>
  <c r="R134" i="12"/>
  <c r="R130" i="12"/>
  <c r="R126" i="12"/>
  <c r="R122" i="12"/>
  <c r="R118" i="12"/>
  <c r="R114" i="12"/>
  <c r="R110" i="12"/>
  <c r="R229" i="12"/>
  <c r="R210" i="12"/>
  <c r="R209" i="12"/>
  <c r="R182" i="12"/>
  <c r="R181" i="12"/>
  <c r="R177" i="12"/>
  <c r="R162" i="12"/>
  <c r="R160" i="12"/>
  <c r="R248" i="12"/>
  <c r="R240" i="12"/>
  <c r="R236" i="12"/>
  <c r="R225" i="12"/>
  <c r="R224" i="12"/>
  <c r="R201" i="12"/>
  <c r="R200" i="12"/>
  <c r="R172" i="12"/>
  <c r="R168" i="12"/>
  <c r="R164" i="12"/>
  <c r="P160" i="12"/>
  <c r="R262" i="12"/>
  <c r="R219" i="12"/>
  <c r="R212" i="12"/>
  <c r="R211" i="12"/>
  <c r="R192" i="12"/>
  <c r="R191" i="12"/>
  <c r="R184" i="12"/>
  <c r="R183" i="12"/>
  <c r="R261" i="12"/>
  <c r="R231" i="12"/>
  <c r="R230" i="12"/>
  <c r="R226" i="12"/>
  <c r="R202" i="12"/>
  <c r="R178" i="12"/>
  <c r="R260" i="12"/>
  <c r="R249" i="12"/>
  <c r="R242" i="12"/>
  <c r="R241" i="12"/>
  <c r="R237" i="12"/>
  <c r="R214" i="12"/>
  <c r="R213" i="12"/>
  <c r="R193" i="12"/>
  <c r="R185" i="12"/>
  <c r="R174" i="12"/>
  <c r="R173" i="12"/>
  <c r="R169" i="12"/>
  <c r="R165" i="12"/>
  <c r="R258" i="12"/>
  <c r="R243" i="12"/>
  <c r="R227" i="12"/>
  <c r="R216" i="12"/>
  <c r="R215" i="12"/>
  <c r="R204" i="12"/>
  <c r="R203" i="12"/>
  <c r="R179" i="12"/>
  <c r="R175" i="12"/>
  <c r="R108" i="12"/>
  <c r="R256" i="12"/>
  <c r="R234" i="12"/>
  <c r="R233" i="12"/>
  <c r="R217" i="12"/>
  <c r="R206" i="12"/>
  <c r="R205" i="12"/>
  <c r="R157" i="12"/>
  <c r="R153" i="12"/>
  <c r="R149" i="12"/>
  <c r="R145" i="12"/>
  <c r="R141" i="12"/>
  <c r="R137" i="12"/>
  <c r="R133" i="12"/>
  <c r="R129" i="12"/>
  <c r="R125" i="12"/>
  <c r="R121" i="12"/>
  <c r="R117" i="12"/>
  <c r="R113" i="12"/>
  <c r="R109" i="12"/>
  <c r="R255" i="12"/>
  <c r="R252" i="12"/>
  <c r="R245" i="12"/>
  <c r="R244" i="12"/>
  <c r="R228" i="12"/>
  <c r="R197" i="12"/>
  <c r="R196" i="12"/>
  <c r="R189" i="12"/>
  <c r="R188" i="12"/>
  <c r="R180" i="12"/>
  <c r="R176" i="12"/>
  <c r="R140" i="12"/>
  <c r="R124" i="12"/>
  <c r="R194" i="12"/>
  <c r="R187" i="12"/>
  <c r="R115" i="12"/>
  <c r="R221" i="12"/>
  <c r="R151" i="12"/>
  <c r="R135" i="12"/>
  <c r="R119" i="12"/>
  <c r="R144" i="12"/>
  <c r="R128" i="12"/>
  <c r="R266" i="12"/>
  <c r="R155" i="12"/>
  <c r="R250" i="12"/>
  <c r="R139" i="12"/>
  <c r="R123" i="12"/>
  <c r="R112" i="12"/>
  <c r="R259" i="12"/>
  <c r="R148" i="12"/>
  <c r="R132" i="12"/>
  <c r="X12" i="12"/>
  <c r="R232" i="12"/>
  <c r="R195" i="12"/>
  <c r="R186" i="12"/>
  <c r="R166" i="12"/>
  <c r="R116" i="12"/>
  <c r="R257" i="12"/>
  <c r="R222" i="12"/>
  <c r="R143" i="12"/>
  <c r="R127" i="12"/>
  <c r="R111" i="12"/>
  <c r="R251" i="12"/>
  <c r="R220" i="12"/>
  <c r="R170" i="12"/>
  <c r="R156" i="12"/>
  <c r="R147" i="12"/>
  <c r="R131" i="12"/>
  <c r="R136" i="12"/>
  <c r="R238" i="12"/>
  <c r="R152" i="12"/>
  <c r="R120" i="12"/>
  <c r="H91" i="9"/>
  <c r="N16" i="9"/>
  <c r="T27" i="111"/>
  <c r="Z18" i="111"/>
  <c r="X18" i="111"/>
  <c r="P27" i="111"/>
  <c r="H27" i="49"/>
  <c r="N18" i="49"/>
  <c r="T27" i="46"/>
  <c r="Z18" i="46"/>
  <c r="H27" i="47"/>
  <c r="N18" i="47"/>
  <c r="D27" i="25"/>
  <c r="L18" i="25"/>
  <c r="Z18" i="29"/>
  <c r="T27" i="29"/>
  <c r="X18" i="17"/>
  <c r="P27" i="17"/>
  <c r="F69" i="83"/>
  <c r="F45" i="83"/>
  <c r="F44" i="83"/>
  <c r="F17" i="83"/>
  <c r="F76" i="83"/>
  <c r="F75" i="83"/>
  <c r="F56" i="83"/>
  <c r="F55" i="83"/>
  <c r="F36" i="83"/>
  <c r="F63" i="83"/>
  <c r="F70" i="83"/>
  <c r="F58" i="83"/>
  <c r="F57" i="83"/>
  <c r="F46" i="83"/>
  <c r="F18" i="83"/>
  <c r="F80" i="83"/>
  <c r="F78" i="83"/>
  <c r="F37" i="83"/>
  <c r="F33" i="83"/>
  <c r="F32" i="83"/>
  <c r="F82" i="83"/>
  <c r="F64" i="83"/>
  <c r="F48" i="83"/>
  <c r="F47" i="83"/>
  <c r="F28" i="83"/>
  <c r="F24" i="83"/>
  <c r="F23" i="83"/>
  <c r="F71" i="83"/>
  <c r="F59" i="83"/>
  <c r="F39" i="83"/>
  <c r="F38" i="83"/>
  <c r="F22" i="83"/>
  <c r="F87" i="83"/>
  <c r="F84" i="83"/>
  <c r="F72" i="83"/>
  <c r="F68" i="83"/>
  <c r="F67" i="83"/>
  <c r="F60" i="83"/>
  <c r="F52" i="83"/>
  <c r="F51" i="83"/>
  <c r="F25" i="83"/>
  <c r="D20" i="83"/>
  <c r="L12" i="83"/>
  <c r="N12" i="83" s="1"/>
  <c r="F73" i="83"/>
  <c r="F16" i="83"/>
  <c r="F66" i="83"/>
  <c r="F62" i="83"/>
  <c r="F53" i="83"/>
  <c r="F41" i="83"/>
  <c r="F35" i="83"/>
  <c r="F30" i="83"/>
  <c r="F74" i="83"/>
  <c r="F49" i="83"/>
  <c r="F26" i="83"/>
  <c r="F54" i="83"/>
  <c r="F31" i="83"/>
  <c r="F29" i="83"/>
  <c r="F42" i="83"/>
  <c r="F65" i="83"/>
  <c r="F50" i="83"/>
  <c r="F34" i="83"/>
  <c r="F27" i="83"/>
  <c r="F40" i="83"/>
  <c r="F61" i="83"/>
  <c r="F20" i="83"/>
  <c r="F43" i="83"/>
  <c r="J129" i="39"/>
  <c r="J118" i="39"/>
  <c r="J110" i="39"/>
  <c r="J106" i="39"/>
  <c r="J102" i="39"/>
  <c r="J80" i="39"/>
  <c r="J72" i="39"/>
  <c r="J62" i="39"/>
  <c r="J30" i="39"/>
  <c r="J119" i="39"/>
  <c r="J111" i="39"/>
  <c r="J89" i="39"/>
  <c r="J81" i="39"/>
  <c r="J73" i="39"/>
  <c r="J53" i="39"/>
  <c r="J49" i="39"/>
  <c r="J125" i="39"/>
  <c r="J124" i="39"/>
  <c r="J120" i="39"/>
  <c r="J112" i="39"/>
  <c r="J96" i="39"/>
  <c r="J90" i="39"/>
  <c r="J82" i="39"/>
  <c r="J54" i="39"/>
  <c r="J44" i="39"/>
  <c r="J40" i="39"/>
  <c r="J123" i="39"/>
  <c r="J113" i="39"/>
  <c r="J107" i="39"/>
  <c r="J103" i="39"/>
  <c r="J91" i="39"/>
  <c r="J83" i="39"/>
  <c r="J63" i="39"/>
  <c r="J55" i="39"/>
  <c r="J31" i="39"/>
  <c r="J122" i="39"/>
  <c r="J114" i="39"/>
  <c r="J84" i="39"/>
  <c r="J74" i="39"/>
  <c r="J64" i="39"/>
  <c r="J56" i="39"/>
  <c r="J50" i="39"/>
  <c r="J36" i="39"/>
  <c r="J115" i="39"/>
  <c r="J97" i="39"/>
  <c r="J85" i="39"/>
  <c r="J75" i="39"/>
  <c r="J65" i="39"/>
  <c r="J57" i="39"/>
  <c r="J45" i="39"/>
  <c r="J41" i="39"/>
  <c r="J37" i="39"/>
  <c r="J35" i="39"/>
  <c r="J33" i="39"/>
  <c r="J116" i="39"/>
  <c r="J108" i="39"/>
  <c r="J104" i="39"/>
  <c r="J92" i="39"/>
  <c r="J86" i="39"/>
  <c r="J76" i="39"/>
  <c r="J66" i="39"/>
  <c r="J58" i="39"/>
  <c r="J46" i="39"/>
  <c r="J93" i="39"/>
  <c r="J87" i="39"/>
  <c r="J67" i="39"/>
  <c r="J59" i="39"/>
  <c r="J51" i="39"/>
  <c r="J47" i="39"/>
  <c r="J98" i="39"/>
  <c r="J94" i="39"/>
  <c r="J68" i="39"/>
  <c r="J60" i="39"/>
  <c r="J42" i="39"/>
  <c r="J38" i="39"/>
  <c r="J117" i="39"/>
  <c r="J109" i="39"/>
  <c r="J105" i="39"/>
  <c r="J99" i="39"/>
  <c r="J77" i="39"/>
  <c r="J69" i="39"/>
  <c r="J61" i="39"/>
  <c r="J100" i="39"/>
  <c r="J88" i="39"/>
  <c r="J78" i="39"/>
  <c r="J70" i="39"/>
  <c r="J52" i="39"/>
  <c r="J48" i="39"/>
  <c r="J43" i="39"/>
  <c r="J101" i="39"/>
  <c r="J79" i="39"/>
  <c r="J71" i="39"/>
  <c r="L12" i="39"/>
  <c r="N12" i="39" s="1"/>
  <c r="J39" i="39"/>
  <c r="H33" i="39"/>
  <c r="J29" i="39"/>
  <c r="J95" i="39"/>
  <c r="P27" i="50"/>
  <c r="X18" i="50"/>
  <c r="X18" i="38"/>
  <c r="P27" i="38"/>
  <c r="D27" i="19"/>
  <c r="L18" i="19"/>
  <c r="L20" i="93"/>
  <c r="D66" i="93"/>
  <c r="P30" i="85"/>
  <c r="X18" i="85"/>
  <c r="T102" i="76"/>
  <c r="R125" i="74"/>
  <c r="R90" i="74"/>
  <c r="R124" i="74"/>
  <c r="R121" i="74"/>
  <c r="R113" i="74"/>
  <c r="R106" i="74"/>
  <c r="R105" i="74"/>
  <c r="R97" i="74"/>
  <c r="R85" i="74"/>
  <c r="R81" i="74"/>
  <c r="R123" i="74"/>
  <c r="R72" i="74"/>
  <c r="R68" i="74"/>
  <c r="R64" i="74"/>
  <c r="R60" i="74"/>
  <c r="R56" i="74"/>
  <c r="R52" i="74"/>
  <c r="R129" i="74"/>
  <c r="R107" i="74"/>
  <c r="R91" i="74"/>
  <c r="R114" i="74"/>
  <c r="R99" i="74"/>
  <c r="R98" i="74"/>
  <c r="R87" i="74"/>
  <c r="R86" i="74"/>
  <c r="R82" i="74"/>
  <c r="R78" i="74"/>
  <c r="R109" i="74"/>
  <c r="R108" i="74"/>
  <c r="R101" i="74"/>
  <c r="R100" i="74"/>
  <c r="R92" i="74"/>
  <c r="R88" i="74"/>
  <c r="R77" i="74"/>
  <c r="X12" i="74"/>
  <c r="Z12" i="74" s="1"/>
  <c r="R116" i="74"/>
  <c r="R115" i="74"/>
  <c r="R83" i="74"/>
  <c r="R79" i="74"/>
  <c r="R111" i="74"/>
  <c r="R110" i="74"/>
  <c r="R102" i="74"/>
  <c r="R70" i="74"/>
  <c r="R66" i="74"/>
  <c r="R62" i="74"/>
  <c r="R58" i="74"/>
  <c r="R54" i="74"/>
  <c r="R118" i="74"/>
  <c r="R117" i="74"/>
  <c r="R94" i="74"/>
  <c r="R93" i="74"/>
  <c r="R89" i="74"/>
  <c r="R50" i="74"/>
  <c r="R120" i="74"/>
  <c r="R103" i="74"/>
  <c r="P75" i="74"/>
  <c r="R75" i="74" s="1"/>
  <c r="R67" i="74"/>
  <c r="R63" i="74"/>
  <c r="R69" i="74"/>
  <c r="R65" i="74"/>
  <c r="R80" i="74"/>
  <c r="R71" i="74"/>
  <c r="R95" i="74"/>
  <c r="R73" i="74"/>
  <c r="R104" i="74"/>
  <c r="R55" i="74"/>
  <c r="R57" i="74"/>
  <c r="R53" i="74"/>
  <c r="R119" i="74"/>
  <c r="R84" i="74"/>
  <c r="R51" i="74"/>
  <c r="R59" i="74"/>
  <c r="R112" i="74"/>
  <c r="R96" i="74"/>
  <c r="R61" i="74"/>
  <c r="F100" i="76"/>
  <c r="F95" i="76"/>
  <c r="F94" i="76"/>
  <c r="F87" i="76"/>
  <c r="F86" i="76"/>
  <c r="F104" i="76"/>
  <c r="F99" i="76"/>
  <c r="F78" i="76"/>
  <c r="F77" i="76"/>
  <c r="F70" i="76"/>
  <c r="F98" i="76"/>
  <c r="F89" i="76"/>
  <c r="F88" i="76"/>
  <c r="F65" i="76"/>
  <c r="F61" i="76"/>
  <c r="F97" i="76"/>
  <c r="F80" i="76"/>
  <c r="F79" i="76"/>
  <c r="F52" i="76"/>
  <c r="F48" i="76"/>
  <c r="F90" i="76"/>
  <c r="F66" i="76"/>
  <c r="F81" i="76"/>
  <c r="F72" i="76"/>
  <c r="F68" i="76"/>
  <c r="F67" i="76"/>
  <c r="F91" i="76"/>
  <c r="F83" i="76"/>
  <c r="F82" i="76"/>
  <c r="F93" i="76"/>
  <c r="F92" i="76"/>
  <c r="F85" i="76"/>
  <c r="F84" i="76"/>
  <c r="F69" i="76"/>
  <c r="F59" i="76"/>
  <c r="F49" i="76"/>
  <c r="L12" i="76"/>
  <c r="F64" i="76"/>
  <c r="F73" i="76"/>
  <c r="F46" i="76"/>
  <c r="F42" i="76"/>
  <c r="F76" i="76"/>
  <c r="F71" i="76"/>
  <c r="F62" i="76"/>
  <c r="D54" i="76"/>
  <c r="F50" i="76"/>
  <c r="F60" i="76"/>
  <c r="F56" i="76"/>
  <c r="F47" i="76"/>
  <c r="F43" i="76"/>
  <c r="F57" i="76"/>
  <c r="F74" i="76"/>
  <c r="F51" i="76"/>
  <c r="F63" i="76"/>
  <c r="F58" i="76"/>
  <c r="F44" i="76"/>
  <c r="F40" i="76"/>
  <c r="F39" i="76"/>
  <c r="F75" i="76"/>
  <c r="F41" i="76"/>
  <c r="F45" i="76"/>
  <c r="Z123" i="74"/>
  <c r="X123" i="74"/>
  <c r="V92" i="36"/>
  <c r="V88" i="36"/>
  <c r="V72" i="36"/>
  <c r="V60" i="36"/>
  <c r="V52" i="36"/>
  <c r="V111" i="36"/>
  <c r="V103" i="36"/>
  <c r="V99" i="36"/>
  <c r="V95" i="36"/>
  <c r="V71" i="36"/>
  <c r="V63" i="36"/>
  <c r="V55" i="36"/>
  <c r="V94" i="36"/>
  <c r="V82" i="36"/>
  <c r="V74" i="36"/>
  <c r="V119" i="36"/>
  <c r="V113" i="36"/>
  <c r="V105" i="36"/>
  <c r="V89" i="36"/>
  <c r="V73" i="36"/>
  <c r="V65" i="36"/>
  <c r="V37" i="36"/>
  <c r="V33" i="36"/>
  <c r="V118" i="36"/>
  <c r="V112" i="36"/>
  <c r="V104" i="36"/>
  <c r="V100" i="36"/>
  <c r="V96" i="36"/>
  <c r="V84" i="36"/>
  <c r="V76" i="36"/>
  <c r="V64" i="36"/>
  <c r="V117" i="36"/>
  <c r="V107" i="36"/>
  <c r="V83" i="36"/>
  <c r="V75" i="36"/>
  <c r="V67" i="36"/>
  <c r="V47" i="36"/>
  <c r="V43" i="36"/>
  <c r="V123" i="36"/>
  <c r="V109" i="36"/>
  <c r="V101" i="36"/>
  <c r="V97" i="36"/>
  <c r="V85" i="36"/>
  <c r="V77" i="36"/>
  <c r="V57" i="36"/>
  <c r="V49" i="36"/>
  <c r="V108" i="36"/>
  <c r="V80" i="36"/>
  <c r="V91" i="36"/>
  <c r="V87" i="36"/>
  <c r="V79" i="36"/>
  <c r="V59" i="36"/>
  <c r="V51" i="36"/>
  <c r="V110" i="36"/>
  <c r="V102" i="36"/>
  <c r="V98" i="36"/>
  <c r="V86" i="36"/>
  <c r="V70" i="36"/>
  <c r="V58" i="36"/>
  <c r="V44" i="36"/>
  <c r="V39" i="36"/>
  <c r="V32" i="36"/>
  <c r="V90" i="36"/>
  <c r="V56" i="36"/>
  <c r="V81" i="36"/>
  <c r="V42" i="36"/>
  <c r="V25" i="36"/>
  <c r="V69" i="36"/>
  <c r="V54" i="36"/>
  <c r="V35" i="36"/>
  <c r="Z12" i="36"/>
  <c r="V116" i="36"/>
  <c r="V78" i="36"/>
  <c r="V61" i="36"/>
  <c r="V45" i="36"/>
  <c r="V30" i="36"/>
  <c r="V26" i="36"/>
  <c r="V50" i="36"/>
  <c r="V40" i="36"/>
  <c r="V31" i="36"/>
  <c r="T28" i="36"/>
  <c r="V28" i="36" s="1"/>
  <c r="V66" i="36"/>
  <c r="V114" i="36"/>
  <c r="V106" i="36"/>
  <c r="V68" i="36"/>
  <c r="V53" i="36"/>
  <c r="V38" i="36"/>
  <c r="V93" i="36"/>
  <c r="V48" i="36"/>
  <c r="V41" i="36"/>
  <c r="V36" i="36"/>
  <c r="V34" i="36"/>
  <c r="V24" i="36"/>
  <c r="V62" i="36"/>
  <c r="V46" i="36"/>
  <c r="P155" i="30"/>
  <c r="V131" i="30"/>
  <c r="V115" i="30"/>
  <c r="V107" i="30"/>
  <c r="V79" i="30"/>
  <c r="V146" i="30"/>
  <c r="V138" i="30"/>
  <c r="V126" i="30"/>
  <c r="V114" i="30"/>
  <c r="V106" i="30"/>
  <c r="V98" i="30"/>
  <c r="V153" i="30"/>
  <c r="V147" i="30"/>
  <c r="V139" i="30"/>
  <c r="V135" i="30"/>
  <c r="V127" i="30"/>
  <c r="V119" i="30"/>
  <c r="V99" i="30"/>
  <c r="V140" i="30"/>
  <c r="V136" i="30"/>
  <c r="V128" i="30"/>
  <c r="V120" i="30"/>
  <c r="V112" i="30"/>
  <c r="V100" i="30"/>
  <c r="V96" i="30"/>
  <c r="V157" i="30"/>
  <c r="V143" i="30"/>
  <c r="V123" i="30"/>
  <c r="V111" i="30"/>
  <c r="V103" i="30"/>
  <c r="V91" i="30"/>
  <c r="V87" i="30"/>
  <c r="V142" i="30"/>
  <c r="V130" i="30"/>
  <c r="V122" i="30"/>
  <c r="V102" i="30"/>
  <c r="V145" i="30"/>
  <c r="V137" i="30"/>
  <c r="V134" i="30"/>
  <c r="V73" i="30"/>
  <c r="V66" i="30"/>
  <c r="V151" i="30"/>
  <c r="V117" i="30"/>
  <c r="V101" i="30"/>
  <c r="V90" i="30"/>
  <c r="V80" i="30"/>
  <c r="V63" i="30"/>
  <c r="V59" i="30"/>
  <c r="V55" i="30"/>
  <c r="V148" i="30"/>
  <c r="V93" i="30"/>
  <c r="V77" i="30"/>
  <c r="V70" i="30"/>
  <c r="V152" i="30"/>
  <c r="V132" i="30"/>
  <c r="V125" i="30"/>
  <c r="V109" i="30"/>
  <c r="V94" i="30"/>
  <c r="V74" i="30"/>
  <c r="V67" i="30"/>
  <c r="V85" i="30"/>
  <c r="V84" i="30"/>
  <c r="T82" i="30"/>
  <c r="X82" i="30" s="1"/>
  <c r="V60" i="30"/>
  <c r="V56" i="30"/>
  <c r="V121" i="30"/>
  <c r="V104" i="30"/>
  <c r="V88" i="30"/>
  <c r="V78" i="30"/>
  <c r="V71" i="30"/>
  <c r="V64" i="30"/>
  <c r="V141" i="30"/>
  <c r="V133" i="30"/>
  <c r="V110" i="30"/>
  <c r="V75" i="30"/>
  <c r="V118" i="30"/>
  <c r="V105" i="30"/>
  <c r="V97" i="30"/>
  <c r="V68" i="30"/>
  <c r="V61" i="30"/>
  <c r="V57" i="30"/>
  <c r="V53" i="30"/>
  <c r="V149" i="30"/>
  <c r="V86" i="30"/>
  <c r="Z12" i="30"/>
  <c r="V129" i="30"/>
  <c r="V124" i="30"/>
  <c r="V113" i="30"/>
  <c r="V108" i="30"/>
  <c r="V95" i="30"/>
  <c r="V89" i="30"/>
  <c r="V72" i="30"/>
  <c r="V65" i="30"/>
  <c r="V144" i="30"/>
  <c r="V116" i="30"/>
  <c r="V92" i="30"/>
  <c r="V76" i="30"/>
  <c r="V62" i="30"/>
  <c r="V58" i="30"/>
  <c r="V54" i="30"/>
  <c r="V69" i="30"/>
  <c r="P283" i="18"/>
  <c r="H256" i="15"/>
  <c r="H305" i="3"/>
  <c r="X18" i="112"/>
  <c r="P27" i="112"/>
  <c r="H27" i="53"/>
  <c r="N18" i="53"/>
  <c r="T27" i="53"/>
  <c r="Z18" i="53"/>
  <c r="X18" i="47"/>
  <c r="P27" i="47"/>
  <c r="T27" i="49"/>
  <c r="Z18" i="49"/>
  <c r="D27" i="41"/>
  <c r="L18" i="41"/>
  <c r="X18" i="41"/>
  <c r="P27" i="41"/>
  <c r="T27" i="40"/>
  <c r="Z18" i="40"/>
  <c r="P27" i="40"/>
  <c r="X18" i="40"/>
  <c r="X18" i="34"/>
  <c r="P27" i="34"/>
  <c r="P27" i="29"/>
  <c r="X18" i="29"/>
  <c r="T27" i="28"/>
  <c r="Z18" i="28"/>
  <c r="H27" i="25"/>
  <c r="N18" i="25"/>
  <c r="H27" i="19"/>
  <c r="N18" i="19"/>
  <c r="T27" i="13"/>
  <c r="Z18" i="13"/>
  <c r="H27" i="4"/>
  <c r="N18" i="4"/>
  <c r="D27" i="10"/>
  <c r="L18" i="10"/>
  <c r="T27" i="5"/>
  <c r="Z18" i="5"/>
  <c r="D80" i="87"/>
  <c r="H80" i="83"/>
  <c r="H58" i="59"/>
  <c r="N16" i="59"/>
  <c r="D102" i="51"/>
  <c r="L54" i="51"/>
  <c r="T118" i="42"/>
  <c r="P115" i="27"/>
  <c r="X57" i="27"/>
  <c r="T27" i="20"/>
  <c r="Z18" i="20"/>
  <c r="P70" i="92"/>
  <c r="X19" i="92"/>
  <c r="J74" i="94"/>
  <c r="J50" i="94"/>
  <c r="J70" i="94"/>
  <c r="J52" i="94"/>
  <c r="J45" i="94"/>
  <c r="J29" i="94"/>
  <c r="J25" i="94"/>
  <c r="J61" i="94"/>
  <c r="J58" i="94"/>
  <c r="J46" i="94"/>
  <c r="J65" i="94"/>
  <c r="J47" i="94"/>
  <c r="J35" i="94"/>
  <c r="J66" i="94"/>
  <c r="J53" i="94"/>
  <c r="J48" i="94"/>
  <c r="J36" i="94"/>
  <c r="J30" i="94"/>
  <c r="J26" i="94"/>
  <c r="J16" i="94"/>
  <c r="J62" i="94"/>
  <c r="J54" i="94"/>
  <c r="J37" i="94"/>
  <c r="J31" i="94"/>
  <c r="J59" i="94"/>
  <c r="J49" i="94"/>
  <c r="J38" i="94"/>
  <c r="J32" i="94"/>
  <c r="N12" i="94"/>
  <c r="J67" i="94"/>
  <c r="J39" i="94"/>
  <c r="J27" i="94"/>
  <c r="J55" i="94"/>
  <c r="J40" i="94"/>
  <c r="J18" i="94"/>
  <c r="J68" i="94"/>
  <c r="J63" i="94"/>
  <c r="J60" i="94"/>
  <c r="J41" i="94"/>
  <c r="J33" i="94"/>
  <c r="J23" i="94"/>
  <c r="J56" i="94"/>
  <c r="J42" i="94"/>
  <c r="J28" i="94"/>
  <c r="J24" i="94"/>
  <c r="J22" i="94"/>
  <c r="J57" i="94"/>
  <c r="J17" i="94"/>
  <c r="J64" i="94"/>
  <c r="J43" i="94"/>
  <c r="H20" i="94"/>
  <c r="J34" i="94"/>
  <c r="J51" i="94"/>
  <c r="J44" i="94"/>
  <c r="H89" i="91"/>
  <c r="N16" i="91"/>
  <c r="T67" i="48"/>
  <c r="T27" i="34"/>
  <c r="Z18" i="34"/>
  <c r="H27" i="31"/>
  <c r="N18" i="31"/>
  <c r="T27" i="25"/>
  <c r="Z18" i="25"/>
  <c r="T27" i="23"/>
  <c r="Z18" i="23"/>
  <c r="T47" i="99"/>
  <c r="J81" i="105"/>
  <c r="J73" i="105"/>
  <c r="J69" i="105"/>
  <c r="J83" i="105"/>
  <c r="J75" i="105"/>
  <c r="J71" i="105"/>
  <c r="J67" i="105"/>
  <c r="J78" i="105"/>
  <c r="J70" i="105"/>
  <c r="J63" i="105"/>
  <c r="J53" i="105"/>
  <c r="J41" i="105"/>
  <c r="J31" i="105"/>
  <c r="J27" i="105"/>
  <c r="J17" i="105"/>
  <c r="J80" i="105"/>
  <c r="J76" i="105"/>
  <c r="J54" i="105"/>
  <c r="J42" i="105"/>
  <c r="J55" i="105"/>
  <c r="J43" i="105"/>
  <c r="J37" i="105"/>
  <c r="J68" i="105"/>
  <c r="J56" i="105"/>
  <c r="J44" i="105"/>
  <c r="J32" i="105"/>
  <c r="J28" i="105"/>
  <c r="J64" i="105"/>
  <c r="J57" i="105"/>
  <c r="J45" i="105"/>
  <c r="J74" i="105"/>
  <c r="J59" i="105"/>
  <c r="J47" i="105"/>
  <c r="J33" i="105"/>
  <c r="J29" i="105"/>
  <c r="J25" i="105"/>
  <c r="J23" i="105"/>
  <c r="J65" i="105"/>
  <c r="J60" i="105"/>
  <c r="J48" i="105"/>
  <c r="J34" i="105"/>
  <c r="H21" i="105"/>
  <c r="J21" i="105" s="1"/>
  <c r="J49" i="105"/>
  <c r="J39" i="105"/>
  <c r="J35" i="105"/>
  <c r="J72" i="105"/>
  <c r="J66" i="105"/>
  <c r="J50" i="105"/>
  <c r="J30" i="105"/>
  <c r="J26" i="105"/>
  <c r="J61" i="105"/>
  <c r="J36" i="105"/>
  <c r="J79" i="105"/>
  <c r="J77" i="105"/>
  <c r="J38" i="105"/>
  <c r="J24" i="105"/>
  <c r="J19" i="105"/>
  <c r="J87" i="105"/>
  <c r="J40" i="105"/>
  <c r="J52" i="105"/>
  <c r="J46" i="105"/>
  <c r="J62" i="105"/>
  <c r="J58" i="105"/>
  <c r="J51" i="105"/>
  <c r="J18" i="105"/>
  <c r="X21" i="105"/>
  <c r="P85" i="105"/>
  <c r="L40" i="99"/>
  <c r="N40" i="99" s="1"/>
  <c r="D41" i="98"/>
  <c r="V39" i="98"/>
  <c r="V37" i="98"/>
  <c r="V25" i="98"/>
  <c r="V21" i="98"/>
  <c r="V20" i="98"/>
  <c r="V16" i="98"/>
  <c r="V31" i="98"/>
  <c r="T18" i="98"/>
  <c r="V26" i="98"/>
  <c r="V22" i="98"/>
  <c r="V43" i="98"/>
  <c r="V27" i="98"/>
  <c r="V23" i="98"/>
  <c r="V34" i="98"/>
  <c r="V33" i="98"/>
  <c r="V29" i="98"/>
  <c r="V36" i="98"/>
  <c r="V28" i="98"/>
  <c r="V24" i="98"/>
  <c r="V35" i="98"/>
  <c r="V30" i="98"/>
  <c r="V32" i="98"/>
  <c r="Z20" i="101"/>
  <c r="T76" i="101"/>
  <c r="P59" i="100"/>
  <c r="X19" i="100"/>
  <c r="T80" i="87"/>
  <c r="V20" i="87"/>
  <c r="H111" i="84"/>
  <c r="N56" i="78"/>
  <c r="L21" i="82"/>
  <c r="D27" i="82"/>
  <c r="X21" i="82"/>
  <c r="Z21" i="82" s="1"/>
  <c r="P27" i="82"/>
  <c r="R44" i="75"/>
  <c r="R43" i="75"/>
  <c r="R67" i="75"/>
  <c r="R66" i="75"/>
  <c r="R54" i="75"/>
  <c r="R38" i="75"/>
  <c r="R34" i="75"/>
  <c r="R61" i="75"/>
  <c r="R46" i="75"/>
  <c r="R45" i="75"/>
  <c r="R69" i="75"/>
  <c r="R68" i="75"/>
  <c r="X12" i="75"/>
  <c r="R56" i="75"/>
  <c r="R55" i="75"/>
  <c r="R48" i="75"/>
  <c r="R47" i="75"/>
  <c r="R40" i="75"/>
  <c r="R39" i="75"/>
  <c r="R35" i="75"/>
  <c r="R73" i="75"/>
  <c r="R70" i="75"/>
  <c r="R62" i="75"/>
  <c r="R31" i="75"/>
  <c r="R72" i="75"/>
  <c r="R58" i="75"/>
  <c r="R57" i="75"/>
  <c r="R50" i="75"/>
  <c r="R49" i="75"/>
  <c r="R41" i="75"/>
  <c r="R30" i="75"/>
  <c r="R28" i="75"/>
  <c r="R26" i="75"/>
  <c r="R36" i="75"/>
  <c r="R32" i="75"/>
  <c r="P28" i="75"/>
  <c r="R77" i="75"/>
  <c r="R63" i="75"/>
  <c r="R59" i="75"/>
  <c r="R51" i="75"/>
  <c r="R42" i="75"/>
  <c r="R65" i="75"/>
  <c r="R52" i="75"/>
  <c r="R60" i="75"/>
  <c r="R33" i="75"/>
  <c r="R53" i="75"/>
  <c r="R64" i="75"/>
  <c r="R37" i="75"/>
  <c r="V66" i="75"/>
  <c r="V54" i="75"/>
  <c r="V46" i="75"/>
  <c r="V38" i="75"/>
  <c r="V34" i="75"/>
  <c r="V69" i="75"/>
  <c r="V61" i="75"/>
  <c r="V45" i="75"/>
  <c r="V68" i="75"/>
  <c r="V56" i="75"/>
  <c r="V48" i="75"/>
  <c r="V40" i="75"/>
  <c r="Z12" i="75"/>
  <c r="V73" i="75"/>
  <c r="V55" i="75"/>
  <c r="V47" i="75"/>
  <c r="V39" i="75"/>
  <c r="V35" i="75"/>
  <c r="V31" i="75"/>
  <c r="V72" i="75"/>
  <c r="V70" i="75"/>
  <c r="V62" i="75"/>
  <c r="V58" i="75"/>
  <c r="V50" i="75"/>
  <c r="V30" i="75"/>
  <c r="V28" i="75"/>
  <c r="V26" i="75"/>
  <c r="V57" i="75"/>
  <c r="V49" i="75"/>
  <c r="V41" i="75"/>
  <c r="T28" i="75"/>
  <c r="V36" i="75"/>
  <c r="V32" i="75"/>
  <c r="V77" i="75"/>
  <c r="V63" i="75"/>
  <c r="V59" i="75"/>
  <c r="V51" i="75"/>
  <c r="V42" i="75"/>
  <c r="V65" i="75"/>
  <c r="V53" i="75"/>
  <c r="V37" i="75"/>
  <c r="V33" i="75"/>
  <c r="V67" i="75"/>
  <c r="V52" i="75"/>
  <c r="V60" i="75"/>
  <c r="V43" i="75"/>
  <c r="V64" i="75"/>
  <c r="V44" i="75"/>
  <c r="V103" i="70"/>
  <c r="V87" i="70"/>
  <c r="V79" i="70"/>
  <c r="V67" i="70"/>
  <c r="V63" i="70"/>
  <c r="V59" i="70"/>
  <c r="V112" i="70"/>
  <c r="V106" i="70"/>
  <c r="V98" i="70"/>
  <c r="V90" i="70"/>
  <c r="V58" i="70"/>
  <c r="V54" i="70"/>
  <c r="V50" i="70"/>
  <c r="V46" i="70"/>
  <c r="V42" i="70"/>
  <c r="V111" i="70"/>
  <c r="V105" i="70"/>
  <c r="V89" i="70"/>
  <c r="V81" i="70"/>
  <c r="V73" i="70"/>
  <c r="V69" i="70"/>
  <c r="T56" i="70"/>
  <c r="V56" i="70" s="1"/>
  <c r="V110" i="70"/>
  <c r="V92" i="70"/>
  <c r="V80" i="70"/>
  <c r="V68" i="70"/>
  <c r="V64" i="70"/>
  <c r="V60" i="70"/>
  <c r="V109" i="70"/>
  <c r="V107" i="70"/>
  <c r="V99" i="70"/>
  <c r="V91" i="70"/>
  <c r="V83" i="70"/>
  <c r="V51" i="70"/>
  <c r="V47" i="70"/>
  <c r="V43" i="70"/>
  <c r="V116" i="70"/>
  <c r="V82" i="70"/>
  <c r="V74" i="70"/>
  <c r="V70" i="70"/>
  <c r="V101" i="70"/>
  <c r="V93" i="70"/>
  <c r="V85" i="70"/>
  <c r="V65" i="70"/>
  <c r="V61" i="70"/>
  <c r="V100" i="70"/>
  <c r="V84" i="70"/>
  <c r="V76" i="70"/>
  <c r="V52" i="70"/>
  <c r="V48" i="70"/>
  <c r="V44" i="70"/>
  <c r="V95" i="70"/>
  <c r="V75" i="70"/>
  <c r="V71" i="70"/>
  <c r="V102" i="70"/>
  <c r="V94" i="70"/>
  <c r="V86" i="70"/>
  <c r="V78" i="70"/>
  <c r="V66" i="70"/>
  <c r="V62" i="70"/>
  <c r="V49" i="70"/>
  <c r="V104" i="70"/>
  <c r="V72" i="70"/>
  <c r="V53" i="70"/>
  <c r="Z12" i="70"/>
  <c r="V97" i="70"/>
  <c r="V41" i="70"/>
  <c r="V88" i="70"/>
  <c r="V45" i="70"/>
  <c r="V96" i="70"/>
  <c r="V77" i="70"/>
  <c r="P58" i="59"/>
  <c r="X16" i="59"/>
  <c r="X16" i="60"/>
  <c r="P49" i="60"/>
  <c r="Z16" i="58"/>
  <c r="T71" i="58"/>
  <c r="D70" i="56"/>
  <c r="L16" i="56"/>
  <c r="D109" i="68"/>
  <c r="L97" i="51"/>
  <c r="N97" i="51" s="1"/>
  <c r="L87" i="33"/>
  <c r="N87" i="33" s="1"/>
  <c r="L151" i="30"/>
  <c r="D155" i="30"/>
  <c r="L82" i="30"/>
  <c r="T120" i="24"/>
  <c r="H283" i="18"/>
  <c r="Z246" i="15"/>
  <c r="H27" i="111"/>
  <c r="N18" i="111"/>
  <c r="T27" i="43"/>
  <c r="Z18" i="43"/>
  <c r="H27" i="38"/>
  <c r="N18" i="38"/>
  <c r="X18" i="35"/>
  <c r="P27" i="35"/>
  <c r="T27" i="31"/>
  <c r="Z18" i="31"/>
  <c r="H27" i="22"/>
  <c r="N18" i="22"/>
  <c r="X18" i="26"/>
  <c r="P27" i="26"/>
  <c r="H27" i="20"/>
  <c r="N18" i="20"/>
  <c r="H27" i="5"/>
  <c r="N18" i="5"/>
  <c r="H27" i="8"/>
  <c r="N18" i="8"/>
  <c r="T27" i="11"/>
  <c r="Z18" i="11"/>
  <c r="D27" i="7"/>
  <c r="L18" i="7"/>
  <c r="P27" i="11"/>
  <c r="X18" i="11"/>
  <c r="T69" i="80"/>
  <c r="D115" i="27"/>
  <c r="L57" i="27"/>
  <c r="H27" i="7"/>
  <c r="N18" i="7"/>
  <c r="J76" i="87"/>
  <c r="J68" i="87"/>
  <c r="J64" i="87"/>
  <c r="J56" i="87"/>
  <c r="J46" i="87"/>
  <c r="J36" i="87"/>
  <c r="J57" i="87"/>
  <c r="J47" i="87"/>
  <c r="J37" i="87"/>
  <c r="J31" i="87"/>
  <c r="J27" i="87"/>
  <c r="J78" i="87"/>
  <c r="J58" i="87"/>
  <c r="J48" i="87"/>
  <c r="J38" i="87"/>
  <c r="J32" i="87"/>
  <c r="J18" i="87"/>
  <c r="J69" i="87"/>
  <c r="J65" i="87"/>
  <c r="J49" i="87"/>
  <c r="J82" i="87"/>
  <c r="J50" i="87"/>
  <c r="J40" i="87"/>
  <c r="J28" i="87"/>
  <c r="J24" i="87"/>
  <c r="J22" i="87"/>
  <c r="J20" i="87"/>
  <c r="J59" i="87"/>
  <c r="J51" i="87"/>
  <c r="J41" i="87"/>
  <c r="J70" i="87"/>
  <c r="J66" i="87"/>
  <c r="J52" i="87"/>
  <c r="J42" i="87"/>
  <c r="J34" i="87"/>
  <c r="J71" i="87"/>
  <c r="J53" i="87"/>
  <c r="J43" i="87"/>
  <c r="J29" i="87"/>
  <c r="J25" i="87"/>
  <c r="J72" i="87"/>
  <c r="J60" i="87"/>
  <c r="J44" i="87"/>
  <c r="J73" i="87"/>
  <c r="J67" i="87"/>
  <c r="J61" i="87"/>
  <c r="J55" i="87"/>
  <c r="J16" i="87"/>
  <c r="J75" i="87"/>
  <c r="J63" i="87"/>
  <c r="J30" i="87"/>
  <c r="J23" i="87"/>
  <c r="J39" i="87"/>
  <c r="J54" i="87"/>
  <c r="H20" i="87"/>
  <c r="L20" i="87" s="1"/>
  <c r="J17" i="87"/>
  <c r="J74" i="87"/>
  <c r="J62" i="87"/>
  <c r="J45" i="87"/>
  <c r="J35" i="87"/>
  <c r="J26" i="87"/>
  <c r="J33" i="87"/>
  <c r="X16" i="91"/>
  <c r="P89" i="91"/>
  <c r="T63" i="78"/>
  <c r="D127" i="74"/>
  <c r="L73" i="24"/>
  <c r="D120" i="24"/>
  <c r="D91" i="9"/>
  <c r="L16" i="9"/>
  <c r="T27" i="112"/>
  <c r="Z18" i="112"/>
  <c r="L18" i="49"/>
  <c r="D27" i="49"/>
  <c r="T27" i="37"/>
  <c r="Z18" i="37"/>
  <c r="F77" i="105"/>
  <c r="F79" i="105"/>
  <c r="F52" i="105"/>
  <c r="F51" i="105"/>
  <c r="F40" i="105"/>
  <c r="F36" i="105"/>
  <c r="L12" i="105"/>
  <c r="N12" i="105" s="1"/>
  <c r="F70" i="105"/>
  <c r="F63" i="105"/>
  <c r="F62" i="105"/>
  <c r="F31" i="105"/>
  <c r="F27" i="105"/>
  <c r="F73" i="105"/>
  <c r="F54" i="105"/>
  <c r="F53" i="105"/>
  <c r="F42" i="105"/>
  <c r="F41" i="105"/>
  <c r="F18" i="105"/>
  <c r="F17" i="105"/>
  <c r="F80" i="105"/>
  <c r="F76" i="105"/>
  <c r="F37" i="105"/>
  <c r="F81" i="105"/>
  <c r="F68" i="105"/>
  <c r="F56" i="105"/>
  <c r="F55" i="105"/>
  <c r="F44" i="105"/>
  <c r="F43" i="105"/>
  <c r="F32" i="105"/>
  <c r="F87" i="105"/>
  <c r="F58" i="105"/>
  <c r="F57" i="105"/>
  <c r="F46" i="105"/>
  <c r="F45" i="105"/>
  <c r="F38" i="105"/>
  <c r="F74" i="105"/>
  <c r="F33" i="105"/>
  <c r="F29" i="105"/>
  <c r="F25" i="105"/>
  <c r="F24" i="105"/>
  <c r="F69" i="105"/>
  <c r="F65" i="105"/>
  <c r="F60" i="105"/>
  <c r="F59" i="105"/>
  <c r="F48" i="105"/>
  <c r="F47" i="105"/>
  <c r="F39" i="105"/>
  <c r="F35" i="105"/>
  <c r="F34" i="105"/>
  <c r="F67" i="105"/>
  <c r="F75" i="105"/>
  <c r="F23" i="105"/>
  <c r="F61" i="105"/>
  <c r="F72" i="105"/>
  <c r="F26" i="105"/>
  <c r="F50" i="105"/>
  <c r="F19" i="105"/>
  <c r="F28" i="105"/>
  <c r="F71" i="105"/>
  <c r="F30" i="105"/>
  <c r="F66" i="105"/>
  <c r="F64" i="105"/>
  <c r="F21" i="105"/>
  <c r="F78" i="105"/>
  <c r="F49" i="105"/>
  <c r="D21" i="105"/>
  <c r="F83" i="105"/>
  <c r="D43" i="99"/>
  <c r="L17" i="99"/>
  <c r="R84" i="95"/>
  <c r="R38" i="95"/>
  <c r="R37" i="95"/>
  <c r="R33" i="95"/>
  <c r="R22" i="95"/>
  <c r="R64" i="95"/>
  <c r="R49" i="95"/>
  <c r="R48" i="95"/>
  <c r="R75" i="95"/>
  <c r="R71" i="95"/>
  <c r="R59" i="95"/>
  <c r="R40" i="95"/>
  <c r="R39" i="95"/>
  <c r="R88" i="95"/>
  <c r="R51" i="95"/>
  <c r="R50" i="95"/>
  <c r="R34" i="95"/>
  <c r="R65" i="95"/>
  <c r="R42" i="95"/>
  <c r="R41" i="95"/>
  <c r="R29" i="95"/>
  <c r="R77" i="95"/>
  <c r="R76" i="95"/>
  <c r="R72" i="95"/>
  <c r="R61" i="95"/>
  <c r="R60" i="95"/>
  <c r="R53" i="95"/>
  <c r="R52" i="95"/>
  <c r="R44" i="95"/>
  <c r="R43" i="95"/>
  <c r="R35" i="95"/>
  <c r="R16" i="95"/>
  <c r="R79" i="95"/>
  <c r="R78" i="95"/>
  <c r="R67" i="95"/>
  <c r="R66" i="95"/>
  <c r="R62" i="95"/>
  <c r="R55" i="95"/>
  <c r="R54" i="95"/>
  <c r="R73" i="95"/>
  <c r="R45" i="95"/>
  <c r="R81" i="95"/>
  <c r="R80" i="95"/>
  <c r="R69" i="95"/>
  <c r="R68" i="95"/>
  <c r="R57" i="95"/>
  <c r="R56" i="95"/>
  <c r="R36" i="95"/>
  <c r="R74" i="95"/>
  <c r="R18" i="95"/>
  <c r="R46" i="95"/>
  <c r="R24" i="95"/>
  <c r="R31" i="95"/>
  <c r="R27" i="95"/>
  <c r="R25" i="95"/>
  <c r="P20" i="95"/>
  <c r="R82" i="95"/>
  <c r="R70" i="95"/>
  <c r="R47" i="95"/>
  <c r="R32" i="95"/>
  <c r="R17" i="95"/>
  <c r="R63" i="95"/>
  <c r="R58" i="95"/>
  <c r="R30" i="95"/>
  <c r="R28" i="95"/>
  <c r="R26" i="95"/>
  <c r="R23" i="95"/>
  <c r="X12" i="95"/>
  <c r="X20" i="88"/>
  <c r="P69" i="88"/>
  <c r="P80" i="87"/>
  <c r="X20" i="87"/>
  <c r="Z20" i="87" s="1"/>
  <c r="X53" i="84"/>
  <c r="P111" i="84"/>
  <c r="F93" i="84"/>
  <c r="F92" i="84"/>
  <c r="F61" i="84"/>
  <c r="F57" i="84"/>
  <c r="F56" i="84"/>
  <c r="F109" i="84"/>
  <c r="F100" i="84"/>
  <c r="F84" i="84"/>
  <c r="F83" i="84"/>
  <c r="F72" i="84"/>
  <c r="F71" i="84"/>
  <c r="F55" i="84"/>
  <c r="F48" i="84"/>
  <c r="F44" i="84"/>
  <c r="F40" i="84"/>
  <c r="F113" i="84"/>
  <c r="F67" i="84"/>
  <c r="D53" i="84"/>
  <c r="F53" i="84" s="1"/>
  <c r="F94" i="84"/>
  <c r="F86" i="84"/>
  <c r="F85" i="84"/>
  <c r="F74" i="84"/>
  <c r="F73" i="84"/>
  <c r="F62" i="84"/>
  <c r="F58" i="84"/>
  <c r="F101" i="84"/>
  <c r="F49" i="84"/>
  <c r="F45" i="84"/>
  <c r="F41" i="84"/>
  <c r="F88" i="84"/>
  <c r="F87" i="84"/>
  <c r="F76" i="84"/>
  <c r="F75" i="84"/>
  <c r="F68" i="84"/>
  <c r="L12" i="84"/>
  <c r="N12" i="84" s="1"/>
  <c r="F103" i="84"/>
  <c r="F102" i="84"/>
  <c r="F95" i="84"/>
  <c r="F63" i="84"/>
  <c r="F59" i="84"/>
  <c r="F90" i="84"/>
  <c r="F89" i="84"/>
  <c r="F78" i="84"/>
  <c r="F77" i="84"/>
  <c r="F50" i="84"/>
  <c r="F46" i="84"/>
  <c r="F42" i="84"/>
  <c r="F105" i="84"/>
  <c r="F104" i="84"/>
  <c r="F97" i="84"/>
  <c r="F96" i="84"/>
  <c r="F69" i="84"/>
  <c r="F80" i="84"/>
  <c r="F79" i="84"/>
  <c r="F64" i="84"/>
  <c r="F60" i="84"/>
  <c r="F107" i="84"/>
  <c r="F106" i="84"/>
  <c r="F99" i="84"/>
  <c r="F98" i="84"/>
  <c r="F91" i="84"/>
  <c r="F51" i="84"/>
  <c r="F47" i="84"/>
  <c r="F43" i="84"/>
  <c r="F39" i="84"/>
  <c r="F38" i="84"/>
  <c r="F66" i="84"/>
  <c r="F82" i="84"/>
  <c r="F65" i="84"/>
  <c r="F70" i="84"/>
  <c r="F81" i="84"/>
  <c r="V123" i="74"/>
  <c r="V121" i="74"/>
  <c r="V113" i="74"/>
  <c r="V105" i="74"/>
  <c r="V97" i="74"/>
  <c r="V85" i="74"/>
  <c r="V81" i="74"/>
  <c r="V72" i="74"/>
  <c r="V68" i="74"/>
  <c r="V64" i="74"/>
  <c r="V60" i="74"/>
  <c r="V56" i="74"/>
  <c r="V52" i="74"/>
  <c r="V129" i="74"/>
  <c r="V107" i="74"/>
  <c r="V99" i="74"/>
  <c r="V91" i="74"/>
  <c r="V87" i="74"/>
  <c r="V114" i="74"/>
  <c r="V98" i="74"/>
  <c r="V86" i="74"/>
  <c r="V82" i="74"/>
  <c r="V78" i="74"/>
  <c r="V109" i="74"/>
  <c r="V101" i="74"/>
  <c r="V77" i="74"/>
  <c r="V73" i="74"/>
  <c r="V69" i="74"/>
  <c r="V65" i="74"/>
  <c r="V61" i="74"/>
  <c r="V57" i="74"/>
  <c r="V53" i="74"/>
  <c r="V116" i="74"/>
  <c r="V108" i="74"/>
  <c r="V100" i="74"/>
  <c r="V92" i="74"/>
  <c r="V88" i="74"/>
  <c r="V115" i="74"/>
  <c r="V111" i="74"/>
  <c r="V83" i="74"/>
  <c r="V79" i="74"/>
  <c r="V118" i="74"/>
  <c r="V110" i="74"/>
  <c r="V102" i="74"/>
  <c r="V94" i="74"/>
  <c r="V117" i="74"/>
  <c r="V93" i="74"/>
  <c r="V89" i="74"/>
  <c r="V120" i="74"/>
  <c r="V112" i="74"/>
  <c r="V104" i="74"/>
  <c r="V96" i="74"/>
  <c r="V84" i="74"/>
  <c r="V80" i="74"/>
  <c r="V50" i="74"/>
  <c r="V71" i="74"/>
  <c r="V58" i="74"/>
  <c r="V95" i="74"/>
  <c r="V90" i="74"/>
  <c r="V55" i="74"/>
  <c r="V124" i="74"/>
  <c r="V106" i="74"/>
  <c r="V62" i="74"/>
  <c r="V119" i="74"/>
  <c r="V66" i="74"/>
  <c r="V51" i="74"/>
  <c r="V59" i="74"/>
  <c r="V70" i="74"/>
  <c r="V103" i="74"/>
  <c r="V63" i="74"/>
  <c r="V54" i="74"/>
  <c r="V125" i="74"/>
  <c r="T75" i="74"/>
  <c r="V67" i="74"/>
  <c r="D98" i="63"/>
  <c r="L16" i="63"/>
  <c r="T98" i="63"/>
  <c r="Z16" i="63"/>
  <c r="L16" i="57"/>
  <c r="D65" i="57"/>
  <c r="V95" i="68"/>
  <c r="V102" i="68"/>
  <c r="V94" i="68"/>
  <c r="V101" i="68"/>
  <c r="V107" i="68"/>
  <c r="V105" i="68"/>
  <c r="V97" i="68"/>
  <c r="V89" i="68"/>
  <c r="V96" i="68"/>
  <c r="V93" i="68"/>
  <c r="V74" i="68"/>
  <c r="V70" i="68"/>
  <c r="V81" i="68"/>
  <c r="V61" i="68"/>
  <c r="V57" i="68"/>
  <c r="V53" i="68"/>
  <c r="V49" i="68"/>
  <c r="V45" i="68"/>
  <c r="V111" i="68"/>
  <c r="V90" i="68"/>
  <c r="V80" i="68"/>
  <c r="V76" i="68"/>
  <c r="V100" i="68"/>
  <c r="V83" i="68"/>
  <c r="V75" i="68"/>
  <c r="V71" i="68"/>
  <c r="V67" i="68"/>
  <c r="V103" i="68"/>
  <c r="V82" i="68"/>
  <c r="V66" i="68"/>
  <c r="V62" i="68"/>
  <c r="V58" i="68"/>
  <c r="V54" i="68"/>
  <c r="V50" i="68"/>
  <c r="V46" i="68"/>
  <c r="V104" i="68"/>
  <c r="V85" i="68"/>
  <c r="V77" i="68"/>
  <c r="T64" i="68"/>
  <c r="V64" i="68" s="1"/>
  <c r="V98" i="68"/>
  <c r="V91" i="68"/>
  <c r="V84" i="68"/>
  <c r="V72" i="68"/>
  <c r="V68" i="68"/>
  <c r="V92" i="68"/>
  <c r="V59" i="68"/>
  <c r="V55" i="68"/>
  <c r="V51" i="68"/>
  <c r="V47" i="68"/>
  <c r="V43" i="68"/>
  <c r="V86" i="68"/>
  <c r="V78" i="68"/>
  <c r="V73" i="68"/>
  <c r="V69" i="68"/>
  <c r="V56" i="68"/>
  <c r="V48" i="68"/>
  <c r="V88" i="68"/>
  <c r="V99" i="68"/>
  <c r="V60" i="68"/>
  <c r="V52" i="68"/>
  <c r="V79" i="68"/>
  <c r="V44" i="68"/>
  <c r="V87" i="68"/>
  <c r="N16" i="61"/>
  <c r="H48" i="61"/>
  <c r="H91" i="45"/>
  <c r="V129" i="39"/>
  <c r="V114" i="39"/>
  <c r="V86" i="39"/>
  <c r="V74" i="39"/>
  <c r="V66" i="39"/>
  <c r="V58" i="39"/>
  <c r="V50" i="39"/>
  <c r="V46" i="39"/>
  <c r="T33" i="39"/>
  <c r="V33" i="39" s="1"/>
  <c r="V97" i="39"/>
  <c r="V93" i="39"/>
  <c r="V85" i="39"/>
  <c r="V65" i="39"/>
  <c r="V57" i="39"/>
  <c r="V45" i="39"/>
  <c r="V41" i="39"/>
  <c r="V37" i="39"/>
  <c r="V116" i="39"/>
  <c r="V108" i="39"/>
  <c r="V104" i="39"/>
  <c r="V92" i="39"/>
  <c r="V76" i="39"/>
  <c r="V68" i="39"/>
  <c r="V60" i="39"/>
  <c r="V99" i="39"/>
  <c r="V87" i="39"/>
  <c r="V67" i="39"/>
  <c r="V59" i="39"/>
  <c r="V51" i="39"/>
  <c r="V47" i="39"/>
  <c r="V98" i="39"/>
  <c r="V94" i="39"/>
  <c r="V78" i="39"/>
  <c r="V70" i="39"/>
  <c r="V42" i="39"/>
  <c r="V38" i="39"/>
  <c r="V117" i="39"/>
  <c r="V109" i="39"/>
  <c r="V105" i="39"/>
  <c r="V101" i="39"/>
  <c r="V77" i="39"/>
  <c r="V69" i="39"/>
  <c r="V61" i="39"/>
  <c r="V29" i="39"/>
  <c r="V100" i="39"/>
  <c r="V88" i="39"/>
  <c r="V80" i="39"/>
  <c r="V72" i="39"/>
  <c r="V52" i="39"/>
  <c r="V48" i="39"/>
  <c r="V119" i="39"/>
  <c r="V111" i="39"/>
  <c r="V95" i="39"/>
  <c r="V79" i="39"/>
  <c r="V71" i="39"/>
  <c r="V43" i="39"/>
  <c r="V39" i="39"/>
  <c r="V124" i="39"/>
  <c r="V118" i="39"/>
  <c r="V110" i="39"/>
  <c r="V106" i="39"/>
  <c r="V102" i="39"/>
  <c r="V90" i="39"/>
  <c r="V82" i="39"/>
  <c r="V62" i="39"/>
  <c r="V54" i="39"/>
  <c r="V30" i="39"/>
  <c r="V125" i="39"/>
  <c r="V123" i="39"/>
  <c r="V113" i="39"/>
  <c r="V89" i="39"/>
  <c r="V81" i="39"/>
  <c r="V73" i="39"/>
  <c r="V53" i="39"/>
  <c r="V49" i="39"/>
  <c r="V122" i="39"/>
  <c r="V120" i="39"/>
  <c r="V112" i="39"/>
  <c r="V96" i="39"/>
  <c r="V84" i="39"/>
  <c r="V64" i="39"/>
  <c r="V56" i="39"/>
  <c r="V44" i="39"/>
  <c r="V40" i="39"/>
  <c r="V36" i="39"/>
  <c r="V115" i="39"/>
  <c r="V83" i="39"/>
  <c r="V35" i="39"/>
  <c r="V103" i="39"/>
  <c r="V75" i="39"/>
  <c r="V63" i="39"/>
  <c r="V55" i="39"/>
  <c r="Z12" i="39"/>
  <c r="V91" i="39"/>
  <c r="V107" i="39"/>
  <c r="V31" i="39"/>
  <c r="R57" i="33"/>
  <c r="R56" i="33"/>
  <c r="R44" i="33"/>
  <c r="R40" i="33"/>
  <c r="P36" i="33"/>
  <c r="R80" i="33"/>
  <c r="R79" i="33"/>
  <c r="R75" i="33"/>
  <c r="R68" i="33"/>
  <c r="R67" i="33"/>
  <c r="R31" i="33"/>
  <c r="R93" i="33"/>
  <c r="R59" i="33"/>
  <c r="R58" i="33"/>
  <c r="R50" i="33"/>
  <c r="R92" i="33"/>
  <c r="R82" i="33"/>
  <c r="R81" i="33"/>
  <c r="R69" i="33"/>
  <c r="R45" i="33"/>
  <c r="R41" i="33"/>
  <c r="R91" i="33"/>
  <c r="R76" i="33"/>
  <c r="R61" i="33"/>
  <c r="R60" i="33"/>
  <c r="R32" i="33"/>
  <c r="R97" i="33"/>
  <c r="R90" i="33"/>
  <c r="R84" i="33"/>
  <c r="R83" i="33"/>
  <c r="R51" i="33"/>
  <c r="R89" i="33"/>
  <c r="R71" i="33"/>
  <c r="R70" i="33"/>
  <c r="R62" i="33"/>
  <c r="R46" i="33"/>
  <c r="R88" i="33"/>
  <c r="R85" i="33"/>
  <c r="R77" i="33"/>
  <c r="R33" i="33"/>
  <c r="R87" i="33"/>
  <c r="R73" i="33"/>
  <c r="R72" i="33"/>
  <c r="R53" i="33"/>
  <c r="R52" i="33"/>
  <c r="R29" i="33"/>
  <c r="X12" i="33"/>
  <c r="Z12" i="33" s="1"/>
  <c r="R64" i="33"/>
  <c r="R63" i="33"/>
  <c r="R48" i="33"/>
  <c r="R47" i="33"/>
  <c r="R43" i="33"/>
  <c r="R49" i="33"/>
  <c r="R36" i="33"/>
  <c r="R30" i="33"/>
  <c r="R55" i="33"/>
  <c r="R39" i="33"/>
  <c r="R65" i="33"/>
  <c r="R34" i="33"/>
  <c r="R74" i="33"/>
  <c r="R66" i="33"/>
  <c r="R38" i="33"/>
  <c r="R54" i="33"/>
  <c r="R78" i="33"/>
  <c r="R42" i="33"/>
  <c r="L18" i="112"/>
  <c r="D27" i="112"/>
  <c r="L18" i="53"/>
  <c r="D27" i="53"/>
  <c r="H27" i="32"/>
  <c r="N18" i="32"/>
  <c r="T27" i="35"/>
  <c r="Z18" i="35"/>
  <c r="X18" i="32"/>
  <c r="P27" i="32"/>
  <c r="L18" i="34"/>
  <c r="D27" i="34"/>
  <c r="L18" i="14"/>
  <c r="D27" i="14"/>
  <c r="Z18" i="17"/>
  <c r="T27" i="17"/>
  <c r="L18" i="11"/>
  <c r="D27" i="11"/>
  <c r="H27" i="10"/>
  <c r="N18" i="10"/>
  <c r="T27" i="4"/>
  <c r="Z18" i="4"/>
  <c r="X70" i="56"/>
  <c r="P74" i="56"/>
  <c r="F87" i="45"/>
  <c r="F86" i="45"/>
  <c r="F79" i="45"/>
  <c r="F75" i="45"/>
  <c r="F63" i="45"/>
  <c r="F62" i="45"/>
  <c r="F51" i="45"/>
  <c r="F50" i="45"/>
  <c r="F65" i="45"/>
  <c r="F64" i="45"/>
  <c r="F53" i="45"/>
  <c r="F52" i="45"/>
  <c r="F33" i="45"/>
  <c r="F29" i="45"/>
  <c r="F89" i="45"/>
  <c r="F80" i="45"/>
  <c r="F76" i="45"/>
  <c r="F20" i="45"/>
  <c r="F19" i="45"/>
  <c r="F93" i="45"/>
  <c r="F71" i="45"/>
  <c r="F55" i="45"/>
  <c r="F54" i="45"/>
  <c r="F43" i="45"/>
  <c r="F39" i="45"/>
  <c r="F83" i="45"/>
  <c r="F82" i="45"/>
  <c r="F67" i="45"/>
  <c r="F59" i="45"/>
  <c r="F58" i="45"/>
  <c r="F47" i="45"/>
  <c r="F46" i="45"/>
  <c r="F35" i="45"/>
  <c r="F31" i="45"/>
  <c r="F27" i="45"/>
  <c r="F26" i="45"/>
  <c r="F78" i="45"/>
  <c r="F74" i="45"/>
  <c r="F25" i="45"/>
  <c r="F23" i="45"/>
  <c r="F60" i="45"/>
  <c r="F28" i="45"/>
  <c r="F36" i="45"/>
  <c r="F68" i="45"/>
  <c r="F66" i="45"/>
  <c r="F61" i="45"/>
  <c r="F45" i="45"/>
  <c r="F37" i="45"/>
  <c r="F34" i="45"/>
  <c r="F21" i="45"/>
  <c r="L12" i="45"/>
  <c r="N12" i="45" s="1"/>
  <c r="F81" i="45"/>
  <c r="F77" i="45"/>
  <c r="F73" i="45"/>
  <c r="F56" i="45"/>
  <c r="F48" i="45"/>
  <c r="F41" i="45"/>
  <c r="F84" i="45"/>
  <c r="F69" i="45"/>
  <c r="F32" i="45"/>
  <c r="F49" i="45"/>
  <c r="F38" i="45"/>
  <c r="F30" i="45"/>
  <c r="F44" i="45"/>
  <c r="F42" i="45"/>
  <c r="F40" i="45"/>
  <c r="D23" i="45"/>
  <c r="F70" i="45"/>
  <c r="F72" i="45"/>
  <c r="F85" i="45"/>
  <c r="F57" i="45"/>
  <c r="L18" i="8"/>
  <c r="D27" i="8"/>
  <c r="T83" i="103"/>
  <c r="N31" i="108"/>
  <c r="P35" i="108"/>
  <c r="X16" i="108"/>
  <c r="P83" i="107"/>
  <c r="X21" i="107"/>
  <c r="X16" i="102"/>
  <c r="P46" i="102"/>
  <c r="N17" i="99"/>
  <c r="H43" i="99"/>
  <c r="V20" i="101"/>
  <c r="V64" i="95"/>
  <c r="V48" i="95"/>
  <c r="V40" i="95"/>
  <c r="V28" i="95"/>
  <c r="V24" i="95"/>
  <c r="V75" i="95"/>
  <c r="V71" i="95"/>
  <c r="V59" i="95"/>
  <c r="V51" i="95"/>
  <c r="V39" i="95"/>
  <c r="V88" i="95"/>
  <c r="V50" i="95"/>
  <c r="V42" i="95"/>
  <c r="V34" i="95"/>
  <c r="V77" i="95"/>
  <c r="V65" i="95"/>
  <c r="V61" i="95"/>
  <c r="V53" i="95"/>
  <c r="V41" i="95"/>
  <c r="V29" i="95"/>
  <c r="V25" i="95"/>
  <c r="V76" i="95"/>
  <c r="V72" i="95"/>
  <c r="V60" i="95"/>
  <c r="V52" i="95"/>
  <c r="V44" i="95"/>
  <c r="V79" i="95"/>
  <c r="V67" i="95"/>
  <c r="V55" i="95"/>
  <c r="V43" i="95"/>
  <c r="V78" i="95"/>
  <c r="V66" i="95"/>
  <c r="V62" i="95"/>
  <c r="V54" i="95"/>
  <c r="V30" i="95"/>
  <c r="V26" i="95"/>
  <c r="V81" i="95"/>
  <c r="V73" i="95"/>
  <c r="V69" i="95"/>
  <c r="V57" i="95"/>
  <c r="V45" i="95"/>
  <c r="V80" i="95"/>
  <c r="V68" i="95"/>
  <c r="V56" i="95"/>
  <c r="V36" i="95"/>
  <c r="V32" i="95"/>
  <c r="V63" i="95"/>
  <c r="V47" i="95"/>
  <c r="V84" i="95"/>
  <c r="V18" i="95"/>
  <c r="V16" i="95"/>
  <c r="V46" i="95"/>
  <c r="V35" i="95"/>
  <c r="V33" i="95"/>
  <c r="V31" i="95"/>
  <c r="V27" i="95"/>
  <c r="V37" i="95"/>
  <c r="V20" i="95"/>
  <c r="T20" i="95"/>
  <c r="V82" i="95"/>
  <c r="V70" i="95"/>
  <c r="V17" i="95"/>
  <c r="V58" i="95"/>
  <c r="V49" i="95"/>
  <c r="V22" i="95"/>
  <c r="V38" i="95"/>
  <c r="V23" i="95"/>
  <c r="V74" i="95"/>
  <c r="Z12" i="95"/>
  <c r="T66" i="93"/>
  <c r="R18" i="85"/>
  <c r="R51" i="78"/>
  <c r="R63" i="78"/>
  <c r="R61" i="78"/>
  <c r="R43" i="78"/>
  <c r="R42" i="78"/>
  <c r="R35" i="78"/>
  <c r="R34" i="78"/>
  <c r="R30" i="78"/>
  <c r="R60" i="78"/>
  <c r="R21" i="78"/>
  <c r="R59" i="78"/>
  <c r="R53" i="78"/>
  <c r="R52" i="78"/>
  <c r="R44" i="78"/>
  <c r="R36" i="78"/>
  <c r="R17" i="78"/>
  <c r="X12" i="78"/>
  <c r="Z12" i="78" s="1"/>
  <c r="R65" i="78"/>
  <c r="R58" i="78"/>
  <c r="R31" i="78"/>
  <c r="R70" i="78"/>
  <c r="R67" i="78"/>
  <c r="R57" i="78"/>
  <c r="R54" i="78"/>
  <c r="R27" i="78"/>
  <c r="R22" i="78"/>
  <c r="R18" i="78"/>
  <c r="R56" i="78"/>
  <c r="R46" i="78"/>
  <c r="R45" i="78"/>
  <c r="R37" i="78"/>
  <c r="R26" i="78"/>
  <c r="R24" i="78"/>
  <c r="R32" i="78"/>
  <c r="R28" i="78"/>
  <c r="P24" i="78"/>
  <c r="R48" i="78"/>
  <c r="R47" i="78"/>
  <c r="R19" i="78"/>
  <c r="R50" i="78"/>
  <c r="R49" i="78"/>
  <c r="R33" i="78"/>
  <c r="R29" i="78"/>
  <c r="R40" i="78"/>
  <c r="R38" i="78"/>
  <c r="R39" i="78"/>
  <c r="R41" i="78"/>
  <c r="R20" i="78"/>
  <c r="F21" i="82"/>
  <c r="V20" i="80"/>
  <c r="T68" i="79"/>
  <c r="R64" i="79"/>
  <c r="R66" i="79"/>
  <c r="R52" i="79"/>
  <c r="R51" i="79"/>
  <c r="R44" i="79"/>
  <c r="R43" i="79"/>
  <c r="R35" i="79"/>
  <c r="R16" i="79"/>
  <c r="R58" i="79"/>
  <c r="R30" i="79"/>
  <c r="R26" i="79"/>
  <c r="R53" i="79"/>
  <c r="R46" i="79"/>
  <c r="R45" i="79"/>
  <c r="R17" i="79"/>
  <c r="R70" i="79"/>
  <c r="R36" i="79"/>
  <c r="X12" i="79"/>
  <c r="Z12" i="79" s="1"/>
  <c r="R59" i="79"/>
  <c r="R47" i="79"/>
  <c r="R32" i="79"/>
  <c r="R31" i="79"/>
  <c r="R27" i="79"/>
  <c r="R54" i="79"/>
  <c r="R23" i="79"/>
  <c r="R18" i="79"/>
  <c r="R38" i="79"/>
  <c r="R37" i="79"/>
  <c r="R33" i="79"/>
  <c r="R22" i="79"/>
  <c r="R61" i="79"/>
  <c r="R60" i="79"/>
  <c r="R48" i="79"/>
  <c r="R28" i="79"/>
  <c r="R24" i="79"/>
  <c r="P20" i="79"/>
  <c r="R20" i="79" s="1"/>
  <c r="R56" i="79"/>
  <c r="R55" i="79"/>
  <c r="R40" i="79"/>
  <c r="R39" i="79"/>
  <c r="R63" i="79"/>
  <c r="R62" i="79"/>
  <c r="R34" i="79"/>
  <c r="R50" i="79"/>
  <c r="R25" i="79"/>
  <c r="R57" i="79"/>
  <c r="R41" i="79"/>
  <c r="R29" i="79"/>
  <c r="R49" i="79"/>
  <c r="R42" i="79"/>
  <c r="J66" i="72"/>
  <c r="J68" i="72"/>
  <c r="J74" i="72"/>
  <c r="J58" i="72"/>
  <c r="J64" i="72"/>
  <c r="J61" i="72"/>
  <c r="J49" i="72"/>
  <c r="J39" i="72"/>
  <c r="J57" i="72"/>
  <c r="J50" i="72"/>
  <c r="J34" i="72"/>
  <c r="J30" i="72"/>
  <c r="J70" i="72"/>
  <c r="J65" i="72"/>
  <c r="J51" i="72"/>
  <c r="J35" i="72"/>
  <c r="J21" i="72"/>
  <c r="J62" i="72"/>
  <c r="J52" i="72"/>
  <c r="J40" i="72"/>
  <c r="J36" i="72"/>
  <c r="J26" i="72"/>
  <c r="N12" i="72"/>
  <c r="J53" i="72"/>
  <c r="J41" i="72"/>
  <c r="J31" i="72"/>
  <c r="J27" i="72"/>
  <c r="J25" i="72"/>
  <c r="J59" i="72"/>
  <c r="J54" i="72"/>
  <c r="J42" i="72"/>
  <c r="H23" i="72"/>
  <c r="J23" i="72" s="1"/>
  <c r="J67" i="72"/>
  <c r="J43" i="72"/>
  <c r="J37" i="72"/>
  <c r="J44" i="72"/>
  <c r="J32" i="72"/>
  <c r="J28" i="72"/>
  <c r="J60" i="72"/>
  <c r="J55" i="72"/>
  <c r="J45" i="72"/>
  <c r="J63" i="72"/>
  <c r="J46" i="72"/>
  <c r="J38" i="72"/>
  <c r="J20" i="72"/>
  <c r="J48" i="72"/>
  <c r="J29" i="72"/>
  <c r="J19" i="72"/>
  <c r="J56" i="72"/>
  <c r="J47" i="72"/>
  <c r="J33" i="72"/>
  <c r="J101" i="70"/>
  <c r="J85" i="70"/>
  <c r="J75" i="70"/>
  <c r="J71" i="70"/>
  <c r="J102" i="70"/>
  <c r="J94" i="70"/>
  <c r="J86" i="70"/>
  <c r="J76" i="70"/>
  <c r="J66" i="70"/>
  <c r="J62" i="70"/>
  <c r="J95" i="70"/>
  <c r="J77" i="70"/>
  <c r="J53" i="70"/>
  <c r="J49" i="70"/>
  <c r="J45" i="70"/>
  <c r="J96" i="70"/>
  <c r="J78" i="70"/>
  <c r="J72" i="70"/>
  <c r="N12" i="70"/>
  <c r="J103" i="70"/>
  <c r="J97" i="70"/>
  <c r="J87" i="70"/>
  <c r="J79" i="70"/>
  <c r="J67" i="70"/>
  <c r="J63" i="70"/>
  <c r="J41" i="70"/>
  <c r="J104" i="70"/>
  <c r="J98" i="70"/>
  <c r="J88" i="70"/>
  <c r="J54" i="70"/>
  <c r="J50" i="70"/>
  <c r="J46" i="70"/>
  <c r="J42" i="70"/>
  <c r="J105" i="70"/>
  <c r="J89" i="70"/>
  <c r="J73" i="70"/>
  <c r="J59" i="70"/>
  <c r="J112" i="70"/>
  <c r="J106" i="70"/>
  <c r="J90" i="70"/>
  <c r="J80" i="70"/>
  <c r="J68" i="70"/>
  <c r="J64" i="70"/>
  <c r="J60" i="70"/>
  <c r="J58" i="70"/>
  <c r="J111" i="70"/>
  <c r="J107" i="70"/>
  <c r="J99" i="70"/>
  <c r="J91" i="70"/>
  <c r="J81" i="70"/>
  <c r="J69" i="70"/>
  <c r="H56" i="70"/>
  <c r="J56" i="70" s="1"/>
  <c r="J51" i="70"/>
  <c r="J47" i="70"/>
  <c r="J43" i="70"/>
  <c r="J116" i="70"/>
  <c r="J110" i="70"/>
  <c r="J92" i="70"/>
  <c r="J82" i="70"/>
  <c r="J74" i="70"/>
  <c r="J70" i="70"/>
  <c r="J83" i="70"/>
  <c r="J65" i="70"/>
  <c r="J100" i="70"/>
  <c r="J93" i="70"/>
  <c r="J44" i="70"/>
  <c r="J109" i="70"/>
  <c r="J48" i="70"/>
  <c r="J52" i="70"/>
  <c r="J61" i="70"/>
  <c r="J84" i="70"/>
  <c r="J117" i="74"/>
  <c r="J111" i="74"/>
  <c r="J93" i="74"/>
  <c r="J89" i="74"/>
  <c r="J118" i="74"/>
  <c r="J112" i="74"/>
  <c r="J94" i="74"/>
  <c r="J84" i="74"/>
  <c r="J80" i="74"/>
  <c r="J50" i="74"/>
  <c r="J119" i="74"/>
  <c r="J103" i="74"/>
  <c r="J95" i="74"/>
  <c r="J71" i="74"/>
  <c r="J67" i="74"/>
  <c r="J63" i="74"/>
  <c r="J59" i="74"/>
  <c r="J55" i="74"/>
  <c r="J51" i="74"/>
  <c r="J120" i="74"/>
  <c r="J104" i="74"/>
  <c r="J96" i="74"/>
  <c r="J90" i="74"/>
  <c r="J125" i="74"/>
  <c r="J121" i="74"/>
  <c r="J113" i="74"/>
  <c r="J105" i="74"/>
  <c r="J97" i="74"/>
  <c r="J85" i="74"/>
  <c r="J81" i="74"/>
  <c r="J124" i="74"/>
  <c r="J106" i="74"/>
  <c r="J129" i="74"/>
  <c r="J123" i="74"/>
  <c r="J107" i="74"/>
  <c r="J91" i="74"/>
  <c r="J114" i="74"/>
  <c r="J98" i="74"/>
  <c r="J86" i="74"/>
  <c r="J82" i="74"/>
  <c r="J99" i="74"/>
  <c r="J87" i="74"/>
  <c r="J73" i="74"/>
  <c r="J69" i="74"/>
  <c r="J65" i="74"/>
  <c r="J61" i="74"/>
  <c r="J57" i="74"/>
  <c r="J53" i="74"/>
  <c r="J108" i="74"/>
  <c r="J100" i="74"/>
  <c r="J92" i="74"/>
  <c r="J88" i="74"/>
  <c r="J78" i="74"/>
  <c r="N12" i="74"/>
  <c r="J116" i="74"/>
  <c r="J56" i="74"/>
  <c r="J75" i="74"/>
  <c r="J83" i="74"/>
  <c r="H75" i="74"/>
  <c r="L75" i="74" s="1"/>
  <c r="J54" i="74"/>
  <c r="J52" i="74"/>
  <c r="J109" i="74"/>
  <c r="J58" i="74"/>
  <c r="J60" i="74"/>
  <c r="J102" i="74"/>
  <c r="J115" i="74"/>
  <c r="J68" i="74"/>
  <c r="J62" i="74"/>
  <c r="J77" i="74"/>
  <c r="J64" i="74"/>
  <c r="J101" i="74"/>
  <c r="J79" i="74"/>
  <c r="J66" i="74"/>
  <c r="J72" i="74"/>
  <c r="J110" i="74"/>
  <c r="J70" i="74"/>
  <c r="X56" i="70"/>
  <c r="P114" i="70"/>
  <c r="T22" i="54"/>
  <c r="Z16" i="54"/>
  <c r="P63" i="48"/>
  <c r="J23" i="45"/>
  <c r="J91" i="42"/>
  <c r="J79" i="42"/>
  <c r="J69" i="42"/>
  <c r="J59" i="42"/>
  <c r="J51" i="42"/>
  <c r="J39" i="42"/>
  <c r="J35" i="42"/>
  <c r="J31" i="42"/>
  <c r="J29" i="42"/>
  <c r="J27" i="42"/>
  <c r="J92" i="42"/>
  <c r="J86" i="42"/>
  <c r="J70" i="42"/>
  <c r="J60" i="42"/>
  <c r="J52" i="42"/>
  <c r="J40" i="42"/>
  <c r="J109" i="42"/>
  <c r="J101" i="42"/>
  <c r="J97" i="42"/>
  <c r="J93" i="42"/>
  <c r="J71" i="42"/>
  <c r="J61" i="42"/>
  <c r="J53" i="42"/>
  <c r="J45" i="42"/>
  <c r="J41" i="42"/>
  <c r="J116" i="42"/>
  <c r="J110" i="42"/>
  <c r="J102" i="42"/>
  <c r="J80" i="42"/>
  <c r="J72" i="42"/>
  <c r="J62" i="42"/>
  <c r="J54" i="42"/>
  <c r="J36" i="42"/>
  <c r="J32" i="42"/>
  <c r="J115" i="42"/>
  <c r="J111" i="42"/>
  <c r="J103" i="42"/>
  <c r="J87" i="42"/>
  <c r="J81" i="42"/>
  <c r="J73" i="42"/>
  <c r="J63" i="42"/>
  <c r="J120" i="42"/>
  <c r="J114" i="42"/>
  <c r="J104" i="42"/>
  <c r="J98" i="42"/>
  <c r="J94" i="42"/>
  <c r="J82" i="42"/>
  <c r="J74" i="42"/>
  <c r="J64" i="42"/>
  <c r="J46" i="42"/>
  <c r="J42" i="42"/>
  <c r="J106" i="42"/>
  <c r="J88" i="42"/>
  <c r="J76" i="42"/>
  <c r="J66" i="42"/>
  <c r="J56" i="42"/>
  <c r="J107" i="42"/>
  <c r="J99" i="42"/>
  <c r="J95" i="42"/>
  <c r="J83" i="42"/>
  <c r="J77" i="42"/>
  <c r="J67" i="42"/>
  <c r="J47" i="42"/>
  <c r="J43" i="42"/>
  <c r="J84" i="42"/>
  <c r="J78" i="42"/>
  <c r="J48" i="42"/>
  <c r="J38" i="42"/>
  <c r="J34" i="42"/>
  <c r="J89" i="42"/>
  <c r="J85" i="42"/>
  <c r="J57" i="42"/>
  <c r="J49" i="42"/>
  <c r="J25" i="42"/>
  <c r="J33" i="42"/>
  <c r="J90" i="42"/>
  <c r="J65" i="42"/>
  <c r="J44" i="42"/>
  <c r="J113" i="42"/>
  <c r="J50" i="42"/>
  <c r="J30" i="42"/>
  <c r="J23" i="42"/>
  <c r="J37" i="42"/>
  <c r="J96" i="42"/>
  <c r="J75" i="42"/>
  <c r="J58" i="42"/>
  <c r="J105" i="42"/>
  <c r="H27" i="42"/>
  <c r="J100" i="42"/>
  <c r="J68" i="42"/>
  <c r="J24" i="42"/>
  <c r="J55" i="42"/>
  <c r="N12" i="42"/>
  <c r="J108" i="42"/>
  <c r="V93" i="33"/>
  <c r="V79" i="33"/>
  <c r="V75" i="33"/>
  <c r="V67" i="33"/>
  <c r="V59" i="33"/>
  <c r="V31" i="33"/>
  <c r="V92" i="33"/>
  <c r="V82" i="33"/>
  <c r="V58" i="33"/>
  <c r="V50" i="33"/>
  <c r="V91" i="33"/>
  <c r="V81" i="33"/>
  <c r="V69" i="33"/>
  <c r="V61" i="33"/>
  <c r="V45" i="33"/>
  <c r="V41" i="33"/>
  <c r="V90" i="33"/>
  <c r="V84" i="33"/>
  <c r="V76" i="33"/>
  <c r="V60" i="33"/>
  <c r="V32" i="33"/>
  <c r="V97" i="33"/>
  <c r="V89" i="33"/>
  <c r="V83" i="33"/>
  <c r="V71" i="33"/>
  <c r="V51" i="33"/>
  <c r="V88" i="33"/>
  <c r="V70" i="33"/>
  <c r="V62" i="33"/>
  <c r="V46" i="33"/>
  <c r="V42" i="33"/>
  <c r="V87" i="33"/>
  <c r="V85" i="33"/>
  <c r="V77" i="33"/>
  <c r="V73" i="33"/>
  <c r="V53" i="33"/>
  <c r="V72" i="33"/>
  <c r="V64" i="33"/>
  <c r="V52" i="33"/>
  <c r="V48" i="33"/>
  <c r="V63" i="33"/>
  <c r="V55" i="33"/>
  <c r="V47" i="33"/>
  <c r="V43" i="33"/>
  <c r="V39" i="33"/>
  <c r="V78" i="33"/>
  <c r="V74" i="33"/>
  <c r="V66" i="33"/>
  <c r="V54" i="33"/>
  <c r="V38" i="33"/>
  <c r="V34" i="33"/>
  <c r="V30" i="33"/>
  <c r="V49" i="33"/>
  <c r="T36" i="33"/>
  <c r="V36" i="33" s="1"/>
  <c r="V44" i="33"/>
  <c r="V65" i="33"/>
  <c r="V29" i="33"/>
  <c r="V68" i="33"/>
  <c r="V56" i="33"/>
  <c r="V40" i="33"/>
  <c r="V80" i="33"/>
  <c r="V57" i="33"/>
  <c r="V33" i="33"/>
  <c r="Z151" i="30"/>
  <c r="X151" i="30"/>
  <c r="N246" i="15"/>
  <c r="Z292" i="3"/>
  <c r="H27" i="110"/>
  <c r="N18" i="110"/>
  <c r="L18" i="110"/>
  <c r="D27" i="110"/>
  <c r="Z18" i="50"/>
  <c r="T27" i="50"/>
  <c r="H27" i="35"/>
  <c r="N18" i="35"/>
  <c r="L18" i="31"/>
  <c r="D27" i="31"/>
  <c r="L18" i="28"/>
  <c r="D27" i="28"/>
  <c r="Z18" i="10"/>
  <c r="T27" i="10"/>
  <c r="P27" i="5"/>
  <c r="X18" i="5"/>
  <c r="D80" i="97"/>
  <c r="L20" i="97"/>
  <c r="H68" i="79"/>
  <c r="J20" i="79"/>
  <c r="F260" i="12"/>
  <c r="F243" i="12"/>
  <c r="F242" i="12"/>
  <c r="F227" i="12"/>
  <c r="F215" i="12"/>
  <c r="F214" i="12"/>
  <c r="F203" i="12"/>
  <c r="F179" i="12"/>
  <c r="F175" i="12"/>
  <c r="F174" i="12"/>
  <c r="F259" i="12"/>
  <c r="F250" i="12"/>
  <c r="F238" i="12"/>
  <c r="F222" i="12"/>
  <c r="F221" i="12"/>
  <c r="F194" i="12"/>
  <c r="F186" i="12"/>
  <c r="F170" i="12"/>
  <c r="F166" i="12"/>
  <c r="F258" i="12"/>
  <c r="F233" i="12"/>
  <c r="F217" i="12"/>
  <c r="F216" i="12"/>
  <c r="F205" i="12"/>
  <c r="F204" i="12"/>
  <c r="F157" i="12"/>
  <c r="F153" i="12"/>
  <c r="F149" i="12"/>
  <c r="F145" i="12"/>
  <c r="F141" i="12"/>
  <c r="F137" i="12"/>
  <c r="F133" i="12"/>
  <c r="F129" i="12"/>
  <c r="F125" i="12"/>
  <c r="F121" i="12"/>
  <c r="F117" i="12"/>
  <c r="F113" i="12"/>
  <c r="F109" i="12"/>
  <c r="F108" i="12"/>
  <c r="F257" i="12"/>
  <c r="F252" i="12"/>
  <c r="F251" i="12"/>
  <c r="F244" i="12"/>
  <c r="F228" i="12"/>
  <c r="F196" i="12"/>
  <c r="F195" i="12"/>
  <c r="F188" i="12"/>
  <c r="F187" i="12"/>
  <c r="F180" i="12"/>
  <c r="F176" i="12"/>
  <c r="F256" i="12"/>
  <c r="F239" i="12"/>
  <c r="F235" i="12"/>
  <c r="F234" i="12"/>
  <c r="F223" i="12"/>
  <c r="F207" i="12"/>
  <c r="F206" i="12"/>
  <c r="F171" i="12"/>
  <c r="F167" i="12"/>
  <c r="F255" i="12"/>
  <c r="F246" i="12"/>
  <c r="F245" i="12"/>
  <c r="F218" i="12"/>
  <c r="F198" i="12"/>
  <c r="F197" i="12"/>
  <c r="F190" i="12"/>
  <c r="F189" i="12"/>
  <c r="F158" i="12"/>
  <c r="F154" i="12"/>
  <c r="F150" i="12"/>
  <c r="F146" i="12"/>
  <c r="F142" i="12"/>
  <c r="F138" i="12"/>
  <c r="F134" i="12"/>
  <c r="F130" i="12"/>
  <c r="F126" i="12"/>
  <c r="F122" i="12"/>
  <c r="F118" i="12"/>
  <c r="F114" i="12"/>
  <c r="F110" i="12"/>
  <c r="F254" i="12"/>
  <c r="F229" i="12"/>
  <c r="F209" i="12"/>
  <c r="F208" i="12"/>
  <c r="F181" i="12"/>
  <c r="F177" i="12"/>
  <c r="F219" i="12"/>
  <c r="F211" i="12"/>
  <c r="F210" i="12"/>
  <c r="F191" i="12"/>
  <c r="F183" i="12"/>
  <c r="F182" i="12"/>
  <c r="F162" i="12"/>
  <c r="F160" i="12"/>
  <c r="F155" i="12"/>
  <c r="F151" i="12"/>
  <c r="F147" i="12"/>
  <c r="F143" i="12"/>
  <c r="F139" i="12"/>
  <c r="F135" i="12"/>
  <c r="F131" i="12"/>
  <c r="F127" i="12"/>
  <c r="F123" i="12"/>
  <c r="F119" i="12"/>
  <c r="F115" i="12"/>
  <c r="F111" i="12"/>
  <c r="F262" i="12"/>
  <c r="F249" i="12"/>
  <c r="F241" i="12"/>
  <c r="F237" i="12"/>
  <c r="F213" i="12"/>
  <c r="F212" i="12"/>
  <c r="F193" i="12"/>
  <c r="F192" i="12"/>
  <c r="F185" i="12"/>
  <c r="F184" i="12"/>
  <c r="F173" i="12"/>
  <c r="F169" i="12"/>
  <c r="F165" i="12"/>
  <c r="F266" i="12"/>
  <c r="F261" i="12"/>
  <c r="F232" i="12"/>
  <c r="F231" i="12"/>
  <c r="F220" i="12"/>
  <c r="F156" i="12"/>
  <c r="F152" i="12"/>
  <c r="F148" i="12"/>
  <c r="F144" i="12"/>
  <c r="F140" i="12"/>
  <c r="F136" i="12"/>
  <c r="F132" i="12"/>
  <c r="F128" i="12"/>
  <c r="F124" i="12"/>
  <c r="F120" i="12"/>
  <c r="F116" i="12"/>
  <c r="F112" i="12"/>
  <c r="F226" i="12"/>
  <c r="F224" i="12"/>
  <c r="F247" i="12"/>
  <c r="F240" i="12"/>
  <c r="F199" i="12"/>
  <c r="F163" i="12"/>
  <c r="F172" i="12"/>
  <c r="F248" i="12"/>
  <c r="F202" i="12"/>
  <c r="F200" i="12"/>
  <c r="F225" i="12"/>
  <c r="F164" i="12"/>
  <c r="F230" i="12"/>
  <c r="D160" i="12"/>
  <c r="F201" i="12"/>
  <c r="F178" i="12"/>
  <c r="F168" i="12"/>
  <c r="F236" i="12"/>
  <c r="L12" i="12"/>
  <c r="R71" i="76"/>
  <c r="R90" i="76"/>
  <c r="R82" i="76"/>
  <c r="R81" i="76"/>
  <c r="R73" i="76"/>
  <c r="R72" i="76"/>
  <c r="R68" i="76"/>
  <c r="R92" i="76"/>
  <c r="R91" i="76"/>
  <c r="R84" i="76"/>
  <c r="R83" i="76"/>
  <c r="R75" i="76"/>
  <c r="R74" i="76"/>
  <c r="R100" i="76"/>
  <c r="R94" i="76"/>
  <c r="R93" i="76"/>
  <c r="R86" i="76"/>
  <c r="R85" i="76"/>
  <c r="R99" i="76"/>
  <c r="R77" i="76"/>
  <c r="R76" i="76"/>
  <c r="R64" i="76"/>
  <c r="R60" i="76"/>
  <c r="R98" i="76"/>
  <c r="R95" i="76"/>
  <c r="R88" i="76"/>
  <c r="R87" i="76"/>
  <c r="R89" i="76"/>
  <c r="R65" i="76"/>
  <c r="R61" i="76"/>
  <c r="R78" i="76"/>
  <c r="R62" i="76"/>
  <c r="R56" i="76"/>
  <c r="R50" i="76"/>
  <c r="R69" i="76"/>
  <c r="R57" i="76"/>
  <c r="R47" i="76"/>
  <c r="R43" i="76"/>
  <c r="R67" i="76"/>
  <c r="R39" i="76"/>
  <c r="R51" i="76"/>
  <c r="R79" i="76"/>
  <c r="R58" i="76"/>
  <c r="R44" i="76"/>
  <c r="R40" i="76"/>
  <c r="R63" i="76"/>
  <c r="R48" i="76"/>
  <c r="R52" i="76"/>
  <c r="R45" i="76"/>
  <c r="R41" i="76"/>
  <c r="R97" i="76"/>
  <c r="R70" i="76"/>
  <c r="X12" i="76"/>
  <c r="Z12" i="76" s="1"/>
  <c r="R104" i="76"/>
  <c r="R66" i="76"/>
  <c r="R59" i="76"/>
  <c r="R49" i="76"/>
  <c r="R46" i="76"/>
  <c r="R80" i="76"/>
  <c r="R42" i="76"/>
  <c r="P54" i="76"/>
  <c r="X23" i="45"/>
  <c r="P91" i="45"/>
  <c r="H27" i="28"/>
  <c r="N18" i="28"/>
  <c r="P27" i="20"/>
  <c r="X18" i="20"/>
  <c r="H27" i="17"/>
  <c r="N18" i="17"/>
  <c r="T27" i="8"/>
  <c r="Z18" i="8"/>
  <c r="T42" i="108"/>
  <c r="D46" i="102"/>
  <c r="L16" i="102"/>
  <c r="J71" i="101"/>
  <c r="J46" i="101"/>
  <c r="J36" i="101"/>
  <c r="N12" i="101"/>
  <c r="J67" i="101"/>
  <c r="J63" i="101"/>
  <c r="J55" i="101"/>
  <c r="J47" i="101"/>
  <c r="J31" i="101"/>
  <c r="J27" i="101"/>
  <c r="J68" i="101"/>
  <c r="J56" i="101"/>
  <c r="J48" i="101"/>
  <c r="J32" i="101"/>
  <c r="J18" i="101"/>
  <c r="J69" i="101"/>
  <c r="J57" i="101"/>
  <c r="J49" i="101"/>
  <c r="J37" i="101"/>
  <c r="J33" i="101"/>
  <c r="J23" i="101"/>
  <c r="J70" i="101"/>
  <c r="J64" i="101"/>
  <c r="J58" i="101"/>
  <c r="J50" i="101"/>
  <c r="J38" i="101"/>
  <c r="J28" i="101"/>
  <c r="J24" i="101"/>
  <c r="J22" i="101"/>
  <c r="J20" i="101"/>
  <c r="J52" i="101"/>
  <c r="J40" i="101"/>
  <c r="J34" i="101"/>
  <c r="J65" i="101"/>
  <c r="J53" i="101"/>
  <c r="J41" i="101"/>
  <c r="J29" i="101"/>
  <c r="J25" i="101"/>
  <c r="J73" i="101"/>
  <c r="J60" i="101"/>
  <c r="J42" i="101"/>
  <c r="J74" i="101"/>
  <c r="J61" i="101"/>
  <c r="J43" i="101"/>
  <c r="J78" i="101"/>
  <c r="J26" i="101"/>
  <c r="J62" i="101"/>
  <c r="J39" i="101"/>
  <c r="J35" i="101"/>
  <c r="J17" i="101"/>
  <c r="J45" i="101"/>
  <c r="J30" i="101"/>
  <c r="J59" i="101"/>
  <c r="J44" i="101"/>
  <c r="J16" i="101"/>
  <c r="J54" i="101"/>
  <c r="H20" i="101"/>
  <c r="J51" i="101"/>
  <c r="J66" i="101"/>
  <c r="J61" i="100"/>
  <c r="J49" i="100"/>
  <c r="J39" i="100"/>
  <c r="J23" i="100"/>
  <c r="J21" i="100"/>
  <c r="J19" i="100"/>
  <c r="J50" i="100"/>
  <c r="J40" i="100"/>
  <c r="H19" i="100"/>
  <c r="J66" i="100"/>
  <c r="J63" i="100"/>
  <c r="J41" i="100"/>
  <c r="J29" i="100"/>
  <c r="J42" i="100"/>
  <c r="J30" i="100"/>
  <c r="J24" i="100"/>
  <c r="J51" i="100"/>
  <c r="J43" i="100"/>
  <c r="J31" i="100"/>
  <c r="J25" i="100"/>
  <c r="J52" i="100"/>
  <c r="J44" i="100"/>
  <c r="J34" i="100"/>
  <c r="J16" i="100"/>
  <c r="J53" i="100"/>
  <c r="J45" i="100"/>
  <c r="J35" i="100"/>
  <c r="J27" i="100"/>
  <c r="J48" i="100"/>
  <c r="J46" i="100"/>
  <c r="J37" i="100"/>
  <c r="J32" i="100"/>
  <c r="J15" i="100"/>
  <c r="N12" i="100"/>
  <c r="J59" i="100"/>
  <c r="J28" i="100"/>
  <c r="J26" i="100"/>
  <c r="J56" i="100"/>
  <c r="J33" i="100"/>
  <c r="J36" i="100"/>
  <c r="J54" i="100"/>
  <c r="J47" i="100"/>
  <c r="J57" i="100"/>
  <c r="J22" i="100"/>
  <c r="J17" i="100"/>
  <c r="J38" i="100"/>
  <c r="D90" i="95"/>
  <c r="T72" i="94"/>
  <c r="J59" i="93"/>
  <c r="J55" i="93"/>
  <c r="J37" i="93"/>
  <c r="J31" i="93"/>
  <c r="J27" i="93"/>
  <c r="J60" i="93"/>
  <c r="J38" i="93"/>
  <c r="J32" i="93"/>
  <c r="J18" i="93"/>
  <c r="J61" i="93"/>
  <c r="J49" i="93"/>
  <c r="J39" i="93"/>
  <c r="J33" i="93"/>
  <c r="J23" i="93"/>
  <c r="J64" i="93"/>
  <c r="J56" i="93"/>
  <c r="J40" i="93"/>
  <c r="J28" i="93"/>
  <c r="J24" i="93"/>
  <c r="J22" i="93"/>
  <c r="J68" i="93"/>
  <c r="J50" i="93"/>
  <c r="J42" i="93"/>
  <c r="J34" i="93"/>
  <c r="J57" i="93"/>
  <c r="J51" i="93"/>
  <c r="J43" i="93"/>
  <c r="J29" i="93"/>
  <c r="J25" i="93"/>
  <c r="J52" i="93"/>
  <c r="J44" i="93"/>
  <c r="J45" i="93"/>
  <c r="J35" i="93"/>
  <c r="J58" i="93"/>
  <c r="J54" i="93"/>
  <c r="J63" i="93"/>
  <c r="J48" i="93"/>
  <c r="J16" i="93"/>
  <c r="J46" i="93"/>
  <c r="J26" i="93"/>
  <c r="J30" i="93"/>
  <c r="J53" i="93"/>
  <c r="J36" i="93"/>
  <c r="J17" i="93"/>
  <c r="J47" i="93"/>
  <c r="J41" i="93"/>
  <c r="H20" i="93"/>
  <c r="N12" i="93"/>
  <c r="P66" i="93"/>
  <c r="X20" i="93"/>
  <c r="Z20" i="93" s="1"/>
  <c r="H30" i="85"/>
  <c r="J18" i="85"/>
  <c r="T93" i="91"/>
  <c r="L12" i="87"/>
  <c r="N12" i="87" s="1"/>
  <c r="L18" i="85"/>
  <c r="N18" i="85" s="1"/>
  <c r="D30" i="85"/>
  <c r="T80" i="83"/>
  <c r="X56" i="78"/>
  <c r="V54" i="76"/>
  <c r="L97" i="76"/>
  <c r="N97" i="76" s="1"/>
  <c r="J42" i="75"/>
  <c r="J37" i="75"/>
  <c r="J33" i="75"/>
  <c r="J64" i="75"/>
  <c r="J60" i="75"/>
  <c r="J52" i="75"/>
  <c r="J65" i="75"/>
  <c r="J53" i="75"/>
  <c r="J43" i="75"/>
  <c r="J66" i="75"/>
  <c r="J54" i="75"/>
  <c r="J44" i="75"/>
  <c r="J38" i="75"/>
  <c r="J34" i="75"/>
  <c r="J67" i="75"/>
  <c r="J61" i="75"/>
  <c r="J45" i="75"/>
  <c r="J68" i="75"/>
  <c r="J46" i="75"/>
  <c r="N12" i="75"/>
  <c r="J69" i="75"/>
  <c r="J55" i="75"/>
  <c r="J47" i="75"/>
  <c r="J39" i="75"/>
  <c r="J35" i="75"/>
  <c r="J70" i="75"/>
  <c r="J62" i="75"/>
  <c r="J56" i="75"/>
  <c r="J48" i="75"/>
  <c r="J40" i="75"/>
  <c r="J73" i="75"/>
  <c r="J57" i="75"/>
  <c r="J49" i="75"/>
  <c r="J41" i="75"/>
  <c r="J31" i="75"/>
  <c r="J30" i="75"/>
  <c r="J59" i="75"/>
  <c r="J32" i="75"/>
  <c r="J28" i="75"/>
  <c r="J63" i="75"/>
  <c r="J50" i="75"/>
  <c r="H28" i="75"/>
  <c r="J58" i="75"/>
  <c r="J36" i="75"/>
  <c r="J72" i="75"/>
  <c r="J26" i="75"/>
  <c r="J77" i="75"/>
  <c r="J51" i="75"/>
  <c r="R65" i="69"/>
  <c r="R55" i="69"/>
  <c r="R48" i="69"/>
  <c r="R47" i="69"/>
  <c r="R32" i="69"/>
  <c r="R31" i="69"/>
  <c r="R27" i="69"/>
  <c r="R70" i="69"/>
  <c r="R67" i="69"/>
  <c r="R23" i="69"/>
  <c r="R18" i="69"/>
  <c r="R49" i="69"/>
  <c r="R38" i="69"/>
  <c r="R37" i="69"/>
  <c r="R33" i="69"/>
  <c r="R22" i="69"/>
  <c r="R20" i="69"/>
  <c r="R56" i="69"/>
  <c r="R28" i="69"/>
  <c r="R24" i="69"/>
  <c r="R40" i="69"/>
  <c r="R39" i="69"/>
  <c r="R51" i="69"/>
  <c r="R50" i="69"/>
  <c r="R34" i="69"/>
  <c r="R58" i="69"/>
  <c r="R57" i="69"/>
  <c r="R42" i="69"/>
  <c r="R41" i="69"/>
  <c r="R29" i="69"/>
  <c r="R25" i="69"/>
  <c r="R52" i="69"/>
  <c r="R59" i="69"/>
  <c r="R44" i="69"/>
  <c r="R43" i="69"/>
  <c r="R35" i="69"/>
  <c r="R63" i="69"/>
  <c r="R61" i="69"/>
  <c r="R30" i="69"/>
  <c r="R26" i="69"/>
  <c r="R17" i="69"/>
  <c r="R53" i="69"/>
  <c r="R46" i="69"/>
  <c r="R36" i="69"/>
  <c r="P20" i="69"/>
  <c r="X12" i="69"/>
  <c r="R54" i="69"/>
  <c r="R45" i="69"/>
  <c r="R16" i="69"/>
  <c r="X16" i="63"/>
  <c r="P98" i="63"/>
  <c r="X16" i="55"/>
  <c r="P31" i="55"/>
  <c r="X16" i="57"/>
  <c r="P65" i="57"/>
  <c r="R71" i="51"/>
  <c r="R56" i="51"/>
  <c r="R54" i="51"/>
  <c r="R90" i="51"/>
  <c r="R67" i="51"/>
  <c r="R66" i="51"/>
  <c r="R62" i="51"/>
  <c r="R58" i="51"/>
  <c r="P54" i="51"/>
  <c r="R82" i="51"/>
  <c r="R81" i="51"/>
  <c r="R49" i="51"/>
  <c r="R45" i="51"/>
  <c r="R41" i="51"/>
  <c r="R73" i="51"/>
  <c r="R72" i="51"/>
  <c r="R68" i="51"/>
  <c r="R92" i="51"/>
  <c r="R91" i="51"/>
  <c r="R84" i="51"/>
  <c r="R83" i="51"/>
  <c r="R63" i="51"/>
  <c r="R59" i="51"/>
  <c r="R75" i="51"/>
  <c r="R74" i="51"/>
  <c r="R50" i="51"/>
  <c r="R46" i="51"/>
  <c r="R42" i="51"/>
  <c r="R98" i="51"/>
  <c r="R95" i="51"/>
  <c r="R88" i="51"/>
  <c r="R87" i="51"/>
  <c r="R51" i="51"/>
  <c r="R104" i="51"/>
  <c r="R97" i="51"/>
  <c r="R79" i="51"/>
  <c r="R78" i="51"/>
  <c r="R70" i="51"/>
  <c r="R39" i="51"/>
  <c r="R86" i="51"/>
  <c r="R76" i="51"/>
  <c r="R100" i="51"/>
  <c r="R52" i="51"/>
  <c r="R43" i="51"/>
  <c r="R77" i="51"/>
  <c r="X12" i="51"/>
  <c r="R60" i="51"/>
  <c r="R47" i="51"/>
  <c r="R93" i="51"/>
  <c r="R89" i="51"/>
  <c r="R69" i="51"/>
  <c r="R57" i="51"/>
  <c r="R40" i="51"/>
  <c r="R99" i="51"/>
  <c r="R85" i="51"/>
  <c r="R80" i="51"/>
  <c r="R61" i="51"/>
  <c r="R44" i="51"/>
  <c r="R65" i="51"/>
  <c r="R94" i="51"/>
  <c r="R48" i="51"/>
  <c r="R64" i="51"/>
  <c r="L33" i="39"/>
  <c r="D127" i="39"/>
  <c r="X28" i="36"/>
  <c r="P121" i="36"/>
  <c r="R57" i="27"/>
  <c r="F102" i="21"/>
  <c r="F72" i="21"/>
  <c r="F52" i="21"/>
  <c r="F51" i="21"/>
  <c r="F24" i="21"/>
  <c r="F79" i="21"/>
  <c r="F63" i="21"/>
  <c r="F62" i="21"/>
  <c r="F43" i="21"/>
  <c r="F39" i="21"/>
  <c r="F38" i="21"/>
  <c r="F90" i="21"/>
  <c r="F86" i="21"/>
  <c r="F34" i="21"/>
  <c r="F30" i="21"/>
  <c r="F29" i="21"/>
  <c r="F107" i="21"/>
  <c r="F104" i="21"/>
  <c r="F73" i="21"/>
  <c r="F65" i="21"/>
  <c r="F64" i="21"/>
  <c r="F53" i="21"/>
  <c r="F28" i="21"/>
  <c r="F26" i="21"/>
  <c r="F92" i="21"/>
  <c r="F91" i="21"/>
  <c r="F80" i="21"/>
  <c r="F44" i="21"/>
  <c r="F40" i="21"/>
  <c r="D26" i="21"/>
  <c r="F87" i="21"/>
  <c r="F75" i="21"/>
  <c r="F74" i="21"/>
  <c r="F67" i="21"/>
  <c r="F66" i="21"/>
  <c r="F55" i="21"/>
  <c r="F54" i="21"/>
  <c r="F35" i="21"/>
  <c r="F31" i="21"/>
  <c r="F94" i="21"/>
  <c r="F93" i="21"/>
  <c r="F82" i="21"/>
  <c r="F81" i="21"/>
  <c r="F77" i="21"/>
  <c r="F76" i="21"/>
  <c r="F69" i="21"/>
  <c r="F68" i="21"/>
  <c r="F57" i="21"/>
  <c r="F56" i="21"/>
  <c r="F41" i="21"/>
  <c r="F96" i="21"/>
  <c r="F95" i="21"/>
  <c r="F88" i="21"/>
  <c r="F84" i="21"/>
  <c r="F83" i="21"/>
  <c r="F48" i="21"/>
  <c r="F47" i="21"/>
  <c r="F36" i="21"/>
  <c r="F32" i="21"/>
  <c r="F71" i="21"/>
  <c r="F70" i="21"/>
  <c r="F59" i="21"/>
  <c r="F58" i="21"/>
  <c r="F78" i="21"/>
  <c r="F50" i="21"/>
  <c r="F49" i="21"/>
  <c r="F42" i="21"/>
  <c r="F100" i="21"/>
  <c r="F98" i="21"/>
  <c r="F89" i="21"/>
  <c r="F85" i="21"/>
  <c r="F61" i="21"/>
  <c r="F60" i="21"/>
  <c r="F37" i="21"/>
  <c r="F33" i="21"/>
  <c r="F45" i="21"/>
  <c r="F23" i="21"/>
  <c r="F46" i="21"/>
  <c r="L12" i="21"/>
  <c r="N12" i="21" s="1"/>
  <c r="F22" i="21"/>
  <c r="T91" i="9"/>
  <c r="Z16" i="9"/>
  <c r="J258" i="12"/>
  <c r="J250" i="12"/>
  <c r="J238" i="12"/>
  <c r="J222" i="12"/>
  <c r="J216" i="12"/>
  <c r="J204" i="12"/>
  <c r="J194" i="12"/>
  <c r="J186" i="12"/>
  <c r="J170" i="12"/>
  <c r="J166" i="12"/>
  <c r="J108" i="12"/>
  <c r="J257" i="12"/>
  <c r="J251" i="12"/>
  <c r="J233" i="12"/>
  <c r="J217" i="12"/>
  <c r="J205" i="12"/>
  <c r="J195" i="12"/>
  <c r="J187" i="12"/>
  <c r="J157" i="12"/>
  <c r="J153" i="12"/>
  <c r="J149" i="12"/>
  <c r="J145" i="12"/>
  <c r="J141" i="12"/>
  <c r="J137" i="12"/>
  <c r="J133" i="12"/>
  <c r="J129" i="12"/>
  <c r="J125" i="12"/>
  <c r="J121" i="12"/>
  <c r="J117" i="12"/>
  <c r="J113" i="12"/>
  <c r="J109" i="12"/>
  <c r="J256" i="12"/>
  <c r="J252" i="12"/>
  <c r="J244" i="12"/>
  <c r="J234" i="12"/>
  <c r="J228" i="12"/>
  <c r="J206" i="12"/>
  <c r="J196" i="12"/>
  <c r="J188" i="12"/>
  <c r="J180" i="12"/>
  <c r="J176" i="12"/>
  <c r="N12" i="12"/>
  <c r="J255" i="12"/>
  <c r="J245" i="12"/>
  <c r="J239" i="12"/>
  <c r="J235" i="12"/>
  <c r="J223" i="12"/>
  <c r="J207" i="12"/>
  <c r="J197" i="12"/>
  <c r="J189" i="12"/>
  <c r="J171" i="12"/>
  <c r="J167" i="12"/>
  <c r="J254" i="12"/>
  <c r="J246" i="12"/>
  <c r="J218" i="12"/>
  <c r="J208" i="12"/>
  <c r="J198" i="12"/>
  <c r="J190" i="12"/>
  <c r="J158" i="12"/>
  <c r="J247" i="12"/>
  <c r="J229" i="12"/>
  <c r="J209" i="12"/>
  <c r="J199" i="12"/>
  <c r="J181" i="12"/>
  <c r="J177" i="12"/>
  <c r="J163" i="12"/>
  <c r="J248" i="12"/>
  <c r="J240" i="12"/>
  <c r="J236" i="12"/>
  <c r="J224" i="12"/>
  <c r="J210" i="12"/>
  <c r="J200" i="12"/>
  <c r="J182" i="12"/>
  <c r="J172" i="12"/>
  <c r="J168" i="12"/>
  <c r="J164" i="12"/>
  <c r="J162" i="12"/>
  <c r="J160" i="12"/>
  <c r="J262" i="12"/>
  <c r="J230" i="12"/>
  <c r="J226" i="12"/>
  <c r="J212" i="12"/>
  <c r="J202" i="12"/>
  <c r="J192" i="12"/>
  <c r="J184" i="12"/>
  <c r="J178" i="12"/>
  <c r="J266" i="12"/>
  <c r="J260" i="12"/>
  <c r="J242" i="12"/>
  <c r="J232" i="12"/>
  <c r="J220" i="12"/>
  <c r="J214" i="12"/>
  <c r="J174" i="12"/>
  <c r="J156" i="12"/>
  <c r="J152" i="12"/>
  <c r="J148" i="12"/>
  <c r="J144" i="12"/>
  <c r="J140" i="12"/>
  <c r="J136" i="12"/>
  <c r="J132" i="12"/>
  <c r="J128" i="12"/>
  <c r="J124" i="12"/>
  <c r="J120" i="12"/>
  <c r="J116" i="12"/>
  <c r="J112" i="12"/>
  <c r="J259" i="12"/>
  <c r="J243" i="12"/>
  <c r="J227" i="12"/>
  <c r="J221" i="12"/>
  <c r="J215" i="12"/>
  <c r="J203" i="12"/>
  <c r="J179" i="12"/>
  <c r="J175" i="12"/>
  <c r="J249" i="12"/>
  <c r="J231" i="12"/>
  <c r="J185" i="12"/>
  <c r="J183" i="12"/>
  <c r="J165" i="12"/>
  <c r="J147" i="12"/>
  <c r="J131" i="12"/>
  <c r="J111" i="12"/>
  <c r="J142" i="12"/>
  <c r="J126" i="12"/>
  <c r="J237" i="12"/>
  <c r="J115" i="12"/>
  <c r="J225" i="12"/>
  <c r="J213" i="12"/>
  <c r="J151" i="12"/>
  <c r="J135" i="12"/>
  <c r="J119" i="12"/>
  <c r="J211" i="12"/>
  <c r="J146" i="12"/>
  <c r="J130" i="12"/>
  <c r="J110" i="12"/>
  <c r="J261" i="12"/>
  <c r="J219" i="12"/>
  <c r="J169" i="12"/>
  <c r="J193" i="12"/>
  <c r="J155" i="12"/>
  <c r="J139" i="12"/>
  <c r="J123" i="12"/>
  <c r="J114" i="12"/>
  <c r="J241" i="12"/>
  <c r="J191" i="12"/>
  <c r="J150" i="12"/>
  <c r="J134" i="12"/>
  <c r="J173" i="12"/>
  <c r="J143" i="12"/>
  <c r="J127" i="12"/>
  <c r="J154" i="12"/>
  <c r="J138" i="12"/>
  <c r="J122" i="12"/>
  <c r="H160" i="12"/>
  <c r="J118" i="12"/>
  <c r="J201" i="12"/>
  <c r="R296" i="3"/>
  <c r="R281" i="3"/>
  <c r="R265" i="3"/>
  <c r="R246" i="3"/>
  <c r="R245" i="3"/>
  <c r="R189" i="3"/>
  <c r="R185" i="3"/>
  <c r="R181" i="3"/>
  <c r="R177" i="3"/>
  <c r="R173" i="3"/>
  <c r="R169" i="3"/>
  <c r="R165" i="3"/>
  <c r="R161" i="3"/>
  <c r="R157" i="3"/>
  <c r="R153" i="3"/>
  <c r="R149" i="3"/>
  <c r="R145" i="3"/>
  <c r="R141" i="3"/>
  <c r="R137" i="3"/>
  <c r="R295" i="3"/>
  <c r="R289" i="3"/>
  <c r="R288" i="3"/>
  <c r="R276" i="3"/>
  <c r="R272" i="3"/>
  <c r="R261" i="3"/>
  <c r="R260" i="3"/>
  <c r="R237" i="3"/>
  <c r="R236" i="3"/>
  <c r="R221" i="3"/>
  <c r="R220" i="3"/>
  <c r="R212" i="3"/>
  <c r="R208" i="3"/>
  <c r="R133" i="3"/>
  <c r="R294" i="3"/>
  <c r="R255" i="3"/>
  <c r="R248" i="3"/>
  <c r="R247" i="3"/>
  <c r="R228" i="3"/>
  <c r="R227" i="3"/>
  <c r="R203" i="3"/>
  <c r="R199" i="3"/>
  <c r="R293" i="3"/>
  <c r="R290" i="3"/>
  <c r="R283" i="3"/>
  <c r="R282" i="3"/>
  <c r="R267" i="3"/>
  <c r="R266" i="3"/>
  <c r="R262" i="3"/>
  <c r="R238" i="3"/>
  <c r="R222" i="3"/>
  <c r="R195" i="3"/>
  <c r="R190" i="3"/>
  <c r="R186" i="3"/>
  <c r="R292" i="3"/>
  <c r="R277" i="3"/>
  <c r="R273" i="3"/>
  <c r="R250" i="3"/>
  <c r="R249" i="3"/>
  <c r="R230" i="3"/>
  <c r="R229" i="3"/>
  <c r="R214" i="3"/>
  <c r="R213" i="3"/>
  <c r="R209" i="3"/>
  <c r="R194" i="3"/>
  <c r="R192" i="3"/>
  <c r="R303" i="3"/>
  <c r="R285" i="3"/>
  <c r="R284" i="3"/>
  <c r="R268" i="3"/>
  <c r="R257" i="3"/>
  <c r="R256" i="3"/>
  <c r="R204" i="3"/>
  <c r="R200" i="3"/>
  <c r="R196" i="3"/>
  <c r="P192" i="3"/>
  <c r="R301" i="3"/>
  <c r="R286" i="3"/>
  <c r="R278" i="3"/>
  <c r="R274" i="3"/>
  <c r="R258" i="3"/>
  <c r="R210" i="3"/>
  <c r="R307" i="3"/>
  <c r="R300" i="3"/>
  <c r="R270" i="3"/>
  <c r="R269" i="3"/>
  <c r="R253" i="3"/>
  <c r="R242" i="3"/>
  <c r="R241" i="3"/>
  <c r="R234" i="3"/>
  <c r="R233" i="3"/>
  <c r="R217" i="3"/>
  <c r="R206" i="3"/>
  <c r="R205" i="3"/>
  <c r="R201" i="3"/>
  <c r="R197" i="3"/>
  <c r="R298" i="3"/>
  <c r="R287" i="3"/>
  <c r="R280" i="3"/>
  <c r="R279" i="3"/>
  <c r="R275" i="3"/>
  <c r="R271" i="3"/>
  <c r="R259" i="3"/>
  <c r="R244" i="3"/>
  <c r="R243" i="3"/>
  <c r="R235" i="3"/>
  <c r="R211" i="3"/>
  <c r="R207" i="3"/>
  <c r="R297" i="3"/>
  <c r="R254" i="3"/>
  <c r="R226" i="3"/>
  <c r="R219" i="3"/>
  <c r="R218" i="3"/>
  <c r="R202" i="3"/>
  <c r="R198" i="3"/>
  <c r="R311" i="3"/>
  <c r="R264" i="3"/>
  <c r="R251" i="3"/>
  <c r="R188" i="3"/>
  <c r="R175" i="3"/>
  <c r="R171" i="3"/>
  <c r="R167" i="3"/>
  <c r="R159" i="3"/>
  <c r="R139" i="3"/>
  <c r="R163" i="3"/>
  <c r="R135" i="3"/>
  <c r="R231" i="3"/>
  <c r="R179" i="3"/>
  <c r="R183" i="3"/>
  <c r="R150" i="3"/>
  <c r="R146" i="3"/>
  <c r="R252" i="3"/>
  <c r="R224" i="3"/>
  <c r="R215" i="3"/>
  <c r="R154" i="3"/>
  <c r="R148" i="3"/>
  <c r="R144" i="3"/>
  <c r="R142" i="3"/>
  <c r="R299" i="3"/>
  <c r="R174" i="3"/>
  <c r="R170" i="3"/>
  <c r="R158" i="3"/>
  <c r="R152" i="3"/>
  <c r="R138" i="3"/>
  <c r="X12" i="3"/>
  <c r="R312" i="3"/>
  <c r="R263" i="3"/>
  <c r="R239" i="3"/>
  <c r="R232" i="3"/>
  <c r="R187" i="3"/>
  <c r="R166" i="3"/>
  <c r="R162" i="3"/>
  <c r="R156" i="3"/>
  <c r="R140" i="3"/>
  <c r="R136" i="3"/>
  <c r="R134" i="3"/>
  <c r="R178" i="3"/>
  <c r="R176" i="3"/>
  <c r="R172" i="3"/>
  <c r="R168" i="3"/>
  <c r="R160" i="3"/>
  <c r="R302" i="3"/>
  <c r="R216" i="3"/>
  <c r="R164" i="3"/>
  <c r="R225" i="3"/>
  <c r="R182" i="3"/>
  <c r="R180" i="3"/>
  <c r="R240" i="3"/>
  <c r="R223" i="3"/>
  <c r="R184" i="3"/>
  <c r="R151" i="3"/>
  <c r="R147" i="3"/>
  <c r="R143" i="3"/>
  <c r="R155" i="3"/>
  <c r="L18" i="111"/>
  <c r="D27" i="111"/>
  <c r="H27" i="112"/>
  <c r="N18" i="112"/>
  <c r="P27" i="52"/>
  <c r="X18" i="52"/>
  <c r="L18" i="43"/>
  <c r="D27" i="43"/>
  <c r="N18" i="41"/>
  <c r="H27" i="41"/>
  <c r="P27" i="31"/>
  <c r="X18" i="31"/>
  <c r="L18" i="26"/>
  <c r="D27" i="26"/>
  <c r="L18" i="17"/>
  <c r="D27" i="17"/>
  <c r="D27" i="16"/>
  <c r="L18" i="16"/>
  <c r="T27" i="7"/>
  <c r="Z18" i="7"/>
  <c r="L18" i="4"/>
  <c r="D27" i="4"/>
  <c r="X18" i="7"/>
  <c r="P27" i="7"/>
  <c r="H27" i="11"/>
  <c r="N18" i="11"/>
  <c r="P48" i="104"/>
  <c r="J33" i="98"/>
  <c r="J34" i="98"/>
  <c r="J28" i="98"/>
  <c r="J24" i="98"/>
  <c r="J35" i="98"/>
  <c r="J29" i="98"/>
  <c r="J36" i="98"/>
  <c r="J30" i="98"/>
  <c r="J37" i="98"/>
  <c r="J25" i="98"/>
  <c r="J39" i="98"/>
  <c r="J31" i="98"/>
  <c r="J21" i="98"/>
  <c r="J26" i="98"/>
  <c r="J22" i="98"/>
  <c r="J20" i="98"/>
  <c r="J18" i="98"/>
  <c r="J16" i="98"/>
  <c r="J43" i="98"/>
  <c r="H18" i="98"/>
  <c r="L18" i="98" s="1"/>
  <c r="J32" i="98"/>
  <c r="N12" i="98"/>
  <c r="J23" i="98"/>
  <c r="J27" i="98"/>
  <c r="P27" i="53"/>
  <c r="X18" i="53"/>
  <c r="P27" i="49"/>
  <c r="X18" i="49"/>
  <c r="J75" i="107"/>
  <c r="J76" i="107"/>
  <c r="J70" i="107"/>
  <c r="J54" i="107"/>
  <c r="J42" i="107"/>
  <c r="J18" i="107"/>
  <c r="J77" i="107"/>
  <c r="J78" i="107"/>
  <c r="J56" i="107"/>
  <c r="J44" i="107"/>
  <c r="J32" i="107"/>
  <c r="J28" i="107"/>
  <c r="J79" i="107"/>
  <c r="J71" i="107"/>
  <c r="J57" i="107"/>
  <c r="J81" i="107"/>
  <c r="J67" i="107"/>
  <c r="J59" i="107"/>
  <c r="J47" i="107"/>
  <c r="J33" i="107"/>
  <c r="J29" i="107"/>
  <c r="J25" i="107"/>
  <c r="J23" i="107"/>
  <c r="J72" i="107"/>
  <c r="J68" i="107"/>
  <c r="J60" i="107"/>
  <c r="J48" i="107"/>
  <c r="J34" i="107"/>
  <c r="H21" i="107"/>
  <c r="J85" i="107"/>
  <c r="J61" i="107"/>
  <c r="J49" i="107"/>
  <c r="J39" i="107"/>
  <c r="J35" i="107"/>
  <c r="J73" i="107"/>
  <c r="J69" i="107"/>
  <c r="J63" i="107"/>
  <c r="J51" i="107"/>
  <c r="J62" i="107"/>
  <c r="J50" i="107"/>
  <c r="J45" i="107"/>
  <c r="J74" i="107"/>
  <c r="J53" i="107"/>
  <c r="J37" i="107"/>
  <c r="J58" i="107"/>
  <c r="J30" i="107"/>
  <c r="J26" i="107"/>
  <c r="J19" i="107"/>
  <c r="J43" i="107"/>
  <c r="J24" i="107"/>
  <c r="J46" i="107"/>
  <c r="J41" i="107"/>
  <c r="J38" i="107"/>
  <c r="J36" i="107"/>
  <c r="J65" i="107"/>
  <c r="J52" i="107"/>
  <c r="J40" i="107"/>
  <c r="J31" i="107"/>
  <c r="J55" i="107"/>
  <c r="J64" i="107"/>
  <c r="J66" i="107"/>
  <c r="J27" i="107"/>
  <c r="J17" i="107"/>
  <c r="P80" i="97"/>
  <c r="X20" i="97"/>
  <c r="Z20" i="97" s="1"/>
  <c r="L12" i="82"/>
  <c r="H67" i="78"/>
  <c r="P55" i="67"/>
  <c r="X16" i="67"/>
  <c r="V27" i="42"/>
  <c r="D121" i="36"/>
  <c r="H27" i="40"/>
  <c r="N18" i="40"/>
  <c r="H27" i="37"/>
  <c r="N18" i="37"/>
  <c r="L18" i="35"/>
  <c r="D27" i="35"/>
  <c r="T63" i="109"/>
  <c r="T83" i="107"/>
  <c r="Z21" i="107"/>
  <c r="L73" i="101"/>
  <c r="H67" i="109"/>
  <c r="D63" i="109"/>
  <c r="L17" i="109"/>
  <c r="N17" i="109" s="1"/>
  <c r="X17" i="109"/>
  <c r="Z17" i="109" s="1"/>
  <c r="R79" i="103"/>
  <c r="R78" i="103"/>
  <c r="R72" i="103"/>
  <c r="R68" i="103"/>
  <c r="R53" i="103"/>
  <c r="R52" i="103"/>
  <c r="R41" i="103"/>
  <c r="R40" i="103"/>
  <c r="R36" i="103"/>
  <c r="R17" i="103"/>
  <c r="X12" i="103"/>
  <c r="Z12" i="103" s="1"/>
  <c r="R63" i="103"/>
  <c r="R31" i="103"/>
  <c r="R27" i="103"/>
  <c r="R55" i="103"/>
  <c r="R54" i="103"/>
  <c r="R43" i="103"/>
  <c r="R42" i="103"/>
  <c r="R18" i="103"/>
  <c r="R69" i="103"/>
  <c r="R37" i="103"/>
  <c r="R73" i="103"/>
  <c r="R64" i="103"/>
  <c r="R57" i="103"/>
  <c r="R56" i="103"/>
  <c r="R45" i="103"/>
  <c r="R44" i="103"/>
  <c r="R32" i="103"/>
  <c r="R28" i="103"/>
  <c r="R81" i="103"/>
  <c r="R74" i="103"/>
  <c r="R24" i="103"/>
  <c r="R70" i="103"/>
  <c r="R59" i="103"/>
  <c r="R58" i="103"/>
  <c r="R47" i="103"/>
  <c r="R46" i="103"/>
  <c r="R38" i="103"/>
  <c r="R23" i="103"/>
  <c r="R21" i="103"/>
  <c r="R66" i="103"/>
  <c r="R65" i="103"/>
  <c r="R34" i="103"/>
  <c r="R33" i="103"/>
  <c r="R29" i="103"/>
  <c r="R25" i="103"/>
  <c r="P21" i="103"/>
  <c r="R75" i="103"/>
  <c r="R60" i="103"/>
  <c r="R49" i="103"/>
  <c r="R48" i="103"/>
  <c r="R76" i="103"/>
  <c r="R71" i="103"/>
  <c r="R67" i="103"/>
  <c r="R39" i="103"/>
  <c r="R35" i="103"/>
  <c r="R62" i="103"/>
  <c r="R26" i="103"/>
  <c r="R51" i="103"/>
  <c r="R19" i="103"/>
  <c r="R30" i="103"/>
  <c r="R85" i="103"/>
  <c r="R50" i="103"/>
  <c r="R61" i="103"/>
  <c r="R77" i="103"/>
  <c r="P76" i="101"/>
  <c r="X20" i="101"/>
  <c r="D76" i="101"/>
  <c r="L20" i="101"/>
  <c r="F59" i="100"/>
  <c r="F57" i="100"/>
  <c r="F48" i="100"/>
  <c r="F47" i="100"/>
  <c r="F28" i="100"/>
  <c r="L12" i="100"/>
  <c r="F61" i="100"/>
  <c r="F56" i="100"/>
  <c r="F39" i="100"/>
  <c r="F38" i="100"/>
  <c r="F23" i="100"/>
  <c r="F22" i="100"/>
  <c r="F50" i="100"/>
  <c r="F49" i="100"/>
  <c r="F21" i="100"/>
  <c r="F19" i="100"/>
  <c r="F41" i="100"/>
  <c r="F40" i="100"/>
  <c r="F29" i="100"/>
  <c r="D19" i="100"/>
  <c r="F66" i="100"/>
  <c r="F63" i="100"/>
  <c r="F33" i="100"/>
  <c r="F32" i="100"/>
  <c r="F52" i="100"/>
  <c r="F44" i="100"/>
  <c r="F16" i="100"/>
  <c r="F15" i="100"/>
  <c r="F54" i="100"/>
  <c r="F17" i="100"/>
  <c r="F42" i="100"/>
  <c r="F34" i="100"/>
  <c r="F27" i="100"/>
  <c r="F46" i="100"/>
  <c r="F25" i="100"/>
  <c r="F37" i="100"/>
  <c r="F51" i="100"/>
  <c r="F43" i="100"/>
  <c r="F45" i="100"/>
  <c r="F26" i="100"/>
  <c r="F24" i="100"/>
  <c r="F36" i="100"/>
  <c r="F30" i="100"/>
  <c r="F53" i="100"/>
  <c r="F35" i="100"/>
  <c r="F31" i="100"/>
  <c r="F18" i="98"/>
  <c r="Z18" i="85"/>
  <c r="T30" i="85"/>
  <c r="P69" i="80"/>
  <c r="X20" i="80"/>
  <c r="Z20" i="80" s="1"/>
  <c r="J69" i="73"/>
  <c r="J61" i="73"/>
  <c r="J57" i="73"/>
  <c r="J70" i="73"/>
  <c r="J62" i="73"/>
  <c r="J48" i="73"/>
  <c r="J44" i="73"/>
  <c r="J40" i="73"/>
  <c r="J36" i="73"/>
  <c r="J71" i="73"/>
  <c r="J63" i="73"/>
  <c r="J64" i="73"/>
  <c r="J54" i="73"/>
  <c r="J66" i="73"/>
  <c r="H51" i="73"/>
  <c r="J46" i="73"/>
  <c r="J42" i="73"/>
  <c r="J38" i="73"/>
  <c r="J79" i="73"/>
  <c r="J67" i="73"/>
  <c r="J73" i="73"/>
  <c r="J55" i="73"/>
  <c r="J60" i="73"/>
  <c r="J37" i="73"/>
  <c r="J35" i="73"/>
  <c r="J58" i="73"/>
  <c r="J39" i="73"/>
  <c r="J56" i="73"/>
  <c r="J53" i="73"/>
  <c r="J43" i="73"/>
  <c r="J41" i="73"/>
  <c r="J72" i="73"/>
  <c r="J65" i="73"/>
  <c r="J45" i="73"/>
  <c r="J75" i="73"/>
  <c r="J49" i="73"/>
  <c r="J47" i="73"/>
  <c r="J34" i="73"/>
  <c r="J68" i="73"/>
  <c r="J59" i="73"/>
  <c r="J51" i="73"/>
  <c r="J104" i="76"/>
  <c r="J98" i="76"/>
  <c r="J88" i="76"/>
  <c r="J78" i="76"/>
  <c r="J70" i="76"/>
  <c r="J97" i="76"/>
  <c r="J89" i="76"/>
  <c r="J79" i="76"/>
  <c r="J80" i="76"/>
  <c r="J71" i="76"/>
  <c r="J57" i="76"/>
  <c r="J90" i="76"/>
  <c r="J81" i="76"/>
  <c r="J67" i="76"/>
  <c r="J82" i="76"/>
  <c r="J91" i="76"/>
  <c r="J83" i="76"/>
  <c r="J73" i="76"/>
  <c r="J63" i="76"/>
  <c r="J59" i="76"/>
  <c r="J92" i="76"/>
  <c r="J84" i="76"/>
  <c r="J100" i="76"/>
  <c r="J94" i="76"/>
  <c r="J86" i="76"/>
  <c r="J76" i="76"/>
  <c r="J64" i="76"/>
  <c r="J60" i="76"/>
  <c r="J93" i="76"/>
  <c r="J66" i="76"/>
  <c r="J54" i="76"/>
  <c r="J46" i="76"/>
  <c r="J42" i="76"/>
  <c r="J95" i="76"/>
  <c r="H54" i="76"/>
  <c r="J62" i="76"/>
  <c r="J56" i="76"/>
  <c r="J50" i="76"/>
  <c r="J69" i="76"/>
  <c r="J47" i="76"/>
  <c r="J43" i="76"/>
  <c r="J74" i="76"/>
  <c r="J65" i="76"/>
  <c r="J51" i="76"/>
  <c r="J39" i="76"/>
  <c r="J77" i="76"/>
  <c r="J58" i="76"/>
  <c r="J44" i="76"/>
  <c r="J40" i="76"/>
  <c r="J87" i="76"/>
  <c r="J85" i="76"/>
  <c r="J75" i="76"/>
  <c r="J72" i="76"/>
  <c r="J48" i="76"/>
  <c r="J68" i="76"/>
  <c r="J52" i="76"/>
  <c r="N12" i="76"/>
  <c r="J49" i="76"/>
  <c r="J41" i="76"/>
  <c r="J99" i="76"/>
  <c r="J61" i="76"/>
  <c r="J45" i="76"/>
  <c r="L16" i="67"/>
  <c r="D55" i="67"/>
  <c r="D63" i="69"/>
  <c r="L20" i="69"/>
  <c r="R109" i="70"/>
  <c r="Z16" i="61"/>
  <c r="T48" i="61"/>
  <c r="H72" i="57"/>
  <c r="V63" i="48"/>
  <c r="D55" i="61"/>
  <c r="D63" i="48"/>
  <c r="L17" i="48"/>
  <c r="N17" i="48" s="1"/>
  <c r="F17" i="48"/>
  <c r="L113" i="42"/>
  <c r="N113" i="42" s="1"/>
  <c r="L36" i="33"/>
  <c r="D95" i="33"/>
  <c r="J87" i="33"/>
  <c r="J73" i="33"/>
  <c r="J63" i="33"/>
  <c r="J53" i="33"/>
  <c r="J47" i="33"/>
  <c r="J43" i="33"/>
  <c r="J29" i="33"/>
  <c r="J78" i="33"/>
  <c r="J74" i="33"/>
  <c r="J64" i="33"/>
  <c r="J54" i="33"/>
  <c r="J48" i="33"/>
  <c r="J34" i="33"/>
  <c r="J30" i="33"/>
  <c r="J65" i="33"/>
  <c r="J55" i="33"/>
  <c r="J49" i="33"/>
  <c r="J39" i="33"/>
  <c r="J66" i="33"/>
  <c r="J56" i="33"/>
  <c r="J44" i="33"/>
  <c r="J40" i="33"/>
  <c r="J38" i="33"/>
  <c r="J79" i="33"/>
  <c r="J75" i="33"/>
  <c r="J67" i="33"/>
  <c r="J57" i="33"/>
  <c r="H36" i="33"/>
  <c r="J31" i="33"/>
  <c r="J80" i="33"/>
  <c r="J68" i="33"/>
  <c r="J58" i="33"/>
  <c r="J50" i="33"/>
  <c r="J93" i="33"/>
  <c r="J81" i="33"/>
  <c r="J69" i="33"/>
  <c r="J59" i="33"/>
  <c r="J45" i="33"/>
  <c r="J92" i="33"/>
  <c r="J82" i="33"/>
  <c r="J76" i="33"/>
  <c r="J60" i="33"/>
  <c r="J32" i="33"/>
  <c r="J97" i="33"/>
  <c r="J91" i="33"/>
  <c r="J83" i="33"/>
  <c r="J61" i="33"/>
  <c r="J51" i="33"/>
  <c r="J90" i="33"/>
  <c r="J84" i="33"/>
  <c r="J70" i="33"/>
  <c r="J62" i="33"/>
  <c r="J46" i="33"/>
  <c r="J42" i="33"/>
  <c r="J33" i="33"/>
  <c r="J89" i="33"/>
  <c r="J71" i="33"/>
  <c r="J77" i="33"/>
  <c r="J41" i="33"/>
  <c r="N12" i="33"/>
  <c r="J85" i="33"/>
  <c r="J72" i="33"/>
  <c r="J88" i="33"/>
  <c r="J52" i="33"/>
  <c r="Z116" i="36"/>
  <c r="H155" i="30"/>
  <c r="N82" i="30"/>
  <c r="V285" i="18"/>
  <c r="V277" i="18"/>
  <c r="V276" i="18"/>
  <c r="V266" i="18"/>
  <c r="V258" i="18"/>
  <c r="V254" i="18"/>
  <c r="V242" i="18"/>
  <c r="V274" i="18"/>
  <c r="V268" i="18"/>
  <c r="V260" i="18"/>
  <c r="V272" i="18"/>
  <c r="V262" i="18"/>
  <c r="V264" i="18"/>
  <c r="V256" i="18"/>
  <c r="V252" i="18"/>
  <c r="V240" i="18"/>
  <c r="V279" i="18"/>
  <c r="V281" i="18"/>
  <c r="V259" i="18"/>
  <c r="V244" i="18"/>
  <c r="V233" i="18"/>
  <c r="V213" i="18"/>
  <c r="V205" i="18"/>
  <c r="V193" i="18"/>
  <c r="V189" i="18"/>
  <c r="V185" i="18"/>
  <c r="V265" i="18"/>
  <c r="V251" i="18"/>
  <c r="V250" i="18"/>
  <c r="V224" i="18"/>
  <c r="V176" i="18"/>
  <c r="V172" i="18"/>
  <c r="V168" i="18"/>
  <c r="V164" i="18"/>
  <c r="V160" i="18"/>
  <c r="V156" i="18"/>
  <c r="V152" i="18"/>
  <c r="V148" i="18"/>
  <c r="V144" i="18"/>
  <c r="V140" i="18"/>
  <c r="V136" i="18"/>
  <c r="V132" i="18"/>
  <c r="V128" i="18"/>
  <c r="V124" i="18"/>
  <c r="V273" i="18"/>
  <c r="V247" i="18"/>
  <c r="V235" i="18"/>
  <c r="V223" i="18"/>
  <c r="V215" i="18"/>
  <c r="V207" i="18"/>
  <c r="V199" i="18"/>
  <c r="V195" i="18"/>
  <c r="V226" i="18"/>
  <c r="V214" i="18"/>
  <c r="V206" i="18"/>
  <c r="V190" i="18"/>
  <c r="V186" i="18"/>
  <c r="V278" i="18"/>
  <c r="V248" i="18"/>
  <c r="V225" i="18"/>
  <c r="V217" i="18"/>
  <c r="V209" i="18"/>
  <c r="V177" i="18"/>
  <c r="V173" i="18"/>
  <c r="V169" i="18"/>
  <c r="V165" i="18"/>
  <c r="V161" i="18"/>
  <c r="V157" i="18"/>
  <c r="V153" i="18"/>
  <c r="V149" i="18"/>
  <c r="V145" i="18"/>
  <c r="V141" i="18"/>
  <c r="V137" i="18"/>
  <c r="V133" i="18"/>
  <c r="V129" i="18"/>
  <c r="V125" i="18"/>
  <c r="V245" i="18"/>
  <c r="V241" i="18"/>
  <c r="V236" i="18"/>
  <c r="V228" i="18"/>
  <c r="V216" i="18"/>
  <c r="V208" i="18"/>
  <c r="V200" i="18"/>
  <c r="V196" i="18"/>
  <c r="Z12" i="18"/>
  <c r="V275" i="18"/>
  <c r="V269" i="18"/>
  <c r="V263" i="18"/>
  <c r="V257" i="18"/>
  <c r="V227" i="18"/>
  <c r="V219" i="18"/>
  <c r="V191" i="18"/>
  <c r="V187" i="18"/>
  <c r="V183" i="18"/>
  <c r="V230" i="18"/>
  <c r="V218" i="18"/>
  <c r="V210" i="18"/>
  <c r="V202" i="18"/>
  <c r="V182" i="18"/>
  <c r="V178" i="18"/>
  <c r="V174" i="18"/>
  <c r="V170" i="18"/>
  <c r="V166" i="18"/>
  <c r="V162" i="18"/>
  <c r="V158" i="18"/>
  <c r="V154" i="18"/>
  <c r="V150" i="18"/>
  <c r="V146" i="18"/>
  <c r="V142" i="18"/>
  <c r="V138" i="18"/>
  <c r="V134" i="18"/>
  <c r="V130" i="18"/>
  <c r="V126" i="18"/>
  <c r="V243" i="18"/>
  <c r="V237" i="18"/>
  <c r="V229" i="18"/>
  <c r="V221" i="18"/>
  <c r="V201" i="18"/>
  <c r="V197" i="18"/>
  <c r="T180" i="18"/>
  <c r="V180" i="18" s="1"/>
  <c r="V280" i="18"/>
  <c r="V255" i="18"/>
  <c r="V249" i="18"/>
  <c r="V246" i="18"/>
  <c r="V232" i="18"/>
  <c r="V220" i="18"/>
  <c r="V212" i="18"/>
  <c r="V204" i="18"/>
  <c r="V192" i="18"/>
  <c r="V188" i="18"/>
  <c r="V184" i="18"/>
  <c r="V271" i="18"/>
  <c r="V239" i="18"/>
  <c r="V231" i="18"/>
  <c r="V211" i="18"/>
  <c r="V203" i="18"/>
  <c r="V175" i="18"/>
  <c r="V171" i="18"/>
  <c r="V167" i="18"/>
  <c r="V163" i="18"/>
  <c r="V159" i="18"/>
  <c r="V155" i="18"/>
  <c r="V151" i="18"/>
  <c r="V147" i="18"/>
  <c r="V143" i="18"/>
  <c r="V139" i="18"/>
  <c r="V135" i="18"/>
  <c r="V131" i="18"/>
  <c r="V127" i="18"/>
  <c r="V123" i="18"/>
  <c r="V267" i="18"/>
  <c r="V261" i="18"/>
  <c r="V253" i="18"/>
  <c r="V238" i="18"/>
  <c r="V234" i="18"/>
  <c r="V222" i="18"/>
  <c r="V198" i="18"/>
  <c r="V194" i="18"/>
  <c r="J155" i="15"/>
  <c r="Z254" i="12"/>
  <c r="N16" i="6"/>
  <c r="H22" i="6"/>
  <c r="Z18" i="110"/>
  <c r="T27" i="110"/>
  <c r="T27" i="44"/>
  <c r="Z18" i="44"/>
  <c r="D27" i="47"/>
  <c r="L18" i="47"/>
  <c r="X18" i="37"/>
  <c r="P27" i="37"/>
  <c r="H27" i="23"/>
  <c r="N18" i="23"/>
  <c r="H27" i="26"/>
  <c r="N18" i="26"/>
  <c r="D27" i="20"/>
  <c r="L18" i="20"/>
  <c r="P71" i="58"/>
  <c r="X16" i="58"/>
  <c r="N54" i="51"/>
  <c r="H102" i="51"/>
  <c r="H27" i="16"/>
  <c r="N18" i="16"/>
  <c r="H27" i="13"/>
  <c r="N18" i="13"/>
  <c r="L18" i="5"/>
  <c r="D27" i="5"/>
  <c r="X18" i="4"/>
  <c r="P27" i="4"/>
  <c r="L56" i="70"/>
  <c r="D114" i="70"/>
  <c r="H70" i="56"/>
  <c r="N16" i="56"/>
  <c r="T91" i="45"/>
  <c r="Z23" i="45"/>
  <c r="H115" i="27"/>
  <c r="N57" i="27"/>
  <c r="H104" i="21"/>
  <c r="X18" i="110"/>
  <c r="P27" i="110"/>
  <c r="H27" i="44"/>
  <c r="N18" i="44"/>
  <c r="V43" i="104"/>
  <c r="V35" i="104"/>
  <c r="V37" i="104"/>
  <c r="V46" i="104"/>
  <c r="V44" i="104"/>
  <c r="V36" i="104"/>
  <c r="V28" i="104"/>
  <c r="V29" i="104"/>
  <c r="V50" i="104"/>
  <c r="V40" i="104"/>
  <c r="V27" i="104"/>
  <c r="V34" i="104"/>
  <c r="V19" i="104"/>
  <c r="V25" i="104"/>
  <c r="Z12" i="104"/>
  <c r="V38" i="104"/>
  <c r="V32" i="104"/>
  <c r="T21" i="104"/>
  <c r="V17" i="104"/>
  <c r="V39" i="104"/>
  <c r="V23" i="104"/>
  <c r="V41" i="104"/>
  <c r="V33" i="104"/>
  <c r="V24" i="104"/>
  <c r="V26" i="104"/>
  <c r="V30" i="104"/>
  <c r="V18" i="104"/>
  <c r="V42" i="104"/>
  <c r="V31" i="104"/>
  <c r="H35" i="108"/>
  <c r="N16" i="108"/>
  <c r="P63" i="109"/>
  <c r="D83" i="103"/>
  <c r="L21" i="103"/>
  <c r="N85" i="91"/>
  <c r="L85" i="91"/>
  <c r="X20" i="94"/>
  <c r="Z20" i="94" s="1"/>
  <c r="P72" i="94"/>
  <c r="Z20" i="88"/>
  <c r="T69" i="88"/>
  <c r="R53" i="84"/>
  <c r="Z97" i="76"/>
  <c r="R38" i="83"/>
  <c r="R37" i="83"/>
  <c r="R33" i="83"/>
  <c r="R22" i="83"/>
  <c r="R20" i="83"/>
  <c r="R82" i="83"/>
  <c r="R65" i="83"/>
  <c r="R64" i="83"/>
  <c r="R49" i="83"/>
  <c r="R48" i="83"/>
  <c r="R28" i="83"/>
  <c r="R24" i="83"/>
  <c r="R87" i="83"/>
  <c r="R84" i="83"/>
  <c r="R71" i="83"/>
  <c r="R59" i="83"/>
  <c r="R67" i="83"/>
  <c r="R66" i="83"/>
  <c r="R51" i="83"/>
  <c r="R50" i="83"/>
  <c r="R34" i="83"/>
  <c r="R42" i="83"/>
  <c r="R41" i="83"/>
  <c r="R29" i="83"/>
  <c r="R73" i="83"/>
  <c r="R72" i="83"/>
  <c r="R68" i="83"/>
  <c r="R61" i="83"/>
  <c r="R60" i="83"/>
  <c r="R53" i="83"/>
  <c r="R52" i="83"/>
  <c r="R44" i="83"/>
  <c r="R43" i="83"/>
  <c r="R35" i="83"/>
  <c r="R69" i="83"/>
  <c r="R76" i="83"/>
  <c r="R57" i="83"/>
  <c r="R56" i="83"/>
  <c r="R36" i="83"/>
  <c r="R80" i="83"/>
  <c r="R78" i="83"/>
  <c r="R63" i="83"/>
  <c r="R62" i="83"/>
  <c r="R23" i="83"/>
  <c r="R58" i="83"/>
  <c r="R46" i="83"/>
  <c r="R74" i="83"/>
  <c r="R70" i="83"/>
  <c r="R26" i="83"/>
  <c r="R54" i="83"/>
  <c r="R47" i="83"/>
  <c r="R39" i="83"/>
  <c r="R31" i="83"/>
  <c r="R18" i="83"/>
  <c r="R75" i="83"/>
  <c r="R55" i="83"/>
  <c r="R32" i="83"/>
  <c r="R27" i="83"/>
  <c r="P20" i="83"/>
  <c r="R16" i="83"/>
  <c r="R45" i="83"/>
  <c r="R40" i="83"/>
  <c r="X12" i="83"/>
  <c r="Z12" i="83" s="1"/>
  <c r="R25" i="83"/>
  <c r="R17" i="83"/>
  <c r="R30" i="83"/>
  <c r="D69" i="80"/>
  <c r="L20" i="80"/>
  <c r="Z72" i="75"/>
  <c r="F47" i="73"/>
  <c r="F43" i="73"/>
  <c r="F39" i="73"/>
  <c r="F35" i="73"/>
  <c r="F34" i="73"/>
  <c r="F84" i="73"/>
  <c r="F81" i="73"/>
  <c r="F69" i="73"/>
  <c r="F61" i="73"/>
  <c r="F57" i="73"/>
  <c r="F48" i="73"/>
  <c r="F44" i="73"/>
  <c r="F40" i="73"/>
  <c r="F36" i="73"/>
  <c r="F73" i="73"/>
  <c r="F72" i="73"/>
  <c r="F49" i="73"/>
  <c r="F45" i="73"/>
  <c r="F41" i="73"/>
  <c r="F37" i="73"/>
  <c r="F59" i="73"/>
  <c r="F55" i="73"/>
  <c r="F54" i="73"/>
  <c r="F77" i="73"/>
  <c r="F75" i="73"/>
  <c r="F66" i="73"/>
  <c r="F65" i="73"/>
  <c r="F53" i="73"/>
  <c r="F51" i="73"/>
  <c r="F46" i="73"/>
  <c r="F42" i="73"/>
  <c r="F38" i="73"/>
  <c r="F64" i="73"/>
  <c r="D51" i="73"/>
  <c r="F71" i="73"/>
  <c r="F62" i="73"/>
  <c r="L12" i="73"/>
  <c r="N12" i="73" s="1"/>
  <c r="F60" i="73"/>
  <c r="F58" i="73"/>
  <c r="F67" i="73"/>
  <c r="F56" i="73"/>
  <c r="F63" i="73"/>
  <c r="F79" i="73"/>
  <c r="F70" i="73"/>
  <c r="F68" i="73"/>
  <c r="H98" i="63"/>
  <c r="N16" i="63"/>
  <c r="H49" i="60"/>
  <c r="N16" i="60"/>
  <c r="D58" i="59"/>
  <c r="L16" i="59"/>
  <c r="R100" i="68"/>
  <c r="R95" i="68"/>
  <c r="R94" i="68"/>
  <c r="R105" i="68"/>
  <c r="R98" i="68"/>
  <c r="R97" i="68"/>
  <c r="R102" i="68"/>
  <c r="R99" i="68"/>
  <c r="R88" i="68"/>
  <c r="R87" i="68"/>
  <c r="R79" i="68"/>
  <c r="R96" i="68"/>
  <c r="R93" i="68"/>
  <c r="R74" i="68"/>
  <c r="R70" i="68"/>
  <c r="R89" i="68"/>
  <c r="R61" i="68"/>
  <c r="R57" i="68"/>
  <c r="R53" i="68"/>
  <c r="R49" i="68"/>
  <c r="R45" i="68"/>
  <c r="R111" i="68"/>
  <c r="R81" i="68"/>
  <c r="R80" i="68"/>
  <c r="X12" i="68"/>
  <c r="Z12" i="68" s="1"/>
  <c r="R107" i="68"/>
  <c r="R90" i="68"/>
  <c r="R76" i="68"/>
  <c r="R75" i="68"/>
  <c r="R71" i="68"/>
  <c r="R103" i="68"/>
  <c r="R83" i="68"/>
  <c r="R82" i="68"/>
  <c r="R67" i="68"/>
  <c r="R62" i="68"/>
  <c r="R58" i="68"/>
  <c r="R54" i="68"/>
  <c r="R50" i="68"/>
  <c r="R46" i="68"/>
  <c r="R77" i="68"/>
  <c r="R66" i="68"/>
  <c r="R64" i="68"/>
  <c r="R104" i="68"/>
  <c r="R91" i="68"/>
  <c r="R85" i="68"/>
  <c r="R84" i="68"/>
  <c r="R72" i="68"/>
  <c r="R68" i="68"/>
  <c r="P64" i="68"/>
  <c r="R59" i="68"/>
  <c r="R55" i="68"/>
  <c r="R51" i="68"/>
  <c r="R47" i="68"/>
  <c r="R101" i="68"/>
  <c r="R92" i="68"/>
  <c r="R86" i="68"/>
  <c r="R78" i="68"/>
  <c r="R43" i="68"/>
  <c r="R73" i="68"/>
  <c r="R56" i="68"/>
  <c r="R48" i="68"/>
  <c r="R60" i="68"/>
  <c r="R69" i="68"/>
  <c r="R52" i="68"/>
  <c r="R44" i="68"/>
  <c r="T35" i="55"/>
  <c r="Z97" i="51"/>
  <c r="H63" i="48"/>
  <c r="R115" i="42"/>
  <c r="R81" i="42"/>
  <c r="R80" i="42"/>
  <c r="R73" i="42"/>
  <c r="R72" i="42"/>
  <c r="R36" i="42"/>
  <c r="R32" i="42"/>
  <c r="R114" i="42"/>
  <c r="R111" i="42"/>
  <c r="R104" i="42"/>
  <c r="R103" i="42"/>
  <c r="R87" i="42"/>
  <c r="R64" i="42"/>
  <c r="R63" i="42"/>
  <c r="R55" i="42"/>
  <c r="R120" i="42"/>
  <c r="R113" i="42"/>
  <c r="R98" i="42"/>
  <c r="R94" i="42"/>
  <c r="R82" i="42"/>
  <c r="R75" i="42"/>
  <c r="R74" i="42"/>
  <c r="R46" i="42"/>
  <c r="R42" i="42"/>
  <c r="R23" i="42"/>
  <c r="R106" i="42"/>
  <c r="R105" i="42"/>
  <c r="R66" i="42"/>
  <c r="R65" i="42"/>
  <c r="R37" i="42"/>
  <c r="R33" i="42"/>
  <c r="R88" i="42"/>
  <c r="R77" i="42"/>
  <c r="R76" i="42"/>
  <c r="R107" i="42"/>
  <c r="R99" i="42"/>
  <c r="R95" i="42"/>
  <c r="R84" i="42"/>
  <c r="R83" i="42"/>
  <c r="R67" i="42"/>
  <c r="R48" i="42"/>
  <c r="R47" i="42"/>
  <c r="R43" i="42"/>
  <c r="R90" i="42"/>
  <c r="R89" i="42"/>
  <c r="R85" i="42"/>
  <c r="R58" i="42"/>
  <c r="R57" i="42"/>
  <c r="R50" i="42"/>
  <c r="R49" i="42"/>
  <c r="R30" i="42"/>
  <c r="R108" i="42"/>
  <c r="R100" i="42"/>
  <c r="R96" i="42"/>
  <c r="R69" i="42"/>
  <c r="R68" i="42"/>
  <c r="R44" i="42"/>
  <c r="R29" i="42"/>
  <c r="R27" i="42"/>
  <c r="X12" i="42"/>
  <c r="Z12" i="42" s="1"/>
  <c r="R92" i="42"/>
  <c r="R91" i="42"/>
  <c r="R79" i="42"/>
  <c r="R60" i="42"/>
  <c r="R59" i="42"/>
  <c r="R52" i="42"/>
  <c r="R51" i="42"/>
  <c r="R40" i="42"/>
  <c r="R39" i="42"/>
  <c r="R35" i="42"/>
  <c r="R31" i="42"/>
  <c r="R86" i="42"/>
  <c r="R71" i="42"/>
  <c r="R70" i="42"/>
  <c r="R25" i="42"/>
  <c r="R78" i="42"/>
  <c r="R54" i="42"/>
  <c r="R101" i="42"/>
  <c r="R62" i="42"/>
  <c r="R109" i="42"/>
  <c r="R41" i="42"/>
  <c r="R34" i="42"/>
  <c r="R56" i="42"/>
  <c r="P27" i="42"/>
  <c r="R24" i="42"/>
  <c r="R116" i="42"/>
  <c r="R102" i="42"/>
  <c r="R93" i="42"/>
  <c r="R53" i="42"/>
  <c r="R45" i="42"/>
  <c r="R38" i="42"/>
  <c r="R110" i="42"/>
  <c r="R61" i="42"/>
  <c r="R97" i="42"/>
  <c r="P127" i="39"/>
  <c r="X33" i="39"/>
  <c r="R33" i="39"/>
  <c r="R116" i="36"/>
  <c r="D70" i="92"/>
  <c r="L19" i="92"/>
  <c r="N73" i="24"/>
  <c r="H120" i="24"/>
  <c r="D283" i="18"/>
  <c r="L180" i="18"/>
  <c r="N180" i="18" s="1"/>
  <c r="F252" i="15"/>
  <c r="F235" i="15"/>
  <c r="F234" i="15"/>
  <c r="F250" i="15"/>
  <c r="F238" i="15"/>
  <c r="F237" i="15"/>
  <c r="F206" i="15"/>
  <c r="F205" i="15"/>
  <c r="F186" i="15"/>
  <c r="F178" i="15"/>
  <c r="F177" i="15"/>
  <c r="F157" i="15"/>
  <c r="F150" i="15"/>
  <c r="F146" i="15"/>
  <c r="F142" i="15"/>
  <c r="F138" i="15"/>
  <c r="F134" i="15"/>
  <c r="F130" i="15"/>
  <c r="F126" i="15"/>
  <c r="F122" i="15"/>
  <c r="F118" i="15"/>
  <c r="F114" i="15"/>
  <c r="F110" i="15"/>
  <c r="F106" i="15"/>
  <c r="F105" i="15"/>
  <c r="F243" i="15"/>
  <c r="F225" i="15"/>
  <c r="F213" i="15"/>
  <c r="F197" i="15"/>
  <c r="F196" i="15"/>
  <c r="F173" i="15"/>
  <c r="D155" i="15"/>
  <c r="F244" i="15"/>
  <c r="F233" i="15"/>
  <c r="F230" i="15"/>
  <c r="F220" i="15"/>
  <c r="F208" i="15"/>
  <c r="F207" i="15"/>
  <c r="F188" i="15"/>
  <c r="F187" i="15"/>
  <c r="F180" i="15"/>
  <c r="F179" i="15"/>
  <c r="F168" i="15"/>
  <c r="F164" i="15"/>
  <c r="F160" i="15"/>
  <c r="F240" i="15"/>
  <c r="F239" i="15"/>
  <c r="F226" i="15"/>
  <c r="F215" i="15"/>
  <c r="F214" i="15"/>
  <c r="F151" i="15"/>
  <c r="F147" i="15"/>
  <c r="F143" i="15"/>
  <c r="F139" i="15"/>
  <c r="F135" i="15"/>
  <c r="F131" i="15"/>
  <c r="F127" i="15"/>
  <c r="F123" i="15"/>
  <c r="F119" i="15"/>
  <c r="F115" i="15"/>
  <c r="F111" i="15"/>
  <c r="F107" i="15"/>
  <c r="F227" i="15"/>
  <c r="F210" i="15"/>
  <c r="F209" i="15"/>
  <c r="F198" i="15"/>
  <c r="F174" i="15"/>
  <c r="F170" i="15"/>
  <c r="F169" i="15"/>
  <c r="F258" i="15"/>
  <c r="F221" i="15"/>
  <c r="F189" i="15"/>
  <c r="F181" i="15"/>
  <c r="F165" i="15"/>
  <c r="F161" i="15"/>
  <c r="F231" i="15"/>
  <c r="F216" i="15"/>
  <c r="F200" i="15"/>
  <c r="F199" i="15"/>
  <c r="F152" i="15"/>
  <c r="F148" i="15"/>
  <c r="F144" i="15"/>
  <c r="F140" i="15"/>
  <c r="F136" i="15"/>
  <c r="F132" i="15"/>
  <c r="F128" i="15"/>
  <c r="F124" i="15"/>
  <c r="F120" i="15"/>
  <c r="F116" i="15"/>
  <c r="F112" i="15"/>
  <c r="F108" i="15"/>
  <c r="F246" i="15"/>
  <c r="F241" i="15"/>
  <c r="F211" i="15"/>
  <c r="F191" i="15"/>
  <c r="F190" i="15"/>
  <c r="F183" i="15"/>
  <c r="F182" i="15"/>
  <c r="F175" i="15"/>
  <c r="F171" i="15"/>
  <c r="F248" i="15"/>
  <c r="F247" i="15"/>
  <c r="F228" i="15"/>
  <c r="F222" i="15"/>
  <c r="F202" i="15"/>
  <c r="F201" i="15"/>
  <c r="F166" i="15"/>
  <c r="F162" i="15"/>
  <c r="F253" i="15"/>
  <c r="F251" i="15"/>
  <c r="F242" i="15"/>
  <c r="F232" i="15"/>
  <c r="F224" i="15"/>
  <c r="F223" i="15"/>
  <c r="F212" i="15"/>
  <c r="F204" i="15"/>
  <c r="F203" i="15"/>
  <c r="F176" i="15"/>
  <c r="F172" i="15"/>
  <c r="L12" i="15"/>
  <c r="N12" i="15" s="1"/>
  <c r="F254" i="15"/>
  <c r="F229" i="15"/>
  <c r="F219" i="15"/>
  <c r="F218" i="15"/>
  <c r="F195" i="15"/>
  <c r="F194" i="15"/>
  <c r="F167" i="15"/>
  <c r="F163" i="15"/>
  <c r="F159" i="15"/>
  <c r="F158" i="15"/>
  <c r="F249" i="15"/>
  <c r="F236" i="15"/>
  <c r="F184" i="15"/>
  <c r="F149" i="15"/>
  <c r="F141" i="15"/>
  <c r="F133" i="15"/>
  <c r="F125" i="15"/>
  <c r="F117" i="15"/>
  <c r="F193" i="15"/>
  <c r="F109" i="15"/>
  <c r="F153" i="15"/>
  <c r="F145" i="15"/>
  <c r="F137" i="15"/>
  <c r="F129" i="15"/>
  <c r="F121" i="15"/>
  <c r="F113" i="15"/>
  <c r="F217" i="15"/>
  <c r="F185" i="15"/>
  <c r="F192" i="15"/>
  <c r="X246" i="15"/>
  <c r="X16" i="9"/>
  <c r="P91" i="9"/>
  <c r="L254" i="12"/>
  <c r="N254" i="12" s="1"/>
  <c r="V246" i="12"/>
  <c r="V218" i="12"/>
  <c r="V210" i="12"/>
  <c r="V198" i="12"/>
  <c r="V190" i="12"/>
  <c r="V182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229" i="12"/>
  <c r="V225" i="12"/>
  <c r="V209" i="12"/>
  <c r="V201" i="12"/>
  <c r="V181" i="12"/>
  <c r="V177" i="12"/>
  <c r="T160" i="12"/>
  <c r="V160" i="12" s="1"/>
  <c r="V262" i="12"/>
  <c r="V248" i="12"/>
  <c r="V240" i="12"/>
  <c r="V236" i="12"/>
  <c r="V224" i="12"/>
  <c r="V212" i="12"/>
  <c r="V200" i="12"/>
  <c r="V192" i="12"/>
  <c r="V184" i="12"/>
  <c r="V172" i="12"/>
  <c r="V168" i="12"/>
  <c r="V164" i="12"/>
  <c r="V261" i="12"/>
  <c r="V231" i="12"/>
  <c r="V219" i="12"/>
  <c r="V211" i="12"/>
  <c r="V191" i="12"/>
  <c r="V183" i="12"/>
  <c r="V155" i="12"/>
  <c r="V151" i="12"/>
  <c r="V147" i="12"/>
  <c r="V143" i="12"/>
  <c r="V139" i="12"/>
  <c r="V135" i="12"/>
  <c r="V131" i="12"/>
  <c r="V127" i="12"/>
  <c r="V123" i="12"/>
  <c r="V119" i="12"/>
  <c r="V115" i="12"/>
  <c r="V111" i="12"/>
  <c r="V260" i="12"/>
  <c r="V242" i="12"/>
  <c r="V230" i="12"/>
  <c r="V226" i="12"/>
  <c r="V214" i="12"/>
  <c r="V202" i="12"/>
  <c r="V178" i="12"/>
  <c r="V174" i="12"/>
  <c r="V259" i="12"/>
  <c r="V249" i="12"/>
  <c r="V241" i="12"/>
  <c r="V237" i="12"/>
  <c r="V221" i="12"/>
  <c r="V213" i="12"/>
  <c r="V193" i="12"/>
  <c r="V185" i="12"/>
  <c r="V173" i="12"/>
  <c r="V169" i="12"/>
  <c r="V165" i="12"/>
  <c r="V266" i="12"/>
  <c r="V258" i="12"/>
  <c r="V232" i="12"/>
  <c r="V220" i="12"/>
  <c r="V216" i="12"/>
  <c r="V204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256" i="12"/>
  <c r="V250" i="12"/>
  <c r="V238" i="12"/>
  <c r="V234" i="12"/>
  <c r="V222" i="12"/>
  <c r="V206" i="12"/>
  <c r="V194" i="12"/>
  <c r="V186" i="12"/>
  <c r="V170" i="12"/>
  <c r="V166" i="12"/>
  <c r="V254" i="12"/>
  <c r="V252" i="12"/>
  <c r="V244" i="12"/>
  <c r="V228" i="12"/>
  <c r="V208" i="12"/>
  <c r="V196" i="12"/>
  <c r="V188" i="12"/>
  <c r="V180" i="12"/>
  <c r="V176" i="12"/>
  <c r="Z12" i="12"/>
  <c r="V247" i="12"/>
  <c r="V239" i="12"/>
  <c r="V235" i="12"/>
  <c r="V223" i="12"/>
  <c r="V207" i="12"/>
  <c r="V199" i="12"/>
  <c r="V171" i="12"/>
  <c r="V167" i="12"/>
  <c r="V163" i="12"/>
  <c r="V205" i="12"/>
  <c r="V149" i="12"/>
  <c r="V133" i="12"/>
  <c r="V233" i="12"/>
  <c r="V117" i="12"/>
  <c r="V189" i="12"/>
  <c r="V217" i="12"/>
  <c r="V215" i="12"/>
  <c r="V153" i="12"/>
  <c r="V137" i="12"/>
  <c r="V121" i="12"/>
  <c r="V195" i="12"/>
  <c r="V179" i="12"/>
  <c r="V157" i="12"/>
  <c r="V257" i="12"/>
  <c r="V227" i="12"/>
  <c r="V141" i="12"/>
  <c r="V125" i="12"/>
  <c r="V243" i="12"/>
  <c r="V245" i="12"/>
  <c r="V197" i="12"/>
  <c r="V255" i="12"/>
  <c r="V203" i="12"/>
  <c r="V187" i="12"/>
  <c r="V113" i="12"/>
  <c r="V251" i="12"/>
  <c r="V129" i="12"/>
  <c r="V109" i="12"/>
  <c r="V175" i="12"/>
  <c r="V145" i="12"/>
  <c r="Z16" i="6"/>
  <c r="T22" i="6"/>
  <c r="V294" i="3"/>
  <c r="V288" i="3"/>
  <c r="V276" i="3"/>
  <c r="V272" i="3"/>
  <c r="V260" i="3"/>
  <c r="V248" i="3"/>
  <c r="V236" i="3"/>
  <c r="V228" i="3"/>
  <c r="V220" i="3"/>
  <c r="V212" i="3"/>
  <c r="V208" i="3"/>
  <c r="V293" i="3"/>
  <c r="V283" i="3"/>
  <c r="V267" i="3"/>
  <c r="V255" i="3"/>
  <c r="V247" i="3"/>
  <c r="V227" i="3"/>
  <c r="V203" i="3"/>
  <c r="V199" i="3"/>
  <c r="V195" i="3"/>
  <c r="V292" i="3"/>
  <c r="V290" i="3"/>
  <c r="V282" i="3"/>
  <c r="V266" i="3"/>
  <c r="V262" i="3"/>
  <c r="V250" i="3"/>
  <c r="V238" i="3"/>
  <c r="V230" i="3"/>
  <c r="V222" i="3"/>
  <c r="V214" i="3"/>
  <c r="V194" i="3"/>
  <c r="V192" i="3"/>
  <c r="V190" i="3"/>
  <c r="V186" i="3"/>
  <c r="V182" i="3"/>
  <c r="V178" i="3"/>
  <c r="V174" i="3"/>
  <c r="V170" i="3"/>
  <c r="V166" i="3"/>
  <c r="V162" i="3"/>
  <c r="V158" i="3"/>
  <c r="V154" i="3"/>
  <c r="V150" i="3"/>
  <c r="V146" i="3"/>
  <c r="V142" i="3"/>
  <c r="V138" i="3"/>
  <c r="V134" i="3"/>
  <c r="V303" i="3"/>
  <c r="V285" i="3"/>
  <c r="V277" i="3"/>
  <c r="V273" i="3"/>
  <c r="V257" i="3"/>
  <c r="V249" i="3"/>
  <c r="V229" i="3"/>
  <c r="V213" i="3"/>
  <c r="V209" i="3"/>
  <c r="T192" i="3"/>
  <c r="V302" i="3"/>
  <c r="V284" i="3"/>
  <c r="V268" i="3"/>
  <c r="V256" i="3"/>
  <c r="V252" i="3"/>
  <c r="V240" i="3"/>
  <c r="V232" i="3"/>
  <c r="V216" i="3"/>
  <c r="V204" i="3"/>
  <c r="V200" i="3"/>
  <c r="V196" i="3"/>
  <c r="V301" i="3"/>
  <c r="V263" i="3"/>
  <c r="V251" i="3"/>
  <c r="V239" i="3"/>
  <c r="V231" i="3"/>
  <c r="V223" i="3"/>
  <c r="V215" i="3"/>
  <c r="V187" i="3"/>
  <c r="V183" i="3"/>
  <c r="V179" i="3"/>
  <c r="V175" i="3"/>
  <c r="V171" i="3"/>
  <c r="V167" i="3"/>
  <c r="V163" i="3"/>
  <c r="V159" i="3"/>
  <c r="V155" i="3"/>
  <c r="V151" i="3"/>
  <c r="V312" i="3"/>
  <c r="V311" i="3"/>
  <c r="V307" i="3"/>
  <c r="V299" i="3"/>
  <c r="V269" i="3"/>
  <c r="V253" i="3"/>
  <c r="V241" i="3"/>
  <c r="V233" i="3"/>
  <c r="V225" i="3"/>
  <c r="V217" i="3"/>
  <c r="V205" i="3"/>
  <c r="V201" i="3"/>
  <c r="V197" i="3"/>
  <c r="V298" i="3"/>
  <c r="V280" i="3"/>
  <c r="V264" i="3"/>
  <c r="V244" i="3"/>
  <c r="V224" i="3"/>
  <c r="V188" i="3"/>
  <c r="V184" i="3"/>
  <c r="V180" i="3"/>
  <c r="V176" i="3"/>
  <c r="V296" i="3"/>
  <c r="V254" i="3"/>
  <c r="V246" i="3"/>
  <c r="V226" i="3"/>
  <c r="V218" i="3"/>
  <c r="V202" i="3"/>
  <c r="V198" i="3"/>
  <c r="V295" i="3"/>
  <c r="V289" i="3"/>
  <c r="V281" i="3"/>
  <c r="V265" i="3"/>
  <c r="V261" i="3"/>
  <c r="V245" i="3"/>
  <c r="V237" i="3"/>
  <c r="V221" i="3"/>
  <c r="V189" i="3"/>
  <c r="V185" i="3"/>
  <c r="V181" i="3"/>
  <c r="V177" i="3"/>
  <c r="V274" i="3"/>
  <c r="V271" i="3"/>
  <c r="V165" i="3"/>
  <c r="V161" i="3"/>
  <c r="V135" i="3"/>
  <c r="V235" i="3"/>
  <c r="V207" i="3"/>
  <c r="V286" i="3"/>
  <c r="V270" i="3"/>
  <c r="V210" i="3"/>
  <c r="V148" i="3"/>
  <c r="V144" i="3"/>
  <c r="V259" i="3"/>
  <c r="V152" i="3"/>
  <c r="V297" i="3"/>
  <c r="V279" i="3"/>
  <c r="V219" i="3"/>
  <c r="V156" i="3"/>
  <c r="V140" i="3"/>
  <c r="V136" i="3"/>
  <c r="V234" i="3"/>
  <c r="V206" i="3"/>
  <c r="V172" i="3"/>
  <c r="V168" i="3"/>
  <c r="V160" i="3"/>
  <c r="V243" i="3"/>
  <c r="V164" i="3"/>
  <c r="Z12" i="3"/>
  <c r="V275" i="3"/>
  <c r="V258" i="3"/>
  <c r="V300" i="3"/>
  <c r="V278" i="3"/>
  <c r="V149" i="3"/>
  <c r="V147" i="3"/>
  <c r="V145" i="3"/>
  <c r="V143" i="3"/>
  <c r="V242" i="3"/>
  <c r="V211" i="3"/>
  <c r="V153" i="3"/>
  <c r="V141" i="3"/>
  <c r="V287" i="3"/>
  <c r="V173" i="3"/>
  <c r="V169" i="3"/>
  <c r="V157" i="3"/>
  <c r="V139" i="3"/>
  <c r="V137" i="3"/>
  <c r="V133" i="3"/>
  <c r="F292" i="3"/>
  <c r="H27" i="52"/>
  <c r="N18" i="52"/>
  <c r="L18" i="50"/>
  <c r="D27" i="50"/>
  <c r="X18" i="44"/>
  <c r="P27" i="44"/>
  <c r="X18" i="43"/>
  <c r="P27" i="43"/>
  <c r="L18" i="40"/>
  <c r="D27" i="40"/>
  <c r="L18" i="38"/>
  <c r="D27" i="38"/>
  <c r="T27" i="38"/>
  <c r="Z18" i="38"/>
  <c r="X18" i="28"/>
  <c r="P27" i="28"/>
  <c r="L18" i="29"/>
  <c r="D27" i="29"/>
  <c r="L18" i="23"/>
  <c r="D27" i="23"/>
  <c r="L18" i="22"/>
  <c r="D27" i="22"/>
  <c r="X18" i="22"/>
  <c r="P27" i="22"/>
  <c r="X18" i="10"/>
  <c r="P27" i="10"/>
  <c r="H27" i="14"/>
  <c r="N18" i="14"/>
  <c r="H69" i="88"/>
  <c r="H69" i="80"/>
  <c r="N20" i="80"/>
  <c r="J20" i="80"/>
  <c r="Z56" i="78"/>
  <c r="T76" i="72"/>
  <c r="R72" i="72"/>
  <c r="R70" i="72"/>
  <c r="R58" i="72"/>
  <c r="R53" i="72"/>
  <c r="R52" i="72"/>
  <c r="R41" i="72"/>
  <c r="R40" i="72"/>
  <c r="R36" i="72"/>
  <c r="R25" i="72"/>
  <c r="R23" i="72"/>
  <c r="X12" i="72"/>
  <c r="Z12" i="72" s="1"/>
  <c r="R66" i="72"/>
  <c r="R62" i="72"/>
  <c r="R31" i="72"/>
  <c r="R27" i="72"/>
  <c r="P23" i="72"/>
  <c r="R76" i="72"/>
  <c r="R59" i="72"/>
  <c r="R54" i="72"/>
  <c r="R43" i="72"/>
  <c r="R42" i="72"/>
  <c r="R67" i="72"/>
  <c r="R37" i="72"/>
  <c r="R45" i="72"/>
  <c r="R44" i="72"/>
  <c r="R32" i="72"/>
  <c r="R28" i="72"/>
  <c r="R60" i="72"/>
  <c r="R55" i="72"/>
  <c r="R79" i="72"/>
  <c r="R63" i="72"/>
  <c r="R47" i="72"/>
  <c r="R46" i="72"/>
  <c r="R38" i="72"/>
  <c r="R19" i="72"/>
  <c r="R68" i="72"/>
  <c r="R33" i="72"/>
  <c r="R29" i="72"/>
  <c r="R56" i="72"/>
  <c r="R49" i="72"/>
  <c r="R48" i="72"/>
  <c r="R20" i="72"/>
  <c r="R74" i="72"/>
  <c r="R61" i="72"/>
  <c r="R57" i="72"/>
  <c r="R39" i="72"/>
  <c r="R64" i="72"/>
  <c r="R34" i="72"/>
  <c r="R26" i="72"/>
  <c r="R65" i="72"/>
  <c r="R51" i="72"/>
  <c r="R21" i="72"/>
  <c r="R35" i="72"/>
  <c r="R30" i="72"/>
  <c r="R50" i="72"/>
  <c r="R72" i="73"/>
  <c r="R71" i="73"/>
  <c r="R63" i="73"/>
  <c r="R58" i="73"/>
  <c r="R73" i="73"/>
  <c r="R54" i="73"/>
  <c r="R49" i="73"/>
  <c r="R45" i="73"/>
  <c r="R41" i="73"/>
  <c r="R37" i="73"/>
  <c r="R77" i="73"/>
  <c r="R75" i="73"/>
  <c r="R65" i="73"/>
  <c r="R64" i="73"/>
  <c r="R53" i="73"/>
  <c r="R51" i="73"/>
  <c r="R79" i="73"/>
  <c r="R34" i="73"/>
  <c r="R47" i="73"/>
  <c r="R43" i="73"/>
  <c r="R39" i="73"/>
  <c r="R35" i="73"/>
  <c r="R60" i="73"/>
  <c r="R81" i="73"/>
  <c r="R69" i="73"/>
  <c r="R67" i="73"/>
  <c r="R56" i="73"/>
  <c r="R70" i="73"/>
  <c r="R61" i="73"/>
  <c r="R36" i="73"/>
  <c r="R68" i="73"/>
  <c r="R59" i="73"/>
  <c r="R38" i="73"/>
  <c r="R84" i="73"/>
  <c r="R57" i="73"/>
  <c r="R42" i="73"/>
  <c r="R40" i="73"/>
  <c r="R55" i="73"/>
  <c r="P51" i="73"/>
  <c r="R44" i="73"/>
  <c r="R66" i="73"/>
  <c r="R46" i="73"/>
  <c r="R48" i="73"/>
  <c r="R62" i="73"/>
  <c r="X12" i="73"/>
  <c r="Z12" i="73" s="1"/>
  <c r="V38" i="69"/>
  <c r="V22" i="69"/>
  <c r="V18" i="69"/>
  <c r="V49" i="69"/>
  <c r="V37" i="69"/>
  <c r="V33" i="69"/>
  <c r="T20" i="69"/>
  <c r="V56" i="69"/>
  <c r="V40" i="69"/>
  <c r="V28" i="69"/>
  <c r="V24" i="69"/>
  <c r="V51" i="69"/>
  <c r="V39" i="69"/>
  <c r="V58" i="69"/>
  <c r="V50" i="69"/>
  <c r="V42" i="69"/>
  <c r="V57" i="69"/>
  <c r="V41" i="69"/>
  <c r="V29" i="69"/>
  <c r="V25" i="69"/>
  <c r="V52" i="69"/>
  <c r="V44" i="69"/>
  <c r="V16" i="69"/>
  <c r="V61" i="69"/>
  <c r="V59" i="69"/>
  <c r="V43" i="69"/>
  <c r="V35" i="69"/>
  <c r="V54" i="69"/>
  <c r="V46" i="69"/>
  <c r="V30" i="69"/>
  <c r="V26" i="69"/>
  <c r="V53" i="69"/>
  <c r="V45" i="69"/>
  <c r="V17" i="69"/>
  <c r="V27" i="69"/>
  <c r="V36" i="69"/>
  <c r="V34" i="69"/>
  <c r="V48" i="69"/>
  <c r="V55" i="69"/>
  <c r="Z12" i="69"/>
  <c r="V31" i="69"/>
  <c r="V23" i="69"/>
  <c r="V47" i="69"/>
  <c r="V32" i="69"/>
  <c r="V65" i="69"/>
  <c r="J107" i="68"/>
  <c r="J99" i="68"/>
  <c r="J92" i="68"/>
  <c r="J111" i="68"/>
  <c r="J93" i="68"/>
  <c r="J101" i="68"/>
  <c r="J95" i="68"/>
  <c r="J102" i="68"/>
  <c r="J96" i="68"/>
  <c r="J86" i="68"/>
  <c r="J78" i="68"/>
  <c r="J73" i="68"/>
  <c r="J69" i="68"/>
  <c r="J43" i="68"/>
  <c r="J105" i="68"/>
  <c r="J60" i="68"/>
  <c r="J56" i="68"/>
  <c r="J52" i="68"/>
  <c r="J48" i="68"/>
  <c r="J44" i="68"/>
  <c r="J87" i="68"/>
  <c r="J79" i="68"/>
  <c r="J88" i="68"/>
  <c r="J74" i="68"/>
  <c r="J70" i="68"/>
  <c r="J89" i="68"/>
  <c r="J61" i="68"/>
  <c r="J57" i="68"/>
  <c r="J53" i="68"/>
  <c r="J49" i="68"/>
  <c r="J45" i="68"/>
  <c r="J100" i="68"/>
  <c r="J80" i="68"/>
  <c r="N12" i="68"/>
  <c r="J103" i="68"/>
  <c r="J97" i="68"/>
  <c r="J81" i="68"/>
  <c r="J75" i="68"/>
  <c r="J71" i="68"/>
  <c r="J94" i="68"/>
  <c r="J90" i="68"/>
  <c r="J82" i="68"/>
  <c r="J76" i="68"/>
  <c r="J62" i="68"/>
  <c r="J58" i="68"/>
  <c r="J54" i="68"/>
  <c r="J50" i="68"/>
  <c r="J46" i="68"/>
  <c r="J83" i="68"/>
  <c r="J77" i="68"/>
  <c r="J67" i="68"/>
  <c r="J98" i="68"/>
  <c r="J59" i="68"/>
  <c r="J68" i="68"/>
  <c r="J66" i="68"/>
  <c r="J51" i="68"/>
  <c r="J104" i="68"/>
  <c r="J91" i="68"/>
  <c r="J84" i="68"/>
  <c r="J64" i="68"/>
  <c r="H64" i="68"/>
  <c r="J72" i="68"/>
  <c r="J55" i="68"/>
  <c r="J47" i="68"/>
  <c r="J85" i="68"/>
  <c r="T62" i="67"/>
  <c r="X16" i="54"/>
  <c r="P22" i="54"/>
  <c r="D35" i="55"/>
  <c r="L31" i="55"/>
  <c r="N116" i="36"/>
  <c r="L116" i="36"/>
  <c r="Z87" i="33"/>
  <c r="F57" i="27"/>
  <c r="X16" i="6"/>
  <c r="P22" i="6"/>
  <c r="V238" i="15"/>
  <c r="V254" i="15"/>
  <c r="V258" i="15"/>
  <c r="V227" i="15"/>
  <c r="V221" i="15"/>
  <c r="V201" i="15"/>
  <c r="V189" i="15"/>
  <c r="V181" i="15"/>
  <c r="V165" i="15"/>
  <c r="V161" i="15"/>
  <c r="V247" i="15"/>
  <c r="V246" i="15"/>
  <c r="V235" i="15"/>
  <c r="V216" i="15"/>
  <c r="V200" i="15"/>
  <c r="V192" i="15"/>
  <c r="V184" i="15"/>
  <c r="V152" i="15"/>
  <c r="V148" i="15"/>
  <c r="V144" i="15"/>
  <c r="V140" i="15"/>
  <c r="V136" i="15"/>
  <c r="V132" i="15"/>
  <c r="V128" i="15"/>
  <c r="V124" i="15"/>
  <c r="V120" i="15"/>
  <c r="V116" i="15"/>
  <c r="V112" i="15"/>
  <c r="V108" i="15"/>
  <c r="V252" i="15"/>
  <c r="V251" i="15"/>
  <c r="V249" i="15"/>
  <c r="V248" i="15"/>
  <c r="V241" i="15"/>
  <c r="V231" i="15"/>
  <c r="V223" i="15"/>
  <c r="V211" i="15"/>
  <c r="V203" i="15"/>
  <c r="V191" i="15"/>
  <c r="V183" i="15"/>
  <c r="V175" i="15"/>
  <c r="V171" i="15"/>
  <c r="V253" i="15"/>
  <c r="V250" i="15"/>
  <c r="V228" i="15"/>
  <c r="V222" i="15"/>
  <c r="V218" i="15"/>
  <c r="V202" i="15"/>
  <c r="V194" i="15"/>
  <c r="V166" i="15"/>
  <c r="V162" i="15"/>
  <c r="V158" i="15"/>
  <c r="V237" i="15"/>
  <c r="V217" i="15"/>
  <c r="V205" i="15"/>
  <c r="V193" i="15"/>
  <c r="V185" i="15"/>
  <c r="V177" i="15"/>
  <c r="V157" i="15"/>
  <c r="V153" i="15"/>
  <c r="V149" i="15"/>
  <c r="V145" i="15"/>
  <c r="V141" i="15"/>
  <c r="V137" i="15"/>
  <c r="V133" i="15"/>
  <c r="V129" i="15"/>
  <c r="V125" i="15"/>
  <c r="V121" i="15"/>
  <c r="V117" i="15"/>
  <c r="V113" i="15"/>
  <c r="V109" i="15"/>
  <c r="V105" i="15"/>
  <c r="V236" i="15"/>
  <c r="V232" i="15"/>
  <c r="V224" i="15"/>
  <c r="V212" i="15"/>
  <c r="V204" i="15"/>
  <c r="V196" i="15"/>
  <c r="V176" i="15"/>
  <c r="V172" i="15"/>
  <c r="T155" i="15"/>
  <c r="V155" i="15" s="1"/>
  <c r="V243" i="15"/>
  <c r="V242" i="15"/>
  <c r="V229" i="15"/>
  <c r="V219" i="15"/>
  <c r="V207" i="15"/>
  <c r="V195" i="15"/>
  <c r="V187" i="15"/>
  <c r="V179" i="15"/>
  <c r="V167" i="15"/>
  <c r="V163" i="15"/>
  <c r="V159" i="15"/>
  <c r="V239" i="15"/>
  <c r="V214" i="15"/>
  <c r="V206" i="15"/>
  <c r="V186" i="15"/>
  <c r="V178" i="15"/>
  <c r="V150" i="15"/>
  <c r="V146" i="15"/>
  <c r="V142" i="15"/>
  <c r="V138" i="15"/>
  <c r="V134" i="15"/>
  <c r="V130" i="15"/>
  <c r="V126" i="15"/>
  <c r="V122" i="15"/>
  <c r="V118" i="15"/>
  <c r="V114" i="15"/>
  <c r="V110" i="15"/>
  <c r="V106" i="15"/>
  <c r="V226" i="15"/>
  <c r="V225" i="15"/>
  <c r="V213" i="15"/>
  <c r="V209" i="15"/>
  <c r="V197" i="15"/>
  <c r="V173" i="15"/>
  <c r="V169" i="15"/>
  <c r="V240" i="15"/>
  <c r="V230" i="15"/>
  <c r="V215" i="15"/>
  <c r="V199" i="15"/>
  <c r="V151" i="15"/>
  <c r="V147" i="15"/>
  <c r="V143" i="15"/>
  <c r="V139" i="15"/>
  <c r="V135" i="15"/>
  <c r="V131" i="15"/>
  <c r="V127" i="15"/>
  <c r="V123" i="15"/>
  <c r="V119" i="15"/>
  <c r="V115" i="15"/>
  <c r="V111" i="15"/>
  <c r="V107" i="15"/>
  <c r="V244" i="15"/>
  <c r="V210" i="15"/>
  <c r="V198" i="15"/>
  <c r="V190" i="15"/>
  <c r="V182" i="15"/>
  <c r="V174" i="15"/>
  <c r="V170" i="15"/>
  <c r="V180" i="15"/>
  <c r="V168" i="15"/>
  <c r="V233" i="15"/>
  <c r="V164" i="15"/>
  <c r="V188" i="15"/>
  <c r="V220" i="15"/>
  <c r="V208" i="15"/>
  <c r="V234" i="15"/>
  <c r="V160" i="15"/>
  <c r="D305" i="3"/>
  <c r="L192" i="3"/>
  <c r="N192" i="3" s="1"/>
  <c r="F192" i="3"/>
  <c r="L18" i="52"/>
  <c r="D27" i="52"/>
  <c r="T27" i="47"/>
  <c r="Z18" i="47"/>
  <c r="T27" i="52"/>
  <c r="Z18" i="52"/>
  <c r="L18" i="46"/>
  <c r="D27" i="46"/>
  <c r="H27" i="43"/>
  <c r="N18" i="43"/>
  <c r="L18" i="37"/>
  <c r="D27" i="37"/>
  <c r="N18" i="46"/>
  <c r="H27" i="46"/>
  <c r="T27" i="26"/>
  <c r="Z18" i="26"/>
  <c r="X18" i="16"/>
  <c r="P27" i="16"/>
  <c r="L18" i="13"/>
  <c r="D27" i="13"/>
  <c r="T27" i="14"/>
  <c r="Z18" i="14"/>
  <c r="X18" i="8"/>
  <c r="P27" i="8"/>
  <c r="D83" i="107"/>
  <c r="L21" i="107"/>
  <c r="Z19" i="100"/>
  <c r="T59" i="100"/>
  <c r="H83" i="103"/>
  <c r="N21" i="103"/>
  <c r="R30" i="98"/>
  <c r="R37" i="98"/>
  <c r="R25" i="98"/>
  <c r="R39" i="98"/>
  <c r="R21" i="98"/>
  <c r="R31" i="98"/>
  <c r="R20" i="98"/>
  <c r="R16" i="98"/>
  <c r="R26" i="98"/>
  <c r="R22" i="98"/>
  <c r="P18" i="98"/>
  <c r="R32" i="98"/>
  <c r="X12" i="98"/>
  <c r="Z12" i="98" s="1"/>
  <c r="R27" i="98"/>
  <c r="R23" i="98"/>
  <c r="R34" i="98"/>
  <c r="R33" i="98"/>
  <c r="R43" i="98"/>
  <c r="R29" i="98"/>
  <c r="R35" i="98"/>
  <c r="R24" i="98"/>
  <c r="R36" i="98"/>
  <c r="R28" i="98"/>
  <c r="T70" i="92"/>
  <c r="Z19" i="92"/>
  <c r="V19" i="92"/>
  <c r="L16" i="91"/>
  <c r="D89" i="91"/>
  <c r="D35" i="108"/>
  <c r="L16" i="108"/>
  <c r="L12" i="107"/>
  <c r="N12" i="107" s="1"/>
  <c r="Z16" i="102"/>
  <c r="T46" i="102"/>
  <c r="T85" i="105"/>
  <c r="Z21" i="105"/>
  <c r="D52" i="104"/>
  <c r="P43" i="99"/>
  <c r="X17" i="99"/>
  <c r="Z17" i="99" s="1"/>
  <c r="R21" i="105"/>
  <c r="X56" i="100"/>
  <c r="Z56" i="100" s="1"/>
  <c r="H80" i="97"/>
  <c r="N20" i="97"/>
  <c r="N19" i="92"/>
  <c r="H70" i="92"/>
  <c r="V18" i="85"/>
  <c r="F60" i="79"/>
  <c r="F48" i="79"/>
  <c r="F28" i="79"/>
  <c r="F24" i="79"/>
  <c r="F23" i="79"/>
  <c r="F55" i="79"/>
  <c r="F39" i="79"/>
  <c r="F38" i="79"/>
  <c r="F22" i="79"/>
  <c r="F20" i="79"/>
  <c r="F62" i="79"/>
  <c r="F61" i="79"/>
  <c r="F34" i="79"/>
  <c r="D20" i="79"/>
  <c r="F57" i="79"/>
  <c r="F56" i="79"/>
  <c r="F49" i="79"/>
  <c r="F41" i="79"/>
  <c r="F40" i="79"/>
  <c r="F29" i="79"/>
  <c r="F25" i="79"/>
  <c r="F64" i="79"/>
  <c r="F63" i="79"/>
  <c r="F51" i="79"/>
  <c r="F50" i="79"/>
  <c r="F43" i="79"/>
  <c r="F42" i="79"/>
  <c r="F35" i="79"/>
  <c r="F58" i="79"/>
  <c r="F30" i="79"/>
  <c r="F26" i="79"/>
  <c r="F68" i="79"/>
  <c r="F66" i="79"/>
  <c r="F53" i="79"/>
  <c r="F52" i="79"/>
  <c r="F45" i="79"/>
  <c r="F44" i="79"/>
  <c r="F17" i="79"/>
  <c r="F16" i="79"/>
  <c r="F70" i="79"/>
  <c r="F36" i="79"/>
  <c r="L12" i="79"/>
  <c r="N12" i="79" s="1"/>
  <c r="F59" i="79"/>
  <c r="F47" i="79"/>
  <c r="F46" i="79"/>
  <c r="F54" i="79"/>
  <c r="F18" i="79"/>
  <c r="F75" i="79"/>
  <c r="F37" i="79"/>
  <c r="F32" i="79"/>
  <c r="F72" i="79"/>
  <c r="F27" i="79"/>
  <c r="F33" i="79"/>
  <c r="F31" i="79"/>
  <c r="D75" i="75"/>
  <c r="L28" i="75"/>
  <c r="J56" i="78"/>
  <c r="D63" i="78"/>
  <c r="L24" i="78"/>
  <c r="N24" i="78" s="1"/>
  <c r="V20" i="79"/>
  <c r="F75" i="74"/>
  <c r="H63" i="69"/>
  <c r="N20" i="69"/>
  <c r="L23" i="72"/>
  <c r="D72" i="72"/>
  <c r="X16" i="61"/>
  <c r="P48" i="61"/>
  <c r="T77" i="73"/>
  <c r="H55" i="67"/>
  <c r="N16" i="67"/>
  <c r="L16" i="54"/>
  <c r="D22" i="54"/>
  <c r="V90" i="51"/>
  <c r="V82" i="51"/>
  <c r="V66" i="51"/>
  <c r="V62" i="51"/>
  <c r="V58" i="51"/>
  <c r="V81" i="51"/>
  <c r="V73" i="51"/>
  <c r="V49" i="51"/>
  <c r="V45" i="51"/>
  <c r="V41" i="51"/>
  <c r="V92" i="51"/>
  <c r="V84" i="51"/>
  <c r="V72" i="51"/>
  <c r="V68" i="51"/>
  <c r="Z12" i="51"/>
  <c r="V91" i="51"/>
  <c r="V83" i="51"/>
  <c r="V75" i="51"/>
  <c r="V63" i="51"/>
  <c r="V59" i="51"/>
  <c r="V100" i="51"/>
  <c r="V94" i="51"/>
  <c r="V86" i="51"/>
  <c r="V74" i="51"/>
  <c r="V50" i="51"/>
  <c r="V46" i="51"/>
  <c r="V99" i="51"/>
  <c r="V93" i="51"/>
  <c r="V85" i="51"/>
  <c r="V77" i="51"/>
  <c r="V69" i="51"/>
  <c r="V104" i="51"/>
  <c r="V78" i="51"/>
  <c r="V70" i="51"/>
  <c r="V89" i="51"/>
  <c r="V65" i="51"/>
  <c r="V61" i="51"/>
  <c r="V57" i="51"/>
  <c r="V76" i="51"/>
  <c r="V39" i="51"/>
  <c r="V97" i="51"/>
  <c r="V56" i="51"/>
  <c r="V52" i="51"/>
  <c r="V43" i="51"/>
  <c r="V79" i="51"/>
  <c r="V60" i="51"/>
  <c r="V47" i="51"/>
  <c r="V98" i="51"/>
  <c r="V64" i="51"/>
  <c r="V95" i="51"/>
  <c r="V51" i="51"/>
  <c r="V87" i="51"/>
  <c r="V42" i="51"/>
  <c r="V40" i="51"/>
  <c r="V80" i="51"/>
  <c r="T54" i="51"/>
  <c r="V54" i="51" s="1"/>
  <c r="V44" i="51"/>
  <c r="V67" i="51"/>
  <c r="V48" i="51"/>
  <c r="V88" i="51"/>
  <c r="V71" i="51"/>
  <c r="L16" i="55"/>
  <c r="J97" i="51"/>
  <c r="F122" i="39"/>
  <c r="J116" i="36"/>
  <c r="J108" i="36"/>
  <c r="J78" i="36"/>
  <c r="J68" i="36"/>
  <c r="J109" i="36"/>
  <c r="J91" i="36"/>
  <c r="J79" i="36"/>
  <c r="J49" i="36"/>
  <c r="J39" i="36"/>
  <c r="J35" i="36"/>
  <c r="J110" i="36"/>
  <c r="J102" i="36"/>
  <c r="J98" i="36"/>
  <c r="J86" i="36"/>
  <c r="J80" i="36"/>
  <c r="J87" i="36"/>
  <c r="J81" i="36"/>
  <c r="J69" i="36"/>
  <c r="J59" i="36"/>
  <c r="J51" i="36"/>
  <c r="J45" i="36"/>
  <c r="J92" i="36"/>
  <c r="J88" i="36"/>
  <c r="J70" i="36"/>
  <c r="J60" i="36"/>
  <c r="J111" i="36"/>
  <c r="J103" i="36"/>
  <c r="J99" i="36"/>
  <c r="J93" i="36"/>
  <c r="J71" i="36"/>
  <c r="J61" i="36"/>
  <c r="J53" i="36"/>
  <c r="J41" i="36"/>
  <c r="J95" i="36"/>
  <c r="J89" i="36"/>
  <c r="J73" i="36"/>
  <c r="J63" i="36"/>
  <c r="J55" i="36"/>
  <c r="J37" i="36"/>
  <c r="J33" i="36"/>
  <c r="J112" i="36"/>
  <c r="J104" i="36"/>
  <c r="J100" i="36"/>
  <c r="J96" i="36"/>
  <c r="J119" i="36"/>
  <c r="J113" i="36"/>
  <c r="J105" i="36"/>
  <c r="J83" i="36"/>
  <c r="J75" i="36"/>
  <c r="J65" i="36"/>
  <c r="J118" i="36"/>
  <c r="J114" i="36"/>
  <c r="J106" i="36"/>
  <c r="J90" i="36"/>
  <c r="J84" i="36"/>
  <c r="J76" i="36"/>
  <c r="J66" i="36"/>
  <c r="J117" i="36"/>
  <c r="J64" i="36"/>
  <c r="J48" i="36"/>
  <c r="J36" i="36"/>
  <c r="H28" i="36"/>
  <c r="L28" i="36" s="1"/>
  <c r="J97" i="36"/>
  <c r="J67" i="36"/>
  <c r="J46" i="36"/>
  <c r="J107" i="36"/>
  <c r="J62" i="36"/>
  <c r="J34" i="36"/>
  <c r="J101" i="36"/>
  <c r="J58" i="36"/>
  <c r="J32" i="36"/>
  <c r="J77" i="36"/>
  <c r="J56" i="36"/>
  <c r="J44" i="36"/>
  <c r="J47" i="36"/>
  <c r="J42" i="36"/>
  <c r="J24" i="36"/>
  <c r="J123" i="36"/>
  <c r="J85" i="36"/>
  <c r="J54" i="36"/>
  <c r="J52" i="36"/>
  <c r="J25" i="36"/>
  <c r="J94" i="36"/>
  <c r="N12" i="36"/>
  <c r="J72" i="36"/>
  <c r="J74" i="36"/>
  <c r="J57" i="36"/>
  <c r="J43" i="36"/>
  <c r="J40" i="36"/>
  <c r="J26" i="36"/>
  <c r="J30" i="36"/>
  <c r="J38" i="36"/>
  <c r="J50" i="36"/>
  <c r="J31" i="36"/>
  <c r="J82" i="36"/>
  <c r="F87" i="33"/>
  <c r="X271" i="18"/>
  <c r="Z271" i="18" s="1"/>
  <c r="T115" i="27"/>
  <c r="Z57" i="27"/>
  <c r="R93" i="21"/>
  <c r="R92" i="21"/>
  <c r="R81" i="21"/>
  <c r="R80" i="21"/>
  <c r="R45" i="21"/>
  <c r="R44" i="21"/>
  <c r="R40" i="21"/>
  <c r="X12" i="21"/>
  <c r="Z12" i="21" s="1"/>
  <c r="R87" i="21"/>
  <c r="R76" i="21"/>
  <c r="R75" i="21"/>
  <c r="R68" i="21"/>
  <c r="R67" i="21"/>
  <c r="R56" i="21"/>
  <c r="R55" i="21"/>
  <c r="R35" i="21"/>
  <c r="R31" i="21"/>
  <c r="R95" i="21"/>
  <c r="R94" i="21"/>
  <c r="R83" i="21"/>
  <c r="R82" i="21"/>
  <c r="R47" i="21"/>
  <c r="R46" i="21"/>
  <c r="R77" i="21"/>
  <c r="R70" i="21"/>
  <c r="R69" i="21"/>
  <c r="R58" i="21"/>
  <c r="R57" i="21"/>
  <c r="R41" i="21"/>
  <c r="R22" i="21"/>
  <c r="R96" i="21"/>
  <c r="R88" i="21"/>
  <c r="R84" i="21"/>
  <c r="R49" i="21"/>
  <c r="R48" i="21"/>
  <c r="R36" i="21"/>
  <c r="R32" i="21"/>
  <c r="R98" i="21"/>
  <c r="R71" i="21"/>
  <c r="R60" i="21"/>
  <c r="R59" i="21"/>
  <c r="R23" i="21"/>
  <c r="R89" i="21"/>
  <c r="R85" i="21"/>
  <c r="R62" i="21"/>
  <c r="R61" i="21"/>
  <c r="R38" i="21"/>
  <c r="R37" i="21"/>
  <c r="R33" i="21"/>
  <c r="R102" i="21"/>
  <c r="R72" i="21"/>
  <c r="R52" i="21"/>
  <c r="R29" i="21"/>
  <c r="R79" i="21"/>
  <c r="R64" i="21"/>
  <c r="R63" i="21"/>
  <c r="R91" i="21"/>
  <c r="R90" i="21"/>
  <c r="R86" i="21"/>
  <c r="R34" i="21"/>
  <c r="R30" i="21"/>
  <c r="P26" i="21"/>
  <c r="R74" i="21"/>
  <c r="R73" i="21"/>
  <c r="R66" i="21"/>
  <c r="R65" i="21"/>
  <c r="R54" i="21"/>
  <c r="R53" i="21"/>
  <c r="R78" i="21"/>
  <c r="R51" i="21"/>
  <c r="R42" i="21"/>
  <c r="R26" i="21"/>
  <c r="R24" i="21"/>
  <c r="R50" i="21"/>
  <c r="R39" i="21"/>
  <c r="R28" i="21"/>
  <c r="R43" i="21"/>
  <c r="R180" i="18"/>
  <c r="L16" i="6"/>
  <c r="D22" i="6"/>
  <c r="X12" i="15"/>
  <c r="Z12" i="15" s="1"/>
  <c r="J192" i="3"/>
  <c r="N18" i="50"/>
  <c r="H27" i="50"/>
  <c r="X18" i="46"/>
  <c r="P27" i="46"/>
  <c r="L18" i="44"/>
  <c r="D27" i="44"/>
  <c r="T27" i="41"/>
  <c r="Z18" i="41"/>
  <c r="H27" i="29"/>
  <c r="N18" i="29"/>
  <c r="L18" i="32"/>
  <c r="D27" i="32"/>
  <c r="H27" i="34"/>
  <c r="N18" i="34"/>
  <c r="X18" i="23"/>
  <c r="P27" i="23"/>
  <c r="T27" i="22"/>
  <c r="Z18" i="22"/>
  <c r="T27" i="19"/>
  <c r="Z18" i="19"/>
  <c r="T27" i="16"/>
  <c r="Z18" i="16"/>
  <c r="P27" i="13"/>
  <c r="X18" i="13"/>
  <c r="T31" i="41" l="1"/>
  <c r="Z27" i="41"/>
  <c r="P72" i="72"/>
  <c r="X23" i="72"/>
  <c r="Z23" i="72" s="1"/>
  <c r="L22" i="54"/>
  <c r="D26" i="54"/>
  <c r="H74" i="92"/>
  <c r="J70" i="92"/>
  <c r="T74" i="92"/>
  <c r="V70" i="92"/>
  <c r="D309" i="3"/>
  <c r="L305" i="3"/>
  <c r="F305" i="3"/>
  <c r="H73" i="88"/>
  <c r="J69" i="88"/>
  <c r="L283" i="18"/>
  <c r="D287" i="18"/>
  <c r="F283" i="18"/>
  <c r="L58" i="59"/>
  <c r="D62" i="59"/>
  <c r="H106" i="51"/>
  <c r="J102" i="51"/>
  <c r="D67" i="48"/>
  <c r="L63" i="48"/>
  <c r="F63" i="48"/>
  <c r="D67" i="109"/>
  <c r="L63" i="109"/>
  <c r="N63" i="109" s="1"/>
  <c r="F63" i="109"/>
  <c r="L27" i="4"/>
  <c r="D31" i="4"/>
  <c r="N27" i="41"/>
  <c r="H31" i="41"/>
  <c r="D100" i="21"/>
  <c r="L26" i="21"/>
  <c r="N26" i="21" s="1"/>
  <c r="T96" i="91"/>
  <c r="X66" i="93"/>
  <c r="P70" i="93"/>
  <c r="N27" i="28"/>
  <c r="H31" i="28"/>
  <c r="T26" i="54"/>
  <c r="Z22" i="54"/>
  <c r="P50" i="102"/>
  <c r="X46" i="102"/>
  <c r="P84" i="87"/>
  <c r="X80" i="87"/>
  <c r="D95" i="9"/>
  <c r="L91" i="9"/>
  <c r="N91" i="9" s="1"/>
  <c r="D31" i="7"/>
  <c r="L27" i="7"/>
  <c r="N27" i="22"/>
  <c r="H31" i="22"/>
  <c r="D74" i="56"/>
  <c r="L70" i="56"/>
  <c r="Z27" i="25"/>
  <c r="T31" i="25"/>
  <c r="P31" i="41"/>
  <c r="X27" i="41"/>
  <c r="X27" i="112"/>
  <c r="P31" i="112"/>
  <c r="N27" i="47"/>
  <c r="H31" i="47"/>
  <c r="T53" i="60"/>
  <c r="L27" i="40"/>
  <c r="D31" i="40"/>
  <c r="L27" i="8"/>
  <c r="D31" i="8"/>
  <c r="L27" i="53"/>
  <c r="D31" i="53"/>
  <c r="N27" i="19"/>
  <c r="H31" i="19"/>
  <c r="H67" i="69"/>
  <c r="J63" i="69"/>
  <c r="Z27" i="14"/>
  <c r="T31" i="14"/>
  <c r="N27" i="43"/>
  <c r="H31" i="43"/>
  <c r="L27" i="23"/>
  <c r="D31" i="23"/>
  <c r="X27" i="43"/>
  <c r="P31" i="43"/>
  <c r="H124" i="24"/>
  <c r="J120" i="24"/>
  <c r="T38" i="55"/>
  <c r="D87" i="103"/>
  <c r="L83" i="103"/>
  <c r="F83" i="103"/>
  <c r="H74" i="56"/>
  <c r="N70" i="56"/>
  <c r="H31" i="23"/>
  <c r="N27" i="23"/>
  <c r="L55" i="67"/>
  <c r="D59" i="67"/>
  <c r="H77" i="73"/>
  <c r="X76" i="101"/>
  <c r="P80" i="101"/>
  <c r="H31" i="40"/>
  <c r="N27" i="40"/>
  <c r="H83" i="107"/>
  <c r="N21" i="107"/>
  <c r="H76" i="101"/>
  <c r="N20" i="101"/>
  <c r="H72" i="79"/>
  <c r="J68" i="79"/>
  <c r="N27" i="35"/>
  <c r="H31" i="35"/>
  <c r="P118" i="70"/>
  <c r="R114" i="70"/>
  <c r="D31" i="14"/>
  <c r="L27" i="14"/>
  <c r="D31" i="112"/>
  <c r="L27" i="112"/>
  <c r="P73" i="88"/>
  <c r="X69" i="88"/>
  <c r="L120" i="24"/>
  <c r="N120" i="24" s="1"/>
  <c r="D124" i="24"/>
  <c r="F120" i="24"/>
  <c r="N283" i="18"/>
  <c r="H287" i="18"/>
  <c r="J283" i="18"/>
  <c r="T75" i="58"/>
  <c r="H72" i="94"/>
  <c r="P119" i="27"/>
  <c r="X115" i="27"/>
  <c r="R115" i="27"/>
  <c r="D84" i="87"/>
  <c r="N27" i="25"/>
  <c r="H31" i="25"/>
  <c r="D31" i="19"/>
  <c r="L27" i="19"/>
  <c r="X155" i="15"/>
  <c r="H48" i="104"/>
  <c r="L21" i="104"/>
  <c r="N21" i="104" s="1"/>
  <c r="T63" i="69"/>
  <c r="L27" i="22"/>
  <c r="D31" i="22"/>
  <c r="P95" i="9"/>
  <c r="X91" i="9"/>
  <c r="D256" i="15"/>
  <c r="L155" i="15"/>
  <c r="N155" i="15" s="1"/>
  <c r="H31" i="16"/>
  <c r="N27" i="16"/>
  <c r="D31" i="44"/>
  <c r="L27" i="44"/>
  <c r="Z27" i="22"/>
  <c r="T31" i="22"/>
  <c r="X27" i="23"/>
  <c r="P31" i="23"/>
  <c r="P31" i="46"/>
  <c r="X27" i="46"/>
  <c r="P100" i="21"/>
  <c r="X26" i="21"/>
  <c r="J28" i="36"/>
  <c r="T89" i="105"/>
  <c r="V85" i="105"/>
  <c r="L27" i="13"/>
  <c r="D31" i="13"/>
  <c r="D31" i="46"/>
  <c r="L27" i="46"/>
  <c r="H109" i="68"/>
  <c r="H53" i="60"/>
  <c r="X63" i="109"/>
  <c r="P67" i="109"/>
  <c r="R63" i="109"/>
  <c r="D118" i="70"/>
  <c r="F114" i="70"/>
  <c r="X27" i="37"/>
  <c r="P31" i="37"/>
  <c r="N36" i="33"/>
  <c r="H95" i="33"/>
  <c r="D59" i="100"/>
  <c r="L19" i="100"/>
  <c r="H70" i="109"/>
  <c r="J67" i="109"/>
  <c r="L27" i="43"/>
  <c r="D31" i="43"/>
  <c r="X192" i="3"/>
  <c r="P305" i="3"/>
  <c r="N20" i="93"/>
  <c r="H66" i="93"/>
  <c r="L66" i="93" s="1"/>
  <c r="N19" i="100"/>
  <c r="H59" i="100"/>
  <c r="L46" i="102"/>
  <c r="D50" i="102"/>
  <c r="P95" i="45"/>
  <c r="X91" i="45"/>
  <c r="R91" i="45"/>
  <c r="L160" i="12"/>
  <c r="D264" i="12"/>
  <c r="T31" i="50"/>
  <c r="Z27" i="50"/>
  <c r="H118" i="42"/>
  <c r="L118" i="42" s="1"/>
  <c r="T31" i="11"/>
  <c r="Z27" i="11"/>
  <c r="Z27" i="31"/>
  <c r="T31" i="31"/>
  <c r="T124" i="24"/>
  <c r="V120" i="24"/>
  <c r="N27" i="31"/>
  <c r="H31" i="31"/>
  <c r="P127" i="74"/>
  <c r="X75" i="74"/>
  <c r="P31" i="38"/>
  <c r="X27" i="38"/>
  <c r="T31" i="46"/>
  <c r="Z27" i="46"/>
  <c r="P264" i="12"/>
  <c r="X160" i="12"/>
  <c r="P260" i="15"/>
  <c r="R256" i="15"/>
  <c r="D72" i="94"/>
  <c r="L20" i="94"/>
  <c r="N20" i="94" s="1"/>
  <c r="X27" i="14"/>
  <c r="P31" i="14"/>
  <c r="T100" i="21"/>
  <c r="Z26" i="21"/>
  <c r="L76" i="101"/>
  <c r="D80" i="101"/>
  <c r="T31" i="40"/>
  <c r="Z27" i="40"/>
  <c r="L20" i="83"/>
  <c r="N20" i="83" s="1"/>
  <c r="D80" i="83"/>
  <c r="N55" i="67"/>
  <c r="H59" i="67"/>
  <c r="D68" i="79"/>
  <c r="L20" i="79"/>
  <c r="N20" i="79" s="1"/>
  <c r="T50" i="102"/>
  <c r="Z46" i="102"/>
  <c r="X18" i="98"/>
  <c r="P41" i="98"/>
  <c r="L27" i="29"/>
  <c r="D31" i="29"/>
  <c r="X27" i="44"/>
  <c r="P31" i="44"/>
  <c r="X20" i="83"/>
  <c r="Z20" i="83" s="1"/>
  <c r="P80" i="83"/>
  <c r="N27" i="44"/>
  <c r="H31" i="44"/>
  <c r="P75" i="58"/>
  <c r="X71" i="58"/>
  <c r="Z71" i="58" s="1"/>
  <c r="D125" i="36"/>
  <c r="F121" i="36"/>
  <c r="T31" i="7"/>
  <c r="Z27" i="7"/>
  <c r="D84" i="97"/>
  <c r="L80" i="97"/>
  <c r="T72" i="79"/>
  <c r="V68" i="79"/>
  <c r="P87" i="107"/>
  <c r="X83" i="107"/>
  <c r="Z83" i="107" s="1"/>
  <c r="P77" i="56"/>
  <c r="D31" i="34"/>
  <c r="L27" i="34"/>
  <c r="P86" i="95"/>
  <c r="X20" i="95"/>
  <c r="X27" i="35"/>
  <c r="P31" i="35"/>
  <c r="P53" i="60"/>
  <c r="X49" i="60"/>
  <c r="Z49" i="60" s="1"/>
  <c r="D45" i="98"/>
  <c r="F41" i="98"/>
  <c r="T122" i="42"/>
  <c r="V118" i="42"/>
  <c r="Z27" i="5"/>
  <c r="T31" i="5"/>
  <c r="Z27" i="28"/>
  <c r="T31" i="28"/>
  <c r="D31" i="41"/>
  <c r="L27" i="41"/>
  <c r="H309" i="3"/>
  <c r="N305" i="3"/>
  <c r="J305" i="3"/>
  <c r="V82" i="30"/>
  <c r="T106" i="76"/>
  <c r="V102" i="76"/>
  <c r="Z53" i="84"/>
  <c r="T111" i="84"/>
  <c r="J21" i="104"/>
  <c r="N21" i="82"/>
  <c r="H27" i="82"/>
  <c r="D69" i="88"/>
  <c r="L20" i="88"/>
  <c r="N20" i="88" s="1"/>
  <c r="Z27" i="19"/>
  <c r="T31" i="19"/>
  <c r="D55" i="104"/>
  <c r="P31" i="53"/>
  <c r="X27" i="53"/>
  <c r="T31" i="17"/>
  <c r="Z27" i="17"/>
  <c r="X27" i="16"/>
  <c r="P31" i="16"/>
  <c r="V20" i="69"/>
  <c r="L70" i="92"/>
  <c r="N70" i="92" s="1"/>
  <c r="D74" i="92"/>
  <c r="H102" i="63"/>
  <c r="T73" i="88"/>
  <c r="Z69" i="88"/>
  <c r="V69" i="88"/>
  <c r="H39" i="108"/>
  <c r="T48" i="104"/>
  <c r="X48" i="104" s="1"/>
  <c r="X27" i="110"/>
  <c r="P31" i="110"/>
  <c r="X27" i="4"/>
  <c r="P31" i="4"/>
  <c r="T283" i="18"/>
  <c r="P69" i="57"/>
  <c r="X65" i="57"/>
  <c r="P63" i="69"/>
  <c r="X20" i="69"/>
  <c r="Z20" i="69" s="1"/>
  <c r="P102" i="76"/>
  <c r="X54" i="76"/>
  <c r="Z54" i="76" s="1"/>
  <c r="L27" i="110"/>
  <c r="D31" i="110"/>
  <c r="D69" i="57"/>
  <c r="L65" i="57"/>
  <c r="N65" i="57" s="1"/>
  <c r="L43" i="99"/>
  <c r="N43" i="99" s="1"/>
  <c r="D47" i="99"/>
  <c r="D131" i="74"/>
  <c r="F127" i="74"/>
  <c r="N20" i="87"/>
  <c r="H80" i="87"/>
  <c r="L80" i="87" s="1"/>
  <c r="N27" i="7"/>
  <c r="H31" i="7"/>
  <c r="N27" i="8"/>
  <c r="H31" i="8"/>
  <c r="H115" i="84"/>
  <c r="J111" i="84"/>
  <c r="Z27" i="34"/>
  <c r="T31" i="34"/>
  <c r="N27" i="49"/>
  <c r="H31" i="49"/>
  <c r="L27" i="42"/>
  <c r="N27" i="42" s="1"/>
  <c r="N22" i="54"/>
  <c r="H26" i="54"/>
  <c r="J21" i="82"/>
  <c r="X27" i="25"/>
  <c r="P31" i="25"/>
  <c r="T81" i="73"/>
  <c r="V77" i="73"/>
  <c r="H84" i="97"/>
  <c r="N80" i="97"/>
  <c r="J80" i="97"/>
  <c r="H87" i="103"/>
  <c r="N83" i="103"/>
  <c r="J83" i="103"/>
  <c r="Z27" i="52"/>
  <c r="T31" i="52"/>
  <c r="D38" i="55"/>
  <c r="X51" i="73"/>
  <c r="Z51" i="73" s="1"/>
  <c r="P77" i="73"/>
  <c r="T79" i="72"/>
  <c r="V76" i="72"/>
  <c r="X27" i="28"/>
  <c r="P31" i="28"/>
  <c r="L27" i="50"/>
  <c r="D31" i="50"/>
  <c r="L27" i="47"/>
  <c r="D31" i="47"/>
  <c r="T87" i="107"/>
  <c r="V83" i="107"/>
  <c r="L27" i="16"/>
  <c r="D31" i="16"/>
  <c r="P31" i="52"/>
  <c r="X27" i="52"/>
  <c r="H34" i="85"/>
  <c r="J30" i="85"/>
  <c r="T76" i="94"/>
  <c r="V72" i="94"/>
  <c r="P31" i="5"/>
  <c r="X27" i="5"/>
  <c r="P39" i="108"/>
  <c r="X35" i="108"/>
  <c r="Z35" i="108" s="1"/>
  <c r="X27" i="32"/>
  <c r="P31" i="32"/>
  <c r="T127" i="39"/>
  <c r="Z33" i="39"/>
  <c r="H95" i="45"/>
  <c r="J91" i="45"/>
  <c r="Z75" i="74"/>
  <c r="T127" i="74"/>
  <c r="P115" i="84"/>
  <c r="R111" i="84"/>
  <c r="L155" i="30"/>
  <c r="N155" i="30" s="1"/>
  <c r="D159" i="30"/>
  <c r="F155" i="30"/>
  <c r="T75" i="75"/>
  <c r="T41" i="98"/>
  <c r="Z18" i="98"/>
  <c r="V67" i="48"/>
  <c r="T70" i="48"/>
  <c r="D106" i="51"/>
  <c r="L102" i="51"/>
  <c r="N102" i="51" s="1"/>
  <c r="F102" i="51"/>
  <c r="L27" i="10"/>
  <c r="D31" i="10"/>
  <c r="P31" i="29"/>
  <c r="X27" i="29"/>
  <c r="Z27" i="49"/>
  <c r="T31" i="49"/>
  <c r="H260" i="15"/>
  <c r="J256" i="15"/>
  <c r="P159" i="30"/>
  <c r="R155" i="30"/>
  <c r="P34" i="85"/>
  <c r="X30" i="85"/>
  <c r="R30" i="85"/>
  <c r="X27" i="50"/>
  <c r="P31" i="50"/>
  <c r="X27" i="17"/>
  <c r="P31" i="17"/>
  <c r="X27" i="111"/>
  <c r="P31" i="111"/>
  <c r="D122" i="42"/>
  <c r="F118" i="42"/>
  <c r="N27" i="26"/>
  <c r="H31" i="26"/>
  <c r="L27" i="32"/>
  <c r="D31" i="32"/>
  <c r="T63" i="100"/>
  <c r="V59" i="100"/>
  <c r="P26" i="54"/>
  <c r="X22" i="54"/>
  <c r="H31" i="14"/>
  <c r="N27" i="14"/>
  <c r="T26" i="6"/>
  <c r="Z22" i="6"/>
  <c r="T264" i="12"/>
  <c r="Z160" i="12"/>
  <c r="L51" i="73"/>
  <c r="N51" i="73" s="1"/>
  <c r="D77" i="73"/>
  <c r="V21" i="104"/>
  <c r="L27" i="5"/>
  <c r="D31" i="5"/>
  <c r="T52" i="61"/>
  <c r="H102" i="76"/>
  <c r="Z63" i="109"/>
  <c r="T67" i="109"/>
  <c r="V63" i="109"/>
  <c r="P59" i="67"/>
  <c r="X55" i="67"/>
  <c r="Z55" i="67" s="1"/>
  <c r="X21" i="104"/>
  <c r="Z21" i="104" s="1"/>
  <c r="D31" i="17"/>
  <c r="L27" i="17"/>
  <c r="X31" i="55"/>
  <c r="Z31" i="55" s="1"/>
  <c r="P35" i="55"/>
  <c r="T31" i="8"/>
  <c r="Z27" i="8"/>
  <c r="Z27" i="10"/>
  <c r="T31" i="10"/>
  <c r="P63" i="78"/>
  <c r="X24" i="78"/>
  <c r="Z24" i="78" s="1"/>
  <c r="D91" i="45"/>
  <c r="L23" i="45"/>
  <c r="N23" i="45" s="1"/>
  <c r="T31" i="4"/>
  <c r="Z27" i="4"/>
  <c r="H52" i="61"/>
  <c r="L48" i="61"/>
  <c r="N48" i="61" s="1"/>
  <c r="V75" i="74"/>
  <c r="D85" i="105"/>
  <c r="L21" i="105"/>
  <c r="T31" i="37"/>
  <c r="Z27" i="37"/>
  <c r="T67" i="78"/>
  <c r="V63" i="78"/>
  <c r="D119" i="27"/>
  <c r="L115" i="27"/>
  <c r="F115" i="27"/>
  <c r="H31" i="5"/>
  <c r="N27" i="5"/>
  <c r="H31" i="38"/>
  <c r="N27" i="38"/>
  <c r="P62" i="59"/>
  <c r="X58" i="59"/>
  <c r="T84" i="87"/>
  <c r="Z80" i="87"/>
  <c r="V80" i="87"/>
  <c r="J20" i="94"/>
  <c r="X27" i="34"/>
  <c r="P31" i="34"/>
  <c r="P31" i="47"/>
  <c r="X27" i="47"/>
  <c r="P287" i="18"/>
  <c r="X283" i="18"/>
  <c r="R283" i="18"/>
  <c r="D102" i="76"/>
  <c r="L54" i="76"/>
  <c r="N54" i="76" s="1"/>
  <c r="X27" i="19"/>
  <c r="P31" i="19"/>
  <c r="H67" i="48"/>
  <c r="N63" i="48"/>
  <c r="J63" i="48"/>
  <c r="N27" i="37"/>
  <c r="H31" i="37"/>
  <c r="P31" i="31"/>
  <c r="X27" i="31"/>
  <c r="L98" i="63"/>
  <c r="N98" i="63" s="1"/>
  <c r="D102" i="63"/>
  <c r="X27" i="13"/>
  <c r="P31" i="13"/>
  <c r="D67" i="78"/>
  <c r="L63" i="78"/>
  <c r="N63" i="78" s="1"/>
  <c r="L35" i="108"/>
  <c r="N35" i="108" s="1"/>
  <c r="D39" i="108"/>
  <c r="R18" i="98"/>
  <c r="Z27" i="26"/>
  <c r="T31" i="26"/>
  <c r="T31" i="47"/>
  <c r="Z27" i="47"/>
  <c r="P31" i="10"/>
  <c r="X27" i="10"/>
  <c r="P118" i="42"/>
  <c r="X27" i="42"/>
  <c r="Z27" i="42" s="1"/>
  <c r="L69" i="80"/>
  <c r="D73" i="80"/>
  <c r="H107" i="21"/>
  <c r="J104" i="21"/>
  <c r="T31" i="44"/>
  <c r="Z27" i="44"/>
  <c r="J36" i="33"/>
  <c r="D99" i="33"/>
  <c r="L95" i="33"/>
  <c r="F95" i="33"/>
  <c r="H70" i="78"/>
  <c r="J67" i="78"/>
  <c r="J21" i="107"/>
  <c r="P52" i="104"/>
  <c r="N27" i="112"/>
  <c r="H31" i="112"/>
  <c r="P125" i="36"/>
  <c r="R121" i="36"/>
  <c r="X54" i="51"/>
  <c r="P102" i="51"/>
  <c r="N28" i="75"/>
  <c r="H75" i="75"/>
  <c r="J20" i="93"/>
  <c r="D93" i="95"/>
  <c r="F90" i="95"/>
  <c r="R54" i="76"/>
  <c r="N27" i="110"/>
  <c r="H31" i="110"/>
  <c r="N56" i="70"/>
  <c r="H114" i="70"/>
  <c r="T70" i="93"/>
  <c r="Z66" i="93"/>
  <c r="V66" i="93"/>
  <c r="P95" i="33"/>
  <c r="X36" i="33"/>
  <c r="L27" i="49"/>
  <c r="D31" i="49"/>
  <c r="P93" i="91"/>
  <c r="X89" i="91"/>
  <c r="Z89" i="91" s="1"/>
  <c r="T73" i="80"/>
  <c r="V69" i="80"/>
  <c r="X28" i="75"/>
  <c r="Z28" i="75" s="1"/>
  <c r="P75" i="75"/>
  <c r="X85" i="105"/>
  <c r="Z85" i="105" s="1"/>
  <c r="P89" i="105"/>
  <c r="R85" i="105"/>
  <c r="T50" i="99"/>
  <c r="H62" i="59"/>
  <c r="N58" i="59"/>
  <c r="N27" i="4"/>
  <c r="H31" i="4"/>
  <c r="X180" i="18"/>
  <c r="Z180" i="18" s="1"/>
  <c r="T31" i="29"/>
  <c r="Z27" i="29"/>
  <c r="H35" i="55"/>
  <c r="N31" i="55"/>
  <c r="V26" i="21"/>
  <c r="Z65" i="57"/>
  <c r="T69" i="57"/>
  <c r="T95" i="45"/>
  <c r="Z91" i="45"/>
  <c r="V91" i="45"/>
  <c r="T31" i="20"/>
  <c r="Z27" i="20"/>
  <c r="H31" i="34"/>
  <c r="N27" i="34"/>
  <c r="L22" i="6"/>
  <c r="D26" i="6"/>
  <c r="Z115" i="27"/>
  <c r="T119" i="27"/>
  <c r="V115" i="27"/>
  <c r="X48" i="61"/>
  <c r="Z48" i="61" s="1"/>
  <c r="P52" i="61"/>
  <c r="D93" i="91"/>
  <c r="L89" i="91"/>
  <c r="N89" i="91" s="1"/>
  <c r="N27" i="46"/>
  <c r="H31" i="46"/>
  <c r="L27" i="52"/>
  <c r="D31" i="52"/>
  <c r="Z27" i="38"/>
  <c r="T31" i="38"/>
  <c r="N27" i="52"/>
  <c r="H31" i="52"/>
  <c r="Z192" i="3"/>
  <c r="T305" i="3"/>
  <c r="F155" i="15"/>
  <c r="X127" i="39"/>
  <c r="P131" i="39"/>
  <c r="R127" i="39"/>
  <c r="P109" i="68"/>
  <c r="X64" i="68"/>
  <c r="P76" i="94"/>
  <c r="X72" i="94"/>
  <c r="Z72" i="94" s="1"/>
  <c r="R72" i="94"/>
  <c r="Z27" i="110"/>
  <c r="T31" i="110"/>
  <c r="P73" i="80"/>
  <c r="X69" i="80"/>
  <c r="Z69" i="80" s="1"/>
  <c r="X21" i="103"/>
  <c r="Z21" i="103" s="1"/>
  <c r="P83" i="103"/>
  <c r="D31" i="35"/>
  <c r="L27" i="35"/>
  <c r="L27" i="26"/>
  <c r="D31" i="26"/>
  <c r="D31" i="111"/>
  <c r="L27" i="111"/>
  <c r="N160" i="12"/>
  <c r="H264" i="12"/>
  <c r="T84" i="83"/>
  <c r="V80" i="83"/>
  <c r="N27" i="17"/>
  <c r="H31" i="17"/>
  <c r="L27" i="28"/>
  <c r="D31" i="28"/>
  <c r="H127" i="74"/>
  <c r="N75" i="74"/>
  <c r="Z20" i="95"/>
  <c r="T86" i="95"/>
  <c r="H31" i="10"/>
  <c r="N27" i="10"/>
  <c r="Z27" i="35"/>
  <c r="T31" i="35"/>
  <c r="R20" i="95"/>
  <c r="H31" i="20"/>
  <c r="N27" i="20"/>
  <c r="Z27" i="43"/>
  <c r="T31" i="43"/>
  <c r="X27" i="82"/>
  <c r="Z27" i="82" s="1"/>
  <c r="P31" i="82"/>
  <c r="R27" i="82"/>
  <c r="V18" i="98"/>
  <c r="F54" i="76"/>
  <c r="N33" i="39"/>
  <c r="H127" i="39"/>
  <c r="L127" i="39" s="1"/>
  <c r="Z27" i="111"/>
  <c r="T31" i="111"/>
  <c r="T74" i="56"/>
  <c r="X74" i="56" s="1"/>
  <c r="Z70" i="56"/>
  <c r="T84" i="97"/>
  <c r="V80" i="97"/>
  <c r="X80" i="97"/>
  <c r="Z80" i="97" s="1"/>
  <c r="P84" i="97"/>
  <c r="N27" i="53"/>
  <c r="H31" i="53"/>
  <c r="D75" i="58"/>
  <c r="L71" i="58"/>
  <c r="N71" i="58" s="1"/>
  <c r="N27" i="50"/>
  <c r="H31" i="50"/>
  <c r="Z27" i="16"/>
  <c r="T31" i="16"/>
  <c r="N27" i="29"/>
  <c r="H31" i="29"/>
  <c r="H121" i="36"/>
  <c r="N28" i="36"/>
  <c r="D87" i="107"/>
  <c r="L83" i="107"/>
  <c r="F83" i="107"/>
  <c r="Z155" i="15"/>
  <c r="T256" i="15"/>
  <c r="X27" i="22"/>
  <c r="P31" i="22"/>
  <c r="L27" i="38"/>
  <c r="D31" i="38"/>
  <c r="N115" i="27"/>
  <c r="H119" i="27"/>
  <c r="J115" i="27"/>
  <c r="H31" i="13"/>
  <c r="N27" i="13"/>
  <c r="L27" i="20"/>
  <c r="D31" i="20"/>
  <c r="H159" i="30"/>
  <c r="J155" i="30"/>
  <c r="T34" i="85"/>
  <c r="Z30" i="85"/>
  <c r="V30" i="85"/>
  <c r="X27" i="49"/>
  <c r="P31" i="49"/>
  <c r="H41" i="98"/>
  <c r="N18" i="98"/>
  <c r="N27" i="11"/>
  <c r="H31" i="11"/>
  <c r="Z91" i="9"/>
  <c r="T95" i="9"/>
  <c r="D131" i="39"/>
  <c r="F127" i="39"/>
  <c r="D34" i="85"/>
  <c r="L30" i="85"/>
  <c r="N30" i="85" s="1"/>
  <c r="T95" i="33"/>
  <c r="Z36" i="33"/>
  <c r="N23" i="72"/>
  <c r="H72" i="72"/>
  <c r="L72" i="72" s="1"/>
  <c r="D31" i="11"/>
  <c r="L27" i="11"/>
  <c r="T109" i="68"/>
  <c r="Z64" i="68"/>
  <c r="T102" i="63"/>
  <c r="D111" i="84"/>
  <c r="L53" i="84"/>
  <c r="N53" i="84" s="1"/>
  <c r="X27" i="26"/>
  <c r="P31" i="26"/>
  <c r="L64" i="68"/>
  <c r="N64" i="68" s="1"/>
  <c r="X59" i="100"/>
  <c r="Z59" i="100" s="1"/>
  <c r="P63" i="100"/>
  <c r="H85" i="105"/>
  <c r="N21" i="105"/>
  <c r="H93" i="91"/>
  <c r="X70" i="92"/>
  <c r="Z70" i="92" s="1"/>
  <c r="P74" i="92"/>
  <c r="H84" i="83"/>
  <c r="J80" i="83"/>
  <c r="Z27" i="13"/>
  <c r="T31" i="13"/>
  <c r="P31" i="40"/>
  <c r="X27" i="40"/>
  <c r="T31" i="53"/>
  <c r="Z27" i="53"/>
  <c r="T121" i="36"/>
  <c r="Z28" i="36"/>
  <c r="H75" i="58"/>
  <c r="H86" i="95"/>
  <c r="L20" i="95"/>
  <c r="N20" i="95" s="1"/>
  <c r="P120" i="24"/>
  <c r="X73" i="24"/>
  <c r="Z73" i="24" s="1"/>
  <c r="T31" i="32"/>
  <c r="Z27" i="32"/>
  <c r="T62" i="59"/>
  <c r="Z58" i="59"/>
  <c r="T102" i="51"/>
  <c r="Z54" i="51"/>
  <c r="D76" i="72"/>
  <c r="D79" i="75"/>
  <c r="L75" i="75"/>
  <c r="F75" i="75"/>
  <c r="X43" i="99"/>
  <c r="Z43" i="99" s="1"/>
  <c r="P47" i="99"/>
  <c r="P31" i="8"/>
  <c r="X27" i="8"/>
  <c r="L27" i="37"/>
  <c r="D31" i="37"/>
  <c r="P26" i="6"/>
  <c r="X22" i="6"/>
  <c r="N69" i="80"/>
  <c r="H73" i="80"/>
  <c r="J69" i="80"/>
  <c r="N22" i="6"/>
  <c r="H26" i="6"/>
  <c r="L63" i="69"/>
  <c r="N63" i="69" s="1"/>
  <c r="D67" i="69"/>
  <c r="X27" i="7"/>
  <c r="P31" i="7"/>
  <c r="P102" i="63"/>
  <c r="X98" i="63"/>
  <c r="Z98" i="63" s="1"/>
  <c r="P31" i="20"/>
  <c r="X27" i="20"/>
  <c r="L27" i="31"/>
  <c r="D31" i="31"/>
  <c r="X63" i="48"/>
  <c r="Z63" i="48" s="1"/>
  <c r="R63" i="48"/>
  <c r="P67" i="48"/>
  <c r="P68" i="79"/>
  <c r="X20" i="79"/>
  <c r="Z20" i="79" s="1"/>
  <c r="H47" i="99"/>
  <c r="T87" i="103"/>
  <c r="V83" i="103"/>
  <c r="N27" i="32"/>
  <c r="H31" i="32"/>
  <c r="Z27" i="112"/>
  <c r="T31" i="112"/>
  <c r="P31" i="11"/>
  <c r="X27" i="11"/>
  <c r="H31" i="111"/>
  <c r="N27" i="111"/>
  <c r="D113" i="68"/>
  <c r="L109" i="68"/>
  <c r="F109" i="68"/>
  <c r="T114" i="70"/>
  <c r="X114" i="70" s="1"/>
  <c r="Z56" i="70"/>
  <c r="D31" i="82"/>
  <c r="L27" i="82"/>
  <c r="F27" i="82"/>
  <c r="T80" i="101"/>
  <c r="Z76" i="101"/>
  <c r="V76" i="101"/>
  <c r="Z27" i="23"/>
  <c r="T31" i="23"/>
  <c r="T155" i="30"/>
  <c r="X155" i="30" s="1"/>
  <c r="Z82" i="30"/>
  <c r="D70" i="93"/>
  <c r="D31" i="25"/>
  <c r="L27" i="25"/>
  <c r="H95" i="9"/>
  <c r="L49" i="60"/>
  <c r="N49" i="60" s="1"/>
  <c r="D53" i="60"/>
  <c r="H50" i="102"/>
  <c r="N46" i="102"/>
  <c r="P72" i="79" l="1"/>
  <c r="X68" i="79"/>
  <c r="Z68" i="79" s="1"/>
  <c r="R68" i="79"/>
  <c r="T36" i="20"/>
  <c r="Z36" i="20" s="1"/>
  <c r="Z31" i="20"/>
  <c r="T87" i="87"/>
  <c r="V84" i="87"/>
  <c r="L31" i="4"/>
  <c r="D36" i="4"/>
  <c r="D73" i="93"/>
  <c r="X67" i="48"/>
  <c r="Z67" i="48" s="1"/>
  <c r="P70" i="48"/>
  <c r="R67" i="48"/>
  <c r="T106" i="51"/>
  <c r="V102" i="51"/>
  <c r="X31" i="26"/>
  <c r="P36" i="26"/>
  <c r="Z256" i="15"/>
  <c r="T260" i="15"/>
  <c r="V256" i="15"/>
  <c r="N31" i="52"/>
  <c r="H36" i="52"/>
  <c r="N36" i="52" s="1"/>
  <c r="L93" i="91"/>
  <c r="N93" i="91" s="1"/>
  <c r="D96" i="91"/>
  <c r="T76" i="80"/>
  <c r="V73" i="80"/>
  <c r="J107" i="21"/>
  <c r="L39" i="108"/>
  <c r="D42" i="108"/>
  <c r="D106" i="76"/>
  <c r="L102" i="76"/>
  <c r="F102" i="76"/>
  <c r="X59" i="67"/>
  <c r="Z59" i="67" s="1"/>
  <c r="P62" i="67"/>
  <c r="X62" i="67" s="1"/>
  <c r="Z62" i="67" s="1"/>
  <c r="L31" i="5"/>
  <c r="D36" i="5"/>
  <c r="H36" i="14"/>
  <c r="N36" i="14" s="1"/>
  <c r="N31" i="14"/>
  <c r="P36" i="52"/>
  <c r="X31" i="52"/>
  <c r="X31" i="28"/>
  <c r="P36" i="28"/>
  <c r="H118" i="84"/>
  <c r="J115" i="84"/>
  <c r="T287" i="18"/>
  <c r="Z283" i="18"/>
  <c r="V283" i="18"/>
  <c r="Z31" i="28"/>
  <c r="T36" i="28"/>
  <c r="Z36" i="28" s="1"/>
  <c r="L80" i="83"/>
  <c r="N80" i="83" s="1"/>
  <c r="D84" i="83"/>
  <c r="N95" i="33"/>
  <c r="H99" i="33"/>
  <c r="J95" i="33"/>
  <c r="H290" i="18"/>
  <c r="J287" i="18"/>
  <c r="P121" i="70"/>
  <c r="R118" i="70"/>
  <c r="N83" i="107"/>
  <c r="H87" i="107"/>
  <c r="J83" i="107"/>
  <c r="L31" i="23"/>
  <c r="D36" i="23"/>
  <c r="D36" i="7"/>
  <c r="L31" i="7"/>
  <c r="T31" i="54"/>
  <c r="Z26" i="54"/>
  <c r="L62" i="59"/>
  <c r="D65" i="59"/>
  <c r="T77" i="92"/>
  <c r="V74" i="92"/>
  <c r="P36" i="8"/>
  <c r="X31" i="8"/>
  <c r="Z74" i="56"/>
  <c r="T77" i="56"/>
  <c r="X52" i="61"/>
  <c r="P55" i="61"/>
  <c r="T73" i="93"/>
  <c r="V70" i="93"/>
  <c r="H79" i="75"/>
  <c r="N75" i="75"/>
  <c r="J75" i="75"/>
  <c r="L73" i="80"/>
  <c r="D76" i="80"/>
  <c r="P65" i="59"/>
  <c r="X62" i="59"/>
  <c r="T36" i="37"/>
  <c r="Z36" i="37" s="1"/>
  <c r="Z31" i="37"/>
  <c r="P67" i="78"/>
  <c r="X63" i="78"/>
  <c r="Z63" i="78" s="1"/>
  <c r="D125" i="42"/>
  <c r="F122" i="42"/>
  <c r="P162" i="30"/>
  <c r="R159" i="30"/>
  <c r="L31" i="16"/>
  <c r="D36" i="16"/>
  <c r="H90" i="103"/>
  <c r="J87" i="103"/>
  <c r="N31" i="8"/>
  <c r="H36" i="8"/>
  <c r="N36" i="8" s="1"/>
  <c r="L69" i="57"/>
  <c r="N69" i="57" s="1"/>
  <c r="D72" i="57"/>
  <c r="L72" i="57" s="1"/>
  <c r="N72" i="57" s="1"/>
  <c r="X31" i="53"/>
  <c r="P36" i="53"/>
  <c r="P56" i="60"/>
  <c r="X53" i="60"/>
  <c r="X87" i="107"/>
  <c r="P90" i="107"/>
  <c r="P78" i="58"/>
  <c r="X75" i="58"/>
  <c r="Z75" i="58" s="1"/>
  <c r="X256" i="15"/>
  <c r="T36" i="50"/>
  <c r="Z36" i="50" s="1"/>
  <c r="Z31" i="50"/>
  <c r="H52" i="104"/>
  <c r="J48" i="104"/>
  <c r="L48" i="104"/>
  <c r="N48" i="104" s="1"/>
  <c r="H77" i="56"/>
  <c r="L31" i="8"/>
  <c r="D36" i="8"/>
  <c r="X31" i="112"/>
  <c r="P36" i="112"/>
  <c r="N31" i="28"/>
  <c r="H36" i="28"/>
  <c r="N36" i="28" s="1"/>
  <c r="D36" i="25"/>
  <c r="L31" i="25"/>
  <c r="H36" i="11"/>
  <c r="N36" i="11" s="1"/>
  <c r="N31" i="11"/>
  <c r="L159" i="30"/>
  <c r="N159" i="30" s="1"/>
  <c r="D162" i="30"/>
  <c r="F159" i="30"/>
  <c r="T115" i="84"/>
  <c r="V111" i="84"/>
  <c r="L59" i="100"/>
  <c r="D63" i="100"/>
  <c r="H78" i="58"/>
  <c r="X47" i="99"/>
  <c r="Z47" i="99" s="1"/>
  <c r="P50" i="99"/>
  <c r="X50" i="99" s="1"/>
  <c r="T65" i="59"/>
  <c r="Z62" i="59"/>
  <c r="H45" i="98"/>
  <c r="L45" i="98" s="1"/>
  <c r="J41" i="98"/>
  <c r="H36" i="13"/>
  <c r="N36" i="13" s="1"/>
  <c r="N31" i="13"/>
  <c r="Z31" i="111"/>
  <c r="T36" i="111"/>
  <c r="Z36" i="111" s="1"/>
  <c r="H36" i="20"/>
  <c r="N36" i="20" s="1"/>
  <c r="N31" i="20"/>
  <c r="L31" i="28"/>
  <c r="D36" i="28"/>
  <c r="D36" i="111"/>
  <c r="L31" i="111"/>
  <c r="Z31" i="38"/>
  <c r="T36" i="38"/>
  <c r="Z36" i="38" s="1"/>
  <c r="T98" i="45"/>
  <c r="V95" i="45"/>
  <c r="N62" i="59"/>
  <c r="H65" i="59"/>
  <c r="P96" i="91"/>
  <c r="X96" i="91" s="1"/>
  <c r="Z96" i="91" s="1"/>
  <c r="X93" i="91"/>
  <c r="Z93" i="91" s="1"/>
  <c r="H118" i="70"/>
  <c r="J114" i="70"/>
  <c r="J70" i="78"/>
  <c r="H70" i="48"/>
  <c r="J67" i="48"/>
  <c r="T36" i="10"/>
  <c r="Z36" i="10" s="1"/>
  <c r="Z31" i="10"/>
  <c r="T70" i="109"/>
  <c r="V67" i="109"/>
  <c r="P31" i="54"/>
  <c r="X31" i="54" s="1"/>
  <c r="X26" i="54"/>
  <c r="L106" i="51"/>
  <c r="D109" i="51"/>
  <c r="F106" i="51"/>
  <c r="X111" i="84"/>
  <c r="Z111" i="84" s="1"/>
  <c r="P42" i="108"/>
  <c r="X42" i="108" s="1"/>
  <c r="Z42" i="108" s="1"/>
  <c r="X39" i="108"/>
  <c r="Z39" i="108" s="1"/>
  <c r="L31" i="110"/>
  <c r="D36" i="110"/>
  <c r="T76" i="88"/>
  <c r="V73" i="88"/>
  <c r="Z31" i="5"/>
  <c r="T36" i="5"/>
  <c r="Z36" i="5" s="1"/>
  <c r="X31" i="35"/>
  <c r="P36" i="35"/>
  <c r="H36" i="44"/>
  <c r="N36" i="44" s="1"/>
  <c r="N31" i="44"/>
  <c r="P45" i="98"/>
  <c r="X41" i="98"/>
  <c r="Z41" i="98" s="1"/>
  <c r="R41" i="98"/>
  <c r="P263" i="15"/>
  <c r="R260" i="15"/>
  <c r="D268" i="12"/>
  <c r="L264" i="12"/>
  <c r="F264" i="12"/>
  <c r="X31" i="37"/>
  <c r="P36" i="37"/>
  <c r="P122" i="27"/>
  <c r="X119" i="27"/>
  <c r="R119" i="27"/>
  <c r="N31" i="35"/>
  <c r="H36" i="35"/>
  <c r="N36" i="35" s="1"/>
  <c r="H36" i="40"/>
  <c r="N36" i="40" s="1"/>
  <c r="N31" i="40"/>
  <c r="N31" i="43"/>
  <c r="H36" i="43"/>
  <c r="N36" i="43" s="1"/>
  <c r="D98" i="9"/>
  <c r="L95" i="9"/>
  <c r="Z31" i="43"/>
  <c r="T36" i="43"/>
  <c r="Z36" i="43" s="1"/>
  <c r="T70" i="78"/>
  <c r="V67" i="78"/>
  <c r="X31" i="32"/>
  <c r="P36" i="32"/>
  <c r="Z31" i="17"/>
  <c r="T36" i="17"/>
  <c r="Z36" i="17" s="1"/>
  <c r="T67" i="69"/>
  <c r="V63" i="69"/>
  <c r="T159" i="30"/>
  <c r="Z155" i="30"/>
  <c r="V155" i="30"/>
  <c r="T118" i="70"/>
  <c r="X118" i="70" s="1"/>
  <c r="Z114" i="70"/>
  <c r="V114" i="70"/>
  <c r="N31" i="32"/>
  <c r="H36" i="32"/>
  <c r="N36" i="32" s="1"/>
  <c r="D36" i="31"/>
  <c r="L31" i="31"/>
  <c r="N26" i="6"/>
  <c r="H31" i="6"/>
  <c r="X74" i="92"/>
  <c r="Z74" i="92" s="1"/>
  <c r="P77" i="92"/>
  <c r="D115" i="84"/>
  <c r="L111" i="84"/>
  <c r="N111" i="84" s="1"/>
  <c r="F111" i="84"/>
  <c r="X31" i="49"/>
  <c r="P36" i="49"/>
  <c r="L31" i="26"/>
  <c r="D36" i="26"/>
  <c r="X76" i="94"/>
  <c r="P79" i="94"/>
  <c r="R76" i="94"/>
  <c r="T72" i="57"/>
  <c r="L31" i="49"/>
  <c r="D36" i="49"/>
  <c r="X102" i="51"/>
  <c r="Z102" i="51" s="1"/>
  <c r="P106" i="51"/>
  <c r="R102" i="51"/>
  <c r="D70" i="78"/>
  <c r="L70" i="78" s="1"/>
  <c r="N70" i="78" s="1"/>
  <c r="L67" i="78"/>
  <c r="N67" i="78" s="1"/>
  <c r="P290" i="18"/>
  <c r="X287" i="18"/>
  <c r="R287" i="18"/>
  <c r="H36" i="38"/>
  <c r="N36" i="38" s="1"/>
  <c r="N31" i="38"/>
  <c r="D89" i="105"/>
  <c r="L85" i="105"/>
  <c r="F85" i="105"/>
  <c r="X31" i="111"/>
  <c r="P36" i="111"/>
  <c r="P118" i="84"/>
  <c r="X115" i="84"/>
  <c r="R115" i="84"/>
  <c r="V79" i="72"/>
  <c r="N26" i="54"/>
  <c r="H31" i="54"/>
  <c r="N31" i="7"/>
  <c r="H36" i="7"/>
  <c r="N36" i="7" s="1"/>
  <c r="T36" i="40"/>
  <c r="Z36" i="40" s="1"/>
  <c r="Z31" i="40"/>
  <c r="T127" i="24"/>
  <c r="V124" i="24"/>
  <c r="X305" i="3"/>
  <c r="P309" i="3"/>
  <c r="R305" i="3"/>
  <c r="N109" i="68"/>
  <c r="H113" i="68"/>
  <c r="L113" i="68" s="1"/>
  <c r="J109" i="68"/>
  <c r="X100" i="21"/>
  <c r="P104" i="21"/>
  <c r="R100" i="21"/>
  <c r="H36" i="16"/>
  <c r="N36" i="16" s="1"/>
  <c r="N31" i="16"/>
  <c r="L124" i="24"/>
  <c r="N124" i="24" s="1"/>
  <c r="D127" i="24"/>
  <c r="F124" i="24"/>
  <c r="X80" i="101"/>
  <c r="P83" i="101"/>
  <c r="X70" i="93"/>
  <c r="Z70" i="93" s="1"/>
  <c r="P73" i="93"/>
  <c r="X73" i="93" s="1"/>
  <c r="L67" i="109"/>
  <c r="N67" i="109" s="1"/>
  <c r="D70" i="109"/>
  <c r="F67" i="109"/>
  <c r="L287" i="18"/>
  <c r="N287" i="18" s="1"/>
  <c r="D290" i="18"/>
  <c r="F287" i="18"/>
  <c r="Z31" i="110"/>
  <c r="T36" i="110"/>
  <c r="Z36" i="110" s="1"/>
  <c r="D128" i="36"/>
  <c r="F125" i="36"/>
  <c r="D36" i="44"/>
  <c r="L31" i="44"/>
  <c r="N31" i="47"/>
  <c r="H36" i="47"/>
  <c r="N36" i="47" s="1"/>
  <c r="H131" i="74"/>
  <c r="J127" i="74"/>
  <c r="T36" i="32"/>
  <c r="Z36" i="32" s="1"/>
  <c r="Z31" i="32"/>
  <c r="H122" i="27"/>
  <c r="J119" i="27"/>
  <c r="D90" i="107"/>
  <c r="L87" i="107"/>
  <c r="F87" i="107"/>
  <c r="L75" i="58"/>
  <c r="N75" i="58" s="1"/>
  <c r="D78" i="58"/>
  <c r="L78" i="58" s="1"/>
  <c r="N127" i="39"/>
  <c r="H131" i="39"/>
  <c r="J127" i="39"/>
  <c r="H36" i="17"/>
  <c r="N36" i="17" s="1"/>
  <c r="N31" i="17"/>
  <c r="T122" i="27"/>
  <c r="Z119" i="27"/>
  <c r="V119" i="27"/>
  <c r="Z50" i="99"/>
  <c r="N31" i="110"/>
  <c r="H36" i="110"/>
  <c r="N36" i="110" s="1"/>
  <c r="P122" i="42"/>
  <c r="X118" i="42"/>
  <c r="Z118" i="42" s="1"/>
  <c r="R118" i="42"/>
  <c r="X31" i="13"/>
  <c r="P36" i="13"/>
  <c r="T66" i="100"/>
  <c r="V63" i="100"/>
  <c r="V70" i="48"/>
  <c r="T131" i="74"/>
  <c r="V127" i="74"/>
  <c r="P36" i="5"/>
  <c r="X31" i="5"/>
  <c r="H87" i="97"/>
  <c r="J84" i="97"/>
  <c r="X31" i="4"/>
  <c r="P36" i="4"/>
  <c r="H105" i="63"/>
  <c r="T36" i="19"/>
  <c r="Z36" i="19" s="1"/>
  <c r="Z31" i="19"/>
  <c r="T109" i="76"/>
  <c r="V106" i="76"/>
  <c r="T75" i="79"/>
  <c r="V72" i="79"/>
  <c r="P84" i="83"/>
  <c r="X80" i="83"/>
  <c r="Z80" i="83" s="1"/>
  <c r="D83" i="101"/>
  <c r="X264" i="12"/>
  <c r="P268" i="12"/>
  <c r="R264" i="12"/>
  <c r="Z31" i="31"/>
  <c r="T36" i="31"/>
  <c r="Z36" i="31" s="1"/>
  <c r="H76" i="94"/>
  <c r="J72" i="94"/>
  <c r="D90" i="103"/>
  <c r="L87" i="103"/>
  <c r="N87" i="103" s="1"/>
  <c r="F87" i="103"/>
  <c r="Z31" i="14"/>
  <c r="T36" i="14"/>
  <c r="Z36" i="14" s="1"/>
  <c r="X31" i="41"/>
  <c r="P36" i="41"/>
  <c r="P87" i="87"/>
  <c r="X87" i="87" s="1"/>
  <c r="X84" i="87"/>
  <c r="Z84" i="87" s="1"/>
  <c r="H77" i="92"/>
  <c r="J74" i="92"/>
  <c r="H268" i="12"/>
  <c r="N264" i="12"/>
  <c r="J264" i="12"/>
  <c r="X34" i="85"/>
  <c r="Z34" i="85" s="1"/>
  <c r="P37" i="85"/>
  <c r="R34" i="85"/>
  <c r="L72" i="94"/>
  <c r="N72" i="94" s="1"/>
  <c r="D76" i="94"/>
  <c r="H36" i="23"/>
  <c r="N36" i="23" s="1"/>
  <c r="N31" i="23"/>
  <c r="H53" i="102"/>
  <c r="T125" i="36"/>
  <c r="X125" i="36" s="1"/>
  <c r="V121" i="36"/>
  <c r="H96" i="91"/>
  <c r="T105" i="63"/>
  <c r="L34" i="85"/>
  <c r="D37" i="85"/>
  <c r="N31" i="53"/>
  <c r="H36" i="53"/>
  <c r="N36" i="53" s="1"/>
  <c r="P113" i="68"/>
  <c r="X109" i="68"/>
  <c r="R109" i="68"/>
  <c r="X31" i="19"/>
  <c r="P36" i="19"/>
  <c r="P36" i="47"/>
  <c r="X31" i="47"/>
  <c r="H36" i="5"/>
  <c r="N36" i="5" s="1"/>
  <c r="N31" i="5"/>
  <c r="T36" i="8"/>
  <c r="Z36" i="8" s="1"/>
  <c r="Z31" i="8"/>
  <c r="D81" i="73"/>
  <c r="L77" i="73"/>
  <c r="N77" i="73" s="1"/>
  <c r="X31" i="17"/>
  <c r="P36" i="17"/>
  <c r="H263" i="15"/>
  <c r="J260" i="15"/>
  <c r="Z87" i="107"/>
  <c r="T90" i="107"/>
  <c r="V87" i="107"/>
  <c r="X77" i="73"/>
  <c r="Z77" i="73" s="1"/>
  <c r="P81" i="73"/>
  <c r="N80" i="87"/>
  <c r="H84" i="87"/>
  <c r="J80" i="87"/>
  <c r="X102" i="76"/>
  <c r="Z102" i="76" s="1"/>
  <c r="P106" i="76"/>
  <c r="R102" i="76"/>
  <c r="L74" i="92"/>
  <c r="N74" i="92" s="1"/>
  <c r="D77" i="92"/>
  <c r="L77" i="92" s="1"/>
  <c r="T53" i="102"/>
  <c r="L31" i="43"/>
  <c r="D36" i="43"/>
  <c r="L114" i="70"/>
  <c r="N114" i="70" s="1"/>
  <c r="D36" i="46"/>
  <c r="L31" i="46"/>
  <c r="P36" i="46"/>
  <c r="X31" i="46"/>
  <c r="L256" i="15"/>
  <c r="N256" i="15" s="1"/>
  <c r="D260" i="15"/>
  <c r="F256" i="15"/>
  <c r="H75" i="79"/>
  <c r="J72" i="79"/>
  <c r="L31" i="40"/>
  <c r="D36" i="40"/>
  <c r="Z31" i="25"/>
  <c r="T36" i="25"/>
  <c r="Z36" i="25" s="1"/>
  <c r="L26" i="54"/>
  <c r="D31" i="54"/>
  <c r="L31" i="53"/>
  <c r="D36" i="53"/>
  <c r="L67" i="69"/>
  <c r="N67" i="69" s="1"/>
  <c r="D70" i="69"/>
  <c r="L53" i="60"/>
  <c r="D56" i="60"/>
  <c r="Z31" i="23"/>
  <c r="T36" i="23"/>
  <c r="Z36" i="23" s="1"/>
  <c r="D116" i="68"/>
  <c r="F113" i="68"/>
  <c r="P36" i="20"/>
  <c r="X31" i="20"/>
  <c r="N73" i="80"/>
  <c r="H76" i="80"/>
  <c r="J73" i="80"/>
  <c r="P124" i="24"/>
  <c r="X120" i="24"/>
  <c r="Z120" i="24" s="1"/>
  <c r="R120" i="24"/>
  <c r="L31" i="38"/>
  <c r="D36" i="38"/>
  <c r="Z31" i="35"/>
  <c r="T36" i="35"/>
  <c r="Z36" i="35" s="1"/>
  <c r="D36" i="35"/>
  <c r="L31" i="35"/>
  <c r="L26" i="6"/>
  <c r="D31" i="6"/>
  <c r="L31" i="6" s="1"/>
  <c r="P92" i="105"/>
  <c r="X89" i="105"/>
  <c r="R89" i="105"/>
  <c r="P128" i="36"/>
  <c r="R125" i="36"/>
  <c r="D102" i="33"/>
  <c r="L99" i="33"/>
  <c r="F99" i="33"/>
  <c r="P36" i="10"/>
  <c r="X31" i="10"/>
  <c r="L102" i="63"/>
  <c r="N102" i="63" s="1"/>
  <c r="D105" i="63"/>
  <c r="L105" i="63" s="1"/>
  <c r="X31" i="34"/>
  <c r="P36" i="34"/>
  <c r="X35" i="55"/>
  <c r="Z35" i="55" s="1"/>
  <c r="P38" i="55"/>
  <c r="X38" i="55" s="1"/>
  <c r="Z38" i="55" s="1"/>
  <c r="Z31" i="49"/>
  <c r="T36" i="49"/>
  <c r="Z36" i="49" s="1"/>
  <c r="Z76" i="94"/>
  <c r="T79" i="94"/>
  <c r="V76" i="94"/>
  <c r="L31" i="47"/>
  <c r="D36" i="47"/>
  <c r="N31" i="49"/>
  <c r="H36" i="49"/>
  <c r="N36" i="49" s="1"/>
  <c r="X31" i="110"/>
  <c r="P36" i="110"/>
  <c r="T125" i="42"/>
  <c r="V122" i="42"/>
  <c r="D87" i="97"/>
  <c r="L84" i="97"/>
  <c r="N84" i="97" s="1"/>
  <c r="P36" i="44"/>
  <c r="X31" i="44"/>
  <c r="T36" i="46"/>
  <c r="Z36" i="46" s="1"/>
  <c r="Z31" i="46"/>
  <c r="P98" i="45"/>
  <c r="X95" i="45"/>
  <c r="Z95" i="45" s="1"/>
  <c r="R95" i="45"/>
  <c r="D121" i="70"/>
  <c r="L118" i="70"/>
  <c r="F118" i="70"/>
  <c r="L31" i="13"/>
  <c r="D36" i="13"/>
  <c r="X31" i="23"/>
  <c r="P36" i="23"/>
  <c r="P76" i="88"/>
  <c r="X76" i="88" s="1"/>
  <c r="X73" i="88"/>
  <c r="Z73" i="88" s="1"/>
  <c r="H81" i="73"/>
  <c r="J77" i="73"/>
  <c r="H76" i="88"/>
  <c r="J73" i="88"/>
  <c r="N39" i="108"/>
  <c r="H42" i="108"/>
  <c r="N118" i="42"/>
  <c r="H122" i="42"/>
  <c r="L122" i="42" s="1"/>
  <c r="J118" i="42"/>
  <c r="T99" i="33"/>
  <c r="V95" i="33"/>
  <c r="T90" i="103"/>
  <c r="V87" i="103"/>
  <c r="T36" i="53"/>
  <c r="Z36" i="53" s="1"/>
  <c r="Z31" i="53"/>
  <c r="Z109" i="68"/>
  <c r="T113" i="68"/>
  <c r="V109" i="68"/>
  <c r="L131" i="39"/>
  <c r="D134" i="39"/>
  <c r="F131" i="39"/>
  <c r="T37" i="85"/>
  <c r="V34" i="85"/>
  <c r="X84" i="97"/>
  <c r="P87" i="97"/>
  <c r="P87" i="103"/>
  <c r="X83" i="103"/>
  <c r="Z83" i="103" s="1"/>
  <c r="R83" i="103"/>
  <c r="P134" i="39"/>
  <c r="R131" i="39"/>
  <c r="L31" i="52"/>
  <c r="D36" i="52"/>
  <c r="H38" i="55"/>
  <c r="N35" i="55"/>
  <c r="X121" i="36"/>
  <c r="Z121" i="36" s="1"/>
  <c r="H55" i="61"/>
  <c r="N52" i="61"/>
  <c r="L52" i="61"/>
  <c r="H106" i="76"/>
  <c r="N102" i="76"/>
  <c r="J102" i="76"/>
  <c r="X31" i="50"/>
  <c r="P36" i="50"/>
  <c r="T45" i="98"/>
  <c r="V41" i="98"/>
  <c r="H98" i="45"/>
  <c r="J95" i="45"/>
  <c r="L35" i="55"/>
  <c r="L69" i="88"/>
  <c r="N69" i="88" s="1"/>
  <c r="D73" i="88"/>
  <c r="P90" i="95"/>
  <c r="X86" i="95"/>
  <c r="Z86" i="95" s="1"/>
  <c r="R86" i="95"/>
  <c r="D72" i="79"/>
  <c r="L68" i="79"/>
  <c r="N68" i="79" s="1"/>
  <c r="Z100" i="21"/>
  <c r="T104" i="21"/>
  <c r="V100" i="21"/>
  <c r="T36" i="11"/>
  <c r="Z36" i="11" s="1"/>
  <c r="Z31" i="11"/>
  <c r="L50" i="102"/>
  <c r="N50" i="102" s="1"/>
  <c r="D53" i="102"/>
  <c r="P98" i="9"/>
  <c r="X95" i="9"/>
  <c r="Z95" i="9" s="1"/>
  <c r="D36" i="19"/>
  <c r="L31" i="19"/>
  <c r="L59" i="67"/>
  <c r="D62" i="67"/>
  <c r="L31" i="20"/>
  <c r="D36" i="20"/>
  <c r="N31" i="4"/>
  <c r="H36" i="4"/>
  <c r="N36" i="4" s="1"/>
  <c r="L91" i="45"/>
  <c r="N91" i="45" s="1"/>
  <c r="D95" i="45"/>
  <c r="F91" i="45"/>
  <c r="D36" i="41"/>
  <c r="L31" i="41"/>
  <c r="N66" i="93"/>
  <c r="H70" i="93"/>
  <c r="J66" i="93"/>
  <c r="D34" i="82"/>
  <c r="F31" i="82"/>
  <c r="H87" i="83"/>
  <c r="J84" i="83"/>
  <c r="H36" i="111"/>
  <c r="N36" i="111" s="1"/>
  <c r="N31" i="111"/>
  <c r="D82" i="75"/>
  <c r="F79" i="75"/>
  <c r="N86" i="95"/>
  <c r="H90" i="95"/>
  <c r="L86" i="95"/>
  <c r="J86" i="95"/>
  <c r="N85" i="105"/>
  <c r="H89" i="105"/>
  <c r="J85" i="105"/>
  <c r="X31" i="22"/>
  <c r="P36" i="22"/>
  <c r="H125" i="36"/>
  <c r="L125" i="36" s="1"/>
  <c r="J121" i="36"/>
  <c r="T87" i="83"/>
  <c r="V84" i="83"/>
  <c r="X75" i="75"/>
  <c r="Z75" i="75" s="1"/>
  <c r="P79" i="75"/>
  <c r="R75" i="75"/>
  <c r="P99" i="33"/>
  <c r="X95" i="33"/>
  <c r="Z95" i="33" s="1"/>
  <c r="R95" i="33"/>
  <c r="F93" i="95"/>
  <c r="N31" i="112"/>
  <c r="H36" i="112"/>
  <c r="N36" i="112" s="1"/>
  <c r="T36" i="47"/>
  <c r="Z36" i="47" s="1"/>
  <c r="Z31" i="47"/>
  <c r="L119" i="27"/>
  <c r="N119" i="27" s="1"/>
  <c r="D122" i="27"/>
  <c r="F119" i="27"/>
  <c r="Z52" i="61"/>
  <c r="T55" i="61"/>
  <c r="Z264" i="12"/>
  <c r="T268" i="12"/>
  <c r="V264" i="12"/>
  <c r="L31" i="32"/>
  <c r="D36" i="32"/>
  <c r="T79" i="75"/>
  <c r="V75" i="75"/>
  <c r="L38" i="55"/>
  <c r="Z31" i="34"/>
  <c r="T36" i="34"/>
  <c r="Z36" i="34" s="1"/>
  <c r="D134" i="74"/>
  <c r="F131" i="74"/>
  <c r="P67" i="69"/>
  <c r="X63" i="69"/>
  <c r="Z63" i="69" s="1"/>
  <c r="T52" i="104"/>
  <c r="Z48" i="104"/>
  <c r="V48" i="104"/>
  <c r="X31" i="16"/>
  <c r="P36" i="16"/>
  <c r="H31" i="82"/>
  <c r="N27" i="82"/>
  <c r="J27" i="82"/>
  <c r="L41" i="98"/>
  <c r="N41" i="98" s="1"/>
  <c r="T36" i="7"/>
  <c r="Z36" i="7" s="1"/>
  <c r="Z31" i="7"/>
  <c r="L31" i="29"/>
  <c r="D36" i="29"/>
  <c r="X31" i="14"/>
  <c r="P36" i="14"/>
  <c r="P36" i="38"/>
  <c r="X31" i="38"/>
  <c r="J70" i="109"/>
  <c r="X67" i="109"/>
  <c r="Z67" i="109" s="1"/>
  <c r="P70" i="109"/>
  <c r="R67" i="109"/>
  <c r="Z31" i="22"/>
  <c r="T36" i="22"/>
  <c r="Z36" i="22" s="1"/>
  <c r="L31" i="22"/>
  <c r="D36" i="22"/>
  <c r="N31" i="25"/>
  <c r="H36" i="25"/>
  <c r="N36" i="25" s="1"/>
  <c r="D36" i="112"/>
  <c r="L31" i="112"/>
  <c r="N76" i="101"/>
  <c r="H80" i="101"/>
  <c r="L80" i="101" s="1"/>
  <c r="J76" i="101"/>
  <c r="H127" i="24"/>
  <c r="J124" i="24"/>
  <c r="H70" i="69"/>
  <c r="J67" i="69"/>
  <c r="L74" i="56"/>
  <c r="N74" i="56" s="1"/>
  <c r="D77" i="56"/>
  <c r="D104" i="21"/>
  <c r="L100" i="21"/>
  <c r="N100" i="21" s="1"/>
  <c r="L67" i="48"/>
  <c r="N67" i="48" s="1"/>
  <c r="D70" i="48"/>
  <c r="F67" i="48"/>
  <c r="X72" i="72"/>
  <c r="Z72" i="72" s="1"/>
  <c r="P76" i="72"/>
  <c r="X31" i="7"/>
  <c r="P36" i="7"/>
  <c r="Z84" i="97"/>
  <c r="T87" i="97"/>
  <c r="V84" i="97"/>
  <c r="N31" i="50"/>
  <c r="H36" i="50"/>
  <c r="N36" i="50" s="1"/>
  <c r="H98" i="9"/>
  <c r="N95" i="9"/>
  <c r="H50" i="99"/>
  <c r="P31" i="6"/>
  <c r="X26" i="6"/>
  <c r="D79" i="72"/>
  <c r="P36" i="40"/>
  <c r="X31" i="40"/>
  <c r="X63" i="100"/>
  <c r="Z63" i="100" s="1"/>
  <c r="P66" i="100"/>
  <c r="D36" i="11"/>
  <c r="L31" i="11"/>
  <c r="T98" i="9"/>
  <c r="H162" i="30"/>
  <c r="J159" i="30"/>
  <c r="N31" i="29"/>
  <c r="H36" i="29"/>
  <c r="N36" i="29" s="1"/>
  <c r="X31" i="82"/>
  <c r="Z31" i="82" s="1"/>
  <c r="P34" i="82"/>
  <c r="R31" i="82"/>
  <c r="N31" i="10"/>
  <c r="H36" i="10"/>
  <c r="N36" i="10" s="1"/>
  <c r="N31" i="46"/>
  <c r="H36" i="46"/>
  <c r="N36" i="46" s="1"/>
  <c r="H36" i="34"/>
  <c r="N36" i="34" s="1"/>
  <c r="N31" i="34"/>
  <c r="Z31" i="29"/>
  <c r="T36" i="29"/>
  <c r="Z36" i="29" s="1"/>
  <c r="Z31" i="44"/>
  <c r="T36" i="44"/>
  <c r="Z36" i="44" s="1"/>
  <c r="Z31" i="26"/>
  <c r="T36" i="26"/>
  <c r="Z36" i="26" s="1"/>
  <c r="P36" i="31"/>
  <c r="X31" i="31"/>
  <c r="Z31" i="4"/>
  <c r="T36" i="4"/>
  <c r="Z36" i="4" s="1"/>
  <c r="D36" i="17"/>
  <c r="L31" i="17"/>
  <c r="P36" i="29"/>
  <c r="X31" i="29"/>
  <c r="Z31" i="52"/>
  <c r="T36" i="52"/>
  <c r="Z36" i="52" s="1"/>
  <c r="T84" i="73"/>
  <c r="V81" i="73"/>
  <c r="L127" i="74"/>
  <c r="N127" i="74" s="1"/>
  <c r="H314" i="3"/>
  <c r="J309" i="3"/>
  <c r="D48" i="98"/>
  <c r="F45" i="98"/>
  <c r="D36" i="34"/>
  <c r="L31" i="34"/>
  <c r="H63" i="100"/>
  <c r="N59" i="100"/>
  <c r="T92" i="105"/>
  <c r="Z89" i="105"/>
  <c r="V89" i="105"/>
  <c r="T78" i="58"/>
  <c r="N31" i="19"/>
  <c r="H36" i="19"/>
  <c r="N36" i="19" s="1"/>
  <c r="N31" i="22"/>
  <c r="H36" i="22"/>
  <c r="N36" i="22" s="1"/>
  <c r="N31" i="41"/>
  <c r="H36" i="41"/>
  <c r="N36" i="41" s="1"/>
  <c r="Z31" i="112"/>
  <c r="T36" i="112"/>
  <c r="Z36" i="112" s="1"/>
  <c r="Z31" i="16"/>
  <c r="T36" i="16"/>
  <c r="Z36" i="16" s="1"/>
  <c r="N31" i="31"/>
  <c r="H36" i="31"/>
  <c r="N36" i="31" s="1"/>
  <c r="N106" i="51"/>
  <c r="H109" i="51"/>
  <c r="J106" i="51"/>
  <c r="T83" i="101"/>
  <c r="Z80" i="101"/>
  <c r="V80" i="101"/>
  <c r="P36" i="11"/>
  <c r="X31" i="11"/>
  <c r="P105" i="63"/>
  <c r="X105" i="63" s="1"/>
  <c r="X102" i="63"/>
  <c r="Z102" i="63" s="1"/>
  <c r="L31" i="37"/>
  <c r="D36" i="37"/>
  <c r="Z31" i="13"/>
  <c r="T36" i="13"/>
  <c r="Z36" i="13" s="1"/>
  <c r="N72" i="72"/>
  <c r="H76" i="72"/>
  <c r="J72" i="72"/>
  <c r="T90" i="95"/>
  <c r="V86" i="95"/>
  <c r="X73" i="80"/>
  <c r="Z73" i="80" s="1"/>
  <c r="P76" i="80"/>
  <c r="X76" i="80" s="1"/>
  <c r="Z305" i="3"/>
  <c r="T309" i="3"/>
  <c r="V305" i="3"/>
  <c r="X52" i="104"/>
  <c r="P55" i="104"/>
  <c r="N31" i="37"/>
  <c r="H36" i="37"/>
  <c r="N36" i="37" s="1"/>
  <c r="T31" i="6"/>
  <c r="Z26" i="6"/>
  <c r="N31" i="26"/>
  <c r="H36" i="26"/>
  <c r="N36" i="26" s="1"/>
  <c r="L31" i="10"/>
  <c r="D36" i="10"/>
  <c r="Z127" i="39"/>
  <c r="T131" i="39"/>
  <c r="X131" i="39" s="1"/>
  <c r="V127" i="39"/>
  <c r="N34" i="85"/>
  <c r="H37" i="85"/>
  <c r="J34" i="85"/>
  <c r="L31" i="50"/>
  <c r="D36" i="50"/>
  <c r="X31" i="25"/>
  <c r="P36" i="25"/>
  <c r="L47" i="99"/>
  <c r="N47" i="99" s="1"/>
  <c r="D50" i="99"/>
  <c r="P72" i="57"/>
  <c r="X72" i="57" s="1"/>
  <c r="X69" i="57"/>
  <c r="Z69" i="57" s="1"/>
  <c r="X77" i="56"/>
  <c r="L121" i="36"/>
  <c r="N121" i="36" s="1"/>
  <c r="N59" i="67"/>
  <c r="H62" i="67"/>
  <c r="P131" i="74"/>
  <c r="X127" i="74"/>
  <c r="Z127" i="74" s="1"/>
  <c r="R127" i="74"/>
  <c r="N53" i="60"/>
  <c r="H56" i="60"/>
  <c r="L84" i="87"/>
  <c r="D87" i="87"/>
  <c r="D36" i="14"/>
  <c r="L31" i="14"/>
  <c r="X31" i="43"/>
  <c r="P36" i="43"/>
  <c r="Z53" i="60"/>
  <c r="T56" i="60"/>
  <c r="P53" i="102"/>
  <c r="X50" i="102"/>
  <c r="Z50" i="102" s="1"/>
  <c r="L309" i="3"/>
  <c r="N309" i="3" s="1"/>
  <c r="D314" i="3"/>
  <c r="F309" i="3"/>
  <c r="Z31" i="41"/>
  <c r="T36" i="41"/>
  <c r="Z36" i="41" s="1"/>
  <c r="X66" i="100" l="1"/>
  <c r="L87" i="97"/>
  <c r="L53" i="102"/>
  <c r="N53" i="102" s="1"/>
  <c r="X77" i="92"/>
  <c r="L36" i="11"/>
  <c r="X36" i="25"/>
  <c r="X36" i="31"/>
  <c r="X36" i="5"/>
  <c r="X36" i="110"/>
  <c r="L36" i="52"/>
  <c r="X36" i="10"/>
  <c r="X36" i="37"/>
  <c r="L36" i="8"/>
  <c r="X36" i="40"/>
  <c r="X36" i="7"/>
  <c r="L36" i="17"/>
  <c r="X36" i="50"/>
  <c r="L36" i="40"/>
  <c r="L36" i="13"/>
  <c r="L36" i="34"/>
  <c r="L36" i="20"/>
  <c r="L36" i="38"/>
  <c r="X36" i="38"/>
  <c r="X36" i="11"/>
  <c r="L36" i="43"/>
  <c r="L36" i="32"/>
  <c r="L36" i="35"/>
  <c r="L36" i="28"/>
  <c r="X36" i="111"/>
  <c r="X36" i="20"/>
  <c r="X36" i="17"/>
  <c r="X36" i="14"/>
  <c r="L36" i="14"/>
  <c r="X36" i="43"/>
  <c r="L36" i="112"/>
  <c r="L36" i="22"/>
  <c r="L36" i="4"/>
  <c r="L36" i="47"/>
  <c r="X36" i="52"/>
  <c r="X36" i="22"/>
  <c r="L36" i="10"/>
  <c r="V83" i="101"/>
  <c r="X53" i="102"/>
  <c r="L50" i="99"/>
  <c r="N50" i="99" s="1"/>
  <c r="V84" i="73"/>
  <c r="J70" i="69"/>
  <c r="H34" i="82"/>
  <c r="J31" i="82"/>
  <c r="X98" i="9"/>
  <c r="Z98" i="9" s="1"/>
  <c r="X90" i="95"/>
  <c r="P93" i="95"/>
  <c r="R90" i="95"/>
  <c r="N38" i="55"/>
  <c r="V37" i="85"/>
  <c r="V90" i="103"/>
  <c r="R128" i="36"/>
  <c r="L116" i="68"/>
  <c r="F116" i="68"/>
  <c r="Z125" i="36"/>
  <c r="T128" i="36"/>
  <c r="X128" i="36" s="1"/>
  <c r="V125" i="36"/>
  <c r="N105" i="63"/>
  <c r="P314" i="3"/>
  <c r="X309" i="3"/>
  <c r="Z309" i="3" s="1"/>
  <c r="R309" i="3"/>
  <c r="L115" i="84"/>
  <c r="N115" i="84" s="1"/>
  <c r="D118" i="84"/>
  <c r="F115" i="84"/>
  <c r="X45" i="98"/>
  <c r="Z45" i="98" s="1"/>
  <c r="P48" i="98"/>
  <c r="R45" i="98"/>
  <c r="X78" i="58"/>
  <c r="Z78" i="58" s="1"/>
  <c r="F125" i="42"/>
  <c r="L65" i="59"/>
  <c r="N65" i="59" s="1"/>
  <c r="R121" i="70"/>
  <c r="H134" i="74"/>
  <c r="J131" i="74"/>
  <c r="L36" i="110"/>
  <c r="T263" i="15"/>
  <c r="V260" i="15"/>
  <c r="X131" i="74"/>
  <c r="Z131" i="74" s="1"/>
  <c r="P134" i="74"/>
  <c r="R131" i="74"/>
  <c r="T314" i="3"/>
  <c r="V309" i="3"/>
  <c r="J109" i="51"/>
  <c r="X36" i="16"/>
  <c r="X99" i="33"/>
  <c r="P102" i="33"/>
  <c r="R99" i="33"/>
  <c r="L95" i="45"/>
  <c r="N95" i="45" s="1"/>
  <c r="D98" i="45"/>
  <c r="F95" i="45"/>
  <c r="L73" i="88"/>
  <c r="N73" i="88" s="1"/>
  <c r="D76" i="88"/>
  <c r="L76" i="88" s="1"/>
  <c r="X36" i="34"/>
  <c r="D263" i="15"/>
  <c r="L260" i="15"/>
  <c r="N260" i="15" s="1"/>
  <c r="F260" i="15"/>
  <c r="V90" i="107"/>
  <c r="H271" i="12"/>
  <c r="J268" i="12"/>
  <c r="L90" i="103"/>
  <c r="N90" i="103" s="1"/>
  <c r="F90" i="103"/>
  <c r="P87" i="83"/>
  <c r="X87" i="83" s="1"/>
  <c r="X84" i="83"/>
  <c r="Z84" i="83" s="1"/>
  <c r="X122" i="27"/>
  <c r="Z122" i="27" s="1"/>
  <c r="R122" i="27"/>
  <c r="X90" i="107"/>
  <c r="Z90" i="107" s="1"/>
  <c r="X36" i="26"/>
  <c r="X98" i="45"/>
  <c r="R98" i="45"/>
  <c r="X36" i="4"/>
  <c r="F90" i="107"/>
  <c r="L70" i="109"/>
  <c r="N70" i="109" s="1"/>
  <c r="F70" i="109"/>
  <c r="X79" i="94"/>
  <c r="R79" i="94"/>
  <c r="T162" i="30"/>
  <c r="X162" i="30" s="1"/>
  <c r="V159" i="30"/>
  <c r="X67" i="78"/>
  <c r="Z67" i="78" s="1"/>
  <c r="P70" i="78"/>
  <c r="X70" i="78" s="1"/>
  <c r="Z73" i="93"/>
  <c r="V73" i="93"/>
  <c r="L36" i="5"/>
  <c r="H79" i="72"/>
  <c r="L79" i="72" s="1"/>
  <c r="J76" i="72"/>
  <c r="L127" i="24"/>
  <c r="N127" i="24" s="1"/>
  <c r="F127" i="24"/>
  <c r="L36" i="37"/>
  <c r="X34" i="82"/>
  <c r="Z34" i="82" s="1"/>
  <c r="R34" i="82"/>
  <c r="J127" i="24"/>
  <c r="L122" i="27"/>
  <c r="N122" i="27" s="1"/>
  <c r="F122" i="27"/>
  <c r="X79" i="75"/>
  <c r="Z79" i="75" s="1"/>
  <c r="P82" i="75"/>
  <c r="R79" i="75"/>
  <c r="F134" i="39"/>
  <c r="Z99" i="33"/>
  <c r="T102" i="33"/>
  <c r="V99" i="33"/>
  <c r="L56" i="60"/>
  <c r="X106" i="76"/>
  <c r="Z106" i="76" s="1"/>
  <c r="P109" i="76"/>
  <c r="R106" i="76"/>
  <c r="H79" i="94"/>
  <c r="J76" i="94"/>
  <c r="V75" i="79"/>
  <c r="Z66" i="100"/>
  <c r="V66" i="100"/>
  <c r="V127" i="24"/>
  <c r="X290" i="18"/>
  <c r="R290" i="18"/>
  <c r="N31" i="6"/>
  <c r="X36" i="35"/>
  <c r="N78" i="58"/>
  <c r="L36" i="25"/>
  <c r="H55" i="104"/>
  <c r="J52" i="104"/>
  <c r="L52" i="104"/>
  <c r="N52" i="104" s="1"/>
  <c r="J90" i="103"/>
  <c r="X55" i="61"/>
  <c r="Z55" i="61" s="1"/>
  <c r="Z31" i="54"/>
  <c r="Z87" i="87"/>
  <c r="V87" i="87"/>
  <c r="L36" i="41"/>
  <c r="L36" i="50"/>
  <c r="H109" i="76"/>
  <c r="J106" i="76"/>
  <c r="R134" i="39"/>
  <c r="X124" i="24"/>
  <c r="Z124" i="24" s="1"/>
  <c r="P127" i="24"/>
  <c r="R124" i="24"/>
  <c r="X36" i="46"/>
  <c r="N77" i="92"/>
  <c r="J77" i="92"/>
  <c r="V122" i="27"/>
  <c r="L36" i="44"/>
  <c r="L36" i="26"/>
  <c r="L98" i="9"/>
  <c r="N98" i="9" s="1"/>
  <c r="J70" i="48"/>
  <c r="Z98" i="45"/>
  <c r="V98" i="45"/>
  <c r="L63" i="100"/>
  <c r="N63" i="100" s="1"/>
  <c r="D66" i="100"/>
  <c r="X56" i="60"/>
  <c r="Z56" i="60" s="1"/>
  <c r="J290" i="18"/>
  <c r="T290" i="18"/>
  <c r="Z287" i="18"/>
  <c r="V287" i="18"/>
  <c r="Z76" i="80"/>
  <c r="V76" i="80"/>
  <c r="T109" i="51"/>
  <c r="V106" i="51"/>
  <c r="Z53" i="102"/>
  <c r="T134" i="74"/>
  <c r="V131" i="74"/>
  <c r="Z118" i="70"/>
  <c r="T121" i="70"/>
  <c r="V118" i="70"/>
  <c r="L70" i="48"/>
  <c r="N70" i="48" s="1"/>
  <c r="F70" i="48"/>
  <c r="H84" i="73"/>
  <c r="J81" i="73"/>
  <c r="X36" i="29"/>
  <c r="L104" i="21"/>
  <c r="N104" i="21" s="1"/>
  <c r="D107" i="21"/>
  <c r="L107" i="21" s="1"/>
  <c r="N107" i="21" s="1"/>
  <c r="L36" i="29"/>
  <c r="T55" i="104"/>
  <c r="Z52" i="104"/>
  <c r="V52" i="104"/>
  <c r="T82" i="75"/>
  <c r="V79" i="75"/>
  <c r="L31" i="82"/>
  <c r="N31" i="82" s="1"/>
  <c r="J98" i="45"/>
  <c r="N122" i="42"/>
  <c r="H125" i="42"/>
  <c r="J122" i="42"/>
  <c r="X36" i="23"/>
  <c r="X92" i="105"/>
  <c r="R92" i="105"/>
  <c r="L70" i="69"/>
  <c r="N70" i="69" s="1"/>
  <c r="J263" i="15"/>
  <c r="X36" i="47"/>
  <c r="L37" i="85"/>
  <c r="J122" i="27"/>
  <c r="R118" i="84"/>
  <c r="T70" i="69"/>
  <c r="Z67" i="69"/>
  <c r="V67" i="69"/>
  <c r="L109" i="51"/>
  <c r="N109" i="51" s="1"/>
  <c r="F109" i="51"/>
  <c r="L36" i="16"/>
  <c r="Z77" i="56"/>
  <c r="L36" i="7"/>
  <c r="V125" i="42"/>
  <c r="Z70" i="78"/>
  <c r="V70" i="78"/>
  <c r="J87" i="83"/>
  <c r="F48" i="98"/>
  <c r="H83" i="101"/>
  <c r="L83" i="101" s="1"/>
  <c r="N80" i="101"/>
  <c r="J80" i="101"/>
  <c r="H93" i="95"/>
  <c r="J90" i="95"/>
  <c r="L90" i="95"/>
  <c r="N90" i="95" s="1"/>
  <c r="L34" i="82"/>
  <c r="F34" i="82"/>
  <c r="Z104" i="21"/>
  <c r="T107" i="21"/>
  <c r="V104" i="21"/>
  <c r="T116" i="68"/>
  <c r="V113" i="68"/>
  <c r="X36" i="44"/>
  <c r="J76" i="80"/>
  <c r="L36" i="46"/>
  <c r="N84" i="87"/>
  <c r="H87" i="87"/>
  <c r="L87" i="87" s="1"/>
  <c r="J84" i="87"/>
  <c r="X36" i="19"/>
  <c r="D79" i="94"/>
  <c r="L76" i="94"/>
  <c r="N76" i="94" s="1"/>
  <c r="N87" i="97"/>
  <c r="J87" i="97"/>
  <c r="X36" i="13"/>
  <c r="L128" i="36"/>
  <c r="F128" i="36"/>
  <c r="X104" i="21"/>
  <c r="P107" i="21"/>
  <c r="R104" i="21"/>
  <c r="X36" i="49"/>
  <c r="L36" i="31"/>
  <c r="D271" i="12"/>
  <c r="L268" i="12"/>
  <c r="N268" i="12" s="1"/>
  <c r="F268" i="12"/>
  <c r="N45" i="98"/>
  <c r="H48" i="98"/>
  <c r="J45" i="98"/>
  <c r="X36" i="112"/>
  <c r="X36" i="53"/>
  <c r="X65" i="59"/>
  <c r="Z65" i="59" s="1"/>
  <c r="L36" i="23"/>
  <c r="N99" i="33"/>
  <c r="H102" i="33"/>
  <c r="J99" i="33"/>
  <c r="J118" i="84"/>
  <c r="L96" i="91"/>
  <c r="N96" i="91" s="1"/>
  <c r="Z72" i="57"/>
  <c r="H82" i="75"/>
  <c r="J79" i="75"/>
  <c r="N37" i="85"/>
  <c r="J37" i="85"/>
  <c r="L76" i="72"/>
  <c r="N76" i="72" s="1"/>
  <c r="V87" i="97"/>
  <c r="X70" i="109"/>
  <c r="R70" i="109"/>
  <c r="P70" i="69"/>
  <c r="X70" i="69" s="1"/>
  <c r="X67" i="69"/>
  <c r="Z87" i="83"/>
  <c r="V87" i="83"/>
  <c r="L62" i="67"/>
  <c r="N62" i="67" s="1"/>
  <c r="L55" i="61"/>
  <c r="N55" i="61" s="1"/>
  <c r="Z79" i="94"/>
  <c r="V79" i="94"/>
  <c r="L36" i="53"/>
  <c r="X36" i="41"/>
  <c r="P109" i="51"/>
  <c r="X106" i="51"/>
  <c r="Z106" i="51" s="1"/>
  <c r="R106" i="51"/>
  <c r="Z115" i="84"/>
  <c r="T118" i="84"/>
  <c r="X118" i="84" s="1"/>
  <c r="V115" i="84"/>
  <c r="L76" i="80"/>
  <c r="N76" i="80" s="1"/>
  <c r="X70" i="48"/>
  <c r="Z70" i="48" s="1"/>
  <c r="R70" i="48"/>
  <c r="L290" i="18"/>
  <c r="N290" i="18" s="1"/>
  <c r="F290" i="18"/>
  <c r="H92" i="105"/>
  <c r="J89" i="105"/>
  <c r="X55" i="104"/>
  <c r="J162" i="30"/>
  <c r="L77" i="56"/>
  <c r="N77" i="56" s="1"/>
  <c r="H73" i="93"/>
  <c r="J70" i="93"/>
  <c r="T48" i="98"/>
  <c r="V45" i="98"/>
  <c r="P90" i="103"/>
  <c r="X87" i="103"/>
  <c r="Z87" i="103" s="1"/>
  <c r="R87" i="103"/>
  <c r="J75" i="79"/>
  <c r="Z105" i="63"/>
  <c r="X268" i="12"/>
  <c r="P271" i="12"/>
  <c r="R268" i="12"/>
  <c r="V109" i="76"/>
  <c r="N131" i="39"/>
  <c r="H134" i="39"/>
  <c r="J131" i="39"/>
  <c r="X83" i="101"/>
  <c r="Z83" i="101" s="1"/>
  <c r="X36" i="32"/>
  <c r="X263" i="15"/>
  <c r="R263" i="15"/>
  <c r="L36" i="111"/>
  <c r="R162" i="30"/>
  <c r="X36" i="8"/>
  <c r="L84" i="83"/>
  <c r="N84" i="83" s="1"/>
  <c r="D87" i="83"/>
  <c r="L87" i="83" s="1"/>
  <c r="N87" i="83" s="1"/>
  <c r="X36" i="28"/>
  <c r="L106" i="76"/>
  <c r="N106" i="76" s="1"/>
  <c r="D109" i="76"/>
  <c r="F106" i="76"/>
  <c r="X76" i="72"/>
  <c r="Z76" i="72" s="1"/>
  <c r="P79" i="72"/>
  <c r="X79" i="72" s="1"/>
  <c r="Z79" i="72" s="1"/>
  <c r="L314" i="3"/>
  <c r="N314" i="3" s="1"/>
  <c r="F314" i="3"/>
  <c r="Z90" i="95"/>
  <c r="T93" i="95"/>
  <c r="V90" i="95"/>
  <c r="Z92" i="105"/>
  <c r="V92" i="105"/>
  <c r="J314" i="3"/>
  <c r="X31" i="6"/>
  <c r="Z31" i="6" s="1"/>
  <c r="L134" i="74"/>
  <c r="F134" i="74"/>
  <c r="L82" i="75"/>
  <c r="F82" i="75"/>
  <c r="D75" i="79"/>
  <c r="L75" i="79" s="1"/>
  <c r="N75" i="79" s="1"/>
  <c r="L72" i="79"/>
  <c r="N72" i="79" s="1"/>
  <c r="X87" i="97"/>
  <c r="Z87" i="97" s="1"/>
  <c r="L102" i="33"/>
  <c r="F102" i="33"/>
  <c r="L31" i="54"/>
  <c r="N31" i="54" s="1"/>
  <c r="D84" i="73"/>
  <c r="L84" i="73" s="1"/>
  <c r="L81" i="73"/>
  <c r="N81" i="73" s="1"/>
  <c r="X37" i="85"/>
  <c r="Z37" i="85" s="1"/>
  <c r="R37" i="85"/>
  <c r="N113" i="68"/>
  <c r="H116" i="68"/>
  <c r="J113" i="68"/>
  <c r="L36" i="49"/>
  <c r="X260" i="15"/>
  <c r="Z260" i="15" s="1"/>
  <c r="H121" i="70"/>
  <c r="L121" i="70" s="1"/>
  <c r="N118" i="70"/>
  <c r="J118" i="70"/>
  <c r="X159" i="30"/>
  <c r="Z159" i="30" s="1"/>
  <c r="N87" i="107"/>
  <c r="H90" i="107"/>
  <c r="L90" i="107" s="1"/>
  <c r="J87" i="107"/>
  <c r="L42" i="108"/>
  <c r="N42" i="108" s="1"/>
  <c r="L73" i="93"/>
  <c r="H66" i="100"/>
  <c r="F121" i="70"/>
  <c r="N56" i="60"/>
  <c r="T134" i="39"/>
  <c r="X134" i="39" s="1"/>
  <c r="Z131" i="39"/>
  <c r="V131" i="39"/>
  <c r="L131" i="74"/>
  <c r="N131" i="74" s="1"/>
  <c r="Z268" i="12"/>
  <c r="T271" i="12"/>
  <c r="V268" i="12"/>
  <c r="H128" i="36"/>
  <c r="N125" i="36"/>
  <c r="J125" i="36"/>
  <c r="L79" i="75"/>
  <c r="N79" i="75" s="1"/>
  <c r="L36" i="19"/>
  <c r="N76" i="88"/>
  <c r="J76" i="88"/>
  <c r="P84" i="73"/>
  <c r="X84" i="73" s="1"/>
  <c r="Z84" i="73" s="1"/>
  <c r="X81" i="73"/>
  <c r="Z81" i="73" s="1"/>
  <c r="P116" i="68"/>
  <c r="X113" i="68"/>
  <c r="Z113" i="68" s="1"/>
  <c r="R113" i="68"/>
  <c r="X122" i="42"/>
  <c r="Z122" i="42" s="1"/>
  <c r="P125" i="42"/>
  <c r="R122" i="42"/>
  <c r="D92" i="105"/>
  <c r="L89" i="105"/>
  <c r="N89" i="105" s="1"/>
  <c r="F89" i="105"/>
  <c r="Z76" i="88"/>
  <c r="V76" i="88"/>
  <c r="Z70" i="109"/>
  <c r="V70" i="109"/>
  <c r="L162" i="30"/>
  <c r="N162" i="30" s="1"/>
  <c r="F162" i="30"/>
  <c r="Z77" i="92"/>
  <c r="V77" i="92"/>
  <c r="L70" i="93"/>
  <c r="N70" i="93" s="1"/>
  <c r="X72" i="79"/>
  <c r="Z72" i="79" s="1"/>
  <c r="P75" i="79"/>
  <c r="R72" i="79"/>
  <c r="L79" i="94" l="1"/>
  <c r="X109" i="76"/>
  <c r="Z109" i="76" s="1"/>
  <c r="R109" i="76"/>
  <c r="N82" i="75"/>
  <c r="J82" i="75"/>
  <c r="J93" i="95"/>
  <c r="L93" i="95"/>
  <c r="N93" i="95" s="1"/>
  <c r="Z70" i="69"/>
  <c r="V70" i="69"/>
  <c r="N134" i="74"/>
  <c r="J134" i="74"/>
  <c r="V48" i="98"/>
  <c r="J92" i="105"/>
  <c r="X109" i="51"/>
  <c r="Z109" i="51" s="1"/>
  <c r="R109" i="51"/>
  <c r="J48" i="98"/>
  <c r="Z55" i="104"/>
  <c r="V55" i="104"/>
  <c r="V314" i="3"/>
  <c r="L118" i="84"/>
  <c r="N118" i="84" s="1"/>
  <c r="F118" i="84"/>
  <c r="V121" i="70"/>
  <c r="N34" i="82"/>
  <c r="J34" i="82"/>
  <c r="X116" i="68"/>
  <c r="Z116" i="68" s="1"/>
  <c r="R116" i="68"/>
  <c r="J125" i="42"/>
  <c r="Z290" i="18"/>
  <c r="V290" i="18"/>
  <c r="N109" i="76"/>
  <c r="J109" i="76"/>
  <c r="V102" i="33"/>
  <c r="L98" i="45"/>
  <c r="N98" i="45" s="1"/>
  <c r="F98" i="45"/>
  <c r="X121" i="70"/>
  <c r="Z121" i="70" s="1"/>
  <c r="J134" i="39"/>
  <c r="L92" i="105"/>
  <c r="N92" i="105" s="1"/>
  <c r="F92" i="105"/>
  <c r="X271" i="12"/>
  <c r="Z271" i="12" s="1"/>
  <c r="R271" i="12"/>
  <c r="N73" i="93"/>
  <c r="J73" i="93"/>
  <c r="V116" i="68"/>
  <c r="N83" i="101"/>
  <c r="J83" i="101"/>
  <c r="X134" i="74"/>
  <c r="R134" i="74"/>
  <c r="L271" i="12"/>
  <c r="N271" i="12" s="1"/>
  <c r="F271" i="12"/>
  <c r="Z134" i="74"/>
  <c r="V134" i="74"/>
  <c r="J55" i="104"/>
  <c r="L55" i="104"/>
  <c r="N55" i="104" s="1"/>
  <c r="J271" i="12"/>
  <c r="X314" i="3"/>
  <c r="Z314" i="3" s="1"/>
  <c r="R314" i="3"/>
  <c r="N90" i="107"/>
  <c r="J90" i="107"/>
  <c r="X125" i="42"/>
  <c r="Z125" i="42" s="1"/>
  <c r="R125" i="42"/>
  <c r="Z134" i="39"/>
  <c r="V134" i="39"/>
  <c r="L109" i="76"/>
  <c r="F109" i="76"/>
  <c r="N102" i="33"/>
  <c r="J102" i="33"/>
  <c r="V107" i="21"/>
  <c r="L134" i="39"/>
  <c r="N134" i="39" s="1"/>
  <c r="Z162" i="30"/>
  <c r="V162" i="30"/>
  <c r="X102" i="33"/>
  <c r="Z102" i="33" s="1"/>
  <c r="R102" i="33"/>
  <c r="L125" i="42"/>
  <c r="N125" i="42" s="1"/>
  <c r="L48" i="98"/>
  <c r="N48" i="98" s="1"/>
  <c r="L66" i="100"/>
  <c r="N79" i="94"/>
  <c r="J79" i="94"/>
  <c r="X75" i="79"/>
  <c r="Z75" i="79" s="1"/>
  <c r="R75" i="79"/>
  <c r="N87" i="87"/>
  <c r="J87" i="87"/>
  <c r="X82" i="75"/>
  <c r="Z82" i="75" s="1"/>
  <c r="R82" i="75"/>
  <c r="Z263" i="15"/>
  <c r="V263" i="15"/>
  <c r="Z128" i="36"/>
  <c r="V128" i="36"/>
  <c r="X93" i="95"/>
  <c r="Z93" i="95" s="1"/>
  <c r="R93" i="95"/>
  <c r="V271" i="12"/>
  <c r="X90" i="103"/>
  <c r="Z90" i="103" s="1"/>
  <c r="R90" i="103"/>
  <c r="Z118" i="84"/>
  <c r="V118" i="84"/>
  <c r="X107" i="21"/>
  <c r="Z107" i="21" s="1"/>
  <c r="R107" i="21"/>
  <c r="V82" i="75"/>
  <c r="N79" i="72"/>
  <c r="J79" i="72"/>
  <c r="V93" i="95"/>
  <c r="N116" i="68"/>
  <c r="J116" i="68"/>
  <c r="N121" i="70"/>
  <c r="J121" i="70"/>
  <c r="N128" i="36"/>
  <c r="J128" i="36"/>
  <c r="N66" i="100"/>
  <c r="N84" i="73"/>
  <c r="J84" i="73"/>
  <c r="V109" i="51"/>
  <c r="X127" i="24"/>
  <c r="Z127" i="24" s="1"/>
  <c r="R127" i="24"/>
  <c r="L263" i="15"/>
  <c r="N263" i="15" s="1"/>
  <c r="F263" i="15"/>
  <c r="X48" i="98"/>
  <c r="Z48" i="98" s="1"/>
  <c r="R48" i="98"/>
</calcChain>
</file>

<file path=xl/sharedStrings.xml><?xml version="1.0" encoding="utf-8"?>
<sst xmlns="http://schemas.openxmlformats.org/spreadsheetml/2006/main" count="2922" uniqueCount="314">
  <si>
    <t>Credits &amp; Revenues</t>
  </si>
  <si>
    <t>Interest Income/Other</t>
  </si>
  <si>
    <t>Gain/(Loss) on FMV of Investments</t>
  </si>
  <si>
    <t>OPERATING INCOME</t>
  </si>
  <si>
    <t>OPERATING CONTRIBUTION</t>
  </si>
  <si>
    <t>NET CONTRIBUTION</t>
  </si>
  <si>
    <t>GROSS MARGIN</t>
  </si>
  <si>
    <t>Sales</t>
  </si>
  <si>
    <t>Cost of Goods Sold</t>
  </si>
  <si>
    <t>Operating Expenses</t>
  </si>
  <si>
    <t>Actual</t>
  </si>
  <si>
    <t>Variance</t>
  </si>
  <si>
    <t xml:space="preserve">Forty Niner Shops, Inc. </t>
  </si>
  <si>
    <t>G &amp; A Allocation</t>
  </si>
  <si>
    <t>% of Sales</t>
  </si>
  <si>
    <t>% Variance</t>
  </si>
  <si>
    <t>Sheet Name</t>
  </si>
  <si>
    <t>InfoManager Number</t>
  </si>
  <si>
    <t>Grid Title</t>
  </si>
  <si>
    <t>Grid Cell Range</t>
  </si>
  <si>
    <t>Grid Special Rules</t>
  </si>
  <si>
    <t>Module Name</t>
  </si>
  <si>
    <t>Entity</t>
  </si>
  <si>
    <t>Entity Relate to data</t>
  </si>
  <si>
    <t>Entity Special Rules</t>
  </si>
  <si>
    <t>Entity Text</t>
  </si>
  <si>
    <t>Time</t>
  </si>
  <si>
    <t>Time  Relate to data</t>
  </si>
  <si>
    <t>Time  Special Rules</t>
  </si>
  <si>
    <t>Time Text</t>
  </si>
  <si>
    <t>Scenario</t>
  </si>
  <si>
    <t>Scenario  Relate to data</t>
  </si>
  <si>
    <t>Scenario  Special Rules</t>
  </si>
  <si>
    <t>Scenario Text</t>
  </si>
  <si>
    <t>Category</t>
  </si>
  <si>
    <t>Category  Relate to data</t>
  </si>
  <si>
    <t>Category  Special Rules</t>
  </si>
  <si>
    <t>Category Text</t>
  </si>
  <si>
    <t xml:space="preserve">FxCode </t>
  </si>
  <si>
    <t>FxCode  Relate to data</t>
  </si>
  <si>
    <t>FxCode  Special Rules</t>
  </si>
  <si>
    <t>FxCode Text</t>
  </si>
  <si>
    <t>Storage Type</t>
  </si>
  <si>
    <t>Created Date</t>
  </si>
  <si>
    <t>Updated Date</t>
  </si>
  <si>
    <t>Retain Zero Value</t>
  </si>
  <si>
    <t>Dim0</t>
  </si>
  <si>
    <t>Dim Label0</t>
  </si>
  <si>
    <t>Dim0Relate to data</t>
  </si>
  <si>
    <t>Dim0Special Rules</t>
  </si>
  <si>
    <t>Dim0Text</t>
  </si>
  <si>
    <t>Dim1</t>
  </si>
  <si>
    <t>Dim Label1</t>
  </si>
  <si>
    <t>Dim1Relate to data</t>
  </si>
  <si>
    <t>Dim1Special Rules</t>
  </si>
  <si>
    <t>Dim1Text</t>
  </si>
  <si>
    <t>Dim2</t>
  </si>
  <si>
    <t>Dim Label2</t>
  </si>
  <si>
    <t>Dim2Relate to data</t>
  </si>
  <si>
    <t>Dim2Special Rules</t>
  </si>
  <si>
    <t>Dim2Text</t>
  </si>
  <si>
    <t>Dim3</t>
  </si>
  <si>
    <t>Dim Label3</t>
  </si>
  <si>
    <t>Dim3Relate to data</t>
  </si>
  <si>
    <t>Dim3Special Rules</t>
  </si>
  <si>
    <t>Dim3Text</t>
  </si>
  <si>
    <t>Dim4</t>
  </si>
  <si>
    <t>Dim Label4</t>
  </si>
  <si>
    <t>Dim4Relate to data</t>
  </si>
  <si>
    <t>Dim4Special Rules</t>
  </si>
  <si>
    <t>Dim4Text</t>
  </si>
  <si>
    <t>Dim5</t>
  </si>
  <si>
    <t>Dim Label5</t>
  </si>
  <si>
    <t>Dim5Relate to data</t>
  </si>
  <si>
    <t>Dim5Special Rules</t>
  </si>
  <si>
    <t>Dim5Text</t>
  </si>
  <si>
    <t>Dim6</t>
  </si>
  <si>
    <t>Dim Label6</t>
  </si>
  <si>
    <t>Dim6Relate to data</t>
  </si>
  <si>
    <t>Dim6Special Rules</t>
  </si>
  <si>
    <t>Dim6Text</t>
  </si>
  <si>
    <t>Dim7</t>
  </si>
  <si>
    <t>Dim Label7</t>
  </si>
  <si>
    <t>Dim7Relate to data</t>
  </si>
  <si>
    <t>Dim7Special Rules</t>
  </si>
  <si>
    <t>Dim7Text</t>
  </si>
  <si>
    <t>Dim8</t>
  </si>
  <si>
    <t>Dim Label8</t>
  </si>
  <si>
    <t>Dim8Relate to data</t>
  </si>
  <si>
    <t>Dim8Special Rules</t>
  </si>
  <si>
    <t>Dim8Text</t>
  </si>
  <si>
    <t>Dim9</t>
  </si>
  <si>
    <t>Dim Label9</t>
  </si>
  <si>
    <t>Dim9Relate to data</t>
  </si>
  <si>
    <t>Dim9Special Rules</t>
  </si>
  <si>
    <t>Dim9Text</t>
  </si>
  <si>
    <t>Variable Dim Name0</t>
  </si>
  <si>
    <t>Variable Dim0</t>
  </si>
  <si>
    <t>Variable Dim0Relate to data</t>
  </si>
  <si>
    <t>Variable Dim0Special Rules</t>
  </si>
  <si>
    <t>Variable Dim0Text</t>
  </si>
  <si>
    <t>Variable Dim Name1</t>
  </si>
  <si>
    <t>Variable Dim1</t>
  </si>
  <si>
    <t>Variable Dim1Relate to data</t>
  </si>
  <si>
    <t>Variable Dim1Special Rules</t>
  </si>
  <si>
    <t>Variable Dim1Text</t>
  </si>
  <si>
    <t>Variable Dim Name2</t>
  </si>
  <si>
    <t>Variable Dim2</t>
  </si>
  <si>
    <t>Variable Dim2Relate to data</t>
  </si>
  <si>
    <t>Variable Dim2Special Rules</t>
  </si>
  <si>
    <t>Variable Dim2Text</t>
  </si>
  <si>
    <t>Variable Dim Name3</t>
  </si>
  <si>
    <t>Variable Dim3</t>
  </si>
  <si>
    <t>Variable Dim3Relate to data</t>
  </si>
  <si>
    <t>Variable Dim3Special Rules</t>
  </si>
  <si>
    <t>Variable Dim3Text</t>
  </si>
  <si>
    <t>Variable Dim Name4</t>
  </si>
  <si>
    <t>Variable Dim4</t>
  </si>
  <si>
    <t>Variable Dim4Relate to data</t>
  </si>
  <si>
    <t>Variable Dim4Special Rules</t>
  </si>
  <si>
    <t>Variable Dim4Text</t>
  </si>
  <si>
    <t>Variable Dim Name5</t>
  </si>
  <si>
    <t>Variable Dim5</t>
  </si>
  <si>
    <t>Variable Dim5Relate to data</t>
  </si>
  <si>
    <t>Variable Dim5Special Rules</t>
  </si>
  <si>
    <t>Variable Dim5Text</t>
  </si>
  <si>
    <t>Variable Dim Name6</t>
  </si>
  <si>
    <t>Variable Dim6</t>
  </si>
  <si>
    <t>Variable Dim6Relate to data</t>
  </si>
  <si>
    <t>Variable Dim6Special Rules</t>
  </si>
  <si>
    <t>Variable Dim6Text</t>
  </si>
  <si>
    <t>Variable Dim Name7</t>
  </si>
  <si>
    <t>Variable Dim7</t>
  </si>
  <si>
    <t>Variable Dim7Relate to data</t>
  </si>
  <si>
    <t>Variable Dim7Special Rules</t>
  </si>
  <si>
    <t>Variable Dim7Text</t>
  </si>
  <si>
    <t>Variable Dim Name8</t>
  </si>
  <si>
    <t>Variable Dim8</t>
  </si>
  <si>
    <t>Variable Dim8Relate to data</t>
  </si>
  <si>
    <t>Variable Dim8Special Rules</t>
  </si>
  <si>
    <t>Variable Dim8Text</t>
  </si>
  <si>
    <t>Variable Dim Name9</t>
  </si>
  <si>
    <t>Variable Dim9</t>
  </si>
  <si>
    <t>Variable Dim9Relate to data</t>
  </si>
  <si>
    <t>Variable Dim9Special Rules</t>
  </si>
  <si>
    <t>Variable Dim9Text</t>
  </si>
  <si>
    <t>Variable Dim Name10</t>
  </si>
  <si>
    <t>Variable Dim10</t>
  </si>
  <si>
    <t>Variable Dim10Relate to data</t>
  </si>
  <si>
    <t>Variable Dim10Special Rules</t>
  </si>
  <si>
    <t>Variable Dim10Text</t>
  </si>
  <si>
    <t>Variable Dim Name11</t>
  </si>
  <si>
    <t>Variable Dim11</t>
  </si>
  <si>
    <t>Variable Dim11Relate to data</t>
  </si>
  <si>
    <t>Variable Dim11Special Rules</t>
  </si>
  <si>
    <t>Variable Dim11Text</t>
  </si>
  <si>
    <t>Variable Dim Name12</t>
  </si>
  <si>
    <t>Variable Dim12</t>
  </si>
  <si>
    <t>Variable Dim12Relate to data</t>
  </si>
  <si>
    <t>Variable Dim12Special Rules</t>
  </si>
  <si>
    <t>Variable Dim12Text</t>
  </si>
  <si>
    <t>Variable Dim Name13</t>
  </si>
  <si>
    <t>Variable Dim13</t>
  </si>
  <si>
    <t>Variable Dim13Relate to data</t>
  </si>
  <si>
    <t>Variable Dim13Special Rules</t>
  </si>
  <si>
    <t>Variable Dim13Text</t>
  </si>
  <si>
    <t>Variable Dim Name14</t>
  </si>
  <si>
    <t>Variable Dim14</t>
  </si>
  <si>
    <t>Variable Dim14Relate to data</t>
  </si>
  <si>
    <t>Variable Dim14Special Rules</t>
  </si>
  <si>
    <t>Variable Dim14Text</t>
  </si>
  <si>
    <t>Variable Dim Name15</t>
  </si>
  <si>
    <t>Variable Dim15</t>
  </si>
  <si>
    <t>Variable Dim15Relate to data</t>
  </si>
  <si>
    <t>Variable Dim15Special Rules</t>
  </si>
  <si>
    <t>Variable Dim15Text</t>
  </si>
  <si>
    <t>Variable Dim Name16</t>
  </si>
  <si>
    <t>Variable Dim16</t>
  </si>
  <si>
    <t>Variable Dim16Relate to data</t>
  </si>
  <si>
    <t>Variable Dim16Special Rules</t>
  </si>
  <si>
    <t>Variable Dim16Text</t>
  </si>
  <si>
    <t>Variable Dim Name17</t>
  </si>
  <si>
    <t>Variable Dim17</t>
  </si>
  <si>
    <t>Variable Dim17Relate to data</t>
  </si>
  <si>
    <t>Variable Dim17Special Rules</t>
  </si>
  <si>
    <t>Variable Dim17Text</t>
  </si>
  <si>
    <t>Variable Dim Name18</t>
  </si>
  <si>
    <t>Variable Dim18</t>
  </si>
  <si>
    <t>Variable Dim18Relate to data</t>
  </si>
  <si>
    <t>Variable Dim18Special Rules</t>
  </si>
  <si>
    <t>Variable Dim18Text</t>
  </si>
  <si>
    <t>Variable Dim Name19</t>
  </si>
  <si>
    <t>Variable Dim19</t>
  </si>
  <si>
    <t>Variable Dim19Relate to data</t>
  </si>
  <si>
    <t>Variable Dim19Special Rules</t>
  </si>
  <si>
    <t>Variable Dim19Text</t>
  </si>
  <si>
    <t>Storage Field0</t>
  </si>
  <si>
    <t>Storage Field0 Name</t>
  </si>
  <si>
    <t>Storage Field1</t>
  </si>
  <si>
    <t>Storage Field1 Name</t>
  </si>
  <si>
    <t>Storage Field2</t>
  </si>
  <si>
    <t>Storage Field2 Name</t>
  </si>
  <si>
    <t>Storage Field3</t>
  </si>
  <si>
    <t>Storage Field3 Name</t>
  </si>
  <si>
    <t>Storage Field4</t>
  </si>
  <si>
    <t>Storage Field4 Name</t>
  </si>
  <si>
    <t>Storage Field5</t>
  </si>
  <si>
    <t>Storage Field5 Name</t>
  </si>
  <si>
    <t>Storage Field6</t>
  </si>
  <si>
    <t>Storage Field6 Name</t>
  </si>
  <si>
    <t>Storage Field7</t>
  </si>
  <si>
    <t>Storage Field7 Name</t>
  </si>
  <si>
    <t>Storage Field8</t>
  </si>
  <si>
    <t>Storage Field8 Name</t>
  </si>
  <si>
    <t>Storage Field9</t>
  </si>
  <si>
    <t>Storage Field9 Name</t>
  </si>
  <si>
    <t>Storage Field10</t>
  </si>
  <si>
    <t>Storage Field10 Name</t>
  </si>
  <si>
    <t>Storage Field11</t>
  </si>
  <si>
    <t>Storage Field11 Name</t>
  </si>
  <si>
    <t>Storage Field12</t>
  </si>
  <si>
    <t>Storage Field12 Name</t>
  </si>
  <si>
    <t>Storage Field13</t>
  </si>
  <si>
    <t>Storage Field13 Name</t>
  </si>
  <si>
    <t>Storage Field14</t>
  </si>
  <si>
    <t>Storage Field14 Name</t>
  </si>
  <si>
    <t>Storage Field15</t>
  </si>
  <si>
    <t>Storage Field15 Name</t>
  </si>
  <si>
    <t>Storage Field16</t>
  </si>
  <si>
    <t>Storage Field16 Name</t>
  </si>
  <si>
    <t>Storage Field17</t>
  </si>
  <si>
    <t>Storage Field17 Name</t>
  </si>
  <si>
    <t>Storage Field18</t>
  </si>
  <si>
    <t>Storage Field18 Name</t>
  </si>
  <si>
    <t>Storage Field19</t>
  </si>
  <si>
    <t>Storage Field19 Name</t>
  </si>
  <si>
    <t>DimGridName</t>
  </si>
  <si>
    <t>DimSheetName</t>
  </si>
  <si>
    <t>StorageGridName</t>
  </si>
  <si>
    <t>StorageSheetName</t>
  </si>
  <si>
    <t>Enable SIMWindow</t>
  </si>
  <si>
    <t>Period Type</t>
  </si>
  <si>
    <t>Interface Setting Grid Number</t>
  </si>
  <si>
    <t>Active Grid Number</t>
  </si>
  <si>
    <t>Running Actual Sheet row Number</t>
  </si>
  <si>
    <t>Running Actual Grid Number</t>
  </si>
  <si>
    <t>Chart Legend Location</t>
  </si>
  <si>
    <t>ChartType</t>
  </si>
  <si>
    <t>ChartDisplayLabel</t>
  </si>
  <si>
    <t>ChartXAxiesLabel</t>
  </si>
  <si>
    <t>Chart 1stData Series</t>
  </si>
  <si>
    <t>Chart 1st DataSeries Name</t>
  </si>
  <si>
    <t>Chart 2nd Data Series</t>
  </si>
  <si>
    <t>Chart 2nd Data Series Name</t>
  </si>
  <si>
    <t>Chart 3rd Data Series</t>
  </si>
  <si>
    <t>Chart 3rd Data SeriesName</t>
  </si>
  <si>
    <t>Chart 4th Data Series</t>
  </si>
  <si>
    <t>Chart 4th Data Series Name</t>
  </si>
  <si>
    <t>Chart 5th Data Series</t>
  </si>
  <si>
    <t>Chart 5th Data Series Name</t>
  </si>
  <si>
    <t>Chart 6th Data Series</t>
  </si>
  <si>
    <t>Chart 6th Data Series Name</t>
  </si>
  <si>
    <t>ChartHide</t>
  </si>
  <si>
    <t>DGCol Label</t>
  </si>
  <si>
    <t>DGRow Label</t>
  </si>
  <si>
    <t>DGData</t>
  </si>
  <si>
    <t>DG Display Label</t>
  </si>
  <si>
    <t>DG Decimal Digits</t>
  </si>
  <si>
    <t>DGHide</t>
  </si>
  <si>
    <t>IGColLabelRange</t>
  </si>
  <si>
    <t>IGRowLabelRange</t>
  </si>
  <si>
    <t>IGDataRange</t>
  </si>
  <si>
    <t>IGDisplayLabel</t>
  </si>
  <si>
    <t>IGDecimalDigits</t>
  </si>
  <si>
    <t>IGHide</t>
  </si>
  <si>
    <t>LIDColLabelRange</t>
  </si>
  <si>
    <t>LIDActualDataRange</t>
  </si>
  <si>
    <t>LIDDisplayLabel</t>
  </si>
  <si>
    <t>LIDRowsNumber</t>
  </si>
  <si>
    <t>LIDHide</t>
  </si>
  <si>
    <t>SliderMaxpercentage</t>
  </si>
  <si>
    <t>SliderMinMovePer</t>
  </si>
  <si>
    <t>SaveType</t>
  </si>
  <si>
    <t>FormatType</t>
  </si>
  <si>
    <t>BudgetTotal</t>
  </si>
  <si>
    <t>ActualTotal</t>
  </si>
  <si>
    <t>TotalHide</t>
  </si>
  <si>
    <t>TotalGridHeadings</t>
  </si>
  <si>
    <t>EnableLID</t>
  </si>
  <si>
    <t>MinChart</t>
  </si>
  <si>
    <t>MinDG</t>
  </si>
  <si>
    <t>EnableCustomSpreading</t>
  </si>
  <si>
    <t>CURRENT PERIOD</t>
  </si>
  <si>
    <t>YEAR TO DATE</t>
  </si>
  <si>
    <t>Combined Operating Statement by Department</t>
  </si>
  <si>
    <t>All Departments</t>
  </si>
  <si>
    <t>Division 5 - ID Card Services</t>
  </si>
  <si>
    <t>Division 1 - Corporate</t>
  </si>
  <si>
    <t>Division 2 - Administration</t>
  </si>
  <si>
    <t>Division 491 - Cash Food Operations</t>
  </si>
  <si>
    <t>Division 492 - Residential Dining</t>
  </si>
  <si>
    <t>Division 308 - Combined Textbooks</t>
  </si>
  <si>
    <t>Division 331 - Combined 315 &amp; 326</t>
  </si>
  <si>
    <t>Division 332 - Combined 316, 320, &amp; 323</t>
  </si>
  <si>
    <t>Division 330 - Combined 307 &amp; 314</t>
  </si>
  <si>
    <t>Division 310 - C-Stores</t>
  </si>
  <si>
    <t>Prior Year</t>
  </si>
  <si>
    <t>Division 3 - Bookstore &amp; C-Stores</t>
  </si>
  <si>
    <t>Division 300 - Bookstore</t>
  </si>
  <si>
    <t>Division 4 - Food Services</t>
  </si>
  <si>
    <t>Division 6 - Computer Store</t>
  </si>
  <si>
    <t>Division 300 &amp; 317 - Bookstore &amp; Computer Store</t>
  </si>
  <si>
    <t>Division 310 &amp; 491 - C-Stores &amp; Cash Food Operations</t>
  </si>
  <si>
    <t>49er.local\tsantos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</si>
</sst>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mmmm\ d\,\ yyyy;@"/>
    <numFmt numFmtId="166" formatCode="[$-409]m/d/yy\ h:mm\ AM/PM;@"/>
    <numFmt numFmtId="167" formatCode="#,##0.0%;\(#,##0.0%\)"/>
    <numFmt numFmtId="168" formatCode="_(&quot;$&quot;* #,##0_);_(&quot;$&quot;* \(#,##0\);_(&quot;$&quot;* &quot;-&quot;??_);_(@_)"/>
  </numFmts>
  <fonts count="7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 tint="-0.49995422223578601"/>
      <name val="Calibri"/>
      <family val="2"/>
      <scheme val="minor"/>
    </font>
    <font>
      <sz val="8"/>
      <color theme="0" tint="-0.4999542222357860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324"/>
        <bgColor indexed="64"/>
      </patternFill>
    </fill>
    <fill>
      <patternFill patternType="solid">
        <fgColor indexed="43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67">
    <xf numFmtId="0" fontId="0" fillId="0" borderId="0" xfId="0"/>
    <xf numFmtId="164" fontId="0" fillId="0" borderId="0" xfId="1" applyNumberFormat="1" applyFont="1" applyFill="1" applyBorder="1"/>
    <xf numFmtId="164" fontId="1" fillId="0" borderId="0" xfId="1" applyNumberFormat="1" applyFont="1" applyFill="1"/>
    <xf numFmtId="164" fontId="0" fillId="0" borderId="0" xfId="1" applyNumberFormat="1" applyFont="1" applyFill="1"/>
    <xf numFmtId="164" fontId="2" fillId="0" borderId="0" xfId="1" applyNumberFormat="1" applyFont="1" applyFill="1"/>
    <xf numFmtId="167" fontId="0" fillId="0" borderId="0" xfId="3" applyNumberFormat="1" applyFont="1" applyFill="1" applyBorder="1"/>
    <xf numFmtId="164" fontId="1" fillId="0" borderId="0" xfId="1" applyNumberFormat="1" applyFont="1" applyFill="1" applyBorder="1"/>
    <xf numFmtId="167" fontId="1" fillId="0" borderId="0" xfId="3" applyNumberFormat="1" applyFont="1" applyFill="1" applyBorder="1"/>
    <xf numFmtId="167" fontId="0" fillId="0" borderId="0" xfId="3" applyNumberFormat="1" applyFont="1" applyFill="1"/>
    <xf numFmtId="0" fontId="0" fillId="0" borderId="0" xfId="0" applyFill="1"/>
    <xf numFmtId="0" fontId="2" fillId="0" borderId="0" xfId="0" applyFont="1" applyFill="1"/>
    <xf numFmtId="0" fontId="1" fillId="0" borderId="0" xfId="0" applyFont="1" applyFill="1"/>
    <xf numFmtId="167" fontId="2" fillId="0" borderId="0" xfId="3" applyNumberFormat="1" applyFont="1" applyFill="1"/>
    <xf numFmtId="164" fontId="2" fillId="2" borderId="0" xfId="1" applyNumberFormat="1" applyFont="1" applyFill="1" applyBorder="1"/>
    <xf numFmtId="0" fontId="0" fillId="0" borderId="0" xfId="0" applyFont="1" applyFill="1" applyBorder="1"/>
    <xf numFmtId="164" fontId="2" fillId="2" borderId="0" xfId="1" applyNumberFormat="1" applyFont="1" applyFill="1"/>
    <xf numFmtId="0" fontId="2" fillId="2" borderId="1" xfId="0" applyFont="1" applyFill="1" applyBorder="1" applyAlignment="1">
      <alignment horizontal="centerContinuous"/>
    </xf>
    <xf numFmtId="0" fontId="0" fillId="0" borderId="0" xfId="0" applyAlignment="1">
      <alignment horizontal="centerContinuous"/>
    </xf>
    <xf numFmtId="164" fontId="0" fillId="0" borderId="0" xfId="1" applyNumberFormat="1" applyFont="1"/>
    <xf numFmtId="167" fontId="1" fillId="0" borderId="0" xfId="3" applyNumberFormat="1" applyFont="1" applyFill="1"/>
    <xf numFmtId="168" fontId="2" fillId="2" borderId="2" xfId="2" applyNumberFormat="1" applyFont="1" applyFill="1" applyBorder="1"/>
    <xf numFmtId="167" fontId="2" fillId="2" borderId="2" xfId="3" applyNumberFormat="1" applyFont="1" applyFill="1" applyBorder="1"/>
    <xf numFmtId="164" fontId="2" fillId="0" borderId="0" xfId="1" applyNumberFormat="1" applyFont="1" applyFill="1" applyBorder="1"/>
    <xf numFmtId="0" fontId="2" fillId="0" borderId="0" xfId="0" applyFont="1"/>
    <xf numFmtId="0" fontId="1" fillId="0" borderId="0" xfId="0" applyFont="1"/>
    <xf numFmtId="0" fontId="2" fillId="2" borderId="0" xfId="0" applyFont="1" applyFill="1" applyAlignment="1">
      <alignment horizontal="left"/>
    </xf>
    <xf numFmtId="0" fontId="2" fillId="0" borderId="0" xfId="0" applyFont="1" applyFill="1" applyAlignment="1">
      <alignment horizontal="left"/>
    </xf>
    <xf numFmtId="49" fontId="0" fillId="0" borderId="0" xfId="0" applyNumberFormat="1" applyFont="1" applyFill="1" applyBorder="1" applyAlignment="1">
      <alignment horizontal="right"/>
    </xf>
    <xf numFmtId="49" fontId="1" fillId="0" borderId="0" xfId="0" applyNumberFormat="1" applyFont="1" applyFill="1" applyAlignment="1">
      <alignment horizontal="right"/>
    </xf>
    <xf numFmtId="0" fontId="0" fillId="0" borderId="0" xfId="0" applyFont="1" applyBorder="1"/>
    <xf numFmtId="168" fontId="2" fillId="2" borderId="3" xfId="2" applyNumberFormat="1" applyFont="1" applyFill="1" applyBorder="1"/>
    <xf numFmtId="167" fontId="2" fillId="2" borderId="1" xfId="3" applyNumberFormat="1" applyFont="1" applyFill="1" applyBorder="1" applyAlignment="1">
      <alignment horizontal="center"/>
    </xf>
    <xf numFmtId="49" fontId="2" fillId="0" borderId="0" xfId="0" applyNumberFormat="1" applyFont="1" applyFill="1" applyBorder="1" applyAlignment="1">
      <alignment horizontal="center"/>
    </xf>
    <xf numFmtId="167" fontId="2" fillId="2" borderId="3" xfId="3" applyNumberFormat="1" applyFont="1" applyFill="1" applyBorder="1"/>
    <xf numFmtId="168" fontId="2" fillId="2" borderId="4" xfId="2" applyNumberFormat="1" applyFont="1" applyFill="1" applyBorder="1"/>
    <xf numFmtId="167" fontId="2" fillId="2" borderId="4" xfId="3" applyNumberFormat="1" applyFont="1" applyFill="1" applyBorder="1"/>
    <xf numFmtId="167" fontId="2" fillId="0" borderId="0" xfId="3" applyNumberFormat="1" applyFont="1" applyFill="1" applyBorder="1"/>
    <xf numFmtId="0" fontId="0" fillId="0" borderId="0" xfId="0" applyFill="1" applyBorder="1"/>
    <xf numFmtId="167" fontId="0" fillId="0" borderId="0" xfId="0" applyNumberFormat="1" applyAlignment="1">
      <alignment horizontal="centerContinuous"/>
    </xf>
    <xf numFmtId="167" fontId="2" fillId="2" borderId="1" xfId="3" applyNumberFormat="1" applyFont="1" applyFill="1" applyBorder="1" applyAlignment="1">
      <alignment horizontal="centerContinuous"/>
    </xf>
    <xf numFmtId="167" fontId="0" fillId="0" borderId="0" xfId="0" applyNumberFormat="1"/>
    <xf numFmtId="0" fontId="0" fillId="3" borderId="5" xfId="0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/>
    </xf>
    <xf numFmtId="167" fontId="0" fillId="0" borderId="0" xfId="1" applyNumberFormat="1" applyFont="1"/>
    <xf numFmtId="49" fontId="1" fillId="0" borderId="0" xfId="0" applyNumberFormat="1" applyFont="1" applyFill="1"/>
    <xf numFmtId="164" fontId="2" fillId="0" borderId="0" xfId="1" applyNumberFormat="1" applyFont="1" applyAlignment="1">
      <alignment horizontal="left"/>
    </xf>
    <xf numFmtId="167" fontId="0" fillId="0" borderId="0" xfId="3" applyNumberFormat="1" applyFont="1"/>
    <xf numFmtId="167" fontId="0" fillId="0" borderId="0" xfId="3" applyNumberFormat="1" applyFont="1" applyAlignment="1">
      <alignment horizontal="centerContinuous"/>
    </xf>
    <xf numFmtId="167" fontId="0" fillId="0" borderId="0" xfId="0" applyNumberFormat="1" applyFill="1"/>
    <xf numFmtId="0" fontId="2" fillId="2" borderId="1" xfId="0" applyNumberFormat="1" applyFont="1" applyFill="1" applyBorder="1" applyAlignment="1">
      <alignment horizontal="center"/>
    </xf>
    <xf numFmtId="167" fontId="2" fillId="2" borderId="1" xfId="0" applyNumberFormat="1" applyFont="1" applyFill="1" applyBorder="1" applyAlignment="1">
      <alignment horizontal="centerContinuous"/>
    </xf>
    <xf numFmtId="49" fontId="2" fillId="0" borderId="0" xfId="0" applyNumberFormat="1" applyFont="1" applyFill="1"/>
    <xf numFmtId="0" fontId="2" fillId="0" borderId="0" xfId="0" applyFont="1" applyFill="1" applyBorder="1"/>
    <xf numFmtId="0" fontId="0" fillId="0" borderId="0" xfId="0" applyFill="1" applyAlignment="1">
      <alignment horizontal="centerContinuous"/>
    </xf>
    <xf numFmtId="0" fontId="3" fillId="0" borderId="0" xfId="0" applyFont="1"/>
    <xf numFmtId="165" fontId="0" fillId="0" borderId="0" xfId="0" applyNumberFormat="1"/>
    <xf numFmtId="166" fontId="4" fillId="0" borderId="0" xfId="0" applyNumberFormat="1" applyFont="1" applyAlignment="1">
      <alignment horizontal="left"/>
    </xf>
    <xf numFmtId="0" fontId="0" fillId="0" borderId="0" xfId="0" applyBorder="1"/>
    <xf numFmtId="0" fontId="5" fillId="0" borderId="0" xfId="0" applyFont="1" applyFill="1"/>
    <xf numFmtId="49" fontId="2" fillId="2" borderId="1" xfId="0" applyNumberFormat="1" applyFont="1" applyFill="1" applyBorder="1" applyAlignment="1">
      <alignment horizontal="center"/>
    </xf>
    <xf numFmtId="0" fontId="2" fillId="0" borderId="0" xfId="0" applyFont="1" applyAlignment="1">
      <alignment horizontal="left"/>
    </xf>
    <xf numFmtId="164" fontId="2" fillId="0" borderId="0" xfId="1" applyNumberFormat="1" applyFont="1" applyFill="1" applyAlignment="1">
      <alignment horizontal="centerContinuous"/>
    </xf>
    <xf numFmtId="0" fontId="4" fillId="0" borderId="0" xfId="0" applyFont="1" applyAlignment="1">
      <alignment horizontal="left"/>
    </xf>
    <xf numFmtId="14" fontId="2" fillId="0" borderId="0" xfId="0" applyNumberFormat="1" applyFont="1" applyAlignment="1">
      <alignment horizontal="left"/>
    </xf>
    <xf numFmtId="0" fontId="2" fillId="0" borderId="0" xfId="0" applyNumberFormat="1" applyFont="1" applyAlignment="1">
      <alignment horizontal="left"/>
    </xf>
    <xf numFmtId="49" fontId="0" fillId="3" borderId="5" xfId="0" applyNumberFormat="1" applyFill="1" applyBorder="1" applyAlignment="1">
      <alignment horizontal="center" vertical="center" wrapText="1"/>
    </xf>
    <xf numFmtId="49" fontId="0" fillId="0" borderId="0" xfId="0" applyNumberFormat="1"/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3"/>
  <sheetViews>
    <sheetView workbookViewId="0"/>
  </sheetViews>
  <sheetFormatPr defaultRowHeight="15" x14ac:dyDescent="0.25"/>
  <cols>
    <col min="1" max="130" width="20.7109375" customWidth="1"/>
  </cols>
  <sheetData>
    <row r="1" spans="1:130" x14ac:dyDescent="0.25">
      <c r="B1">
        <v>4</v>
      </c>
    </row>
    <row r="3" spans="1:130" ht="30" x14ac:dyDescent="0.25">
      <c r="A3" s="41" t="s">
        <v>242</v>
      </c>
      <c r="B3" s="41" t="s">
        <v>243</v>
      </c>
      <c r="C3" s="41" t="s">
        <v>16</v>
      </c>
      <c r="D3" s="41" t="s">
        <v>244</v>
      </c>
      <c r="E3" s="41" t="s">
        <v>245</v>
      </c>
      <c r="F3" s="41" t="s">
        <v>18</v>
      </c>
      <c r="G3" s="41" t="s">
        <v>246</v>
      </c>
      <c r="H3" s="41" t="s">
        <v>247</v>
      </c>
      <c r="I3" s="41" t="s">
        <v>248</v>
      </c>
      <c r="J3" s="41" t="s">
        <v>249</v>
      </c>
      <c r="K3" s="41" t="s">
        <v>250</v>
      </c>
      <c r="L3" s="41" t="s">
        <v>251</v>
      </c>
      <c r="M3" s="41" t="s">
        <v>252</v>
      </c>
      <c r="N3" s="41" t="s">
        <v>253</v>
      </c>
      <c r="O3" s="41" t="s">
        <v>254</v>
      </c>
      <c r="P3" s="41" t="s">
        <v>255</v>
      </c>
      <c r="Q3" s="41" t="s">
        <v>256</v>
      </c>
      <c r="R3" s="41" t="s">
        <v>257</v>
      </c>
      <c r="S3" s="41" t="s">
        <v>258</v>
      </c>
      <c r="T3" s="41" t="s">
        <v>259</v>
      </c>
      <c r="U3" s="41" t="s">
        <v>262</v>
      </c>
      <c r="V3" s="41" t="s">
        <v>263</v>
      </c>
      <c r="W3" s="41" t="s">
        <v>264</v>
      </c>
      <c r="X3" s="41" t="s">
        <v>265</v>
      </c>
      <c r="Y3" s="41" t="s">
        <v>266</v>
      </c>
      <c r="Z3" s="41" t="s">
        <v>267</v>
      </c>
      <c r="AA3" s="41" t="s">
        <v>268</v>
      </c>
      <c r="AB3" s="41" t="s">
        <v>269</v>
      </c>
      <c r="AC3" s="41" t="s">
        <v>270</v>
      </c>
      <c r="AD3" s="41" t="s">
        <v>271</v>
      </c>
      <c r="AE3" s="41" t="s">
        <v>272</v>
      </c>
      <c r="AF3" s="41" t="s">
        <v>273</v>
      </c>
      <c r="AG3" s="41" t="s">
        <v>274</v>
      </c>
      <c r="AH3" s="41" t="s">
        <v>275</v>
      </c>
      <c r="AI3" s="41" t="s">
        <v>276</v>
      </c>
      <c r="AJ3" s="41" t="s">
        <v>277</v>
      </c>
      <c r="AK3" s="41" t="s">
        <v>278</v>
      </c>
      <c r="AL3" s="41" t="s">
        <v>279</v>
      </c>
      <c r="AM3" s="41" t="s">
        <v>280</v>
      </c>
      <c r="AN3" s="41" t="s">
        <v>281</v>
      </c>
      <c r="AO3" s="41" t="s">
        <v>282</v>
      </c>
      <c r="AP3" s="41" t="s">
        <v>283</v>
      </c>
      <c r="AQ3" s="41" t="s">
        <v>284</v>
      </c>
      <c r="AR3" s="41" t="s">
        <v>285</v>
      </c>
      <c r="AS3" s="41" t="s">
        <v>286</v>
      </c>
      <c r="AT3" s="41" t="s">
        <v>287</v>
      </c>
      <c r="AU3" s="41" t="s">
        <v>288</v>
      </c>
      <c r="AV3" s="41" t="s">
        <v>260</v>
      </c>
      <c r="AW3" s="41" t="s">
        <v>261</v>
      </c>
      <c r="AX3" s="41" t="s">
        <v>289</v>
      </c>
      <c r="AY3" s="41" t="s">
        <v>290</v>
      </c>
      <c r="AZ3" s="41" t="s">
        <v>291</v>
      </c>
      <c r="BA3" s="41" t="s">
        <v>43</v>
      </c>
      <c r="BB3" s="41" t="s">
        <v>44</v>
      </c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298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61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50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50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2"/>
      <c r="F10" s="31" t="s">
        <v>14</v>
      </c>
      <c r="G10" s="32"/>
      <c r="H10" s="49" t="s">
        <v>306</v>
      </c>
      <c r="I10" s="32"/>
      <c r="J10" s="31" t="s">
        <v>14</v>
      </c>
      <c r="K10" s="10"/>
      <c r="L10" s="42" t="s">
        <v>11</v>
      </c>
      <c r="M10" s="10"/>
      <c r="N10" s="31" t="s">
        <v>15</v>
      </c>
      <c r="O10" s="10"/>
      <c r="P10" s="59" t="s">
        <v>10</v>
      </c>
      <c r="Q10" s="32"/>
      <c r="R10" s="31" t="s">
        <v>14</v>
      </c>
      <c r="S10" s="32"/>
      <c r="T10" s="49" t="s">
        <v>306</v>
      </c>
      <c r="U10" s="32"/>
      <c r="V10" s="31" t="s">
        <v>14</v>
      </c>
      <c r="W10" s="10"/>
      <c r="X10" s="42" t="s">
        <v>11</v>
      </c>
      <c r="Y10" s="10"/>
      <c r="Z10" s="31" t="s">
        <v>15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6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2" t="e">
        <f ca="1">SUM(_xll.OneStop.ReportPlayer.OSRFunctions.OSRRef(D22))</f>
        <v>#NAME?</v>
      </c>
      <c r="E20" s="22"/>
      <c r="F20" s="36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6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6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6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7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6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0" t="e">
        <f ca="1">+D27-D29</f>
        <v>#NAME?</v>
      </c>
      <c r="E31" s="13"/>
      <c r="F31" s="33" t="e">
        <f ca="1">IF(D$12=0,0,D31/D$12)</f>
        <v>#NAME?</v>
      </c>
      <c r="G31" s="13"/>
      <c r="H31" s="30" t="e">
        <f ca="1">+H27-H29</f>
        <v>#NAME?</v>
      </c>
      <c r="I31" s="13"/>
      <c r="J31" s="33" t="e">
        <f ca="1">IF(H$12=0,0,H31/H$12)</f>
        <v>#NAME?</v>
      </c>
      <c r="K31" s="15"/>
      <c r="L31" s="30" t="e">
        <f ca="1">D31-H31</f>
        <v>#NAME?</v>
      </c>
      <c r="M31" s="15"/>
      <c r="N31" s="33" t="e">
        <f ca="1">IF(H31=0,0,L31/H31)</f>
        <v>#NAME?</v>
      </c>
      <c r="O31" s="26"/>
      <c r="P31" s="30" t="e">
        <f ca="1">+P27-P29</f>
        <v>#NAME?</v>
      </c>
      <c r="Q31" s="13"/>
      <c r="R31" s="33" t="e">
        <f ca="1">IF(P$12=0,0,P31/P$12)</f>
        <v>#NAME?</v>
      </c>
      <c r="S31" s="13"/>
      <c r="T31" s="30" t="e">
        <f ca="1">+T27-T29</f>
        <v>#NAME?</v>
      </c>
      <c r="U31" s="13"/>
      <c r="V31" s="33" t="e">
        <f ca="1">IF(T$12=0,0,T31/T$12)</f>
        <v>#NAME?</v>
      </c>
      <c r="W31" s="15"/>
      <c r="X31" s="30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4" t="e">
        <f ca="1">SUM(D31:D35)</f>
        <v>#NAME?</v>
      </c>
      <c r="E36" s="13"/>
      <c r="F36" s="35" t="e">
        <f ca="1">IF(D$12=0,0,D36/D$12)</f>
        <v>#NAME?</v>
      </c>
      <c r="G36" s="13"/>
      <c r="H36" s="34" t="e">
        <f ca="1">SUM(H31:H35)</f>
        <v>#NAME?</v>
      </c>
      <c r="I36" s="13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6"/>
      <c r="P36" s="34" t="e">
        <f ca="1">SUM(P31:P35)</f>
        <v>#NAME?</v>
      </c>
      <c r="Q36" s="13"/>
      <c r="R36" s="35" t="e">
        <f ca="1">IF(P$12=0,0,P36/P$12)</f>
        <v>#NAME?</v>
      </c>
      <c r="S36" s="13"/>
      <c r="T36" s="34" t="e">
        <f ca="1">SUM(T31:T35)</f>
        <v>#NAME?</v>
      </c>
      <c r="U36" s="13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e">
        <f ca="1">CONCATENATE("Department ",_xll.OneStop.ReportPlayer.OSRFunctions.OSRGet("d_dim0","Code"), " - ", _xll.OneStop.ReportPlayer.OSRFunctions.OSRGet("d_dim0","Description"))</f>
        <v>#NAME?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61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50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50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2"/>
      <c r="F10" s="31" t="s">
        <v>14</v>
      </c>
      <c r="G10" s="32"/>
      <c r="H10" s="49" t="s">
        <v>306</v>
      </c>
      <c r="I10" s="32"/>
      <c r="J10" s="31" t="s">
        <v>14</v>
      </c>
      <c r="K10" s="10"/>
      <c r="L10" s="42" t="s">
        <v>11</v>
      </c>
      <c r="M10" s="10"/>
      <c r="N10" s="31" t="s">
        <v>15</v>
      </c>
      <c r="O10" s="10"/>
      <c r="P10" s="59" t="s">
        <v>10</v>
      </c>
      <c r="Q10" s="32"/>
      <c r="R10" s="31" t="s">
        <v>14</v>
      </c>
      <c r="S10" s="32"/>
      <c r="T10" s="49" t="s">
        <v>306</v>
      </c>
      <c r="U10" s="32"/>
      <c r="V10" s="31" t="s">
        <v>14</v>
      </c>
      <c r="W10" s="10"/>
      <c r="X10" s="42" t="s">
        <v>11</v>
      </c>
      <c r="Y10" s="10"/>
      <c r="Z10" s="31" t="s">
        <v>15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6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2" t="e">
        <f ca="1">SUM(_xll.OneStop.ReportPlayer.OSRFunctions.OSRRef(D22))</f>
        <v>#NAME?</v>
      </c>
      <c r="E20" s="22"/>
      <c r="F20" s="36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6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6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6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7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6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0" t="e">
        <f ca="1">+D27-D29</f>
        <v>#NAME?</v>
      </c>
      <c r="E31" s="13"/>
      <c r="F31" s="33" t="e">
        <f ca="1">IF(D$12=0,0,D31/D$12)</f>
        <v>#NAME?</v>
      </c>
      <c r="G31" s="13"/>
      <c r="H31" s="30" t="e">
        <f ca="1">+H27-H29</f>
        <v>#NAME?</v>
      </c>
      <c r="I31" s="13"/>
      <c r="J31" s="33" t="e">
        <f ca="1">IF(H$12=0,0,H31/H$12)</f>
        <v>#NAME?</v>
      </c>
      <c r="K31" s="15"/>
      <c r="L31" s="30" t="e">
        <f ca="1">D31-H31</f>
        <v>#NAME?</v>
      </c>
      <c r="M31" s="15"/>
      <c r="N31" s="33" t="e">
        <f ca="1">IF(H31=0,0,L31/H31)</f>
        <v>#NAME?</v>
      </c>
      <c r="O31" s="26"/>
      <c r="P31" s="30" t="e">
        <f ca="1">+P27-P29</f>
        <v>#NAME?</v>
      </c>
      <c r="Q31" s="13"/>
      <c r="R31" s="33" t="e">
        <f ca="1">IF(P$12=0,0,P31/P$12)</f>
        <v>#NAME?</v>
      </c>
      <c r="S31" s="13"/>
      <c r="T31" s="30" t="e">
        <f ca="1">+T27-T29</f>
        <v>#NAME?</v>
      </c>
      <c r="U31" s="13"/>
      <c r="V31" s="33" t="e">
        <f ca="1">IF(T$12=0,0,T31/T$12)</f>
        <v>#NAME?</v>
      </c>
      <c r="W31" s="15"/>
      <c r="X31" s="30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4" t="e">
        <f ca="1">SUM(D31:D35)</f>
        <v>#NAME?</v>
      </c>
      <c r="E36" s="13"/>
      <c r="F36" s="35" t="e">
        <f ca="1">IF(D$12=0,0,D36/D$12)</f>
        <v>#NAME?</v>
      </c>
      <c r="G36" s="13"/>
      <c r="H36" s="34" t="e">
        <f ca="1">SUM(H31:H35)</f>
        <v>#NAME?</v>
      </c>
      <c r="I36" s="13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6"/>
      <c r="P36" s="34" t="e">
        <f ca="1">SUM(P31:P35)</f>
        <v>#NAME?</v>
      </c>
      <c r="Q36" s="13"/>
      <c r="R36" s="35" t="e">
        <f ca="1">IF(P$12=0,0,P36/P$12)</f>
        <v>#NAME?</v>
      </c>
      <c r="S36" s="13"/>
      <c r="T36" s="34" t="e">
        <f ca="1">SUM(T31:T35)</f>
        <v>#NAME?</v>
      </c>
      <c r="U36" s="13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307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61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50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50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2"/>
      <c r="F10" s="31" t="s">
        <v>14</v>
      </c>
      <c r="G10" s="32"/>
      <c r="H10" s="49" t="s">
        <v>306</v>
      </c>
      <c r="I10" s="32"/>
      <c r="J10" s="31" t="s">
        <v>14</v>
      </c>
      <c r="K10" s="10"/>
      <c r="L10" s="42" t="s">
        <v>11</v>
      </c>
      <c r="M10" s="10"/>
      <c r="N10" s="31" t="s">
        <v>15</v>
      </c>
      <c r="O10" s="10"/>
      <c r="P10" s="59" t="s">
        <v>10</v>
      </c>
      <c r="Q10" s="32"/>
      <c r="R10" s="31" t="s">
        <v>14</v>
      </c>
      <c r="S10" s="32"/>
      <c r="T10" s="49" t="s">
        <v>306</v>
      </c>
      <c r="U10" s="32"/>
      <c r="V10" s="31" t="s">
        <v>14</v>
      </c>
      <c r="W10" s="10"/>
      <c r="X10" s="42" t="s">
        <v>11</v>
      </c>
      <c r="Y10" s="10"/>
      <c r="Z10" s="31" t="s">
        <v>15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6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2" t="e">
        <f ca="1">SUM(_xll.OneStop.ReportPlayer.OSRFunctions.OSRRef(D22))</f>
        <v>#NAME?</v>
      </c>
      <c r="E20" s="22"/>
      <c r="F20" s="36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6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6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6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7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6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0" t="e">
        <f ca="1">+D27-D29</f>
        <v>#NAME?</v>
      </c>
      <c r="E31" s="13"/>
      <c r="F31" s="33" t="e">
        <f ca="1">IF(D$12=0,0,D31/D$12)</f>
        <v>#NAME?</v>
      </c>
      <c r="G31" s="13"/>
      <c r="H31" s="30" t="e">
        <f ca="1">+H27-H29</f>
        <v>#NAME?</v>
      </c>
      <c r="I31" s="13"/>
      <c r="J31" s="33" t="e">
        <f ca="1">IF(H$12=0,0,H31/H$12)</f>
        <v>#NAME?</v>
      </c>
      <c r="K31" s="15"/>
      <c r="L31" s="30" t="e">
        <f ca="1">D31-H31</f>
        <v>#NAME?</v>
      </c>
      <c r="M31" s="15"/>
      <c r="N31" s="33" t="e">
        <f ca="1">IF(H31=0,0,L31/H31)</f>
        <v>#NAME?</v>
      </c>
      <c r="O31" s="26"/>
      <c r="P31" s="30" t="e">
        <f ca="1">+P27-P29</f>
        <v>#NAME?</v>
      </c>
      <c r="Q31" s="13"/>
      <c r="R31" s="33" t="e">
        <f ca="1">IF(P$12=0,0,P31/P$12)</f>
        <v>#NAME?</v>
      </c>
      <c r="S31" s="13"/>
      <c r="T31" s="30" t="e">
        <f ca="1">+T27-T29</f>
        <v>#NAME?</v>
      </c>
      <c r="U31" s="13"/>
      <c r="V31" s="33" t="e">
        <f ca="1">IF(T$12=0,0,T31/T$12)</f>
        <v>#NAME?</v>
      </c>
      <c r="W31" s="15"/>
      <c r="X31" s="30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4" t="e">
        <f ca="1">SUM(D31:D35)</f>
        <v>#NAME?</v>
      </c>
      <c r="E36" s="13"/>
      <c r="F36" s="35" t="e">
        <f ca="1">IF(D$12=0,0,D36/D$12)</f>
        <v>#NAME?</v>
      </c>
      <c r="G36" s="13"/>
      <c r="H36" s="34" t="e">
        <f ca="1">SUM(H31:H35)</f>
        <v>#NAME?</v>
      </c>
      <c r="I36" s="13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6"/>
      <c r="P36" s="34" t="e">
        <f ca="1">SUM(P31:P35)</f>
        <v>#NAME?</v>
      </c>
      <c r="Q36" s="13"/>
      <c r="R36" s="35" t="e">
        <f ca="1">IF(P$12=0,0,P36/P$12)</f>
        <v>#NAME?</v>
      </c>
      <c r="S36" s="13"/>
      <c r="T36" s="34" t="e">
        <f ca="1">SUM(T31:T35)</f>
        <v>#NAME?</v>
      </c>
      <c r="U36" s="13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307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61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50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50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2"/>
      <c r="F10" s="31" t="s">
        <v>14</v>
      </c>
      <c r="G10" s="32"/>
      <c r="H10" s="49" t="s">
        <v>306</v>
      </c>
      <c r="I10" s="32"/>
      <c r="J10" s="31" t="s">
        <v>14</v>
      </c>
      <c r="K10" s="10"/>
      <c r="L10" s="42" t="s">
        <v>11</v>
      </c>
      <c r="M10" s="10"/>
      <c r="N10" s="31" t="s">
        <v>15</v>
      </c>
      <c r="O10" s="10"/>
      <c r="P10" s="59" t="s">
        <v>10</v>
      </c>
      <c r="Q10" s="32"/>
      <c r="R10" s="31" t="s">
        <v>14</v>
      </c>
      <c r="S10" s="32"/>
      <c r="T10" s="49" t="s">
        <v>306</v>
      </c>
      <c r="U10" s="32"/>
      <c r="V10" s="31" t="s">
        <v>14</v>
      </c>
      <c r="W10" s="10"/>
      <c r="X10" s="42" t="s">
        <v>11</v>
      </c>
      <c r="Y10" s="10"/>
      <c r="Z10" s="31" t="s">
        <v>15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6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2" t="e">
        <f ca="1">SUM(_xll.OneStop.ReportPlayer.OSRFunctions.OSRRef(D22))</f>
        <v>#NAME?</v>
      </c>
      <c r="E20" s="22"/>
      <c r="F20" s="36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6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6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6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7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6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0" t="e">
        <f ca="1">+D27-D29</f>
        <v>#NAME?</v>
      </c>
      <c r="E31" s="13"/>
      <c r="F31" s="33" t="e">
        <f ca="1">IF(D$12=0,0,D31/D$12)</f>
        <v>#NAME?</v>
      </c>
      <c r="G31" s="13"/>
      <c r="H31" s="30" t="e">
        <f ca="1">+H27-H29</f>
        <v>#NAME?</v>
      </c>
      <c r="I31" s="13"/>
      <c r="J31" s="33" t="e">
        <f ca="1">IF(H$12=0,0,H31/H$12)</f>
        <v>#NAME?</v>
      </c>
      <c r="K31" s="15"/>
      <c r="L31" s="30" t="e">
        <f ca="1">D31-H31</f>
        <v>#NAME?</v>
      </c>
      <c r="M31" s="15"/>
      <c r="N31" s="33" t="e">
        <f ca="1">IF(H31=0,0,L31/H31)</f>
        <v>#NAME?</v>
      </c>
      <c r="O31" s="26"/>
      <c r="P31" s="30" t="e">
        <f ca="1">+P27-P29</f>
        <v>#NAME?</v>
      </c>
      <c r="Q31" s="13"/>
      <c r="R31" s="33" t="e">
        <f ca="1">IF(P$12=0,0,P31/P$12)</f>
        <v>#NAME?</v>
      </c>
      <c r="S31" s="13"/>
      <c r="T31" s="30" t="e">
        <f ca="1">+T27-T29</f>
        <v>#NAME?</v>
      </c>
      <c r="U31" s="13"/>
      <c r="V31" s="33" t="e">
        <f ca="1">IF(T$12=0,0,T31/T$12)</f>
        <v>#NAME?</v>
      </c>
      <c r="W31" s="15"/>
      <c r="X31" s="30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4" t="e">
        <f ca="1">SUM(D31:D35)</f>
        <v>#NAME?</v>
      </c>
      <c r="E36" s="13"/>
      <c r="F36" s="35" t="e">
        <f ca="1">IF(D$12=0,0,D36/D$12)</f>
        <v>#NAME?</v>
      </c>
      <c r="G36" s="13"/>
      <c r="H36" s="34" t="e">
        <f ca="1">SUM(H31:H35)</f>
        <v>#NAME?</v>
      </c>
      <c r="I36" s="13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6"/>
      <c r="P36" s="34" t="e">
        <f ca="1">SUM(P31:P35)</f>
        <v>#NAME?</v>
      </c>
      <c r="Q36" s="13"/>
      <c r="R36" s="35" t="e">
        <f ca="1">IF(P$12=0,0,P36/P$12)</f>
        <v>#NAME?</v>
      </c>
      <c r="S36" s="13"/>
      <c r="T36" s="34" t="e">
        <f ca="1">SUM(T31:T35)</f>
        <v>#NAME?</v>
      </c>
      <c r="U36" s="13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308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61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50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50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2"/>
      <c r="F10" s="31" t="s">
        <v>14</v>
      </c>
      <c r="G10" s="32"/>
      <c r="H10" s="49" t="s">
        <v>306</v>
      </c>
      <c r="I10" s="32"/>
      <c r="J10" s="31" t="s">
        <v>14</v>
      </c>
      <c r="K10" s="10"/>
      <c r="L10" s="42" t="s">
        <v>11</v>
      </c>
      <c r="M10" s="10"/>
      <c r="N10" s="31" t="s">
        <v>15</v>
      </c>
      <c r="O10" s="10"/>
      <c r="P10" s="59" t="s">
        <v>10</v>
      </c>
      <c r="Q10" s="32"/>
      <c r="R10" s="31" t="s">
        <v>14</v>
      </c>
      <c r="S10" s="32"/>
      <c r="T10" s="49" t="s">
        <v>306</v>
      </c>
      <c r="U10" s="32"/>
      <c r="V10" s="31" t="s">
        <v>14</v>
      </c>
      <c r="W10" s="10"/>
      <c r="X10" s="42" t="s">
        <v>11</v>
      </c>
      <c r="Y10" s="10"/>
      <c r="Z10" s="31" t="s">
        <v>15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6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2" t="e">
        <f ca="1">SUM(_xll.OneStop.ReportPlayer.OSRFunctions.OSRRef(D22))</f>
        <v>#NAME?</v>
      </c>
      <c r="E20" s="22"/>
      <c r="F20" s="36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6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6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6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7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6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0" t="e">
        <f ca="1">+D27-D29</f>
        <v>#NAME?</v>
      </c>
      <c r="E31" s="13"/>
      <c r="F31" s="33" t="e">
        <f ca="1">IF(D$12=0,0,D31/D$12)</f>
        <v>#NAME?</v>
      </c>
      <c r="G31" s="13"/>
      <c r="H31" s="30" t="e">
        <f ca="1">+H27-H29</f>
        <v>#NAME?</v>
      </c>
      <c r="I31" s="13"/>
      <c r="J31" s="33" t="e">
        <f ca="1">IF(H$12=0,0,H31/H$12)</f>
        <v>#NAME?</v>
      </c>
      <c r="K31" s="15"/>
      <c r="L31" s="30" t="e">
        <f ca="1">D31-H31</f>
        <v>#NAME?</v>
      </c>
      <c r="M31" s="15"/>
      <c r="N31" s="33" t="e">
        <f ca="1">IF(H31=0,0,L31/H31)</f>
        <v>#NAME?</v>
      </c>
      <c r="O31" s="26"/>
      <c r="P31" s="30" t="e">
        <f ca="1">+P27-P29</f>
        <v>#NAME?</v>
      </c>
      <c r="Q31" s="13"/>
      <c r="R31" s="33" t="e">
        <f ca="1">IF(P$12=0,0,P31/P$12)</f>
        <v>#NAME?</v>
      </c>
      <c r="S31" s="13"/>
      <c r="T31" s="30" t="e">
        <f ca="1">+T27-T29</f>
        <v>#NAME?</v>
      </c>
      <c r="U31" s="13"/>
      <c r="V31" s="33" t="e">
        <f ca="1">IF(T$12=0,0,T31/T$12)</f>
        <v>#NAME?</v>
      </c>
      <c r="W31" s="15"/>
      <c r="X31" s="30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4" t="e">
        <f ca="1">SUM(D31:D35)</f>
        <v>#NAME?</v>
      </c>
      <c r="E36" s="13"/>
      <c r="F36" s="35" t="e">
        <f ca="1">IF(D$12=0,0,D36/D$12)</f>
        <v>#NAME?</v>
      </c>
      <c r="G36" s="13"/>
      <c r="H36" s="34" t="e">
        <f ca="1">SUM(H31:H35)</f>
        <v>#NAME?</v>
      </c>
      <c r="I36" s="13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6"/>
      <c r="P36" s="34" t="e">
        <f ca="1">SUM(P31:P35)</f>
        <v>#NAME?</v>
      </c>
      <c r="Q36" s="13"/>
      <c r="R36" s="35" t="e">
        <f ca="1">IF(P$12=0,0,P36/P$12)</f>
        <v>#NAME?</v>
      </c>
      <c r="S36" s="13"/>
      <c r="T36" s="34" t="e">
        <f ca="1">SUM(T31:T35)</f>
        <v>#NAME?</v>
      </c>
      <c r="U36" s="13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308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61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50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50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2"/>
      <c r="F10" s="31" t="s">
        <v>14</v>
      </c>
      <c r="G10" s="32"/>
      <c r="H10" s="49" t="s">
        <v>306</v>
      </c>
      <c r="I10" s="32"/>
      <c r="J10" s="31" t="s">
        <v>14</v>
      </c>
      <c r="K10" s="10"/>
      <c r="L10" s="42" t="s">
        <v>11</v>
      </c>
      <c r="M10" s="10"/>
      <c r="N10" s="31" t="s">
        <v>15</v>
      </c>
      <c r="O10" s="10"/>
      <c r="P10" s="59" t="s">
        <v>10</v>
      </c>
      <c r="Q10" s="32"/>
      <c r="R10" s="31" t="s">
        <v>14</v>
      </c>
      <c r="S10" s="32"/>
      <c r="T10" s="49" t="s">
        <v>306</v>
      </c>
      <c r="U10" s="32"/>
      <c r="V10" s="31" t="s">
        <v>14</v>
      </c>
      <c r="W10" s="10"/>
      <c r="X10" s="42" t="s">
        <v>11</v>
      </c>
      <c r="Y10" s="10"/>
      <c r="Z10" s="31" t="s">
        <v>15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6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2" t="e">
        <f ca="1">SUM(_xll.OneStop.ReportPlayer.OSRFunctions.OSRRef(D22))</f>
        <v>#NAME?</v>
      </c>
      <c r="E20" s="22"/>
      <c r="F20" s="36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6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6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6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7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6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0" t="e">
        <f ca="1">+D27-D29</f>
        <v>#NAME?</v>
      </c>
      <c r="E31" s="13"/>
      <c r="F31" s="33" t="e">
        <f ca="1">IF(D$12=0,0,D31/D$12)</f>
        <v>#NAME?</v>
      </c>
      <c r="G31" s="13"/>
      <c r="H31" s="30" t="e">
        <f ca="1">+H27-H29</f>
        <v>#NAME?</v>
      </c>
      <c r="I31" s="13"/>
      <c r="J31" s="33" t="e">
        <f ca="1">IF(H$12=0,0,H31/H$12)</f>
        <v>#NAME?</v>
      </c>
      <c r="K31" s="15"/>
      <c r="L31" s="30" t="e">
        <f ca="1">D31-H31</f>
        <v>#NAME?</v>
      </c>
      <c r="M31" s="15"/>
      <c r="N31" s="33" t="e">
        <f ca="1">IF(H31=0,0,L31/H31)</f>
        <v>#NAME?</v>
      </c>
      <c r="O31" s="26"/>
      <c r="P31" s="30" t="e">
        <f ca="1">+P27-P29</f>
        <v>#NAME?</v>
      </c>
      <c r="Q31" s="13"/>
      <c r="R31" s="33" t="e">
        <f ca="1">IF(P$12=0,0,P31/P$12)</f>
        <v>#NAME?</v>
      </c>
      <c r="S31" s="13"/>
      <c r="T31" s="30" t="e">
        <f ca="1">+T27-T29</f>
        <v>#NAME?</v>
      </c>
      <c r="U31" s="13"/>
      <c r="V31" s="33" t="e">
        <f ca="1">IF(T$12=0,0,T31/T$12)</f>
        <v>#NAME?</v>
      </c>
      <c r="W31" s="15"/>
      <c r="X31" s="30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4" t="e">
        <f ca="1">SUM(D31:D35)</f>
        <v>#NAME?</v>
      </c>
      <c r="E36" s="13"/>
      <c r="F36" s="35" t="e">
        <f ca="1">IF(D$12=0,0,D36/D$12)</f>
        <v>#NAME?</v>
      </c>
      <c r="G36" s="13"/>
      <c r="H36" s="34" t="e">
        <f ca="1">SUM(H31:H35)</f>
        <v>#NAME?</v>
      </c>
      <c r="I36" s="13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6"/>
      <c r="P36" s="34" t="e">
        <f ca="1">SUM(P31:P35)</f>
        <v>#NAME?</v>
      </c>
      <c r="Q36" s="13"/>
      <c r="R36" s="35" t="e">
        <f ca="1">IF(P$12=0,0,P36/P$12)</f>
        <v>#NAME?</v>
      </c>
      <c r="S36" s="13"/>
      <c r="T36" s="34" t="e">
        <f ca="1">SUM(T31:T35)</f>
        <v>#NAME?</v>
      </c>
      <c r="U36" s="13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311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61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50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50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2"/>
      <c r="F10" s="31" t="s">
        <v>14</v>
      </c>
      <c r="G10" s="32"/>
      <c r="H10" s="49" t="s">
        <v>306</v>
      </c>
      <c r="I10" s="32"/>
      <c r="J10" s="31" t="s">
        <v>14</v>
      </c>
      <c r="K10" s="10"/>
      <c r="L10" s="42" t="s">
        <v>11</v>
      </c>
      <c r="M10" s="10"/>
      <c r="N10" s="31" t="s">
        <v>15</v>
      </c>
      <c r="O10" s="10"/>
      <c r="P10" s="59" t="s">
        <v>10</v>
      </c>
      <c r="Q10" s="32"/>
      <c r="R10" s="31" t="s">
        <v>14</v>
      </c>
      <c r="S10" s="32"/>
      <c r="T10" s="49" t="s">
        <v>306</v>
      </c>
      <c r="U10" s="32"/>
      <c r="V10" s="31" t="s">
        <v>14</v>
      </c>
      <c r="W10" s="10"/>
      <c r="X10" s="42" t="s">
        <v>11</v>
      </c>
      <c r="Y10" s="10"/>
      <c r="Z10" s="31" t="s">
        <v>15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6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2" t="e">
        <f ca="1">SUM(_xll.OneStop.ReportPlayer.OSRFunctions.OSRRef(D22))</f>
        <v>#NAME?</v>
      </c>
      <c r="E20" s="22"/>
      <c r="F20" s="36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6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6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6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7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6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0" t="e">
        <f ca="1">+D27-D29</f>
        <v>#NAME?</v>
      </c>
      <c r="E31" s="13"/>
      <c r="F31" s="33" t="e">
        <f ca="1">IF(D$12=0,0,D31/D$12)</f>
        <v>#NAME?</v>
      </c>
      <c r="G31" s="13"/>
      <c r="H31" s="30" t="e">
        <f ca="1">+H27-H29</f>
        <v>#NAME?</v>
      </c>
      <c r="I31" s="13"/>
      <c r="J31" s="33" t="e">
        <f ca="1">IF(H$12=0,0,H31/H$12)</f>
        <v>#NAME?</v>
      </c>
      <c r="K31" s="15"/>
      <c r="L31" s="30" t="e">
        <f ca="1">D31-H31</f>
        <v>#NAME?</v>
      </c>
      <c r="M31" s="15"/>
      <c r="N31" s="33" t="e">
        <f ca="1">IF(H31=0,0,L31/H31)</f>
        <v>#NAME?</v>
      </c>
      <c r="O31" s="26"/>
      <c r="P31" s="30" t="e">
        <f ca="1">+P27-P29</f>
        <v>#NAME?</v>
      </c>
      <c r="Q31" s="13"/>
      <c r="R31" s="33" t="e">
        <f ca="1">IF(P$12=0,0,P31/P$12)</f>
        <v>#NAME?</v>
      </c>
      <c r="S31" s="13"/>
      <c r="T31" s="30" t="e">
        <f ca="1">+T27-T29</f>
        <v>#NAME?</v>
      </c>
      <c r="U31" s="13"/>
      <c r="V31" s="33" t="e">
        <f ca="1">IF(T$12=0,0,T31/T$12)</f>
        <v>#NAME?</v>
      </c>
      <c r="W31" s="15"/>
      <c r="X31" s="30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4" t="e">
        <f ca="1">SUM(D31:D35)</f>
        <v>#NAME?</v>
      </c>
      <c r="E36" s="13"/>
      <c r="F36" s="35" t="e">
        <f ca="1">IF(D$12=0,0,D36/D$12)</f>
        <v>#NAME?</v>
      </c>
      <c r="G36" s="13"/>
      <c r="H36" s="34" t="e">
        <f ca="1">SUM(H31:H35)</f>
        <v>#NAME?</v>
      </c>
      <c r="I36" s="13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6"/>
      <c r="P36" s="34" t="e">
        <f ca="1">SUM(P31:P35)</f>
        <v>#NAME?</v>
      </c>
      <c r="Q36" s="13"/>
      <c r="R36" s="35" t="e">
        <f ca="1">IF(P$12=0,0,P36/P$12)</f>
        <v>#NAME?</v>
      </c>
      <c r="S36" s="13"/>
      <c r="T36" s="34" t="e">
        <f ca="1">SUM(T31:T35)</f>
        <v>#NAME?</v>
      </c>
      <c r="U36" s="13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311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61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50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50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2"/>
      <c r="F10" s="31" t="s">
        <v>14</v>
      </c>
      <c r="G10" s="32"/>
      <c r="H10" s="49" t="s">
        <v>306</v>
      </c>
      <c r="I10" s="32"/>
      <c r="J10" s="31" t="s">
        <v>14</v>
      </c>
      <c r="K10" s="10"/>
      <c r="L10" s="42" t="s">
        <v>11</v>
      </c>
      <c r="M10" s="10"/>
      <c r="N10" s="31" t="s">
        <v>15</v>
      </c>
      <c r="O10" s="10"/>
      <c r="P10" s="59" t="s">
        <v>10</v>
      </c>
      <c r="Q10" s="32"/>
      <c r="R10" s="31" t="s">
        <v>14</v>
      </c>
      <c r="S10" s="32"/>
      <c r="T10" s="49" t="s">
        <v>306</v>
      </c>
      <c r="U10" s="32"/>
      <c r="V10" s="31" t="s">
        <v>14</v>
      </c>
      <c r="W10" s="10"/>
      <c r="X10" s="42" t="s">
        <v>11</v>
      </c>
      <c r="Y10" s="10"/>
      <c r="Z10" s="31" t="s">
        <v>15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6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2" t="e">
        <f ca="1">SUM(_xll.OneStop.ReportPlayer.OSRFunctions.OSRRef(D22))</f>
        <v>#NAME?</v>
      </c>
      <c r="E20" s="22"/>
      <c r="F20" s="36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6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6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6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7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6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0" t="e">
        <f ca="1">+D27-D29</f>
        <v>#NAME?</v>
      </c>
      <c r="E31" s="13"/>
      <c r="F31" s="33" t="e">
        <f ca="1">IF(D$12=0,0,D31/D$12)</f>
        <v>#NAME?</v>
      </c>
      <c r="G31" s="13"/>
      <c r="H31" s="30" t="e">
        <f ca="1">+H27-H29</f>
        <v>#NAME?</v>
      </c>
      <c r="I31" s="13"/>
      <c r="J31" s="33" t="e">
        <f ca="1">IF(H$12=0,0,H31/H$12)</f>
        <v>#NAME?</v>
      </c>
      <c r="K31" s="15"/>
      <c r="L31" s="30" t="e">
        <f ca="1">D31-H31</f>
        <v>#NAME?</v>
      </c>
      <c r="M31" s="15"/>
      <c r="N31" s="33" t="e">
        <f ca="1">IF(H31=0,0,L31/H31)</f>
        <v>#NAME?</v>
      </c>
      <c r="O31" s="26"/>
      <c r="P31" s="30" t="e">
        <f ca="1">+P27-P29</f>
        <v>#NAME?</v>
      </c>
      <c r="Q31" s="13"/>
      <c r="R31" s="33" t="e">
        <f ca="1">IF(P$12=0,0,P31/P$12)</f>
        <v>#NAME?</v>
      </c>
      <c r="S31" s="13"/>
      <c r="T31" s="30" t="e">
        <f ca="1">+T27-T29</f>
        <v>#NAME?</v>
      </c>
      <c r="U31" s="13"/>
      <c r="V31" s="33" t="e">
        <f ca="1">IF(T$12=0,0,T31/T$12)</f>
        <v>#NAME?</v>
      </c>
      <c r="W31" s="15"/>
      <c r="X31" s="30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4" t="e">
        <f ca="1">SUM(D31:D35)</f>
        <v>#NAME?</v>
      </c>
      <c r="E36" s="13"/>
      <c r="F36" s="35" t="e">
        <f ca="1">IF(D$12=0,0,D36/D$12)</f>
        <v>#NAME?</v>
      </c>
      <c r="G36" s="13"/>
      <c r="H36" s="34" t="e">
        <f ca="1">SUM(H31:H35)</f>
        <v>#NAME?</v>
      </c>
      <c r="I36" s="13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6"/>
      <c r="P36" s="34" t="e">
        <f ca="1">SUM(P31:P35)</f>
        <v>#NAME?</v>
      </c>
      <c r="Q36" s="13"/>
      <c r="R36" s="35" t="e">
        <f ca="1">IF(P$12=0,0,P36/P$12)</f>
        <v>#NAME?</v>
      </c>
      <c r="S36" s="13"/>
      <c r="T36" s="34" t="e">
        <f ca="1">SUM(T31:T35)</f>
        <v>#NAME?</v>
      </c>
      <c r="U36" s="13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sqref="A1:XFD1048576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305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61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50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50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2"/>
      <c r="F10" s="31" t="s">
        <v>14</v>
      </c>
      <c r="G10" s="32"/>
      <c r="H10" s="49" t="s">
        <v>306</v>
      </c>
      <c r="I10" s="32"/>
      <c r="J10" s="31" t="s">
        <v>14</v>
      </c>
      <c r="K10" s="10"/>
      <c r="L10" s="42" t="s">
        <v>11</v>
      </c>
      <c r="M10" s="10"/>
      <c r="N10" s="31" t="s">
        <v>15</v>
      </c>
      <c r="O10" s="10"/>
      <c r="P10" s="59" t="s">
        <v>10</v>
      </c>
      <c r="Q10" s="32"/>
      <c r="R10" s="31" t="s">
        <v>14</v>
      </c>
      <c r="S10" s="32"/>
      <c r="T10" s="49" t="s">
        <v>306</v>
      </c>
      <c r="U10" s="32"/>
      <c r="V10" s="31" t="s">
        <v>14</v>
      </c>
      <c r="W10" s="10"/>
      <c r="X10" s="42" t="s">
        <v>11</v>
      </c>
      <c r="Y10" s="10"/>
      <c r="Z10" s="31" t="s">
        <v>15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6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2" t="e">
        <f ca="1">SUM(_xll.OneStop.ReportPlayer.OSRFunctions.OSRRef(D22))</f>
        <v>#NAME?</v>
      </c>
      <c r="E20" s="22"/>
      <c r="F20" s="36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6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6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6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7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6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0" t="e">
        <f ca="1">+D27-D29</f>
        <v>#NAME?</v>
      </c>
      <c r="E31" s="13"/>
      <c r="F31" s="33" t="e">
        <f ca="1">IF(D$12=0,0,D31/D$12)</f>
        <v>#NAME?</v>
      </c>
      <c r="G31" s="13"/>
      <c r="H31" s="30" t="e">
        <f ca="1">+H27-H29</f>
        <v>#NAME?</v>
      </c>
      <c r="I31" s="13"/>
      <c r="J31" s="33" t="e">
        <f ca="1">IF(H$12=0,0,H31/H$12)</f>
        <v>#NAME?</v>
      </c>
      <c r="K31" s="15"/>
      <c r="L31" s="30" t="e">
        <f ca="1">D31-H31</f>
        <v>#NAME?</v>
      </c>
      <c r="M31" s="15"/>
      <c r="N31" s="33" t="e">
        <f ca="1">IF(H31=0,0,L31/H31)</f>
        <v>#NAME?</v>
      </c>
      <c r="O31" s="26"/>
      <c r="P31" s="30" t="e">
        <f ca="1">+P27-P29</f>
        <v>#NAME?</v>
      </c>
      <c r="Q31" s="13"/>
      <c r="R31" s="33" t="e">
        <f ca="1">IF(P$12=0,0,P31/P$12)</f>
        <v>#NAME?</v>
      </c>
      <c r="S31" s="13"/>
      <c r="T31" s="30" t="e">
        <f ca="1">+T27-T29</f>
        <v>#NAME?</v>
      </c>
      <c r="U31" s="13"/>
      <c r="V31" s="33" t="e">
        <f ca="1">IF(T$12=0,0,T31/T$12)</f>
        <v>#NAME?</v>
      </c>
      <c r="W31" s="15"/>
      <c r="X31" s="30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4" t="e">
        <f ca="1">SUM(D31:D35)</f>
        <v>#NAME?</v>
      </c>
      <c r="E36" s="13"/>
      <c r="F36" s="35" t="e">
        <f ca="1">IF(D$12=0,0,D36/D$12)</f>
        <v>#NAME?</v>
      </c>
      <c r="G36" s="13"/>
      <c r="H36" s="34" t="e">
        <f ca="1">SUM(H31:H35)</f>
        <v>#NAME?</v>
      </c>
      <c r="I36" s="13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6"/>
      <c r="P36" s="34" t="e">
        <f ca="1">SUM(P31:P35)</f>
        <v>#NAME?</v>
      </c>
      <c r="Q36" s="13"/>
      <c r="R36" s="35" t="e">
        <f ca="1">IF(P$12=0,0,P36/P$12)</f>
        <v>#NAME?</v>
      </c>
      <c r="S36" s="13"/>
      <c r="T36" s="34" t="e">
        <f ca="1">SUM(T31:T35)</f>
        <v>#NAME?</v>
      </c>
      <c r="U36" s="13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sqref="A1:XFD1048576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305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61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50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50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2"/>
      <c r="F10" s="31" t="s">
        <v>14</v>
      </c>
      <c r="G10" s="32"/>
      <c r="H10" s="49" t="s">
        <v>306</v>
      </c>
      <c r="I10" s="32"/>
      <c r="J10" s="31" t="s">
        <v>14</v>
      </c>
      <c r="K10" s="10"/>
      <c r="L10" s="42" t="s">
        <v>11</v>
      </c>
      <c r="M10" s="10"/>
      <c r="N10" s="31" t="s">
        <v>15</v>
      </c>
      <c r="O10" s="10"/>
      <c r="P10" s="59" t="s">
        <v>10</v>
      </c>
      <c r="Q10" s="32"/>
      <c r="R10" s="31" t="s">
        <v>14</v>
      </c>
      <c r="S10" s="32"/>
      <c r="T10" s="49" t="s">
        <v>306</v>
      </c>
      <c r="U10" s="32"/>
      <c r="V10" s="31" t="s">
        <v>14</v>
      </c>
      <c r="W10" s="10"/>
      <c r="X10" s="42" t="s">
        <v>11</v>
      </c>
      <c r="Y10" s="10"/>
      <c r="Z10" s="31" t="s">
        <v>15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6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2" t="e">
        <f ca="1">SUM(_xll.OneStop.ReportPlayer.OSRFunctions.OSRRef(D22))</f>
        <v>#NAME?</v>
      </c>
      <c r="E20" s="22"/>
      <c r="F20" s="36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6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6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6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7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6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0" t="e">
        <f ca="1">+D27-D29</f>
        <v>#NAME?</v>
      </c>
      <c r="E31" s="13"/>
      <c r="F31" s="33" t="e">
        <f ca="1">IF(D$12=0,0,D31/D$12)</f>
        <v>#NAME?</v>
      </c>
      <c r="G31" s="13"/>
      <c r="H31" s="30" t="e">
        <f ca="1">+H27-H29</f>
        <v>#NAME?</v>
      </c>
      <c r="I31" s="13"/>
      <c r="J31" s="33" t="e">
        <f ca="1">IF(H$12=0,0,H31/H$12)</f>
        <v>#NAME?</v>
      </c>
      <c r="K31" s="15"/>
      <c r="L31" s="30" t="e">
        <f ca="1">D31-H31</f>
        <v>#NAME?</v>
      </c>
      <c r="M31" s="15"/>
      <c r="N31" s="33" t="e">
        <f ca="1">IF(H31=0,0,L31/H31)</f>
        <v>#NAME?</v>
      </c>
      <c r="O31" s="26"/>
      <c r="P31" s="30" t="e">
        <f ca="1">+P27-P29</f>
        <v>#NAME?</v>
      </c>
      <c r="Q31" s="13"/>
      <c r="R31" s="33" t="e">
        <f ca="1">IF(P$12=0,0,P31/P$12)</f>
        <v>#NAME?</v>
      </c>
      <c r="S31" s="13"/>
      <c r="T31" s="30" t="e">
        <f ca="1">+T27-T29</f>
        <v>#NAME?</v>
      </c>
      <c r="U31" s="13"/>
      <c r="V31" s="33" t="e">
        <f ca="1">IF(T$12=0,0,T31/T$12)</f>
        <v>#NAME?</v>
      </c>
      <c r="W31" s="15"/>
      <c r="X31" s="30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4" t="e">
        <f ca="1">SUM(D31:D35)</f>
        <v>#NAME?</v>
      </c>
      <c r="E36" s="13"/>
      <c r="F36" s="35" t="e">
        <f ca="1">IF(D$12=0,0,D36/D$12)</f>
        <v>#NAME?</v>
      </c>
      <c r="G36" s="13"/>
      <c r="H36" s="34" t="e">
        <f ca="1">SUM(H31:H35)</f>
        <v>#NAME?</v>
      </c>
      <c r="I36" s="13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6"/>
      <c r="P36" s="34" t="e">
        <f ca="1">SUM(P31:P35)</f>
        <v>#NAME?</v>
      </c>
      <c r="Q36" s="13"/>
      <c r="R36" s="35" t="e">
        <f ca="1">IF(P$12=0,0,P36/P$12)</f>
        <v>#NAME?</v>
      </c>
      <c r="S36" s="13"/>
      <c r="T36" s="34" t="e">
        <f ca="1">SUM(T31:T35)</f>
        <v>#NAME?</v>
      </c>
      <c r="U36" s="13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304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61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50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50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2"/>
      <c r="F10" s="31" t="s">
        <v>14</v>
      </c>
      <c r="G10" s="32"/>
      <c r="H10" s="49" t="s">
        <v>306</v>
      </c>
      <c r="I10" s="32"/>
      <c r="J10" s="31" t="s">
        <v>14</v>
      </c>
      <c r="K10" s="10"/>
      <c r="L10" s="42" t="s">
        <v>11</v>
      </c>
      <c r="M10" s="10"/>
      <c r="N10" s="31" t="s">
        <v>15</v>
      </c>
      <c r="O10" s="10"/>
      <c r="P10" s="59" t="s">
        <v>10</v>
      </c>
      <c r="Q10" s="32"/>
      <c r="R10" s="31" t="s">
        <v>14</v>
      </c>
      <c r="S10" s="32"/>
      <c r="T10" s="49" t="s">
        <v>306</v>
      </c>
      <c r="U10" s="32"/>
      <c r="V10" s="31" t="s">
        <v>14</v>
      </c>
      <c r="W10" s="10"/>
      <c r="X10" s="42" t="s">
        <v>11</v>
      </c>
      <c r="Y10" s="10"/>
      <c r="Z10" s="31" t="s">
        <v>15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6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2" t="e">
        <f ca="1">SUM(_xll.OneStop.ReportPlayer.OSRFunctions.OSRRef(D22))</f>
        <v>#NAME?</v>
      </c>
      <c r="E20" s="22"/>
      <c r="F20" s="36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6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6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6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7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6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0" t="e">
        <f ca="1">+D27-D29</f>
        <v>#NAME?</v>
      </c>
      <c r="E31" s="13"/>
      <c r="F31" s="33" t="e">
        <f ca="1">IF(D$12=0,0,D31/D$12)</f>
        <v>#NAME?</v>
      </c>
      <c r="G31" s="13"/>
      <c r="H31" s="30" t="e">
        <f ca="1">+H27-H29</f>
        <v>#NAME?</v>
      </c>
      <c r="I31" s="13"/>
      <c r="J31" s="33" t="e">
        <f ca="1">IF(H$12=0,0,H31/H$12)</f>
        <v>#NAME?</v>
      </c>
      <c r="K31" s="15"/>
      <c r="L31" s="30" t="e">
        <f ca="1">D31-H31</f>
        <v>#NAME?</v>
      </c>
      <c r="M31" s="15"/>
      <c r="N31" s="33" t="e">
        <f ca="1">IF(H31=0,0,L31/H31)</f>
        <v>#NAME?</v>
      </c>
      <c r="O31" s="26"/>
      <c r="P31" s="30" t="e">
        <f ca="1">+P27-P29</f>
        <v>#NAME?</v>
      </c>
      <c r="Q31" s="13"/>
      <c r="R31" s="33" t="e">
        <f ca="1">IF(P$12=0,0,P31/P$12)</f>
        <v>#NAME?</v>
      </c>
      <c r="S31" s="13"/>
      <c r="T31" s="30" t="e">
        <f ca="1">+T27-T29</f>
        <v>#NAME?</v>
      </c>
      <c r="U31" s="13"/>
      <c r="V31" s="33" t="e">
        <f ca="1">IF(T$12=0,0,T31/T$12)</f>
        <v>#NAME?</v>
      </c>
      <c r="W31" s="15"/>
      <c r="X31" s="30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4" t="e">
        <f ca="1">SUM(D31:D35)</f>
        <v>#NAME?</v>
      </c>
      <c r="E36" s="13"/>
      <c r="F36" s="35" t="e">
        <f ca="1">IF(D$12=0,0,D36/D$12)</f>
        <v>#NAME?</v>
      </c>
      <c r="G36" s="13"/>
      <c r="H36" s="34" t="e">
        <f ca="1">SUM(H31:H35)</f>
        <v>#NAME?</v>
      </c>
      <c r="I36" s="13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6"/>
      <c r="P36" s="34" t="e">
        <f ca="1">SUM(P31:P35)</f>
        <v>#NAME?</v>
      </c>
      <c r="Q36" s="13"/>
      <c r="R36" s="35" t="e">
        <f ca="1">IF(P$12=0,0,P36/P$12)</f>
        <v>#NAME?</v>
      </c>
      <c r="S36" s="13"/>
      <c r="T36" s="34" t="e">
        <f ca="1">SUM(T31:T35)</f>
        <v>#NAME?</v>
      </c>
      <c r="U36" s="13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L10002"/>
  <sheetViews>
    <sheetView workbookViewId="0"/>
  </sheetViews>
  <sheetFormatPr defaultRowHeight="15" x14ac:dyDescent="0.25"/>
  <cols>
    <col min="1" max="220" width="20.7109375" customWidth="1"/>
    <col min="221" max="221" width="20.7109375" style="66" customWidth="1"/>
    <col min="222" max="223" width="20.7109375" customWidth="1"/>
  </cols>
  <sheetData>
    <row r="1" spans="1:272" x14ac:dyDescent="0.25">
      <c r="D1">
        <v>4</v>
      </c>
    </row>
    <row r="2" spans="1:272" x14ac:dyDescent="0.25">
      <c r="JK2">
        <v>271</v>
      </c>
      <c r="JL2">
        <v>4</v>
      </c>
    </row>
    <row r="3" spans="1:272" ht="30" x14ac:dyDescent="0.25">
      <c r="A3" s="41" t="s">
        <v>16</v>
      </c>
      <c r="B3" s="41" t="s">
        <v>17</v>
      </c>
      <c r="C3" s="41" t="s">
        <v>18</v>
      </c>
      <c r="D3" s="41" t="s">
        <v>19</v>
      </c>
      <c r="E3" s="41" t="s">
        <v>20</v>
      </c>
      <c r="F3" s="41" t="s">
        <v>21</v>
      </c>
      <c r="G3" s="41" t="s">
        <v>22</v>
      </c>
      <c r="H3" s="41" t="s">
        <v>23</v>
      </c>
      <c r="I3" s="41" t="s">
        <v>24</v>
      </c>
      <c r="J3" s="41" t="s">
        <v>25</v>
      </c>
      <c r="K3" s="41" t="s">
        <v>26</v>
      </c>
      <c r="L3" s="41" t="s">
        <v>27</v>
      </c>
      <c r="M3" s="41" t="s">
        <v>28</v>
      </c>
      <c r="N3" s="41" t="s">
        <v>29</v>
      </c>
      <c r="O3" s="41" t="s">
        <v>30</v>
      </c>
      <c r="P3" s="41" t="s">
        <v>31</v>
      </c>
      <c r="Q3" s="41" t="s">
        <v>32</v>
      </c>
      <c r="R3" s="41" t="s">
        <v>33</v>
      </c>
      <c r="S3" s="41" t="s">
        <v>34</v>
      </c>
      <c r="T3" s="41" t="s">
        <v>35</v>
      </c>
      <c r="U3" s="41" t="s">
        <v>36</v>
      </c>
      <c r="V3" s="41" t="s">
        <v>37</v>
      </c>
      <c r="W3" s="41" t="s">
        <v>38</v>
      </c>
      <c r="X3" s="41" t="s">
        <v>39</v>
      </c>
      <c r="Y3" s="41" t="s">
        <v>40</v>
      </c>
      <c r="Z3" s="41" t="s">
        <v>41</v>
      </c>
      <c r="AA3" s="41" t="s">
        <v>46</v>
      </c>
      <c r="AB3" s="41" t="s">
        <v>47</v>
      </c>
      <c r="AC3" s="41" t="s">
        <v>48</v>
      </c>
      <c r="AD3" s="41" t="s">
        <v>49</v>
      </c>
      <c r="AE3" s="41" t="s">
        <v>50</v>
      </c>
      <c r="AF3" s="41" t="s">
        <v>51</v>
      </c>
      <c r="AG3" s="41" t="s">
        <v>52</v>
      </c>
      <c r="AH3" s="41" t="s">
        <v>53</v>
      </c>
      <c r="AI3" s="41" t="s">
        <v>54</v>
      </c>
      <c r="AJ3" s="41" t="s">
        <v>55</v>
      </c>
      <c r="AK3" s="41" t="s">
        <v>56</v>
      </c>
      <c r="AL3" s="41" t="s">
        <v>57</v>
      </c>
      <c r="AM3" s="41" t="s">
        <v>58</v>
      </c>
      <c r="AN3" s="41" t="s">
        <v>59</v>
      </c>
      <c r="AO3" s="41" t="s">
        <v>60</v>
      </c>
      <c r="AP3" s="41" t="s">
        <v>61</v>
      </c>
      <c r="AQ3" s="41" t="s">
        <v>62</v>
      </c>
      <c r="AR3" s="41" t="s">
        <v>63</v>
      </c>
      <c r="AS3" s="41" t="s">
        <v>64</v>
      </c>
      <c r="AT3" s="41" t="s">
        <v>65</v>
      </c>
      <c r="AU3" s="41" t="s">
        <v>66</v>
      </c>
      <c r="AV3" s="41" t="s">
        <v>67</v>
      </c>
      <c r="AW3" s="41" t="s">
        <v>68</v>
      </c>
      <c r="AX3" s="41" t="s">
        <v>69</v>
      </c>
      <c r="AY3" s="41" t="s">
        <v>70</v>
      </c>
      <c r="AZ3" s="41" t="s">
        <v>71</v>
      </c>
      <c r="BA3" s="41" t="s">
        <v>72</v>
      </c>
      <c r="BB3" s="41" t="s">
        <v>73</v>
      </c>
      <c r="BC3" s="41" t="s">
        <v>74</v>
      </c>
      <c r="BD3" s="41" t="s">
        <v>75</v>
      </c>
      <c r="BE3" s="41" t="s">
        <v>76</v>
      </c>
      <c r="BF3" s="41" t="s">
        <v>77</v>
      </c>
      <c r="BG3" s="41" t="s">
        <v>78</v>
      </c>
      <c r="BH3" s="41" t="s">
        <v>79</v>
      </c>
      <c r="BI3" s="41" t="s">
        <v>80</v>
      </c>
      <c r="BJ3" s="41" t="s">
        <v>81</v>
      </c>
      <c r="BK3" s="41" t="s">
        <v>82</v>
      </c>
      <c r="BL3" s="41" t="s">
        <v>83</v>
      </c>
      <c r="BM3" s="41" t="s">
        <v>84</v>
      </c>
      <c r="BN3" s="41" t="s">
        <v>85</v>
      </c>
      <c r="BO3" s="41" t="s">
        <v>86</v>
      </c>
      <c r="BP3" s="41" t="s">
        <v>87</v>
      </c>
      <c r="BQ3" s="41" t="s">
        <v>88</v>
      </c>
      <c r="BR3" s="41" t="s">
        <v>89</v>
      </c>
      <c r="BS3" s="41" t="s">
        <v>90</v>
      </c>
      <c r="BT3" s="41" t="s">
        <v>91</v>
      </c>
      <c r="BU3" s="41" t="s">
        <v>92</v>
      </c>
      <c r="BV3" s="41" t="s">
        <v>93</v>
      </c>
      <c r="BW3" s="41" t="s">
        <v>94</v>
      </c>
      <c r="BX3" s="41" t="s">
        <v>95</v>
      </c>
      <c r="BY3" s="41" t="s">
        <v>96</v>
      </c>
      <c r="BZ3" s="41" t="s">
        <v>97</v>
      </c>
      <c r="CA3" s="41" t="s">
        <v>98</v>
      </c>
      <c r="CB3" s="41" t="s">
        <v>99</v>
      </c>
      <c r="CC3" s="41" t="s">
        <v>100</v>
      </c>
      <c r="CD3" s="41" t="s">
        <v>101</v>
      </c>
      <c r="CE3" s="41" t="s">
        <v>102</v>
      </c>
      <c r="CF3" s="41" t="s">
        <v>103</v>
      </c>
      <c r="CG3" s="41" t="s">
        <v>104</v>
      </c>
      <c r="CH3" s="41" t="s">
        <v>105</v>
      </c>
      <c r="CI3" s="41" t="s">
        <v>106</v>
      </c>
      <c r="CJ3" s="41" t="s">
        <v>107</v>
      </c>
      <c r="CK3" s="41" t="s">
        <v>108</v>
      </c>
      <c r="CL3" s="41" t="s">
        <v>109</v>
      </c>
      <c r="CM3" s="41" t="s">
        <v>110</v>
      </c>
      <c r="CN3" s="41" t="s">
        <v>111</v>
      </c>
      <c r="CO3" s="41" t="s">
        <v>112</v>
      </c>
      <c r="CP3" s="41" t="s">
        <v>113</v>
      </c>
      <c r="CQ3" s="41" t="s">
        <v>114</v>
      </c>
      <c r="CR3" s="41" t="s">
        <v>115</v>
      </c>
      <c r="CS3" s="41" t="s">
        <v>116</v>
      </c>
      <c r="CT3" s="41" t="s">
        <v>117</v>
      </c>
      <c r="CU3" s="41" t="s">
        <v>118</v>
      </c>
      <c r="CV3" s="41" t="s">
        <v>119</v>
      </c>
      <c r="CW3" s="41" t="s">
        <v>120</v>
      </c>
      <c r="CX3" s="41" t="s">
        <v>121</v>
      </c>
      <c r="CY3" s="41" t="s">
        <v>122</v>
      </c>
      <c r="CZ3" s="41" t="s">
        <v>123</v>
      </c>
      <c r="DA3" s="41" t="s">
        <v>124</v>
      </c>
      <c r="DB3" s="41" t="s">
        <v>125</v>
      </c>
      <c r="DC3" s="41" t="s">
        <v>126</v>
      </c>
      <c r="DD3" s="41" t="s">
        <v>127</v>
      </c>
      <c r="DE3" s="41" t="s">
        <v>128</v>
      </c>
      <c r="DF3" s="41" t="s">
        <v>129</v>
      </c>
      <c r="DG3" s="41" t="s">
        <v>130</v>
      </c>
      <c r="DH3" s="41" t="s">
        <v>131</v>
      </c>
      <c r="DI3" s="41" t="s">
        <v>132</v>
      </c>
      <c r="DJ3" s="41" t="s">
        <v>133</v>
      </c>
      <c r="DK3" s="41" t="s">
        <v>134</v>
      </c>
      <c r="DL3" s="41" t="s">
        <v>135</v>
      </c>
      <c r="DM3" s="41" t="s">
        <v>136</v>
      </c>
      <c r="DN3" s="41" t="s">
        <v>137</v>
      </c>
      <c r="DO3" s="41" t="s">
        <v>138</v>
      </c>
      <c r="DP3" s="41" t="s">
        <v>139</v>
      </c>
      <c r="DQ3" s="41" t="s">
        <v>140</v>
      </c>
      <c r="DR3" s="41" t="s">
        <v>141</v>
      </c>
      <c r="DS3" s="41" t="s">
        <v>142</v>
      </c>
      <c r="DT3" s="41" t="s">
        <v>143</v>
      </c>
      <c r="DU3" s="41" t="s">
        <v>144</v>
      </c>
      <c r="DV3" s="41" t="s">
        <v>145</v>
      </c>
      <c r="DW3" s="41" t="s">
        <v>146</v>
      </c>
      <c r="DX3" s="41" t="s">
        <v>147</v>
      </c>
      <c r="DY3" s="41" t="s">
        <v>148</v>
      </c>
      <c r="DZ3" s="41" t="s">
        <v>149</v>
      </c>
      <c r="EA3" s="41" t="s">
        <v>150</v>
      </c>
      <c r="EB3" s="41" t="s">
        <v>151</v>
      </c>
      <c r="EC3" s="41" t="s">
        <v>152</v>
      </c>
      <c r="ED3" s="41" t="s">
        <v>153</v>
      </c>
      <c r="EE3" s="41" t="s">
        <v>154</v>
      </c>
      <c r="EF3" s="41" t="s">
        <v>155</v>
      </c>
      <c r="EG3" s="41" t="s">
        <v>156</v>
      </c>
      <c r="EH3" s="41" t="s">
        <v>157</v>
      </c>
      <c r="EI3" s="41" t="s">
        <v>158</v>
      </c>
      <c r="EJ3" s="41" t="s">
        <v>159</v>
      </c>
      <c r="EK3" s="41" t="s">
        <v>160</v>
      </c>
      <c r="EL3" s="41" t="s">
        <v>161</v>
      </c>
      <c r="EM3" s="41" t="s">
        <v>162</v>
      </c>
      <c r="EN3" s="41" t="s">
        <v>163</v>
      </c>
      <c r="EO3" s="41" t="s">
        <v>164</v>
      </c>
      <c r="EP3" s="41" t="s">
        <v>165</v>
      </c>
      <c r="EQ3" s="41" t="s">
        <v>166</v>
      </c>
      <c r="ER3" s="41" t="s">
        <v>167</v>
      </c>
      <c r="ES3" s="41" t="s">
        <v>168</v>
      </c>
      <c r="ET3" s="41" t="s">
        <v>169</v>
      </c>
      <c r="EU3" s="41" t="s">
        <v>170</v>
      </c>
      <c r="EV3" s="41" t="s">
        <v>171</v>
      </c>
      <c r="EW3" s="41" t="s">
        <v>172</v>
      </c>
      <c r="EX3" s="41" t="s">
        <v>173</v>
      </c>
      <c r="EY3" s="41" t="s">
        <v>174</v>
      </c>
      <c r="EZ3" s="41" t="s">
        <v>175</v>
      </c>
      <c r="FA3" s="41" t="s">
        <v>176</v>
      </c>
      <c r="FB3" s="41" t="s">
        <v>177</v>
      </c>
      <c r="FC3" s="41" t="s">
        <v>178</v>
      </c>
      <c r="FD3" s="41" t="s">
        <v>179</v>
      </c>
      <c r="FE3" s="41" t="s">
        <v>180</v>
      </c>
      <c r="FF3" s="41" t="s">
        <v>181</v>
      </c>
      <c r="FG3" s="41" t="s">
        <v>182</v>
      </c>
      <c r="FH3" s="41" t="s">
        <v>183</v>
      </c>
      <c r="FI3" s="41" t="s">
        <v>184</v>
      </c>
      <c r="FJ3" s="41" t="s">
        <v>185</v>
      </c>
      <c r="FK3" s="41" t="s">
        <v>186</v>
      </c>
      <c r="FL3" s="41" t="s">
        <v>187</v>
      </c>
      <c r="FM3" s="41" t="s">
        <v>188</v>
      </c>
      <c r="FN3" s="41" t="s">
        <v>189</v>
      </c>
      <c r="FO3" s="41" t="s">
        <v>190</v>
      </c>
      <c r="FP3" s="41" t="s">
        <v>191</v>
      </c>
      <c r="FQ3" s="41" t="s">
        <v>192</v>
      </c>
      <c r="FR3" s="41" t="s">
        <v>193</v>
      </c>
      <c r="FS3" s="41" t="s">
        <v>194</v>
      </c>
      <c r="FT3" s="41" t="s">
        <v>195</v>
      </c>
      <c r="FU3" s="41" t="s">
        <v>196</v>
      </c>
      <c r="FV3" s="41" t="s">
        <v>197</v>
      </c>
      <c r="FW3" s="41" t="s">
        <v>198</v>
      </c>
      <c r="FX3" s="41" t="s">
        <v>199</v>
      </c>
      <c r="FY3" s="41" t="s">
        <v>200</v>
      </c>
      <c r="FZ3" s="41" t="s">
        <v>201</v>
      </c>
      <c r="GA3" s="41" t="s">
        <v>202</v>
      </c>
      <c r="GB3" s="41" t="s">
        <v>203</v>
      </c>
      <c r="GC3" s="41" t="s">
        <v>204</v>
      </c>
      <c r="GD3" s="41" t="s">
        <v>205</v>
      </c>
      <c r="GE3" s="41" t="s">
        <v>206</v>
      </c>
      <c r="GF3" s="41" t="s">
        <v>207</v>
      </c>
      <c r="GG3" s="41" t="s">
        <v>208</v>
      </c>
      <c r="GH3" s="41" t="s">
        <v>209</v>
      </c>
      <c r="GI3" s="41" t="s">
        <v>210</v>
      </c>
      <c r="GJ3" s="41" t="s">
        <v>211</v>
      </c>
      <c r="GK3" s="41" t="s">
        <v>212</v>
      </c>
      <c r="GL3" s="41" t="s">
        <v>213</v>
      </c>
      <c r="GM3" s="41" t="s">
        <v>214</v>
      </c>
      <c r="GN3" s="41" t="s">
        <v>215</v>
      </c>
      <c r="GO3" s="41" t="s">
        <v>216</v>
      </c>
      <c r="GP3" s="41" t="s">
        <v>217</v>
      </c>
      <c r="GQ3" s="41" t="s">
        <v>218</v>
      </c>
      <c r="GR3" s="41" t="s">
        <v>219</v>
      </c>
      <c r="GS3" s="41" t="s">
        <v>220</v>
      </c>
      <c r="GT3" s="41" t="s">
        <v>221</v>
      </c>
      <c r="GU3" s="41" t="s">
        <v>222</v>
      </c>
      <c r="GV3" s="41" t="s">
        <v>223</v>
      </c>
      <c r="GW3" s="41" t="s">
        <v>224</v>
      </c>
      <c r="GX3" s="41" t="s">
        <v>225</v>
      </c>
      <c r="GY3" s="41" t="s">
        <v>226</v>
      </c>
      <c r="GZ3" s="41" t="s">
        <v>227</v>
      </c>
      <c r="HA3" s="41" t="s">
        <v>228</v>
      </c>
      <c r="HB3" s="41" t="s">
        <v>229</v>
      </c>
      <c r="HC3" s="41" t="s">
        <v>230</v>
      </c>
      <c r="HD3" s="41" t="s">
        <v>231</v>
      </c>
      <c r="HE3" s="41" t="s">
        <v>232</v>
      </c>
      <c r="HF3" s="41" t="s">
        <v>233</v>
      </c>
      <c r="HG3" s="41" t="s">
        <v>234</v>
      </c>
      <c r="HH3" s="41" t="s">
        <v>235</v>
      </c>
      <c r="HI3" s="41" t="s">
        <v>240</v>
      </c>
      <c r="HJ3" s="41" t="s">
        <v>241</v>
      </c>
      <c r="HK3" s="41"/>
      <c r="HL3" s="41" t="s">
        <v>42</v>
      </c>
      <c r="HM3" s="65"/>
      <c r="HN3" s="41" t="s">
        <v>43</v>
      </c>
      <c r="HO3" s="41" t="s">
        <v>44</v>
      </c>
      <c r="HP3" t="s">
        <v>45</v>
      </c>
      <c r="JK3" s="41" t="s">
        <v>236</v>
      </c>
      <c r="JL3" s="41" t="s">
        <v>237</v>
      </c>
    </row>
    <row r="10001" spans="271:272" x14ac:dyDescent="0.25">
      <c r="JK10001">
        <v>271</v>
      </c>
      <c r="JL10001">
        <v>10003</v>
      </c>
    </row>
    <row r="10002" spans="271:272" ht="45" x14ac:dyDescent="0.25">
      <c r="JK10002" s="41" t="s">
        <v>238</v>
      </c>
      <c r="JL10002" s="41" t="s">
        <v>239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304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61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50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50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2"/>
      <c r="F10" s="31" t="s">
        <v>14</v>
      </c>
      <c r="G10" s="32"/>
      <c r="H10" s="49" t="s">
        <v>306</v>
      </c>
      <c r="I10" s="32"/>
      <c r="J10" s="31" t="s">
        <v>14</v>
      </c>
      <c r="K10" s="10"/>
      <c r="L10" s="42" t="s">
        <v>11</v>
      </c>
      <c r="M10" s="10"/>
      <c r="N10" s="31" t="s">
        <v>15</v>
      </c>
      <c r="O10" s="10"/>
      <c r="P10" s="59" t="s">
        <v>10</v>
      </c>
      <c r="Q10" s="32"/>
      <c r="R10" s="31" t="s">
        <v>14</v>
      </c>
      <c r="S10" s="32"/>
      <c r="T10" s="49" t="s">
        <v>306</v>
      </c>
      <c r="U10" s="32"/>
      <c r="V10" s="31" t="s">
        <v>14</v>
      </c>
      <c r="W10" s="10"/>
      <c r="X10" s="42" t="s">
        <v>11</v>
      </c>
      <c r="Y10" s="10"/>
      <c r="Z10" s="31" t="s">
        <v>15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6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2" t="e">
        <f ca="1">SUM(_xll.OneStop.ReportPlayer.OSRFunctions.OSRRef(D22))</f>
        <v>#NAME?</v>
      </c>
      <c r="E20" s="22"/>
      <c r="F20" s="36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6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6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6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7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6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0" t="e">
        <f ca="1">+D27-D29</f>
        <v>#NAME?</v>
      </c>
      <c r="E31" s="13"/>
      <c r="F31" s="33" t="e">
        <f ca="1">IF(D$12=0,0,D31/D$12)</f>
        <v>#NAME?</v>
      </c>
      <c r="G31" s="13"/>
      <c r="H31" s="30" t="e">
        <f ca="1">+H27-H29</f>
        <v>#NAME?</v>
      </c>
      <c r="I31" s="13"/>
      <c r="J31" s="33" t="e">
        <f ca="1">IF(H$12=0,0,H31/H$12)</f>
        <v>#NAME?</v>
      </c>
      <c r="K31" s="15"/>
      <c r="L31" s="30" t="e">
        <f ca="1">D31-H31</f>
        <v>#NAME?</v>
      </c>
      <c r="M31" s="15"/>
      <c r="N31" s="33" t="e">
        <f ca="1">IF(H31=0,0,L31/H31)</f>
        <v>#NAME?</v>
      </c>
      <c r="O31" s="26"/>
      <c r="P31" s="30" t="e">
        <f ca="1">+P27-P29</f>
        <v>#NAME?</v>
      </c>
      <c r="Q31" s="13"/>
      <c r="R31" s="33" t="e">
        <f ca="1">IF(P$12=0,0,P31/P$12)</f>
        <v>#NAME?</v>
      </c>
      <c r="S31" s="13"/>
      <c r="T31" s="30" t="e">
        <f ca="1">+T27-T29</f>
        <v>#NAME?</v>
      </c>
      <c r="U31" s="13"/>
      <c r="V31" s="33" t="e">
        <f ca="1">IF(T$12=0,0,T31/T$12)</f>
        <v>#NAME?</v>
      </c>
      <c r="W31" s="15"/>
      <c r="X31" s="30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4" t="e">
        <f ca="1">SUM(D31:D35)</f>
        <v>#NAME?</v>
      </c>
      <c r="E36" s="13"/>
      <c r="F36" s="35" t="e">
        <f ca="1">IF(D$12=0,0,D36/D$12)</f>
        <v>#NAME?</v>
      </c>
      <c r="G36" s="13"/>
      <c r="H36" s="34" t="e">
        <f ca="1">SUM(H31:H35)</f>
        <v>#NAME?</v>
      </c>
      <c r="I36" s="13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6"/>
      <c r="P36" s="34" t="e">
        <f ca="1">SUM(P31:P35)</f>
        <v>#NAME?</v>
      </c>
      <c r="Q36" s="13"/>
      <c r="R36" s="35" t="e">
        <f ca="1">IF(P$12=0,0,P36/P$12)</f>
        <v>#NAME?</v>
      </c>
      <c r="S36" s="13"/>
      <c r="T36" s="34" t="e">
        <f ca="1">SUM(T31:T35)</f>
        <v>#NAME?</v>
      </c>
      <c r="U36" s="13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301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61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50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50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2"/>
      <c r="F10" s="31" t="s">
        <v>14</v>
      </c>
      <c r="G10" s="32"/>
      <c r="H10" s="49" t="s">
        <v>306</v>
      </c>
      <c r="I10" s="32"/>
      <c r="J10" s="31" t="s">
        <v>14</v>
      </c>
      <c r="K10" s="10"/>
      <c r="L10" s="42" t="s">
        <v>11</v>
      </c>
      <c r="M10" s="10"/>
      <c r="N10" s="31" t="s">
        <v>15</v>
      </c>
      <c r="O10" s="10"/>
      <c r="P10" s="59" t="s">
        <v>10</v>
      </c>
      <c r="Q10" s="32"/>
      <c r="R10" s="31" t="s">
        <v>14</v>
      </c>
      <c r="S10" s="32"/>
      <c r="T10" s="49" t="s">
        <v>306</v>
      </c>
      <c r="U10" s="32"/>
      <c r="V10" s="31" t="s">
        <v>14</v>
      </c>
      <c r="W10" s="10"/>
      <c r="X10" s="42" t="s">
        <v>11</v>
      </c>
      <c r="Y10" s="10"/>
      <c r="Z10" s="31" t="s">
        <v>15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6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2" t="e">
        <f ca="1">SUM(_xll.OneStop.ReportPlayer.OSRFunctions.OSRRef(D22))</f>
        <v>#NAME?</v>
      </c>
      <c r="E20" s="22"/>
      <c r="F20" s="36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6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6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6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7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6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0" t="e">
        <f ca="1">+D27-D29</f>
        <v>#NAME?</v>
      </c>
      <c r="E31" s="13"/>
      <c r="F31" s="33" t="e">
        <f ca="1">IF(D$12=0,0,D31/D$12)</f>
        <v>#NAME?</v>
      </c>
      <c r="G31" s="13"/>
      <c r="H31" s="30" t="e">
        <f ca="1">+H27-H29</f>
        <v>#NAME?</v>
      </c>
      <c r="I31" s="13"/>
      <c r="J31" s="33" t="e">
        <f ca="1">IF(H$12=0,0,H31/H$12)</f>
        <v>#NAME?</v>
      </c>
      <c r="K31" s="15"/>
      <c r="L31" s="30" t="e">
        <f ca="1">D31-H31</f>
        <v>#NAME?</v>
      </c>
      <c r="M31" s="15"/>
      <c r="N31" s="33" t="e">
        <f ca="1">IF(H31=0,0,L31/H31)</f>
        <v>#NAME?</v>
      </c>
      <c r="O31" s="26"/>
      <c r="P31" s="30" t="e">
        <f ca="1">+P27-P29</f>
        <v>#NAME?</v>
      </c>
      <c r="Q31" s="13"/>
      <c r="R31" s="33" t="e">
        <f ca="1">IF(P$12=0,0,P31/P$12)</f>
        <v>#NAME?</v>
      </c>
      <c r="S31" s="13"/>
      <c r="T31" s="30" t="e">
        <f ca="1">+T27-T29</f>
        <v>#NAME?</v>
      </c>
      <c r="U31" s="13"/>
      <c r="V31" s="33" t="e">
        <f ca="1">IF(T$12=0,0,T31/T$12)</f>
        <v>#NAME?</v>
      </c>
      <c r="W31" s="15"/>
      <c r="X31" s="30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4" t="e">
        <f ca="1">SUM(D31:D35)</f>
        <v>#NAME?</v>
      </c>
      <c r="E36" s="13"/>
      <c r="F36" s="35" t="e">
        <f ca="1">IF(D$12=0,0,D36/D$12)</f>
        <v>#NAME?</v>
      </c>
      <c r="G36" s="13"/>
      <c r="H36" s="34" t="e">
        <f ca="1">SUM(H31:H35)</f>
        <v>#NAME?</v>
      </c>
      <c r="I36" s="13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6"/>
      <c r="P36" s="34" t="e">
        <f ca="1">SUM(P31:P35)</f>
        <v>#NAME?</v>
      </c>
      <c r="Q36" s="13"/>
      <c r="R36" s="35" t="e">
        <f ca="1">IF(P$12=0,0,P36/P$12)</f>
        <v>#NAME?</v>
      </c>
      <c r="S36" s="13"/>
      <c r="T36" s="34" t="e">
        <f ca="1">SUM(T31:T35)</f>
        <v>#NAME?</v>
      </c>
      <c r="U36" s="13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301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61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50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50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2"/>
      <c r="F10" s="31" t="s">
        <v>14</v>
      </c>
      <c r="G10" s="32"/>
      <c r="H10" s="49" t="s">
        <v>306</v>
      </c>
      <c r="I10" s="32"/>
      <c r="J10" s="31" t="s">
        <v>14</v>
      </c>
      <c r="K10" s="10"/>
      <c r="L10" s="42" t="s">
        <v>11</v>
      </c>
      <c r="M10" s="10"/>
      <c r="N10" s="31" t="s">
        <v>15</v>
      </c>
      <c r="O10" s="10"/>
      <c r="P10" s="59" t="s">
        <v>10</v>
      </c>
      <c r="Q10" s="32"/>
      <c r="R10" s="31" t="s">
        <v>14</v>
      </c>
      <c r="S10" s="32"/>
      <c r="T10" s="49" t="s">
        <v>306</v>
      </c>
      <c r="U10" s="32"/>
      <c r="V10" s="31" t="s">
        <v>14</v>
      </c>
      <c r="W10" s="10"/>
      <c r="X10" s="42" t="s">
        <v>11</v>
      </c>
      <c r="Y10" s="10"/>
      <c r="Z10" s="31" t="s">
        <v>15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6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2" t="e">
        <f ca="1">SUM(_xll.OneStop.ReportPlayer.OSRFunctions.OSRRef(D22))</f>
        <v>#NAME?</v>
      </c>
      <c r="E20" s="22"/>
      <c r="F20" s="36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6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6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6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7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6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0" t="e">
        <f ca="1">+D27-D29</f>
        <v>#NAME?</v>
      </c>
      <c r="E31" s="13"/>
      <c r="F31" s="33" t="e">
        <f ca="1">IF(D$12=0,0,D31/D$12)</f>
        <v>#NAME?</v>
      </c>
      <c r="G31" s="13"/>
      <c r="H31" s="30" t="e">
        <f ca="1">+H27-H29</f>
        <v>#NAME?</v>
      </c>
      <c r="I31" s="13"/>
      <c r="J31" s="33" t="e">
        <f ca="1">IF(H$12=0,0,H31/H$12)</f>
        <v>#NAME?</v>
      </c>
      <c r="K31" s="15"/>
      <c r="L31" s="30" t="e">
        <f ca="1">D31-H31</f>
        <v>#NAME?</v>
      </c>
      <c r="M31" s="15"/>
      <c r="N31" s="33" t="e">
        <f ca="1">IF(H31=0,0,L31/H31)</f>
        <v>#NAME?</v>
      </c>
      <c r="O31" s="26"/>
      <c r="P31" s="30" t="e">
        <f ca="1">+P27-P29</f>
        <v>#NAME?</v>
      </c>
      <c r="Q31" s="13"/>
      <c r="R31" s="33" t="e">
        <f ca="1">IF(P$12=0,0,P31/P$12)</f>
        <v>#NAME?</v>
      </c>
      <c r="S31" s="13"/>
      <c r="T31" s="30" t="e">
        <f ca="1">+T27-T29</f>
        <v>#NAME?</v>
      </c>
      <c r="U31" s="13"/>
      <c r="V31" s="33" t="e">
        <f ca="1">IF(T$12=0,0,T31/T$12)</f>
        <v>#NAME?</v>
      </c>
      <c r="W31" s="15"/>
      <c r="X31" s="30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4" t="e">
        <f ca="1">SUM(D31:D35)</f>
        <v>#NAME?</v>
      </c>
      <c r="E36" s="13"/>
      <c r="F36" s="35" t="e">
        <f ca="1">IF(D$12=0,0,D36/D$12)</f>
        <v>#NAME?</v>
      </c>
      <c r="G36" s="13"/>
      <c r="H36" s="34" t="e">
        <f ca="1">SUM(H31:H35)</f>
        <v>#NAME?</v>
      </c>
      <c r="I36" s="13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6"/>
      <c r="P36" s="34" t="e">
        <f ca="1">SUM(P31:P35)</f>
        <v>#NAME?</v>
      </c>
      <c r="Q36" s="13"/>
      <c r="R36" s="35" t="e">
        <f ca="1">IF(P$12=0,0,P36/P$12)</f>
        <v>#NAME?</v>
      </c>
      <c r="S36" s="13"/>
      <c r="T36" s="34" t="e">
        <f ca="1">SUM(T31:T35)</f>
        <v>#NAME?</v>
      </c>
      <c r="U36" s="13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302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61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50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50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2"/>
      <c r="F10" s="31" t="s">
        <v>14</v>
      </c>
      <c r="G10" s="32"/>
      <c r="H10" s="49" t="s">
        <v>306</v>
      </c>
      <c r="I10" s="32"/>
      <c r="J10" s="31" t="s">
        <v>14</v>
      </c>
      <c r="K10" s="10"/>
      <c r="L10" s="42" t="s">
        <v>11</v>
      </c>
      <c r="M10" s="10"/>
      <c r="N10" s="31" t="s">
        <v>15</v>
      </c>
      <c r="O10" s="10"/>
      <c r="P10" s="59" t="s">
        <v>10</v>
      </c>
      <c r="Q10" s="32"/>
      <c r="R10" s="31" t="s">
        <v>14</v>
      </c>
      <c r="S10" s="32"/>
      <c r="T10" s="49" t="s">
        <v>306</v>
      </c>
      <c r="U10" s="32"/>
      <c r="V10" s="31" t="s">
        <v>14</v>
      </c>
      <c r="W10" s="10"/>
      <c r="X10" s="42" t="s">
        <v>11</v>
      </c>
      <c r="Y10" s="10"/>
      <c r="Z10" s="31" t="s">
        <v>15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6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2" t="e">
        <f ca="1">SUM(_xll.OneStop.ReportPlayer.OSRFunctions.OSRRef(D22))</f>
        <v>#NAME?</v>
      </c>
      <c r="E20" s="22"/>
      <c r="F20" s="36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6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6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6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7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6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0" t="e">
        <f ca="1">+D27-D29</f>
        <v>#NAME?</v>
      </c>
      <c r="E31" s="13"/>
      <c r="F31" s="33" t="e">
        <f ca="1">IF(D$12=0,0,D31/D$12)</f>
        <v>#NAME?</v>
      </c>
      <c r="G31" s="13"/>
      <c r="H31" s="30" t="e">
        <f ca="1">+H27-H29</f>
        <v>#NAME?</v>
      </c>
      <c r="I31" s="13"/>
      <c r="J31" s="33" t="e">
        <f ca="1">IF(H$12=0,0,H31/H$12)</f>
        <v>#NAME?</v>
      </c>
      <c r="K31" s="15"/>
      <c r="L31" s="30" t="e">
        <f ca="1">D31-H31</f>
        <v>#NAME?</v>
      </c>
      <c r="M31" s="15"/>
      <c r="N31" s="33" t="e">
        <f ca="1">IF(H31=0,0,L31/H31)</f>
        <v>#NAME?</v>
      </c>
      <c r="O31" s="26"/>
      <c r="P31" s="30" t="e">
        <f ca="1">+P27-P29</f>
        <v>#NAME?</v>
      </c>
      <c r="Q31" s="13"/>
      <c r="R31" s="33" t="e">
        <f ca="1">IF(P$12=0,0,P31/P$12)</f>
        <v>#NAME?</v>
      </c>
      <c r="S31" s="13"/>
      <c r="T31" s="30" t="e">
        <f ca="1">+T27-T29</f>
        <v>#NAME?</v>
      </c>
      <c r="U31" s="13"/>
      <c r="V31" s="33" t="e">
        <f ca="1">IF(T$12=0,0,T31/T$12)</f>
        <v>#NAME?</v>
      </c>
      <c r="W31" s="15"/>
      <c r="X31" s="30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4" t="e">
        <f ca="1">SUM(D31:D35)</f>
        <v>#NAME?</v>
      </c>
      <c r="E36" s="13"/>
      <c r="F36" s="35" t="e">
        <f ca="1">IF(D$12=0,0,D36/D$12)</f>
        <v>#NAME?</v>
      </c>
      <c r="G36" s="13"/>
      <c r="H36" s="34" t="e">
        <f ca="1">SUM(H31:H35)</f>
        <v>#NAME?</v>
      </c>
      <c r="I36" s="13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6"/>
      <c r="P36" s="34" t="e">
        <f ca="1">SUM(P31:P35)</f>
        <v>#NAME?</v>
      </c>
      <c r="Q36" s="13"/>
      <c r="R36" s="35" t="e">
        <f ca="1">IF(P$12=0,0,P36/P$12)</f>
        <v>#NAME?</v>
      </c>
      <c r="S36" s="13"/>
      <c r="T36" s="34" t="e">
        <f ca="1">SUM(T31:T35)</f>
        <v>#NAME?</v>
      </c>
      <c r="U36" s="13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302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61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50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50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2"/>
      <c r="F10" s="31" t="s">
        <v>14</v>
      </c>
      <c r="G10" s="32"/>
      <c r="H10" s="49" t="s">
        <v>306</v>
      </c>
      <c r="I10" s="32"/>
      <c r="J10" s="31" t="s">
        <v>14</v>
      </c>
      <c r="K10" s="10"/>
      <c r="L10" s="42" t="s">
        <v>11</v>
      </c>
      <c r="M10" s="10"/>
      <c r="N10" s="31" t="s">
        <v>15</v>
      </c>
      <c r="O10" s="10"/>
      <c r="P10" s="59" t="s">
        <v>10</v>
      </c>
      <c r="Q10" s="32"/>
      <c r="R10" s="31" t="s">
        <v>14</v>
      </c>
      <c r="S10" s="32"/>
      <c r="T10" s="49" t="s">
        <v>306</v>
      </c>
      <c r="U10" s="32"/>
      <c r="V10" s="31" t="s">
        <v>14</v>
      </c>
      <c r="W10" s="10"/>
      <c r="X10" s="42" t="s">
        <v>11</v>
      </c>
      <c r="Y10" s="10"/>
      <c r="Z10" s="31" t="s">
        <v>15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6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2" t="e">
        <f ca="1">SUM(_xll.OneStop.ReportPlayer.OSRFunctions.OSRRef(D22))</f>
        <v>#NAME?</v>
      </c>
      <c r="E20" s="22"/>
      <c r="F20" s="36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6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6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6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7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6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0" t="e">
        <f ca="1">+D27-D29</f>
        <v>#NAME?</v>
      </c>
      <c r="E31" s="13"/>
      <c r="F31" s="33" t="e">
        <f ca="1">IF(D$12=0,0,D31/D$12)</f>
        <v>#NAME?</v>
      </c>
      <c r="G31" s="13"/>
      <c r="H31" s="30" t="e">
        <f ca="1">+H27-H29</f>
        <v>#NAME?</v>
      </c>
      <c r="I31" s="13"/>
      <c r="J31" s="33" t="e">
        <f ca="1">IF(H$12=0,0,H31/H$12)</f>
        <v>#NAME?</v>
      </c>
      <c r="K31" s="15"/>
      <c r="L31" s="30" t="e">
        <f ca="1">D31-H31</f>
        <v>#NAME?</v>
      </c>
      <c r="M31" s="15"/>
      <c r="N31" s="33" t="e">
        <f ca="1">IF(H31=0,0,L31/H31)</f>
        <v>#NAME?</v>
      </c>
      <c r="O31" s="26"/>
      <c r="P31" s="30" t="e">
        <f ca="1">+P27-P29</f>
        <v>#NAME?</v>
      </c>
      <c r="Q31" s="13"/>
      <c r="R31" s="33" t="e">
        <f ca="1">IF(P$12=0,0,P31/P$12)</f>
        <v>#NAME?</v>
      </c>
      <c r="S31" s="13"/>
      <c r="T31" s="30" t="e">
        <f ca="1">+T27-T29</f>
        <v>#NAME?</v>
      </c>
      <c r="U31" s="13"/>
      <c r="V31" s="33" t="e">
        <f ca="1">IF(T$12=0,0,T31/T$12)</f>
        <v>#NAME?</v>
      </c>
      <c r="W31" s="15"/>
      <c r="X31" s="30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4" t="e">
        <f ca="1">SUM(D31:D35)</f>
        <v>#NAME?</v>
      </c>
      <c r="E36" s="13"/>
      <c r="F36" s="35" t="e">
        <f ca="1">IF(D$12=0,0,D36/D$12)</f>
        <v>#NAME?</v>
      </c>
      <c r="G36" s="13"/>
      <c r="H36" s="34" t="e">
        <f ca="1">SUM(H31:H35)</f>
        <v>#NAME?</v>
      </c>
      <c r="I36" s="13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6"/>
      <c r="P36" s="34" t="e">
        <f ca="1">SUM(P31:P35)</f>
        <v>#NAME?</v>
      </c>
      <c r="Q36" s="13"/>
      <c r="R36" s="35" t="e">
        <f ca="1">IF(P$12=0,0,P36/P$12)</f>
        <v>#NAME?</v>
      </c>
      <c r="S36" s="13"/>
      <c r="T36" s="34" t="e">
        <f ca="1">SUM(T31:T35)</f>
        <v>#NAME?</v>
      </c>
      <c r="U36" s="13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303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61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50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50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2"/>
      <c r="F10" s="31" t="s">
        <v>14</v>
      </c>
      <c r="G10" s="32"/>
      <c r="H10" s="49" t="s">
        <v>306</v>
      </c>
      <c r="I10" s="32"/>
      <c r="J10" s="31" t="s">
        <v>14</v>
      </c>
      <c r="K10" s="10"/>
      <c r="L10" s="42" t="s">
        <v>11</v>
      </c>
      <c r="M10" s="10"/>
      <c r="N10" s="31" t="s">
        <v>15</v>
      </c>
      <c r="O10" s="10"/>
      <c r="P10" s="59" t="s">
        <v>10</v>
      </c>
      <c r="Q10" s="32"/>
      <c r="R10" s="31" t="s">
        <v>14</v>
      </c>
      <c r="S10" s="32"/>
      <c r="T10" s="49" t="s">
        <v>306</v>
      </c>
      <c r="U10" s="32"/>
      <c r="V10" s="31" t="s">
        <v>14</v>
      </c>
      <c r="W10" s="10"/>
      <c r="X10" s="42" t="s">
        <v>11</v>
      </c>
      <c r="Y10" s="10"/>
      <c r="Z10" s="31" t="s">
        <v>15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6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2" t="e">
        <f ca="1">SUM(_xll.OneStop.ReportPlayer.OSRFunctions.OSRRef(D22))</f>
        <v>#NAME?</v>
      </c>
      <c r="E20" s="22"/>
      <c r="F20" s="36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6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6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6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7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6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0" t="e">
        <f ca="1">+D27-D29</f>
        <v>#NAME?</v>
      </c>
      <c r="E31" s="13"/>
      <c r="F31" s="33" t="e">
        <f ca="1">IF(D$12=0,0,D31/D$12)</f>
        <v>#NAME?</v>
      </c>
      <c r="G31" s="13"/>
      <c r="H31" s="30" t="e">
        <f ca="1">+H27-H29</f>
        <v>#NAME?</v>
      </c>
      <c r="I31" s="13"/>
      <c r="J31" s="33" t="e">
        <f ca="1">IF(H$12=0,0,H31/H$12)</f>
        <v>#NAME?</v>
      </c>
      <c r="K31" s="15"/>
      <c r="L31" s="30" t="e">
        <f ca="1">D31-H31</f>
        <v>#NAME?</v>
      </c>
      <c r="M31" s="15"/>
      <c r="N31" s="33" t="e">
        <f ca="1">IF(H31=0,0,L31/H31)</f>
        <v>#NAME?</v>
      </c>
      <c r="O31" s="26"/>
      <c r="P31" s="30" t="e">
        <f ca="1">+P27-P29</f>
        <v>#NAME?</v>
      </c>
      <c r="Q31" s="13"/>
      <c r="R31" s="33" t="e">
        <f ca="1">IF(P$12=0,0,P31/P$12)</f>
        <v>#NAME?</v>
      </c>
      <c r="S31" s="13"/>
      <c r="T31" s="30" t="e">
        <f ca="1">+T27-T29</f>
        <v>#NAME?</v>
      </c>
      <c r="U31" s="13"/>
      <c r="V31" s="33" t="e">
        <f ca="1">IF(T$12=0,0,T31/T$12)</f>
        <v>#NAME?</v>
      </c>
      <c r="W31" s="15"/>
      <c r="X31" s="30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4" t="e">
        <f ca="1">SUM(D31:D35)</f>
        <v>#NAME?</v>
      </c>
      <c r="E36" s="13"/>
      <c r="F36" s="35" t="e">
        <f ca="1">IF(D$12=0,0,D36/D$12)</f>
        <v>#NAME?</v>
      </c>
      <c r="G36" s="13"/>
      <c r="H36" s="34" t="e">
        <f ca="1">SUM(H31:H35)</f>
        <v>#NAME?</v>
      </c>
      <c r="I36" s="13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6"/>
      <c r="P36" s="34" t="e">
        <f ca="1">SUM(P31:P35)</f>
        <v>#NAME?</v>
      </c>
      <c r="Q36" s="13"/>
      <c r="R36" s="35" t="e">
        <f ca="1">IF(P$12=0,0,P36/P$12)</f>
        <v>#NAME?</v>
      </c>
      <c r="S36" s="13"/>
      <c r="T36" s="34" t="e">
        <f ca="1">SUM(T31:T35)</f>
        <v>#NAME?</v>
      </c>
      <c r="U36" s="13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303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61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50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50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2"/>
      <c r="F10" s="31" t="s">
        <v>14</v>
      </c>
      <c r="G10" s="32"/>
      <c r="H10" s="49" t="s">
        <v>306</v>
      </c>
      <c r="I10" s="32"/>
      <c r="J10" s="31" t="s">
        <v>14</v>
      </c>
      <c r="K10" s="10"/>
      <c r="L10" s="42" t="s">
        <v>11</v>
      </c>
      <c r="M10" s="10"/>
      <c r="N10" s="31" t="s">
        <v>15</v>
      </c>
      <c r="O10" s="10"/>
      <c r="P10" s="59" t="s">
        <v>10</v>
      </c>
      <c r="Q10" s="32"/>
      <c r="R10" s="31" t="s">
        <v>14</v>
      </c>
      <c r="S10" s="32"/>
      <c r="T10" s="49" t="s">
        <v>306</v>
      </c>
      <c r="U10" s="32"/>
      <c r="V10" s="31" t="s">
        <v>14</v>
      </c>
      <c r="W10" s="10"/>
      <c r="X10" s="42" t="s">
        <v>11</v>
      </c>
      <c r="Y10" s="10"/>
      <c r="Z10" s="31" t="s">
        <v>15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6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2" t="e">
        <f ca="1">SUM(_xll.OneStop.ReportPlayer.OSRFunctions.OSRRef(D22))</f>
        <v>#NAME?</v>
      </c>
      <c r="E20" s="22"/>
      <c r="F20" s="36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6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6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6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7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6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0" t="e">
        <f ca="1">+D27-D29</f>
        <v>#NAME?</v>
      </c>
      <c r="E31" s="13"/>
      <c r="F31" s="33" t="e">
        <f ca="1">IF(D$12=0,0,D31/D$12)</f>
        <v>#NAME?</v>
      </c>
      <c r="G31" s="13"/>
      <c r="H31" s="30" t="e">
        <f ca="1">+H27-H29</f>
        <v>#NAME?</v>
      </c>
      <c r="I31" s="13"/>
      <c r="J31" s="33" t="e">
        <f ca="1">IF(H$12=0,0,H31/H$12)</f>
        <v>#NAME?</v>
      </c>
      <c r="K31" s="15"/>
      <c r="L31" s="30" t="e">
        <f ca="1">D31-H31</f>
        <v>#NAME?</v>
      </c>
      <c r="M31" s="15"/>
      <c r="N31" s="33" t="e">
        <f ca="1">IF(H31=0,0,L31/H31)</f>
        <v>#NAME?</v>
      </c>
      <c r="O31" s="26"/>
      <c r="P31" s="30" t="e">
        <f ca="1">+P27-P29</f>
        <v>#NAME?</v>
      </c>
      <c r="Q31" s="13"/>
      <c r="R31" s="33" t="e">
        <f ca="1">IF(P$12=0,0,P31/P$12)</f>
        <v>#NAME?</v>
      </c>
      <c r="S31" s="13"/>
      <c r="T31" s="30" t="e">
        <f ca="1">+T27-T29</f>
        <v>#NAME?</v>
      </c>
      <c r="U31" s="13"/>
      <c r="V31" s="33" t="e">
        <f ca="1">IF(T$12=0,0,T31/T$12)</f>
        <v>#NAME?</v>
      </c>
      <c r="W31" s="15"/>
      <c r="X31" s="30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4" t="e">
        <f ca="1">SUM(D31:D35)</f>
        <v>#NAME?</v>
      </c>
      <c r="E36" s="13"/>
      <c r="F36" s="35" t="e">
        <f ca="1">IF(D$12=0,0,D36/D$12)</f>
        <v>#NAME?</v>
      </c>
      <c r="G36" s="13"/>
      <c r="H36" s="34" t="e">
        <f ca="1">SUM(H31:H35)</f>
        <v>#NAME?</v>
      </c>
      <c r="I36" s="13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6"/>
      <c r="P36" s="34" t="e">
        <f ca="1">SUM(P31:P35)</f>
        <v>#NAME?</v>
      </c>
      <c r="Q36" s="13"/>
      <c r="R36" s="35" t="e">
        <f ca="1">IF(P$12=0,0,P36/P$12)</f>
        <v>#NAME?</v>
      </c>
      <c r="S36" s="13"/>
      <c r="T36" s="34" t="e">
        <f ca="1">SUM(T31:T35)</f>
        <v>#NAME?</v>
      </c>
      <c r="U36" s="13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309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61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50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50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2"/>
      <c r="F10" s="31" t="s">
        <v>14</v>
      </c>
      <c r="G10" s="32"/>
      <c r="H10" s="49" t="s">
        <v>306</v>
      </c>
      <c r="I10" s="32"/>
      <c r="J10" s="31" t="s">
        <v>14</v>
      </c>
      <c r="K10" s="10"/>
      <c r="L10" s="42" t="s">
        <v>11</v>
      </c>
      <c r="M10" s="10"/>
      <c r="N10" s="31" t="s">
        <v>15</v>
      </c>
      <c r="O10" s="10"/>
      <c r="P10" s="59" t="s">
        <v>10</v>
      </c>
      <c r="Q10" s="32"/>
      <c r="R10" s="31" t="s">
        <v>14</v>
      </c>
      <c r="S10" s="32"/>
      <c r="T10" s="49" t="s">
        <v>306</v>
      </c>
      <c r="U10" s="32"/>
      <c r="V10" s="31" t="s">
        <v>14</v>
      </c>
      <c r="W10" s="10"/>
      <c r="X10" s="42" t="s">
        <v>11</v>
      </c>
      <c r="Y10" s="10"/>
      <c r="Z10" s="31" t="s">
        <v>15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6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2" t="e">
        <f ca="1">SUM(_xll.OneStop.ReportPlayer.OSRFunctions.OSRRef(D22))</f>
        <v>#NAME?</v>
      </c>
      <c r="E20" s="22"/>
      <c r="F20" s="36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6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6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6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7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6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0" t="e">
        <f ca="1">+D27-D29</f>
        <v>#NAME?</v>
      </c>
      <c r="E31" s="13"/>
      <c r="F31" s="33" t="e">
        <f ca="1">IF(D$12=0,0,D31/D$12)</f>
        <v>#NAME?</v>
      </c>
      <c r="G31" s="13"/>
      <c r="H31" s="30" t="e">
        <f ca="1">+H27-H29</f>
        <v>#NAME?</v>
      </c>
      <c r="I31" s="13"/>
      <c r="J31" s="33" t="e">
        <f ca="1">IF(H$12=0,0,H31/H$12)</f>
        <v>#NAME?</v>
      </c>
      <c r="K31" s="15"/>
      <c r="L31" s="30" t="e">
        <f ca="1">D31-H31</f>
        <v>#NAME?</v>
      </c>
      <c r="M31" s="15"/>
      <c r="N31" s="33" t="e">
        <f ca="1">IF(H31=0,0,L31/H31)</f>
        <v>#NAME?</v>
      </c>
      <c r="O31" s="26"/>
      <c r="P31" s="30" t="e">
        <f ca="1">+P27-P29</f>
        <v>#NAME?</v>
      </c>
      <c r="Q31" s="13"/>
      <c r="R31" s="33" t="e">
        <f ca="1">IF(P$12=0,0,P31/P$12)</f>
        <v>#NAME?</v>
      </c>
      <c r="S31" s="13"/>
      <c r="T31" s="30" t="e">
        <f ca="1">+T27-T29</f>
        <v>#NAME?</v>
      </c>
      <c r="U31" s="13"/>
      <c r="V31" s="33" t="e">
        <f ca="1">IF(T$12=0,0,T31/T$12)</f>
        <v>#NAME?</v>
      </c>
      <c r="W31" s="15"/>
      <c r="X31" s="30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4" t="e">
        <f ca="1">SUM(D31:D35)</f>
        <v>#NAME?</v>
      </c>
      <c r="E36" s="13"/>
      <c r="F36" s="35" t="e">
        <f ca="1">IF(D$12=0,0,D36/D$12)</f>
        <v>#NAME?</v>
      </c>
      <c r="G36" s="13"/>
      <c r="H36" s="34" t="e">
        <f ca="1">SUM(H31:H35)</f>
        <v>#NAME?</v>
      </c>
      <c r="I36" s="13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6"/>
      <c r="P36" s="34" t="e">
        <f ca="1">SUM(P31:P35)</f>
        <v>#NAME?</v>
      </c>
      <c r="Q36" s="13"/>
      <c r="R36" s="35" t="e">
        <f ca="1">IF(P$12=0,0,P36/P$12)</f>
        <v>#NAME?</v>
      </c>
      <c r="S36" s="13"/>
      <c r="T36" s="34" t="e">
        <f ca="1">SUM(T31:T35)</f>
        <v>#NAME?</v>
      </c>
      <c r="U36" s="13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309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61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50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50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2"/>
      <c r="F10" s="31" t="s">
        <v>14</v>
      </c>
      <c r="G10" s="32"/>
      <c r="H10" s="49" t="s">
        <v>306</v>
      </c>
      <c r="I10" s="32"/>
      <c r="J10" s="31" t="s">
        <v>14</v>
      </c>
      <c r="K10" s="10"/>
      <c r="L10" s="42" t="s">
        <v>11</v>
      </c>
      <c r="M10" s="10"/>
      <c r="N10" s="31" t="s">
        <v>15</v>
      </c>
      <c r="O10" s="10"/>
      <c r="P10" s="59" t="s">
        <v>10</v>
      </c>
      <c r="Q10" s="32"/>
      <c r="R10" s="31" t="s">
        <v>14</v>
      </c>
      <c r="S10" s="32"/>
      <c r="T10" s="49" t="s">
        <v>306</v>
      </c>
      <c r="U10" s="32"/>
      <c r="V10" s="31" t="s">
        <v>14</v>
      </c>
      <c r="W10" s="10"/>
      <c r="X10" s="42" t="s">
        <v>11</v>
      </c>
      <c r="Y10" s="10"/>
      <c r="Z10" s="31" t="s">
        <v>15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6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2" t="e">
        <f ca="1">SUM(_xll.OneStop.ReportPlayer.OSRFunctions.OSRRef(D22))</f>
        <v>#NAME?</v>
      </c>
      <c r="E20" s="22"/>
      <c r="F20" s="36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6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6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6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7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6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0" t="e">
        <f ca="1">+D27-D29</f>
        <v>#NAME?</v>
      </c>
      <c r="E31" s="13"/>
      <c r="F31" s="33" t="e">
        <f ca="1">IF(D$12=0,0,D31/D$12)</f>
        <v>#NAME?</v>
      </c>
      <c r="G31" s="13"/>
      <c r="H31" s="30" t="e">
        <f ca="1">+H27-H29</f>
        <v>#NAME?</v>
      </c>
      <c r="I31" s="13"/>
      <c r="J31" s="33" t="e">
        <f ca="1">IF(H$12=0,0,H31/H$12)</f>
        <v>#NAME?</v>
      </c>
      <c r="K31" s="15"/>
      <c r="L31" s="30" t="e">
        <f ca="1">D31-H31</f>
        <v>#NAME?</v>
      </c>
      <c r="M31" s="15"/>
      <c r="N31" s="33" t="e">
        <f ca="1">IF(H31=0,0,L31/H31)</f>
        <v>#NAME?</v>
      </c>
      <c r="O31" s="26"/>
      <c r="P31" s="30" t="e">
        <f ca="1">+P27-P29</f>
        <v>#NAME?</v>
      </c>
      <c r="Q31" s="13"/>
      <c r="R31" s="33" t="e">
        <f ca="1">IF(P$12=0,0,P31/P$12)</f>
        <v>#NAME?</v>
      </c>
      <c r="S31" s="13"/>
      <c r="T31" s="30" t="e">
        <f ca="1">+T27-T29</f>
        <v>#NAME?</v>
      </c>
      <c r="U31" s="13"/>
      <c r="V31" s="33" t="e">
        <f ca="1">IF(T$12=0,0,T31/T$12)</f>
        <v>#NAME?</v>
      </c>
      <c r="W31" s="15"/>
      <c r="X31" s="30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4" t="e">
        <f ca="1">SUM(D31:D35)</f>
        <v>#NAME?</v>
      </c>
      <c r="E36" s="13"/>
      <c r="F36" s="35" t="e">
        <f ca="1">IF(D$12=0,0,D36/D$12)</f>
        <v>#NAME?</v>
      </c>
      <c r="G36" s="13"/>
      <c r="H36" s="34" t="e">
        <f ca="1">SUM(H31:H35)</f>
        <v>#NAME?</v>
      </c>
      <c r="I36" s="13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6"/>
      <c r="P36" s="34" t="e">
        <f ca="1">SUM(P31:P35)</f>
        <v>#NAME?</v>
      </c>
      <c r="Q36" s="13"/>
      <c r="R36" s="35" t="e">
        <f ca="1">IF(P$12=0,0,P36/P$12)</f>
        <v>#NAME?</v>
      </c>
      <c r="S36" s="13"/>
      <c r="T36" s="34" t="e">
        <f ca="1">SUM(T31:T35)</f>
        <v>#NAME?</v>
      </c>
      <c r="U36" s="13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312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61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50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50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2"/>
      <c r="F10" s="31" t="s">
        <v>14</v>
      </c>
      <c r="G10" s="32"/>
      <c r="H10" s="49" t="s">
        <v>306</v>
      </c>
      <c r="I10" s="32"/>
      <c r="J10" s="31" t="s">
        <v>14</v>
      </c>
      <c r="K10" s="10"/>
      <c r="L10" s="42" t="s">
        <v>11</v>
      </c>
      <c r="M10" s="10"/>
      <c r="N10" s="31" t="s">
        <v>15</v>
      </c>
      <c r="O10" s="10"/>
      <c r="P10" s="59" t="s">
        <v>10</v>
      </c>
      <c r="Q10" s="32"/>
      <c r="R10" s="31" t="s">
        <v>14</v>
      </c>
      <c r="S10" s="32"/>
      <c r="T10" s="49" t="s">
        <v>306</v>
      </c>
      <c r="U10" s="32"/>
      <c r="V10" s="31" t="s">
        <v>14</v>
      </c>
      <c r="W10" s="10"/>
      <c r="X10" s="42" t="s">
        <v>11</v>
      </c>
      <c r="Y10" s="10"/>
      <c r="Z10" s="31" t="s">
        <v>15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6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2" t="e">
        <f ca="1">SUM(_xll.OneStop.ReportPlayer.OSRFunctions.OSRRef(D22))</f>
        <v>#NAME?</v>
      </c>
      <c r="E20" s="22"/>
      <c r="F20" s="36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6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6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6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7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6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0" t="e">
        <f ca="1">+D27-D29</f>
        <v>#NAME?</v>
      </c>
      <c r="E31" s="13"/>
      <c r="F31" s="33" t="e">
        <f ca="1">IF(D$12=0,0,D31/D$12)</f>
        <v>#NAME?</v>
      </c>
      <c r="G31" s="13"/>
      <c r="H31" s="30" t="e">
        <f ca="1">+H27-H29</f>
        <v>#NAME?</v>
      </c>
      <c r="I31" s="13"/>
      <c r="J31" s="33" t="e">
        <f ca="1">IF(H$12=0,0,H31/H$12)</f>
        <v>#NAME?</v>
      </c>
      <c r="K31" s="15"/>
      <c r="L31" s="30" t="e">
        <f ca="1">D31-H31</f>
        <v>#NAME?</v>
      </c>
      <c r="M31" s="15"/>
      <c r="N31" s="33" t="e">
        <f ca="1">IF(H31=0,0,L31/H31)</f>
        <v>#NAME?</v>
      </c>
      <c r="O31" s="26"/>
      <c r="P31" s="30" t="e">
        <f ca="1">+P27-P29</f>
        <v>#NAME?</v>
      </c>
      <c r="Q31" s="13"/>
      <c r="R31" s="33" t="e">
        <f ca="1">IF(P$12=0,0,P31/P$12)</f>
        <v>#NAME?</v>
      </c>
      <c r="S31" s="13"/>
      <c r="T31" s="30" t="e">
        <f ca="1">+T27-T29</f>
        <v>#NAME?</v>
      </c>
      <c r="U31" s="13"/>
      <c r="V31" s="33" t="e">
        <f ca="1">IF(T$12=0,0,T31/T$12)</f>
        <v>#NAME?</v>
      </c>
      <c r="W31" s="15"/>
      <c r="X31" s="30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4" t="e">
        <f ca="1">SUM(D31:D35)</f>
        <v>#NAME?</v>
      </c>
      <c r="E36" s="13"/>
      <c r="F36" s="35" t="e">
        <f ca="1">IF(D$12=0,0,D36/D$12)</f>
        <v>#NAME?</v>
      </c>
      <c r="G36" s="13"/>
      <c r="H36" s="34" t="e">
        <f ca="1">SUM(H31:H35)</f>
        <v>#NAME?</v>
      </c>
      <c r="I36" s="13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6"/>
      <c r="P36" s="34" t="e">
        <f ca="1">SUM(P31:P35)</f>
        <v>#NAME?</v>
      </c>
      <c r="Q36" s="13"/>
      <c r="R36" s="35" t="e">
        <f ca="1">IF(P$12=0,0,P36/P$12)</f>
        <v>#NAME?</v>
      </c>
      <c r="S36" s="13"/>
      <c r="T36" s="34" t="e">
        <f ca="1">SUM(T31:T35)</f>
        <v>#NAME?</v>
      </c>
      <c r="U36" s="13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2:Z319"/>
  <sheetViews>
    <sheetView tabSelected="1" zoomScale="80" workbookViewId="0">
      <pane xSplit="3" ySplit="10" topLeftCell="D19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",RIGHT(202104,2),", ",2021)</f>
        <v>Period 04,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44135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295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61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50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50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2"/>
      <c r="F10" s="31" t="s">
        <v>14</v>
      </c>
      <c r="G10" s="32"/>
      <c r="H10" s="49" t="s">
        <v>306</v>
      </c>
      <c r="I10" s="32"/>
      <c r="J10" s="31" t="s">
        <v>14</v>
      </c>
      <c r="K10" s="10"/>
      <c r="L10" s="42" t="s">
        <v>11</v>
      </c>
      <c r="M10" s="10"/>
      <c r="N10" s="31" t="s">
        <v>15</v>
      </c>
      <c r="O10" s="10"/>
      <c r="P10" s="59" t="s">
        <v>10</v>
      </c>
      <c r="Q10" s="32"/>
      <c r="R10" s="31" t="s">
        <v>14</v>
      </c>
      <c r="S10" s="32"/>
      <c r="T10" s="49" t="s">
        <v>306</v>
      </c>
      <c r="U10" s="32"/>
      <c r="V10" s="31" t="s">
        <v>14</v>
      </c>
      <c r="W10" s="10"/>
      <c r="X10" s="42" t="s">
        <v>11</v>
      </c>
      <c r="Y10" s="10"/>
      <c r="Z10" s="31" t="s">
        <v>15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680180.55000000028</v>
      </c>
      <c r="E12" s="4"/>
      <c r="F12" s="12"/>
      <c r="G12" s="4"/>
      <c r="H12" s="4">
        <f>SUM(OSRRefH13x_0)</f>
        <v>3723428.32</v>
      </c>
      <c r="I12" s="4"/>
      <c r="J12" s="12"/>
      <c r="K12" s="4"/>
      <c r="L12" s="4">
        <f t="shared" ref="L12:L131" si="0">+D12-H12</f>
        <v>-3043247.7699999996</v>
      </c>
      <c r="M12" s="4"/>
      <c r="N12" s="12">
        <f t="shared" ref="N12:N131" si="1">IF(H12=0,0,L12/H12)</f>
        <v>-0.81732411864987897</v>
      </c>
      <c r="O12" s="10"/>
      <c r="P12" s="4">
        <f>SUM(OSRRefP13x_0)</f>
        <v>4263877.4599999972</v>
      </c>
      <c r="Q12" s="4"/>
      <c r="R12" s="12"/>
      <c r="S12" s="4"/>
      <c r="T12" s="4">
        <f>SUM(OSRRefT13x_0)</f>
        <v>13457402.719999999</v>
      </c>
      <c r="U12" s="4"/>
      <c r="V12" s="12"/>
      <c r="W12" s="4"/>
      <c r="X12" s="4">
        <f t="shared" ref="X12:X131" si="2">+P12-T12</f>
        <v>-9193525.2600000016</v>
      </c>
      <c r="Y12" s="4"/>
      <c r="Z12" s="12">
        <f t="shared" ref="Z12:Z131" si="3">IF(T12=0,0,X12/T12)</f>
        <v>-0.6831574748325584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-11561.63</f>
        <v>-11561.63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-11561.63</v>
      </c>
      <c r="M13" s="2"/>
      <c r="N13" s="19">
        <f t="shared" si="1"/>
        <v>0</v>
      </c>
      <c r="O13" s="11"/>
      <c r="P13" s="2">
        <f>-49362.41</f>
        <v>-49362.41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-49362.41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--17630.93</f>
        <v>17630.93</v>
      </c>
      <c r="E14" s="2"/>
      <c r="F14" s="19"/>
      <c r="G14" s="2"/>
      <c r="H14" s="2">
        <f>--31204.32</f>
        <v>31204.32</v>
      </c>
      <c r="I14" s="2"/>
      <c r="J14" s="19"/>
      <c r="K14" s="2"/>
      <c r="L14" s="2">
        <f t="shared" si="0"/>
        <v>-13573.39</v>
      </c>
      <c r="M14" s="2"/>
      <c r="N14" s="19">
        <f t="shared" si="1"/>
        <v>-0.43498432268352588</v>
      </c>
      <c r="O14" s="11"/>
      <c r="P14" s="2">
        <f>--712327.57</f>
        <v>712327.57</v>
      </c>
      <c r="Q14" s="2"/>
      <c r="R14" s="19"/>
      <c r="S14" s="2"/>
      <c r="T14" s="2">
        <f>--1495159.74</f>
        <v>1495159.74</v>
      </c>
      <c r="U14" s="2"/>
      <c r="V14" s="19"/>
      <c r="W14" s="2"/>
      <c r="X14" s="2">
        <f t="shared" si="2"/>
        <v>-782832.17</v>
      </c>
      <c r="Y14" s="2"/>
      <c r="Z14" s="19">
        <f t="shared" si="3"/>
        <v>-0.52357761452298068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--2483.62</f>
        <v>2483.62</v>
      </c>
      <c r="E15" s="2"/>
      <c r="F15" s="19"/>
      <c r="G15" s="2"/>
      <c r="H15" s="2">
        <f>--8985.78</f>
        <v>8985.7800000000007</v>
      </c>
      <c r="I15" s="2"/>
      <c r="J15" s="19"/>
      <c r="K15" s="2"/>
      <c r="L15" s="2">
        <f t="shared" si="0"/>
        <v>-6502.1600000000008</v>
      </c>
      <c r="M15" s="2"/>
      <c r="N15" s="19">
        <f t="shared" si="1"/>
        <v>-0.72360551894215086</v>
      </c>
      <c r="O15" s="11"/>
      <c r="P15" s="2">
        <f>--319139.52</f>
        <v>319139.52</v>
      </c>
      <c r="Q15" s="2"/>
      <c r="R15" s="19"/>
      <c r="S15" s="2"/>
      <c r="T15" s="2">
        <f>--666296.36</f>
        <v>666296.36</v>
      </c>
      <c r="U15" s="2"/>
      <c r="V15" s="19"/>
      <c r="W15" s="2"/>
      <c r="X15" s="2">
        <f t="shared" si="2"/>
        <v>-347156.83999999997</v>
      </c>
      <c r="Y15" s="2"/>
      <c r="Z15" s="19">
        <f t="shared" si="3"/>
        <v>-0.52102466836228845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--70</f>
        <v>70</v>
      </c>
      <c r="E16" s="2"/>
      <c r="F16" s="19"/>
      <c r="G16" s="2"/>
      <c r="H16" s="2">
        <f>--307.97</f>
        <v>307.97000000000003</v>
      </c>
      <c r="I16" s="2"/>
      <c r="J16" s="19"/>
      <c r="K16" s="2"/>
      <c r="L16" s="2">
        <f t="shared" si="0"/>
        <v>-237.97000000000003</v>
      </c>
      <c r="M16" s="2"/>
      <c r="N16" s="19">
        <f t="shared" si="1"/>
        <v>-0.77270513361691073</v>
      </c>
      <c r="O16" s="11"/>
      <c r="P16" s="2">
        <f>--10665.63</f>
        <v>10665.63</v>
      </c>
      <c r="Q16" s="2"/>
      <c r="R16" s="19"/>
      <c r="S16" s="2"/>
      <c r="T16" s="2">
        <f>--15844.66</f>
        <v>15844.66</v>
      </c>
      <c r="U16" s="2"/>
      <c r="V16" s="19"/>
      <c r="W16" s="2"/>
      <c r="X16" s="2">
        <f t="shared" si="2"/>
        <v>-5179.0300000000007</v>
      </c>
      <c r="Y16" s="2"/>
      <c r="Z16" s="19">
        <f t="shared" si="3"/>
        <v>-0.32686280425076969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>--354.45</f>
        <v>354.45</v>
      </c>
      <c r="E17" s="2"/>
      <c r="F17" s="19"/>
      <c r="G17" s="2"/>
      <c r="H17" s="2">
        <f>--460.04</f>
        <v>460.04</v>
      </c>
      <c r="I17" s="2"/>
      <c r="J17" s="19"/>
      <c r="K17" s="2"/>
      <c r="L17" s="2">
        <f t="shared" si="0"/>
        <v>-105.59000000000003</v>
      </c>
      <c r="M17" s="2"/>
      <c r="N17" s="19">
        <f t="shared" si="1"/>
        <v>-0.22952351969393972</v>
      </c>
      <c r="O17" s="11"/>
      <c r="P17" s="2">
        <f>--2459.56</f>
        <v>2459.56</v>
      </c>
      <c r="Q17" s="2"/>
      <c r="R17" s="19"/>
      <c r="S17" s="2"/>
      <c r="T17" s="2">
        <f>--30160.48</f>
        <v>30160.48</v>
      </c>
      <c r="U17" s="2"/>
      <c r="V17" s="19"/>
      <c r="W17" s="2"/>
      <c r="X17" s="2">
        <f t="shared" si="2"/>
        <v>-27700.92</v>
      </c>
      <c r="Y17" s="2"/>
      <c r="Z17" s="19">
        <f t="shared" si="3"/>
        <v>-0.91845089998567653</v>
      </c>
    </row>
    <row r="18" spans="1:26" s="24" customFormat="1" hidden="1" outlineLevel="1" x14ac:dyDescent="0.25">
      <c r="A18" s="44"/>
      <c r="B18" s="11" t="str">
        <f>CONCATENATE("          ", "4011", " - ", "TAXABLE SALES-NO VALUE TEXT")</f>
        <v xml:space="preserve">          4011 - TAXABLE SALES-NO VALUE TEXT</v>
      </c>
      <c r="C18" s="11"/>
      <c r="D18" s="2">
        <f>0</f>
        <v>0</v>
      </c>
      <c r="E18" s="2"/>
      <c r="F18" s="19"/>
      <c r="G18" s="2"/>
      <c r="H18" s="2">
        <f>0</f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0</f>
        <v>0</v>
      </c>
      <c r="Q18" s="2"/>
      <c r="R18" s="19"/>
      <c r="S18" s="2"/>
      <c r="T18" s="2">
        <f>--9.6</f>
        <v>9.6</v>
      </c>
      <c r="U18" s="2"/>
      <c r="V18" s="19"/>
      <c r="W18" s="2"/>
      <c r="X18" s="2">
        <f t="shared" si="2"/>
        <v>-9.6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"4013", " - ", "TAXABLE SALES-TRADE BOOKS")</f>
        <v xml:space="preserve">          4013 - TAXABLE SALES-TRADE BOOKS</v>
      </c>
      <c r="C19" s="11"/>
      <c r="D19" s="2">
        <f>--157.47</f>
        <v>157.47</v>
      </c>
      <c r="E19" s="2"/>
      <c r="F19" s="19"/>
      <c r="G19" s="2"/>
      <c r="H19" s="2">
        <f>--686.63</f>
        <v>686.63</v>
      </c>
      <c r="I19" s="2"/>
      <c r="J19" s="19"/>
      <c r="K19" s="2"/>
      <c r="L19" s="2">
        <f t="shared" si="0"/>
        <v>-529.16</v>
      </c>
      <c r="M19" s="2"/>
      <c r="N19" s="19">
        <f t="shared" si="1"/>
        <v>-0.77066251110496187</v>
      </c>
      <c r="O19" s="11"/>
      <c r="P19" s="2">
        <f>--197.37</f>
        <v>197.37</v>
      </c>
      <c r="Q19" s="2"/>
      <c r="R19" s="19"/>
      <c r="S19" s="2"/>
      <c r="T19" s="2">
        <f>--827.39</f>
        <v>827.39</v>
      </c>
      <c r="U19" s="2"/>
      <c r="V19" s="19"/>
      <c r="W19" s="2"/>
      <c r="X19" s="2">
        <f t="shared" si="2"/>
        <v>-630.02</v>
      </c>
      <c r="Y19" s="2"/>
      <c r="Z19" s="19">
        <f t="shared" si="3"/>
        <v>-0.76145469488391204</v>
      </c>
    </row>
    <row r="20" spans="1:26" s="24" customFormat="1" hidden="1" outlineLevel="1" x14ac:dyDescent="0.25">
      <c r="A20" s="44"/>
      <c r="B20" s="11" t="str">
        <f>CONCATENATE("          ", "4014", " - ", "TAXABLE SALES-REMAINDERS")</f>
        <v xml:space="preserve">          4014 - TAXABLE SALES-REMAINDERS</v>
      </c>
      <c r="C20" s="11"/>
      <c r="D20" s="2">
        <f>--35.8</f>
        <v>35.799999999999997</v>
      </c>
      <c r="E20" s="2"/>
      <c r="F20" s="19"/>
      <c r="G20" s="2"/>
      <c r="H20" s="2">
        <f>--171.13</f>
        <v>171.13</v>
      </c>
      <c r="I20" s="2"/>
      <c r="J20" s="19"/>
      <c r="K20" s="2"/>
      <c r="L20" s="2">
        <f t="shared" si="0"/>
        <v>-135.32999999999998</v>
      </c>
      <c r="M20" s="2"/>
      <c r="N20" s="19">
        <f t="shared" si="1"/>
        <v>-0.79080231403026935</v>
      </c>
      <c r="O20" s="11"/>
      <c r="P20" s="2">
        <f>--340.24</f>
        <v>340.24</v>
      </c>
      <c r="Q20" s="2"/>
      <c r="R20" s="19"/>
      <c r="S20" s="2"/>
      <c r="T20" s="2">
        <f>--694.22</f>
        <v>694.22</v>
      </c>
      <c r="U20" s="2"/>
      <c r="V20" s="19"/>
      <c r="W20" s="2"/>
      <c r="X20" s="2">
        <f t="shared" si="2"/>
        <v>-353.98</v>
      </c>
      <c r="Y20" s="2"/>
      <c r="Z20" s="19">
        <f t="shared" si="3"/>
        <v>-0.50989599838667854</v>
      </c>
    </row>
    <row r="21" spans="1:26" s="24" customFormat="1" hidden="1" outlineLevel="1" x14ac:dyDescent="0.25">
      <c r="A21" s="44"/>
      <c r="B21" s="11" t="str">
        <f>CONCATENATE("          ", "4017", " - ", "TAXABLE SALES-DORM/HOUSEWARES")</f>
        <v xml:space="preserve">          4017 - TAXABLE SALES-DORM/HOUSEWARES</v>
      </c>
      <c r="C21" s="11"/>
      <c r="D21" s="2">
        <f t="shared" ref="D21:D24" si="4">0</f>
        <v>0</v>
      </c>
      <c r="E21" s="2"/>
      <c r="F21" s="19"/>
      <c r="G21" s="2"/>
      <c r="H21" s="2">
        <f>--2.98</f>
        <v>2.98</v>
      </c>
      <c r="I21" s="2"/>
      <c r="J21" s="19"/>
      <c r="K21" s="2"/>
      <c r="L21" s="2">
        <f t="shared" si="0"/>
        <v>-2.98</v>
      </c>
      <c r="M21" s="2"/>
      <c r="N21" s="19">
        <f t="shared" si="1"/>
        <v>-1</v>
      </c>
      <c r="O21" s="11"/>
      <c r="P21" s="2">
        <f>0</f>
        <v>0</v>
      </c>
      <c r="Q21" s="2"/>
      <c r="R21" s="19"/>
      <c r="S21" s="2"/>
      <c r="T21" s="2">
        <f>--225.67</f>
        <v>225.67</v>
      </c>
      <c r="U21" s="2"/>
      <c r="V21" s="19"/>
      <c r="W21" s="2"/>
      <c r="X21" s="2">
        <f t="shared" si="2"/>
        <v>-225.67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"4018", " - ", "TAXABLE SALES-STUDY GUIDES")</f>
        <v xml:space="preserve">          4018 - TAXABLE SALES-STUDY GUIDES</v>
      </c>
      <c r="C22" s="11"/>
      <c r="D22" s="2">
        <f t="shared" si="4"/>
        <v>0</v>
      </c>
      <c r="E22" s="2"/>
      <c r="F22" s="19"/>
      <c r="G22" s="2"/>
      <c r="H22" s="2">
        <f>--394.68</f>
        <v>394.68</v>
      </c>
      <c r="I22" s="2"/>
      <c r="J22" s="19"/>
      <c r="K22" s="2"/>
      <c r="L22" s="2">
        <f t="shared" si="0"/>
        <v>-394.68</v>
      </c>
      <c r="M22" s="2"/>
      <c r="N22" s="19">
        <f t="shared" si="1"/>
        <v>-1</v>
      </c>
      <c r="O22" s="11"/>
      <c r="P22" s="2">
        <f>--183.89</f>
        <v>183.89</v>
      </c>
      <c r="Q22" s="2"/>
      <c r="R22" s="19"/>
      <c r="S22" s="2"/>
      <c r="T22" s="2">
        <f>--2454.83</f>
        <v>2454.83</v>
      </c>
      <c r="U22" s="2"/>
      <c r="V22" s="19"/>
      <c r="W22" s="2"/>
      <c r="X22" s="2">
        <f t="shared" si="2"/>
        <v>-2270.94</v>
      </c>
      <c r="Y22" s="2"/>
      <c r="Z22" s="19">
        <f t="shared" si="3"/>
        <v>-0.92509053580084977</v>
      </c>
    </row>
    <row r="23" spans="1:26" s="24" customFormat="1" hidden="1" outlineLevel="1" x14ac:dyDescent="0.25">
      <c r="A23" s="44"/>
      <c r="B23" s="11" t="str">
        <f>CONCATENATE("          ", "4019", " - ", "TAXABLE SALES-BOOK RELATED")</f>
        <v xml:space="preserve">          4019 - TAXABLE SALES-BOOK RELATED</v>
      </c>
      <c r="C23" s="11"/>
      <c r="D23" s="2">
        <f t="shared" si="4"/>
        <v>0</v>
      </c>
      <c r="E23" s="2"/>
      <c r="F23" s="19"/>
      <c r="G23" s="2"/>
      <c r="H23" s="2">
        <f>--14.95</f>
        <v>14.95</v>
      </c>
      <c r="I23" s="2"/>
      <c r="J23" s="19"/>
      <c r="K23" s="2"/>
      <c r="L23" s="2">
        <f t="shared" si="0"/>
        <v>-14.95</v>
      </c>
      <c r="M23" s="2"/>
      <c r="N23" s="19">
        <f t="shared" si="1"/>
        <v>-1</v>
      </c>
      <c r="O23" s="11"/>
      <c r="P23" s="2">
        <f t="shared" ref="P23:P24" si="5">0</f>
        <v>0</v>
      </c>
      <c r="Q23" s="2"/>
      <c r="R23" s="19"/>
      <c r="S23" s="2"/>
      <c r="T23" s="2">
        <f>--29.9</f>
        <v>29.9</v>
      </c>
      <c r="U23" s="2"/>
      <c r="V23" s="19"/>
      <c r="W23" s="2"/>
      <c r="X23" s="2">
        <f t="shared" si="2"/>
        <v>-29.9</v>
      </c>
      <c r="Y23" s="2"/>
      <c r="Z23" s="19">
        <f t="shared" si="3"/>
        <v>-1</v>
      </c>
    </row>
    <row r="24" spans="1:26" s="24" customFormat="1" hidden="1" outlineLevel="1" x14ac:dyDescent="0.25">
      <c r="A24" s="44"/>
      <c r="B24" s="11" t="str">
        <f>CONCATENATE("          ", "4025", " - ", "TAXABLE SALES-TEST FORMS")</f>
        <v xml:space="preserve">          4025 - TAXABLE SALES-TEST FORMS</v>
      </c>
      <c r="C24" s="11"/>
      <c r="D24" s="2">
        <f t="shared" si="4"/>
        <v>0</v>
      </c>
      <c r="E24" s="2"/>
      <c r="F24" s="19"/>
      <c r="G24" s="2"/>
      <c r="H24" s="2">
        <f>--10035.97</f>
        <v>10035.969999999999</v>
      </c>
      <c r="I24" s="2"/>
      <c r="J24" s="19"/>
      <c r="K24" s="2"/>
      <c r="L24" s="2">
        <f t="shared" si="0"/>
        <v>-10035.969999999999</v>
      </c>
      <c r="M24" s="2"/>
      <c r="N24" s="19">
        <f t="shared" si="1"/>
        <v>-1</v>
      </c>
      <c r="O24" s="11"/>
      <c r="P24" s="2">
        <f t="shared" si="5"/>
        <v>0</v>
      </c>
      <c r="Q24" s="2"/>
      <c r="R24" s="19"/>
      <c r="S24" s="2"/>
      <c r="T24" s="2">
        <f>--26332.04</f>
        <v>26332.04</v>
      </c>
      <c r="U24" s="2"/>
      <c r="V24" s="19"/>
      <c r="W24" s="2"/>
      <c r="X24" s="2">
        <f t="shared" si="2"/>
        <v>-26332.04</v>
      </c>
      <c r="Y24" s="2"/>
      <c r="Z24" s="19">
        <f t="shared" si="3"/>
        <v>-1</v>
      </c>
    </row>
    <row r="25" spans="1:26" s="24" customFormat="1" hidden="1" outlineLevel="1" x14ac:dyDescent="0.25">
      <c r="A25" s="44"/>
      <c r="B25" s="11" t="str">
        <f>CONCATENATE("          ", "4026", " - ", "TAXABLE SALES-WRITING INSTRUME")</f>
        <v xml:space="preserve">          4026 - TAXABLE SALES-WRITING INSTRUME</v>
      </c>
      <c r="C25" s="11"/>
      <c r="D25" s="2">
        <f>--20.8</f>
        <v>20.8</v>
      </c>
      <c r="E25" s="2"/>
      <c r="F25" s="19"/>
      <c r="G25" s="2"/>
      <c r="H25" s="2">
        <f>--12565.24</f>
        <v>12565.24</v>
      </c>
      <c r="I25" s="2"/>
      <c r="J25" s="19"/>
      <c r="K25" s="2"/>
      <c r="L25" s="2">
        <f t="shared" si="0"/>
        <v>-12544.44</v>
      </c>
      <c r="M25" s="2"/>
      <c r="N25" s="19">
        <f t="shared" si="1"/>
        <v>-0.99834463965670384</v>
      </c>
      <c r="O25" s="11"/>
      <c r="P25" s="2">
        <f>--278.83</f>
        <v>278.83</v>
      </c>
      <c r="Q25" s="2"/>
      <c r="R25" s="19"/>
      <c r="S25" s="2"/>
      <c r="T25" s="2">
        <f>--37064.54</f>
        <v>37064.54</v>
      </c>
      <c r="U25" s="2"/>
      <c r="V25" s="19"/>
      <c r="W25" s="2"/>
      <c r="X25" s="2">
        <f t="shared" si="2"/>
        <v>-36785.71</v>
      </c>
      <c r="Y25" s="2"/>
      <c r="Z25" s="19">
        <f t="shared" si="3"/>
        <v>-0.99247717629842425</v>
      </c>
    </row>
    <row r="26" spans="1:26" s="24" customFormat="1" hidden="1" outlineLevel="1" x14ac:dyDescent="0.25">
      <c r="A26" s="44"/>
      <c r="B26" s="11" t="str">
        <f>CONCATENATE("          ", "4027", " - ", "TAXABLE SALES-SCHOOL SUPPLIES")</f>
        <v xml:space="preserve">          4027 - TAXABLE SALES-SCHOOL SUPPLIES</v>
      </c>
      <c r="C26" s="11"/>
      <c r="D26" s="2">
        <f>--2328.89</f>
        <v>2328.89</v>
      </c>
      <c r="E26" s="2"/>
      <c r="F26" s="19"/>
      <c r="G26" s="2"/>
      <c r="H26" s="2">
        <f>--20952.95</f>
        <v>20952.95</v>
      </c>
      <c r="I26" s="2"/>
      <c r="J26" s="19"/>
      <c r="K26" s="2"/>
      <c r="L26" s="2">
        <f t="shared" si="0"/>
        <v>-18624.060000000001</v>
      </c>
      <c r="M26" s="2"/>
      <c r="N26" s="19">
        <f t="shared" si="1"/>
        <v>-0.88885145051174186</v>
      </c>
      <c r="O26" s="11"/>
      <c r="P26" s="2">
        <f>--35003.5</f>
        <v>35003.5</v>
      </c>
      <c r="Q26" s="2"/>
      <c r="R26" s="19"/>
      <c r="S26" s="2"/>
      <c r="T26" s="2">
        <f>--144273.54</f>
        <v>144273.54</v>
      </c>
      <c r="U26" s="2"/>
      <c r="V26" s="19"/>
      <c r="W26" s="2"/>
      <c r="X26" s="2">
        <f t="shared" si="2"/>
        <v>-109270.04000000001</v>
      </c>
      <c r="Y26" s="2"/>
      <c r="Z26" s="19">
        <f t="shared" si="3"/>
        <v>-0.7573810138712892</v>
      </c>
    </row>
    <row r="27" spans="1:26" s="24" customFormat="1" hidden="1" outlineLevel="1" x14ac:dyDescent="0.25">
      <c r="A27" s="44"/>
      <c r="B27" s="11" t="str">
        <f>CONCATENATE("          ", "4028", " - ", "TAXABLE SALES-ART/TECH")</f>
        <v xml:space="preserve">          4028 - TAXABLE SALES-ART/TECH</v>
      </c>
      <c r="C27" s="11"/>
      <c r="D27" s="2">
        <f>--1769.95</f>
        <v>1769.95</v>
      </c>
      <c r="E27" s="2"/>
      <c r="F27" s="19"/>
      <c r="G27" s="2"/>
      <c r="H27" s="2">
        <f>--45836.99</f>
        <v>45836.99</v>
      </c>
      <c r="I27" s="2"/>
      <c r="J27" s="19"/>
      <c r="K27" s="2"/>
      <c r="L27" s="2">
        <f t="shared" si="0"/>
        <v>-44067.040000000001</v>
      </c>
      <c r="M27" s="2"/>
      <c r="N27" s="19">
        <f t="shared" si="1"/>
        <v>-0.9613859897868513</v>
      </c>
      <c r="O27" s="11"/>
      <c r="P27" s="2">
        <f>--14268.85</f>
        <v>14268.85</v>
      </c>
      <c r="Q27" s="2"/>
      <c r="R27" s="19"/>
      <c r="S27" s="2"/>
      <c r="T27" s="2">
        <f>--146564.67</f>
        <v>146564.67000000001</v>
      </c>
      <c r="U27" s="2"/>
      <c r="V27" s="19"/>
      <c r="W27" s="2"/>
      <c r="X27" s="2">
        <f t="shared" si="2"/>
        <v>-132295.82</v>
      </c>
      <c r="Y27" s="2"/>
      <c r="Z27" s="19">
        <f t="shared" si="3"/>
        <v>-0.90264468237809281</v>
      </c>
    </row>
    <row r="28" spans="1:26" s="24" customFormat="1" hidden="1" outlineLevel="1" x14ac:dyDescent="0.25">
      <c r="A28" s="44"/>
      <c r="B28" s="11" t="str">
        <f>CONCATENATE("          ", "4031", " - ", "TAXABLE SALES-FOOD")</f>
        <v xml:space="preserve">          4031 - TAXABLE SALES-FOOD</v>
      </c>
      <c r="C28" s="11"/>
      <c r="D28" s="2">
        <f>--429.8</f>
        <v>429.8</v>
      </c>
      <c r="E28" s="2"/>
      <c r="F28" s="19"/>
      <c r="G28" s="2"/>
      <c r="H28" s="2">
        <f>--100.46</f>
        <v>100.46</v>
      </c>
      <c r="I28" s="2"/>
      <c r="J28" s="19"/>
      <c r="K28" s="2"/>
      <c r="L28" s="2">
        <f t="shared" si="0"/>
        <v>329.34000000000003</v>
      </c>
      <c r="M28" s="2"/>
      <c r="N28" s="19">
        <f t="shared" si="1"/>
        <v>3.2783197292454713</v>
      </c>
      <c r="O28" s="11"/>
      <c r="P28" s="2">
        <f>--1667.96</f>
        <v>1667.96</v>
      </c>
      <c r="Q28" s="2"/>
      <c r="R28" s="19"/>
      <c r="S28" s="2"/>
      <c r="T28" s="2">
        <f>--221.28</f>
        <v>221.28</v>
      </c>
      <c r="U28" s="2"/>
      <c r="V28" s="19"/>
      <c r="W28" s="2"/>
      <c r="X28" s="2">
        <f t="shared" si="2"/>
        <v>1446.68</v>
      </c>
      <c r="Y28" s="2"/>
      <c r="Z28" s="19">
        <f t="shared" si="3"/>
        <v>6.5377801879971082</v>
      </c>
    </row>
    <row r="29" spans="1:26" s="24" customFormat="1" hidden="1" outlineLevel="1" x14ac:dyDescent="0.25">
      <c r="A29" s="44"/>
      <c r="B29" s="11" t="str">
        <f>CONCATENATE("          ", "4032", " - ", "TAXABLE SALES-JUICE")</f>
        <v xml:space="preserve">          4032 - TAXABLE SALES-JUICE</v>
      </c>
      <c r="C29" s="11"/>
      <c r="D29" s="2">
        <f t="shared" ref="D29:D33" si="6">0</f>
        <v>0</v>
      </c>
      <c r="E29" s="2"/>
      <c r="F29" s="19"/>
      <c r="G29" s="2"/>
      <c r="H29" s="2">
        <f>--59190.6</f>
        <v>59190.6</v>
      </c>
      <c r="I29" s="2"/>
      <c r="J29" s="19"/>
      <c r="K29" s="2"/>
      <c r="L29" s="2">
        <f t="shared" si="0"/>
        <v>-59190.6</v>
      </c>
      <c r="M29" s="2"/>
      <c r="N29" s="19">
        <f t="shared" si="1"/>
        <v>-1</v>
      </c>
      <c r="O29" s="11"/>
      <c r="P29" s="2">
        <f>--444.59</f>
        <v>444.59</v>
      </c>
      <c r="Q29" s="2"/>
      <c r="R29" s="19"/>
      <c r="S29" s="2"/>
      <c r="T29" s="2">
        <f>--131868.29</f>
        <v>131868.29</v>
      </c>
      <c r="U29" s="2"/>
      <c r="V29" s="19"/>
      <c r="W29" s="2"/>
      <c r="X29" s="2">
        <f t="shared" si="2"/>
        <v>-131423.70000000001</v>
      </c>
      <c r="Y29" s="2"/>
      <c r="Z29" s="19">
        <f t="shared" si="3"/>
        <v>-0.99662852987628792</v>
      </c>
    </row>
    <row r="30" spans="1:26" s="24" customFormat="1" hidden="1" outlineLevel="1" x14ac:dyDescent="0.25">
      <c r="A30" s="44"/>
      <c r="B30" s="11" t="str">
        <f>CONCATENATE("          ", "4033", " - ", "TAXABLE SALES-CANDY")</f>
        <v xml:space="preserve">          4033 - TAXABLE SALES-CANDY</v>
      </c>
      <c r="C30" s="11"/>
      <c r="D30" s="2">
        <f t="shared" si="6"/>
        <v>0</v>
      </c>
      <c r="E30" s="2"/>
      <c r="F30" s="19"/>
      <c r="G30" s="2"/>
      <c r="H30" s="2">
        <f>--44.43</f>
        <v>44.43</v>
      </c>
      <c r="I30" s="2"/>
      <c r="J30" s="19"/>
      <c r="K30" s="2"/>
      <c r="L30" s="2">
        <f t="shared" si="0"/>
        <v>-44.43</v>
      </c>
      <c r="M30" s="2"/>
      <c r="N30" s="19">
        <f t="shared" si="1"/>
        <v>-1</v>
      </c>
      <c r="O30" s="11"/>
      <c r="P30" s="2">
        <f>0</f>
        <v>0</v>
      </c>
      <c r="Q30" s="2"/>
      <c r="R30" s="19"/>
      <c r="S30" s="2"/>
      <c r="T30" s="2">
        <f>--85.4</f>
        <v>85.4</v>
      </c>
      <c r="U30" s="2"/>
      <c r="V30" s="19"/>
      <c r="W30" s="2"/>
      <c r="X30" s="2">
        <f t="shared" si="2"/>
        <v>-85.4</v>
      </c>
      <c r="Y30" s="2"/>
      <c r="Z30" s="19">
        <f t="shared" si="3"/>
        <v>-1</v>
      </c>
    </row>
    <row r="31" spans="1:26" s="24" customFormat="1" hidden="1" outlineLevel="1" x14ac:dyDescent="0.25">
      <c r="A31" s="44"/>
      <c r="B31" s="11" t="str">
        <f>CONCATENATE("          ", "4034", " - ", "TAXABLE SALES-SODA")</f>
        <v xml:space="preserve">          4034 - TAXABLE SALES-SODA</v>
      </c>
      <c r="C31" s="11"/>
      <c r="D31" s="2">
        <f t="shared" si="6"/>
        <v>0</v>
      </c>
      <c r="E31" s="2"/>
      <c r="F31" s="19"/>
      <c r="G31" s="2"/>
      <c r="H31" s="2">
        <f>--2386.44</f>
        <v>2386.44</v>
      </c>
      <c r="I31" s="2"/>
      <c r="J31" s="19"/>
      <c r="K31" s="2"/>
      <c r="L31" s="2">
        <f t="shared" si="0"/>
        <v>-2386.44</v>
      </c>
      <c r="M31" s="2"/>
      <c r="N31" s="19">
        <f t="shared" si="1"/>
        <v>-1</v>
      </c>
      <c r="O31" s="11"/>
      <c r="P31" s="2">
        <f>--6.78</f>
        <v>6.78</v>
      </c>
      <c r="Q31" s="2"/>
      <c r="R31" s="19"/>
      <c r="S31" s="2"/>
      <c r="T31" s="2">
        <f>--5396.32</f>
        <v>5396.32</v>
      </c>
      <c r="U31" s="2"/>
      <c r="V31" s="19"/>
      <c r="W31" s="2"/>
      <c r="X31" s="2">
        <f t="shared" si="2"/>
        <v>-5389.54</v>
      </c>
      <c r="Y31" s="2"/>
      <c r="Z31" s="19">
        <f t="shared" si="3"/>
        <v>-0.9987435882230854</v>
      </c>
    </row>
    <row r="32" spans="1:26" s="24" customFormat="1" hidden="1" outlineLevel="1" x14ac:dyDescent="0.25">
      <c r="A32" s="44"/>
      <c r="B32" s="11" t="str">
        <f>CONCATENATE("          ", "4035", " - ", "TAXABLE SALES-HEALTH &amp; BEAUTY")</f>
        <v xml:space="preserve">          4035 - TAXABLE SALES-HEALTH &amp; BEAUTY</v>
      </c>
      <c r="C32" s="11"/>
      <c r="D32" s="2">
        <f t="shared" si="6"/>
        <v>0</v>
      </c>
      <c r="E32" s="2"/>
      <c r="F32" s="19"/>
      <c r="G32" s="2"/>
      <c r="H32" s="2">
        <f>--425.93</f>
        <v>425.93</v>
      </c>
      <c r="I32" s="2"/>
      <c r="J32" s="19"/>
      <c r="K32" s="2"/>
      <c r="L32" s="2">
        <f t="shared" si="0"/>
        <v>-425.93</v>
      </c>
      <c r="M32" s="2"/>
      <c r="N32" s="19">
        <f t="shared" si="1"/>
        <v>-1</v>
      </c>
      <c r="O32" s="11"/>
      <c r="P32" s="2">
        <f t="shared" ref="P32:P33" si="7">0</f>
        <v>0</v>
      </c>
      <c r="Q32" s="2"/>
      <c r="R32" s="19"/>
      <c r="S32" s="2"/>
      <c r="T32" s="2">
        <f>--864.36</f>
        <v>864.36</v>
      </c>
      <c r="U32" s="2"/>
      <c r="V32" s="19"/>
      <c r="W32" s="2"/>
      <c r="X32" s="2">
        <f t="shared" si="2"/>
        <v>-864.36</v>
      </c>
      <c r="Y32" s="2"/>
      <c r="Z32" s="19">
        <f t="shared" si="3"/>
        <v>-1</v>
      </c>
    </row>
    <row r="33" spans="1:26" s="24" customFormat="1" hidden="1" outlineLevel="1" x14ac:dyDescent="0.25">
      <c r="A33" s="44"/>
      <c r="B33" s="11" t="str">
        <f>CONCATENATE("          ", "4037", " - ", "TAXABLE SALES-WATER")</f>
        <v xml:space="preserve">          4037 - TAXABLE SALES-WATER</v>
      </c>
      <c r="C33" s="11"/>
      <c r="D33" s="2">
        <f t="shared" si="6"/>
        <v>0</v>
      </c>
      <c r="E33" s="2"/>
      <c r="F33" s="19"/>
      <c r="G33" s="2"/>
      <c r="H33" s="2">
        <f>--128.42</f>
        <v>128.41999999999999</v>
      </c>
      <c r="I33" s="2"/>
      <c r="J33" s="19"/>
      <c r="K33" s="2"/>
      <c r="L33" s="2">
        <f t="shared" si="0"/>
        <v>-128.41999999999999</v>
      </c>
      <c r="M33" s="2"/>
      <c r="N33" s="19">
        <f t="shared" si="1"/>
        <v>-1</v>
      </c>
      <c r="O33" s="11"/>
      <c r="P33" s="2">
        <f t="shared" si="7"/>
        <v>0</v>
      </c>
      <c r="Q33" s="2"/>
      <c r="R33" s="19"/>
      <c r="S33" s="2"/>
      <c r="T33" s="2">
        <f>--302.57</f>
        <v>302.57</v>
      </c>
      <c r="U33" s="2"/>
      <c r="V33" s="19"/>
      <c r="W33" s="2"/>
      <c r="X33" s="2">
        <f t="shared" si="2"/>
        <v>-302.57</v>
      </c>
      <c r="Y33" s="2"/>
      <c r="Z33" s="19">
        <f t="shared" si="3"/>
        <v>-1</v>
      </c>
    </row>
    <row r="34" spans="1:26" s="24" customFormat="1" hidden="1" outlineLevel="1" x14ac:dyDescent="0.25">
      <c r="A34" s="44"/>
      <c r="B34" s="11" t="str">
        <f>CONCATENATE("          ", "4040", " - ", "TAXABLE SALES-LOGO CLOTHING")</f>
        <v xml:space="preserve">          4040 - TAXABLE SALES-LOGO CLOTHING</v>
      </c>
      <c r="C34" s="11"/>
      <c r="D34" s="2">
        <f>--54384.72</f>
        <v>54384.72</v>
      </c>
      <c r="E34" s="2"/>
      <c r="F34" s="19"/>
      <c r="G34" s="2"/>
      <c r="H34" s="2">
        <f>--215340.93</f>
        <v>215340.93</v>
      </c>
      <c r="I34" s="2"/>
      <c r="J34" s="19"/>
      <c r="K34" s="2"/>
      <c r="L34" s="2">
        <f t="shared" si="0"/>
        <v>-160956.21</v>
      </c>
      <c r="M34" s="2"/>
      <c r="N34" s="19">
        <f t="shared" si="1"/>
        <v>-0.74744829048523198</v>
      </c>
      <c r="O34" s="11"/>
      <c r="P34" s="2">
        <f>--382804.91</f>
        <v>382804.91</v>
      </c>
      <c r="Q34" s="2"/>
      <c r="R34" s="19"/>
      <c r="S34" s="2"/>
      <c r="T34" s="2">
        <f>--848240.45</f>
        <v>848240.45</v>
      </c>
      <c r="U34" s="2"/>
      <c r="V34" s="19"/>
      <c r="W34" s="2"/>
      <c r="X34" s="2">
        <f t="shared" si="2"/>
        <v>-465435.54</v>
      </c>
      <c r="Y34" s="2"/>
      <c r="Z34" s="19">
        <f t="shared" si="3"/>
        <v>-0.54870707946078257</v>
      </c>
    </row>
    <row r="35" spans="1:26" s="24" customFormat="1" hidden="1" outlineLevel="1" x14ac:dyDescent="0.25">
      <c r="A35" s="44"/>
      <c r="B35" s="11" t="str">
        <f>CONCATENATE("          ", "4041", " - ", "TAXABLE SALES-LOGO GIFTS")</f>
        <v xml:space="preserve">          4041 - TAXABLE SALES-LOGO GIFTS</v>
      </c>
      <c r="C35" s="11"/>
      <c r="D35" s="2">
        <f>--22053.6</f>
        <v>22053.599999999999</v>
      </c>
      <c r="E35" s="2"/>
      <c r="F35" s="19"/>
      <c r="G35" s="2"/>
      <c r="H35" s="2">
        <f>--27181.29</f>
        <v>27181.29</v>
      </c>
      <c r="I35" s="2"/>
      <c r="J35" s="19"/>
      <c r="K35" s="2"/>
      <c r="L35" s="2">
        <f t="shared" si="0"/>
        <v>-5127.6900000000023</v>
      </c>
      <c r="M35" s="2"/>
      <c r="N35" s="19">
        <f t="shared" si="1"/>
        <v>-0.18864777941002808</v>
      </c>
      <c r="O35" s="11"/>
      <c r="P35" s="2">
        <f>--153087.22</f>
        <v>153087.22</v>
      </c>
      <c r="Q35" s="2"/>
      <c r="R35" s="19"/>
      <c r="S35" s="2"/>
      <c r="T35" s="2">
        <f>--228813.9</f>
        <v>228813.9</v>
      </c>
      <c r="U35" s="2"/>
      <c r="V35" s="19"/>
      <c r="W35" s="2"/>
      <c r="X35" s="2">
        <f t="shared" si="2"/>
        <v>-75726.679999999993</v>
      </c>
      <c r="Y35" s="2"/>
      <c r="Z35" s="19">
        <f t="shared" si="3"/>
        <v>-0.330953145766057</v>
      </c>
    </row>
    <row r="36" spans="1:26" s="24" customFormat="1" hidden="1" outlineLevel="1" x14ac:dyDescent="0.25">
      <c r="A36" s="44"/>
      <c r="B36" s="11" t="str">
        <f>CONCATENATE("          ", "4042", " - ", "TAXABLE SALES-EVERYDAY GIFTS")</f>
        <v xml:space="preserve">          4042 - TAXABLE SALES-EVERYDAY GIFTS</v>
      </c>
      <c r="C36" s="11"/>
      <c r="D36" s="2">
        <f>--6854.18</f>
        <v>6854.18</v>
      </c>
      <c r="E36" s="2"/>
      <c r="F36" s="19"/>
      <c r="G36" s="2"/>
      <c r="H36" s="2">
        <f>--29192.1</f>
        <v>29192.1</v>
      </c>
      <c r="I36" s="2"/>
      <c r="J36" s="19"/>
      <c r="K36" s="2"/>
      <c r="L36" s="2">
        <f t="shared" si="0"/>
        <v>-22337.919999999998</v>
      </c>
      <c r="M36" s="2"/>
      <c r="N36" s="19">
        <f t="shared" si="1"/>
        <v>-0.76520428472086621</v>
      </c>
      <c r="O36" s="11"/>
      <c r="P36" s="2">
        <f>--54783.68</f>
        <v>54783.68</v>
      </c>
      <c r="Q36" s="2"/>
      <c r="R36" s="19"/>
      <c r="S36" s="2"/>
      <c r="T36" s="2">
        <f>--124310.37</f>
        <v>124310.37</v>
      </c>
      <c r="U36" s="2"/>
      <c r="V36" s="19"/>
      <c r="W36" s="2"/>
      <c r="X36" s="2">
        <f t="shared" si="2"/>
        <v>-69526.69</v>
      </c>
      <c r="Y36" s="2"/>
      <c r="Z36" s="19">
        <f t="shared" si="3"/>
        <v>-0.55929919603650124</v>
      </c>
    </row>
    <row r="37" spans="1:26" s="24" customFormat="1" hidden="1" outlineLevel="1" x14ac:dyDescent="0.25">
      <c r="A37" s="44"/>
      <c r="B37" s="11" t="str">
        <f>CONCATENATE("          ", "4043", " - ", "TAXABLE SALES-CARDS")</f>
        <v xml:space="preserve">          4043 - TAXABLE SALES-CARDS</v>
      </c>
      <c r="C37" s="11"/>
      <c r="D37" s="2">
        <f>--30454.88</f>
        <v>30454.880000000001</v>
      </c>
      <c r="E37" s="2"/>
      <c r="F37" s="19"/>
      <c r="G37" s="2"/>
      <c r="H37" s="2">
        <f>--63.04</f>
        <v>63.04</v>
      </c>
      <c r="I37" s="2"/>
      <c r="J37" s="19"/>
      <c r="K37" s="2"/>
      <c r="L37" s="2">
        <f t="shared" si="0"/>
        <v>30391.84</v>
      </c>
      <c r="M37" s="2"/>
      <c r="N37" s="19">
        <f t="shared" si="1"/>
        <v>482.10406091370561</v>
      </c>
      <c r="O37" s="11"/>
      <c r="P37" s="2">
        <f>--40246.04</f>
        <v>40246.04</v>
      </c>
      <c r="Q37" s="2"/>
      <c r="R37" s="19"/>
      <c r="S37" s="2"/>
      <c r="T37" s="2">
        <f>--520.85</f>
        <v>520.85</v>
      </c>
      <c r="U37" s="2"/>
      <c r="V37" s="19"/>
      <c r="W37" s="2"/>
      <c r="X37" s="2">
        <f t="shared" si="2"/>
        <v>39725.19</v>
      </c>
      <c r="Y37" s="2"/>
      <c r="Z37" s="19">
        <f t="shared" si="3"/>
        <v>76.269924162426804</v>
      </c>
    </row>
    <row r="38" spans="1:26" s="24" customFormat="1" hidden="1" outlineLevel="1" x14ac:dyDescent="0.25">
      <c r="A38" s="44"/>
      <c r="B38" s="11" t="str">
        <f>CONCATENATE("          ", "4044", " - ", "TAXABLE SALES-ACCESSORIES")</f>
        <v xml:space="preserve">          4044 - TAXABLE SALES-ACCESSORIES</v>
      </c>
      <c r="C38" s="11"/>
      <c r="D38" s="2">
        <f>--1157.64</f>
        <v>1157.6400000000001</v>
      </c>
      <c r="E38" s="2"/>
      <c r="F38" s="19"/>
      <c r="G38" s="2"/>
      <c r="H38" s="2">
        <f>--4838.74</f>
        <v>4838.74</v>
      </c>
      <c r="I38" s="2"/>
      <c r="J38" s="19"/>
      <c r="K38" s="2"/>
      <c r="L38" s="2">
        <f t="shared" si="0"/>
        <v>-3681.0999999999995</v>
      </c>
      <c r="M38" s="2"/>
      <c r="N38" s="19">
        <f t="shared" si="1"/>
        <v>-0.76075589926303122</v>
      </c>
      <c r="O38" s="11"/>
      <c r="P38" s="2">
        <f>--12489.16</f>
        <v>12489.16</v>
      </c>
      <c r="Q38" s="2"/>
      <c r="R38" s="19"/>
      <c r="S38" s="2"/>
      <c r="T38" s="2">
        <f>--33067.15</f>
        <v>33067.15</v>
      </c>
      <c r="U38" s="2"/>
      <c r="V38" s="19"/>
      <c r="W38" s="2"/>
      <c r="X38" s="2">
        <f t="shared" si="2"/>
        <v>-20577.990000000002</v>
      </c>
      <c r="Y38" s="2"/>
      <c r="Z38" s="19">
        <f t="shared" si="3"/>
        <v>-0.62230914971504958</v>
      </c>
    </row>
    <row r="39" spans="1:26" s="24" customFormat="1" hidden="1" outlineLevel="1" x14ac:dyDescent="0.25">
      <c r="A39" s="44"/>
      <c r="B39" s="11" t="str">
        <f>CONCATENATE("          ", "4045", " - ", "TAXABLE SALES-SPECIAL ORDERS")</f>
        <v xml:space="preserve">          4045 - TAXABLE SALES-SPECIAL ORDERS</v>
      </c>
      <c r="C39" s="11"/>
      <c r="D39" s="2">
        <f>--4950.17</f>
        <v>4950.17</v>
      </c>
      <c r="E39" s="2"/>
      <c r="F39" s="19"/>
      <c r="G39" s="2"/>
      <c r="H39" s="2">
        <f>--4525.99</f>
        <v>4525.99</v>
      </c>
      <c r="I39" s="2"/>
      <c r="J39" s="19"/>
      <c r="K39" s="2"/>
      <c r="L39" s="2">
        <f t="shared" si="0"/>
        <v>424.18000000000029</v>
      </c>
      <c r="M39" s="2"/>
      <c r="N39" s="19">
        <f t="shared" si="1"/>
        <v>9.3720931774042879E-2</v>
      </c>
      <c r="O39" s="11"/>
      <c r="P39" s="2">
        <f>--96956.61</f>
        <v>96956.61</v>
      </c>
      <c r="Q39" s="2"/>
      <c r="R39" s="19"/>
      <c r="S39" s="2"/>
      <c r="T39" s="2">
        <f>--35853.1</f>
        <v>35853.1</v>
      </c>
      <c r="U39" s="2"/>
      <c r="V39" s="19"/>
      <c r="W39" s="2"/>
      <c r="X39" s="2">
        <f t="shared" si="2"/>
        <v>61103.51</v>
      </c>
      <c r="Y39" s="2"/>
      <c r="Z39" s="19">
        <f t="shared" si="3"/>
        <v>1.7042741073993604</v>
      </c>
    </row>
    <row r="40" spans="1:26" s="24" customFormat="1" hidden="1" outlineLevel="1" x14ac:dyDescent="0.25">
      <c r="A40" s="44"/>
      <c r="B40" s="11" t="str">
        <f>CONCATENATE("          ", "4047", " - ", "TAXABLE SALES-MISC")</f>
        <v xml:space="preserve">          4047 - TAXABLE SALES-MISC</v>
      </c>
      <c r="C40" s="11"/>
      <c r="D40" s="2">
        <f>0</f>
        <v>0</v>
      </c>
      <c r="E40" s="2"/>
      <c r="F40" s="19"/>
      <c r="G40" s="2"/>
      <c r="H40" s="2">
        <f>--402.65</f>
        <v>402.65</v>
      </c>
      <c r="I40" s="2"/>
      <c r="J40" s="19"/>
      <c r="K40" s="2"/>
      <c r="L40" s="2">
        <f t="shared" si="0"/>
        <v>-402.65</v>
      </c>
      <c r="M40" s="2"/>
      <c r="N40" s="19">
        <f t="shared" si="1"/>
        <v>-1</v>
      </c>
      <c r="O40" s="11"/>
      <c r="P40" s="2">
        <f>0</f>
        <v>0</v>
      </c>
      <c r="Q40" s="2"/>
      <c r="R40" s="19"/>
      <c r="S40" s="2"/>
      <c r="T40" s="2">
        <f>--1374</f>
        <v>1374</v>
      </c>
      <c r="U40" s="2"/>
      <c r="V40" s="19"/>
      <c r="W40" s="2"/>
      <c r="X40" s="2">
        <f t="shared" si="2"/>
        <v>-1374</v>
      </c>
      <c r="Y40" s="2"/>
      <c r="Z40" s="19">
        <f t="shared" si="3"/>
        <v>-1</v>
      </c>
    </row>
    <row r="41" spans="1:26" s="24" customFormat="1" hidden="1" outlineLevel="1" x14ac:dyDescent="0.25">
      <c r="A41" s="44"/>
      <c r="B41" s="11" t="str">
        <f>CONCATENATE("          ", "4051", " - ", "TAXABLE SALES-FOOD")</f>
        <v xml:space="preserve">          4051 - TAXABLE SALES-FOOD</v>
      </c>
      <c r="C41" s="11"/>
      <c r="D41" s="2">
        <f>--6097.26</f>
        <v>6097.26</v>
      </c>
      <c r="E41" s="2"/>
      <c r="F41" s="19"/>
      <c r="G41" s="2"/>
      <c r="H41" s="2">
        <f>--125346.31</f>
        <v>125346.31</v>
      </c>
      <c r="I41" s="2"/>
      <c r="J41" s="19"/>
      <c r="K41" s="2"/>
      <c r="L41" s="2">
        <f t="shared" si="0"/>
        <v>-119249.05</v>
      </c>
      <c r="M41" s="2"/>
      <c r="N41" s="19">
        <f t="shared" si="1"/>
        <v>-0.95135668533042583</v>
      </c>
      <c r="O41" s="11"/>
      <c r="P41" s="2">
        <f>--12749.94</f>
        <v>12749.94</v>
      </c>
      <c r="Q41" s="2"/>
      <c r="R41" s="19"/>
      <c r="S41" s="2"/>
      <c r="T41" s="2">
        <f>--300035.94</f>
        <v>300035.94</v>
      </c>
      <c r="U41" s="2"/>
      <c r="V41" s="19"/>
      <c r="W41" s="2"/>
      <c r="X41" s="2">
        <f t="shared" si="2"/>
        <v>-287286</v>
      </c>
      <c r="Y41" s="2"/>
      <c r="Z41" s="19">
        <f t="shared" si="3"/>
        <v>-0.95750529086615421</v>
      </c>
    </row>
    <row r="42" spans="1:26" s="24" customFormat="1" hidden="1" outlineLevel="1" x14ac:dyDescent="0.25">
      <c r="A42" s="44"/>
      <c r="B42" s="11" t="str">
        <f>CONCATENATE("          ", "4052", " - ", "TAXABLE SALES-FOOD")</f>
        <v xml:space="preserve">          4052 - TAXABLE SALES-FOOD</v>
      </c>
      <c r="C42" s="11"/>
      <c r="D42" s="2">
        <f>--30231.29</f>
        <v>30231.29</v>
      </c>
      <c r="E42" s="2"/>
      <c r="F42" s="19"/>
      <c r="G42" s="2"/>
      <c r="H42" s="2">
        <f>--115316.39</f>
        <v>115316.39</v>
      </c>
      <c r="I42" s="2"/>
      <c r="J42" s="19"/>
      <c r="K42" s="2"/>
      <c r="L42" s="2">
        <f t="shared" si="0"/>
        <v>-85085.1</v>
      </c>
      <c r="M42" s="2"/>
      <c r="N42" s="19">
        <f t="shared" si="1"/>
        <v>-0.73784047523513363</v>
      </c>
      <c r="O42" s="11"/>
      <c r="P42" s="2">
        <f>--30231.29</f>
        <v>30231.29</v>
      </c>
      <c r="Q42" s="2"/>
      <c r="R42" s="19"/>
      <c r="S42" s="2"/>
      <c r="T42" s="2">
        <f>--368822.4</f>
        <v>368822.4</v>
      </c>
      <c r="U42" s="2"/>
      <c r="V42" s="19"/>
      <c r="W42" s="2"/>
      <c r="X42" s="2">
        <f t="shared" si="2"/>
        <v>-338591.11000000004</v>
      </c>
      <c r="Y42" s="2"/>
      <c r="Z42" s="19">
        <f t="shared" si="3"/>
        <v>-0.91803293400834662</v>
      </c>
    </row>
    <row r="43" spans="1:26" s="24" customFormat="1" hidden="1" outlineLevel="1" x14ac:dyDescent="0.25">
      <c r="A43" s="44"/>
      <c r="B43" s="11" t="str">
        <f>CONCATENATE("          ", "4053", " - ", "TAXABLE SALES-FOOD")</f>
        <v xml:space="preserve">          4053 - TAXABLE SALES-FOOD</v>
      </c>
      <c r="C43" s="11"/>
      <c r="D43" s="2">
        <f t="shared" ref="D43:D45" si="8">0</f>
        <v>0</v>
      </c>
      <c r="E43" s="2"/>
      <c r="F43" s="19"/>
      <c r="G43" s="2"/>
      <c r="H43" s="2">
        <f>--19711.97</f>
        <v>19711.97</v>
      </c>
      <c r="I43" s="2"/>
      <c r="J43" s="19"/>
      <c r="K43" s="2"/>
      <c r="L43" s="2">
        <f t="shared" si="0"/>
        <v>-19711.97</v>
      </c>
      <c r="M43" s="2"/>
      <c r="N43" s="19">
        <f t="shared" si="1"/>
        <v>-1</v>
      </c>
      <c r="O43" s="11"/>
      <c r="P43" s="2">
        <f>--402.44</f>
        <v>402.44</v>
      </c>
      <c r="Q43" s="2"/>
      <c r="R43" s="19"/>
      <c r="S43" s="2"/>
      <c r="T43" s="2">
        <f>--69878.4</f>
        <v>69878.399999999994</v>
      </c>
      <c r="U43" s="2"/>
      <c r="V43" s="19"/>
      <c r="W43" s="2"/>
      <c r="X43" s="2">
        <f t="shared" si="2"/>
        <v>-69475.959999999992</v>
      </c>
      <c r="Y43" s="2"/>
      <c r="Z43" s="19">
        <f t="shared" si="3"/>
        <v>-0.99424085268122908</v>
      </c>
    </row>
    <row r="44" spans="1:26" s="24" customFormat="1" hidden="1" outlineLevel="1" x14ac:dyDescent="0.25">
      <c r="A44" s="44"/>
      <c r="B44" s="11" t="str">
        <f>CONCATENATE("          ", "4055", " - ", "TAXABLE SALES-FOOD")</f>
        <v xml:space="preserve">          4055 - TAXABLE SALES-FOOD</v>
      </c>
      <c r="C44" s="11"/>
      <c r="D44" s="2">
        <f t="shared" si="8"/>
        <v>0</v>
      </c>
      <c r="E44" s="2"/>
      <c r="F44" s="19"/>
      <c r="G44" s="2"/>
      <c r="H44" s="2">
        <f>--75527.74</f>
        <v>75527.740000000005</v>
      </c>
      <c r="I44" s="2"/>
      <c r="J44" s="19"/>
      <c r="K44" s="2"/>
      <c r="L44" s="2">
        <f t="shared" si="0"/>
        <v>-75527.740000000005</v>
      </c>
      <c r="M44" s="2"/>
      <c r="N44" s="19">
        <f t="shared" si="1"/>
        <v>-1</v>
      </c>
      <c r="O44" s="11"/>
      <c r="P44" s="2">
        <f>0</f>
        <v>0</v>
      </c>
      <c r="Q44" s="2"/>
      <c r="R44" s="19"/>
      <c r="S44" s="2"/>
      <c r="T44" s="2">
        <f>--186642.74</f>
        <v>186642.74</v>
      </c>
      <c r="U44" s="2"/>
      <c r="V44" s="19"/>
      <c r="W44" s="2"/>
      <c r="X44" s="2">
        <f t="shared" si="2"/>
        <v>-186642.74</v>
      </c>
      <c r="Y44" s="2"/>
      <c r="Z44" s="19">
        <f t="shared" si="3"/>
        <v>-1</v>
      </c>
    </row>
    <row r="45" spans="1:26" s="24" customFormat="1" hidden="1" outlineLevel="1" x14ac:dyDescent="0.25">
      <c r="A45" s="44"/>
      <c r="B45" s="11" t="str">
        <f>CONCATENATE("          ", "4058", " - ", "TAXABLE SALES-FOOD")</f>
        <v xml:space="preserve">          4058 - TAXABLE SALES-FOOD</v>
      </c>
      <c r="C45" s="11"/>
      <c r="D45" s="2">
        <f t="shared" si="8"/>
        <v>0</v>
      </c>
      <c r="E45" s="2"/>
      <c r="F45" s="19"/>
      <c r="G45" s="2"/>
      <c r="H45" s="2">
        <f>--21855.03</f>
        <v>21855.03</v>
      </c>
      <c r="I45" s="2"/>
      <c r="J45" s="19"/>
      <c r="K45" s="2"/>
      <c r="L45" s="2">
        <f t="shared" si="0"/>
        <v>-21855.03</v>
      </c>
      <c r="M45" s="2"/>
      <c r="N45" s="19">
        <f t="shared" si="1"/>
        <v>-1</v>
      </c>
      <c r="O45" s="11"/>
      <c r="P45" s="2">
        <f>--974.91</f>
        <v>974.91</v>
      </c>
      <c r="Q45" s="2"/>
      <c r="R45" s="19"/>
      <c r="S45" s="2"/>
      <c r="T45" s="2">
        <f>--64145.93</f>
        <v>64145.93</v>
      </c>
      <c r="U45" s="2"/>
      <c r="V45" s="19"/>
      <c r="W45" s="2"/>
      <c r="X45" s="2">
        <f t="shared" si="2"/>
        <v>-63171.02</v>
      </c>
      <c r="Y45" s="2"/>
      <c r="Z45" s="19">
        <f t="shared" si="3"/>
        <v>-0.98480168578115546</v>
      </c>
    </row>
    <row r="46" spans="1:26" s="24" customFormat="1" hidden="1" outlineLevel="1" x14ac:dyDescent="0.25">
      <c r="A46" s="44"/>
      <c r="B46" s="11" t="str">
        <f>CONCATENATE("          ", "4081", " - ", "TAXABLE SALES-ELECTRONICS")</f>
        <v xml:space="preserve">          4081 - TAXABLE SALES-ELECTRONICS</v>
      </c>
      <c r="C46" s="11"/>
      <c r="D46" s="2">
        <f>--5014.67</f>
        <v>5014.67</v>
      </c>
      <c r="E46" s="2"/>
      <c r="F46" s="19"/>
      <c r="G46" s="2"/>
      <c r="H46" s="2">
        <f>--25652.98</f>
        <v>25652.98</v>
      </c>
      <c r="I46" s="2"/>
      <c r="J46" s="19"/>
      <c r="K46" s="2"/>
      <c r="L46" s="2">
        <f t="shared" si="0"/>
        <v>-20638.309999999998</v>
      </c>
      <c r="M46" s="2"/>
      <c r="N46" s="19">
        <f t="shared" si="1"/>
        <v>-0.80451900714848712</v>
      </c>
      <c r="O46" s="11"/>
      <c r="P46" s="2">
        <f>--55117.29</f>
        <v>55117.29</v>
      </c>
      <c r="Q46" s="2"/>
      <c r="R46" s="19"/>
      <c r="S46" s="2"/>
      <c r="T46" s="2">
        <f>--215249.72</f>
        <v>215249.72</v>
      </c>
      <c r="U46" s="2"/>
      <c r="V46" s="19"/>
      <c r="W46" s="2"/>
      <c r="X46" s="2">
        <f t="shared" si="2"/>
        <v>-160132.43</v>
      </c>
      <c r="Y46" s="2"/>
      <c r="Z46" s="19">
        <f t="shared" si="3"/>
        <v>-0.74393792475084286</v>
      </c>
    </row>
    <row r="47" spans="1:26" s="24" customFormat="1" hidden="1" outlineLevel="1" x14ac:dyDescent="0.25">
      <c r="A47" s="44"/>
      <c r="B47" s="11" t="str">
        <f>CONCATENATE("          ", "4082", " - ", "TAXABLE SALES-COMPUTER HARDWAR")</f>
        <v xml:space="preserve">          4082 - TAXABLE SALES-COMPUTER HARDWAR</v>
      </c>
      <c r="C47" s="11"/>
      <c r="D47" s="2">
        <f>--152786.78</f>
        <v>152786.78</v>
      </c>
      <c r="E47" s="2"/>
      <c r="F47" s="19"/>
      <c r="G47" s="2"/>
      <c r="H47" s="2">
        <f>--109645.14</f>
        <v>109645.14</v>
      </c>
      <c r="I47" s="2"/>
      <c r="J47" s="19"/>
      <c r="K47" s="2"/>
      <c r="L47" s="2">
        <f t="shared" si="0"/>
        <v>43141.64</v>
      </c>
      <c r="M47" s="2"/>
      <c r="N47" s="19">
        <f t="shared" si="1"/>
        <v>0.39346604874598179</v>
      </c>
      <c r="O47" s="11"/>
      <c r="P47" s="2">
        <f>--892099.99</f>
        <v>892099.99</v>
      </c>
      <c r="Q47" s="2"/>
      <c r="R47" s="19"/>
      <c r="S47" s="2"/>
      <c r="T47" s="2">
        <f>--1148561.63</f>
        <v>1148561.6299999999</v>
      </c>
      <c r="U47" s="2"/>
      <c r="V47" s="19"/>
      <c r="W47" s="2"/>
      <c r="X47" s="2">
        <f t="shared" si="2"/>
        <v>-256461.6399999999</v>
      </c>
      <c r="Y47" s="2"/>
      <c r="Z47" s="19">
        <f t="shared" si="3"/>
        <v>-0.22328940241543671</v>
      </c>
    </row>
    <row r="48" spans="1:26" s="24" customFormat="1" hidden="1" outlineLevel="1" x14ac:dyDescent="0.25">
      <c r="A48" s="44"/>
      <c r="B48" s="11" t="str">
        <f>CONCATENATE("          ", "4083", " - ", "TAXABLE SALES-COMPUTER EQUIPME")</f>
        <v xml:space="preserve">          4083 - TAXABLE SALES-COMPUTER EQUIPME</v>
      </c>
      <c r="C48" s="11"/>
      <c r="D48" s="2">
        <f>--3392.4</f>
        <v>3392.4</v>
      </c>
      <c r="E48" s="2"/>
      <c r="F48" s="19"/>
      <c r="G48" s="2"/>
      <c r="H48" s="2">
        <f>--12779.9</f>
        <v>12779.9</v>
      </c>
      <c r="I48" s="2"/>
      <c r="J48" s="19"/>
      <c r="K48" s="2"/>
      <c r="L48" s="2">
        <f t="shared" si="0"/>
        <v>-9387.5</v>
      </c>
      <c r="M48" s="2"/>
      <c r="N48" s="19">
        <f t="shared" si="1"/>
        <v>-0.7345519135517492</v>
      </c>
      <c r="O48" s="11"/>
      <c r="P48" s="2">
        <f>--72055.09</f>
        <v>72055.09</v>
      </c>
      <c r="Q48" s="2"/>
      <c r="R48" s="19"/>
      <c r="S48" s="2"/>
      <c r="T48" s="2">
        <f>--54035.91</f>
        <v>54035.91</v>
      </c>
      <c r="U48" s="2"/>
      <c r="V48" s="19"/>
      <c r="W48" s="2"/>
      <c r="X48" s="2">
        <f t="shared" si="2"/>
        <v>18019.179999999993</v>
      </c>
      <c r="Y48" s="2"/>
      <c r="Z48" s="19">
        <f t="shared" si="3"/>
        <v>0.3334667631210429</v>
      </c>
    </row>
    <row r="49" spans="1:26" s="24" customFormat="1" hidden="1" outlineLevel="1" x14ac:dyDescent="0.25">
      <c r="A49" s="44"/>
      <c r="B49" s="11" t="str">
        <f>CONCATENATE("          ", "4084", " - ", "TAXABLE SALES-SOFTWARE LICENSE")</f>
        <v xml:space="preserve">          4084 - TAXABLE SALES-SOFTWARE LICENSE</v>
      </c>
      <c r="C49" s="11"/>
      <c r="D49" s="2">
        <f>0</f>
        <v>0</v>
      </c>
      <c r="E49" s="2"/>
      <c r="F49" s="19"/>
      <c r="G49" s="2"/>
      <c r="H49" s="2">
        <f>0</f>
        <v>0</v>
      </c>
      <c r="I49" s="2"/>
      <c r="J49" s="19"/>
      <c r="K49" s="2"/>
      <c r="L49" s="2">
        <f t="shared" si="0"/>
        <v>0</v>
      </c>
      <c r="M49" s="2"/>
      <c r="N49" s="19">
        <f t="shared" si="1"/>
        <v>0</v>
      </c>
      <c r="O49" s="11"/>
      <c r="P49" s="2">
        <f>0</f>
        <v>0</v>
      </c>
      <c r="Q49" s="2"/>
      <c r="R49" s="19"/>
      <c r="S49" s="2"/>
      <c r="T49" s="2">
        <f>--129</f>
        <v>129</v>
      </c>
      <c r="U49" s="2"/>
      <c r="V49" s="19"/>
      <c r="W49" s="2"/>
      <c r="X49" s="2">
        <f t="shared" si="2"/>
        <v>-129</v>
      </c>
      <c r="Y49" s="2"/>
      <c r="Z49" s="19">
        <f t="shared" si="3"/>
        <v>-1</v>
      </c>
    </row>
    <row r="50" spans="1:26" s="24" customFormat="1" hidden="1" outlineLevel="1" x14ac:dyDescent="0.25">
      <c r="A50" s="44"/>
      <c r="B50" s="11" t="str">
        <f>CONCATENATE("          ", "4085", " - ", "TAXABLE SALES-SOFTWARE")</f>
        <v xml:space="preserve">          4085 - TAXABLE SALES-SOFTWARE</v>
      </c>
      <c r="C50" s="11"/>
      <c r="D50" s="2">
        <f>--139</f>
        <v>139</v>
      </c>
      <c r="E50" s="2"/>
      <c r="F50" s="19"/>
      <c r="G50" s="2"/>
      <c r="H50" s="2">
        <f>--3913.99</f>
        <v>3913.99</v>
      </c>
      <c r="I50" s="2"/>
      <c r="J50" s="19"/>
      <c r="K50" s="2"/>
      <c r="L50" s="2">
        <f t="shared" si="0"/>
        <v>-3774.99</v>
      </c>
      <c r="M50" s="2"/>
      <c r="N50" s="19">
        <f t="shared" si="1"/>
        <v>-0.96448636813073108</v>
      </c>
      <c r="O50" s="11"/>
      <c r="P50" s="2">
        <f>--1120.96</f>
        <v>1120.96</v>
      </c>
      <c r="Q50" s="2"/>
      <c r="R50" s="19"/>
      <c r="S50" s="2"/>
      <c r="T50" s="2">
        <f>--4407.94</f>
        <v>4407.9399999999996</v>
      </c>
      <c r="U50" s="2"/>
      <c r="V50" s="19"/>
      <c r="W50" s="2"/>
      <c r="X50" s="2">
        <f t="shared" si="2"/>
        <v>-3286.9799999999996</v>
      </c>
      <c r="Y50" s="2"/>
      <c r="Z50" s="19">
        <f t="shared" si="3"/>
        <v>-0.74569526808441133</v>
      </c>
    </row>
    <row r="51" spans="1:26" s="24" customFormat="1" hidden="1" outlineLevel="1" x14ac:dyDescent="0.25">
      <c r="A51" s="44"/>
      <c r="B51" s="11" t="str">
        <f>CONCATENATE("          ", "4086", " - ", "TAXABLE SALES-COMPUTER SUPPLIE")</f>
        <v xml:space="preserve">          4086 - TAXABLE SALES-COMPUTER SUPPLIE</v>
      </c>
      <c r="C51" s="11"/>
      <c r="D51" s="2">
        <f>--1385.25</f>
        <v>1385.25</v>
      </c>
      <c r="E51" s="2"/>
      <c r="F51" s="19"/>
      <c r="G51" s="2"/>
      <c r="H51" s="2">
        <f>--6696.06</f>
        <v>6696.06</v>
      </c>
      <c r="I51" s="2"/>
      <c r="J51" s="19"/>
      <c r="K51" s="2"/>
      <c r="L51" s="2">
        <f t="shared" si="0"/>
        <v>-5310.81</v>
      </c>
      <c r="M51" s="2"/>
      <c r="N51" s="19">
        <f t="shared" si="1"/>
        <v>-0.79312461357873143</v>
      </c>
      <c r="O51" s="11"/>
      <c r="P51" s="2">
        <f>--29366.66</f>
        <v>29366.66</v>
      </c>
      <c r="Q51" s="2"/>
      <c r="R51" s="19"/>
      <c r="S51" s="2"/>
      <c r="T51" s="2">
        <f>--27133.09</f>
        <v>27133.09</v>
      </c>
      <c r="U51" s="2"/>
      <c r="V51" s="19"/>
      <c r="W51" s="2"/>
      <c r="X51" s="2">
        <f t="shared" si="2"/>
        <v>2233.5699999999997</v>
      </c>
      <c r="Y51" s="2"/>
      <c r="Z51" s="19">
        <f t="shared" si="3"/>
        <v>8.2319042910335677E-2</v>
      </c>
    </row>
    <row r="52" spans="1:26" s="24" customFormat="1" hidden="1" outlineLevel="1" x14ac:dyDescent="0.25">
      <c r="A52" s="44"/>
      <c r="B52" s="11" t="str">
        <f>CONCATENATE("          ", "4088", " - ", "TAXABLE SALES-MUSIC")</f>
        <v xml:space="preserve">          4088 - TAXABLE SALES-MUSIC</v>
      </c>
      <c r="C52" s="11"/>
      <c r="D52" s="2">
        <f t="shared" ref="D52:D54" si="9">0</f>
        <v>0</v>
      </c>
      <c r="E52" s="2"/>
      <c r="F52" s="19"/>
      <c r="G52" s="2"/>
      <c r="H52" s="2">
        <f>--281.98</f>
        <v>281.98</v>
      </c>
      <c r="I52" s="2"/>
      <c r="J52" s="19"/>
      <c r="K52" s="2"/>
      <c r="L52" s="2">
        <f t="shared" si="0"/>
        <v>-281.98</v>
      </c>
      <c r="M52" s="2"/>
      <c r="N52" s="19">
        <f t="shared" si="1"/>
        <v>-1</v>
      </c>
      <c r="O52" s="11"/>
      <c r="P52" s="2">
        <f t="shared" ref="P52:P54" si="10">0</f>
        <v>0</v>
      </c>
      <c r="Q52" s="2"/>
      <c r="R52" s="19"/>
      <c r="S52" s="2"/>
      <c r="T52" s="2">
        <f>--817.94</f>
        <v>817.94</v>
      </c>
      <c r="U52" s="2"/>
      <c r="V52" s="19"/>
      <c r="W52" s="2"/>
      <c r="X52" s="2">
        <f t="shared" si="2"/>
        <v>-817.94</v>
      </c>
      <c r="Y52" s="2"/>
      <c r="Z52" s="19">
        <f t="shared" si="3"/>
        <v>-1</v>
      </c>
    </row>
    <row r="53" spans="1:26" s="24" customFormat="1" hidden="1" outlineLevel="1" x14ac:dyDescent="0.25">
      <c r="A53" s="44"/>
      <c r="B53" s="11" t="str">
        <f>CONCATENATE("          ", "4092", " - ", "TAXABLE SALES-GRAD MERCH")</f>
        <v xml:space="preserve">          4092 - TAXABLE SALES-GRAD MERCH</v>
      </c>
      <c r="C53" s="11"/>
      <c r="D53" s="2">
        <f t="shared" si="9"/>
        <v>0</v>
      </c>
      <c r="E53" s="2"/>
      <c r="F53" s="19"/>
      <c r="G53" s="2"/>
      <c r="H53" s="2">
        <f>--1178.45</f>
        <v>1178.45</v>
      </c>
      <c r="I53" s="2"/>
      <c r="J53" s="19"/>
      <c r="K53" s="2"/>
      <c r="L53" s="2">
        <f t="shared" si="0"/>
        <v>-1178.45</v>
      </c>
      <c r="M53" s="2"/>
      <c r="N53" s="19">
        <f t="shared" si="1"/>
        <v>-1</v>
      </c>
      <c r="O53" s="11"/>
      <c r="P53" s="2">
        <f t="shared" si="10"/>
        <v>0</v>
      </c>
      <c r="Q53" s="2"/>
      <c r="R53" s="19"/>
      <c r="S53" s="2"/>
      <c r="T53" s="2">
        <f>--5051.08</f>
        <v>5051.08</v>
      </c>
      <c r="U53" s="2"/>
      <c r="V53" s="19"/>
      <c r="W53" s="2"/>
      <c r="X53" s="2">
        <f t="shared" si="2"/>
        <v>-5051.08</v>
      </c>
      <c r="Y53" s="2"/>
      <c r="Z53" s="19">
        <f t="shared" si="3"/>
        <v>-1</v>
      </c>
    </row>
    <row r="54" spans="1:26" s="24" customFormat="1" hidden="1" outlineLevel="1" x14ac:dyDescent="0.25">
      <c r="A54" s="44"/>
      <c r="B54" s="11" t="str">
        <f>CONCATENATE("          ", "4095", " - ", "TAXABLE SALES-CUSTOMER SERVICE")</f>
        <v xml:space="preserve">          4095 - TAXABLE SALES-CUSTOMER SERVICE</v>
      </c>
      <c r="C54" s="11"/>
      <c r="D54" s="2">
        <f t="shared" si="9"/>
        <v>0</v>
      </c>
      <c r="E54" s="2"/>
      <c r="F54" s="19"/>
      <c r="G54" s="2"/>
      <c r="H54" s="2">
        <f>--43.76</f>
        <v>43.76</v>
      </c>
      <c r="I54" s="2"/>
      <c r="J54" s="19"/>
      <c r="K54" s="2"/>
      <c r="L54" s="2">
        <f t="shared" si="0"/>
        <v>-43.76</v>
      </c>
      <c r="M54" s="2"/>
      <c r="N54" s="19">
        <f t="shared" si="1"/>
        <v>-1</v>
      </c>
      <c r="O54" s="11"/>
      <c r="P54" s="2">
        <f t="shared" si="10"/>
        <v>0</v>
      </c>
      <c r="Q54" s="2"/>
      <c r="R54" s="19"/>
      <c r="S54" s="2"/>
      <c r="T54" s="2">
        <f>--244.61</f>
        <v>244.61</v>
      </c>
      <c r="U54" s="2"/>
      <c r="V54" s="19"/>
      <c r="W54" s="2"/>
      <c r="X54" s="2">
        <f t="shared" si="2"/>
        <v>-244.61</v>
      </c>
      <c r="Y54" s="2"/>
      <c r="Z54" s="19">
        <f t="shared" si="3"/>
        <v>-1</v>
      </c>
    </row>
    <row r="55" spans="1:26" s="24" customFormat="1" hidden="1" outlineLevel="1" x14ac:dyDescent="0.25">
      <c r="A55" s="44"/>
      <c r="B55" s="11" t="str">
        <f>CONCATENATE("          ", "4100", " - ", "NON-TAXABLE SALES")</f>
        <v xml:space="preserve">          4100 - NON-TAXABLE SALES</v>
      </c>
      <c r="C55" s="11"/>
      <c r="D55" s="2">
        <f>--151698.79</f>
        <v>151698.79</v>
      </c>
      <c r="E55" s="2"/>
      <c r="F55" s="19"/>
      <c r="G55" s="2"/>
      <c r="H55" s="2">
        <f>--30737.9</f>
        <v>30737.9</v>
      </c>
      <c r="I55" s="2"/>
      <c r="J55" s="19"/>
      <c r="K55" s="2"/>
      <c r="L55" s="2">
        <f t="shared" si="0"/>
        <v>120960.89000000001</v>
      </c>
      <c r="M55" s="2"/>
      <c r="N55" s="19">
        <f t="shared" si="1"/>
        <v>3.9352359790356535</v>
      </c>
      <c r="O55" s="11"/>
      <c r="P55" s="2">
        <f>--434084.81</f>
        <v>434084.81</v>
      </c>
      <c r="Q55" s="2"/>
      <c r="R55" s="19"/>
      <c r="S55" s="2"/>
      <c r="T55" s="2">
        <f>--458517.67</f>
        <v>458517.67</v>
      </c>
      <c r="U55" s="2"/>
      <c r="V55" s="19"/>
      <c r="W55" s="2"/>
      <c r="X55" s="2">
        <f t="shared" si="2"/>
        <v>-24432.859999999986</v>
      </c>
      <c r="Y55" s="2"/>
      <c r="Z55" s="19">
        <f t="shared" si="3"/>
        <v>-5.3286626881794953E-2</v>
      </c>
    </row>
    <row r="56" spans="1:26" s="24" customFormat="1" hidden="1" outlineLevel="1" x14ac:dyDescent="0.25">
      <c r="A56" s="44"/>
      <c r="B56" s="11" t="str">
        <f>CONCATENATE("          ", "4101", " - ", "NON-TAXABLE SALES-NEW TEXT")</f>
        <v xml:space="preserve">          4101 - NON-TAXABLE SALES-NEW TEXT</v>
      </c>
      <c r="C56" s="11"/>
      <c r="D56" s="2">
        <f>--7260.05</f>
        <v>7260.05</v>
      </c>
      <c r="E56" s="2"/>
      <c r="F56" s="19"/>
      <c r="G56" s="2"/>
      <c r="H56" s="2">
        <f>--8438.54</f>
        <v>8438.5400000000009</v>
      </c>
      <c r="I56" s="2"/>
      <c r="J56" s="19"/>
      <c r="K56" s="2"/>
      <c r="L56" s="2">
        <f t="shared" si="0"/>
        <v>-1178.4900000000007</v>
      </c>
      <c r="M56" s="2"/>
      <c r="N56" s="19">
        <f t="shared" si="1"/>
        <v>-0.13965567503383294</v>
      </c>
      <c r="O56" s="11"/>
      <c r="P56" s="2">
        <f>--77664.89</f>
        <v>77664.89</v>
      </c>
      <c r="Q56" s="2"/>
      <c r="R56" s="19"/>
      <c r="S56" s="2"/>
      <c r="T56" s="2">
        <f>--92331.09</f>
        <v>92331.09</v>
      </c>
      <c r="U56" s="2"/>
      <c r="V56" s="19"/>
      <c r="W56" s="2"/>
      <c r="X56" s="2">
        <f t="shared" si="2"/>
        <v>-14666.199999999997</v>
      </c>
      <c r="Y56" s="2"/>
      <c r="Z56" s="19">
        <f t="shared" si="3"/>
        <v>-0.15884357045931113</v>
      </c>
    </row>
    <row r="57" spans="1:26" s="24" customFormat="1" hidden="1" outlineLevel="1" x14ac:dyDescent="0.25">
      <c r="A57" s="44"/>
      <c r="B57" s="11" t="str">
        <f>CONCATENATE("          ", "4102", " - ", "NON-TAXABLE SALES-USED TEXT")</f>
        <v xml:space="preserve">          4102 - NON-TAXABLE SALES-USED TEXT</v>
      </c>
      <c r="C57" s="11"/>
      <c r="D57" s="2">
        <f>--2341.65</f>
        <v>2341.65</v>
      </c>
      <c r="E57" s="2"/>
      <c r="F57" s="19"/>
      <c r="G57" s="2"/>
      <c r="H57" s="2">
        <f>--578.81</f>
        <v>578.80999999999995</v>
      </c>
      <c r="I57" s="2"/>
      <c r="J57" s="19"/>
      <c r="K57" s="2"/>
      <c r="L57" s="2">
        <f t="shared" si="0"/>
        <v>1762.8400000000001</v>
      </c>
      <c r="M57" s="2"/>
      <c r="N57" s="19">
        <f t="shared" si="1"/>
        <v>3.0456280990307705</v>
      </c>
      <c r="O57" s="11"/>
      <c r="P57" s="2">
        <f>--32712.47</f>
        <v>32712.47</v>
      </c>
      <c r="Q57" s="2"/>
      <c r="R57" s="19"/>
      <c r="S57" s="2"/>
      <c r="T57" s="2">
        <f>--37022.32</f>
        <v>37022.32</v>
      </c>
      <c r="U57" s="2"/>
      <c r="V57" s="19"/>
      <c r="W57" s="2"/>
      <c r="X57" s="2">
        <f t="shared" si="2"/>
        <v>-4309.8499999999985</v>
      </c>
      <c r="Y57" s="2"/>
      <c r="Z57" s="19">
        <f t="shared" si="3"/>
        <v>-0.11641220755479394</v>
      </c>
    </row>
    <row r="58" spans="1:26" s="24" customFormat="1" hidden="1" outlineLevel="1" x14ac:dyDescent="0.25">
      <c r="A58" s="44"/>
      <c r="B58" s="11" t="str">
        <f>CONCATENATE("          ", "4103", " - ", "NON-TAXABLE SALES-RENTAL TEXT")</f>
        <v xml:space="preserve">          4103 - NON-TAXABLE SALES-RENTAL TEXT</v>
      </c>
      <c r="C58" s="11"/>
      <c r="D58" s="2">
        <f>0</f>
        <v>0</v>
      </c>
      <c r="E58" s="2"/>
      <c r="F58" s="19"/>
      <c r="G58" s="2"/>
      <c r="H58" s="2">
        <f>0</f>
        <v>0</v>
      </c>
      <c r="I58" s="2"/>
      <c r="J58" s="19"/>
      <c r="K58" s="2"/>
      <c r="L58" s="2">
        <f t="shared" si="0"/>
        <v>0</v>
      </c>
      <c r="M58" s="2"/>
      <c r="N58" s="19">
        <f t="shared" si="1"/>
        <v>0</v>
      </c>
      <c r="O58" s="11"/>
      <c r="P58" s="2">
        <f>--284.97</f>
        <v>284.97000000000003</v>
      </c>
      <c r="Q58" s="2"/>
      <c r="R58" s="19"/>
      <c r="S58" s="2"/>
      <c r="T58" s="2">
        <f>--329.98</f>
        <v>329.98</v>
      </c>
      <c r="U58" s="2"/>
      <c r="V58" s="19"/>
      <c r="W58" s="2"/>
      <c r="X58" s="2">
        <f t="shared" si="2"/>
        <v>-45.009999999999991</v>
      </c>
      <c r="Y58" s="2"/>
      <c r="Z58" s="19">
        <f t="shared" si="3"/>
        <v>-0.13640220619431478</v>
      </c>
    </row>
    <row r="59" spans="1:26" s="24" customFormat="1" hidden="1" outlineLevel="1" x14ac:dyDescent="0.25">
      <c r="A59" s="44"/>
      <c r="B59" s="11" t="str">
        <f>CONCATENATE("          ", "4104", " - ", "NON-TAXABLE SALES-DIGITAL TEXT")</f>
        <v xml:space="preserve">          4104 - NON-TAXABLE SALES-DIGITAL TEXT</v>
      </c>
      <c r="C59" s="11"/>
      <c r="D59" s="2">
        <f>--6767.67</f>
        <v>6767.67</v>
      </c>
      <c r="E59" s="2"/>
      <c r="F59" s="19"/>
      <c r="G59" s="2"/>
      <c r="H59" s="2">
        <f>--1559.03</f>
        <v>1559.03</v>
      </c>
      <c r="I59" s="2"/>
      <c r="J59" s="19"/>
      <c r="K59" s="2"/>
      <c r="L59" s="2">
        <f t="shared" si="0"/>
        <v>5208.6400000000003</v>
      </c>
      <c r="M59" s="2"/>
      <c r="N59" s="19">
        <f t="shared" si="1"/>
        <v>3.3409491799388085</v>
      </c>
      <c r="O59" s="11"/>
      <c r="P59" s="2">
        <f>--293475.52</f>
        <v>293475.52</v>
      </c>
      <c r="Q59" s="2"/>
      <c r="R59" s="19"/>
      <c r="S59" s="2"/>
      <c r="T59" s="2">
        <f>--320492.85</f>
        <v>320492.84999999998</v>
      </c>
      <c r="U59" s="2"/>
      <c r="V59" s="19"/>
      <c r="W59" s="2"/>
      <c r="X59" s="2">
        <f t="shared" si="2"/>
        <v>-27017.329999999958</v>
      </c>
      <c r="Y59" s="2"/>
      <c r="Z59" s="19">
        <f t="shared" si="3"/>
        <v>-8.4299322122162665E-2</v>
      </c>
    </row>
    <row r="60" spans="1:26" s="24" customFormat="1" hidden="1" outlineLevel="1" x14ac:dyDescent="0.25">
      <c r="A60" s="44"/>
      <c r="B60" s="11" t="str">
        <f>CONCATENATE("          ", "4111", " - ", "NON-TAXABLE SALES-NO VALUE TEX")</f>
        <v xml:space="preserve">          4111 - NON-TAXABLE SALES-NO VALUE TEX</v>
      </c>
      <c r="C60" s="11"/>
      <c r="D60" s="2">
        <f>0</f>
        <v>0</v>
      </c>
      <c r="E60" s="2"/>
      <c r="F60" s="19"/>
      <c r="G60" s="2"/>
      <c r="H60" s="2">
        <f>--757.3</f>
        <v>757.3</v>
      </c>
      <c r="I60" s="2"/>
      <c r="J60" s="19"/>
      <c r="K60" s="2"/>
      <c r="L60" s="2">
        <f t="shared" si="0"/>
        <v>-757.3</v>
      </c>
      <c r="M60" s="2"/>
      <c r="N60" s="19">
        <f t="shared" si="1"/>
        <v>-1</v>
      </c>
      <c r="O60" s="11"/>
      <c r="P60" s="2">
        <f>0</f>
        <v>0</v>
      </c>
      <c r="Q60" s="2"/>
      <c r="R60" s="19"/>
      <c r="S60" s="2"/>
      <c r="T60" s="2">
        <f>--7099.47</f>
        <v>7099.47</v>
      </c>
      <c r="U60" s="2"/>
      <c r="V60" s="19"/>
      <c r="W60" s="2"/>
      <c r="X60" s="2">
        <f t="shared" si="2"/>
        <v>-7099.47</v>
      </c>
      <c r="Y60" s="2"/>
      <c r="Z60" s="19">
        <f t="shared" si="3"/>
        <v>-1</v>
      </c>
    </row>
    <row r="61" spans="1:26" s="24" customFormat="1" hidden="1" outlineLevel="1" x14ac:dyDescent="0.25">
      <c r="A61" s="44"/>
      <c r="B61" s="11" t="str">
        <f>CONCATENATE("          ", "4113", " - ", "NON-TAXABLE SALES-TRADE BOOKS")</f>
        <v xml:space="preserve">          4113 - NON-TAXABLE SALES-TRADE BOOKS</v>
      </c>
      <c r="C61" s="11"/>
      <c r="D61" s="2">
        <f>--1655.95</f>
        <v>1655.95</v>
      </c>
      <c r="E61" s="2"/>
      <c r="F61" s="19"/>
      <c r="G61" s="2"/>
      <c r="H61" s="2">
        <f t="shared" ref="H61:H63" si="11">0</f>
        <v>0</v>
      </c>
      <c r="I61" s="2"/>
      <c r="J61" s="19"/>
      <c r="K61" s="2"/>
      <c r="L61" s="2">
        <f t="shared" si="0"/>
        <v>1655.95</v>
      </c>
      <c r="M61" s="2"/>
      <c r="N61" s="19">
        <f t="shared" si="1"/>
        <v>0</v>
      </c>
      <c r="O61" s="11"/>
      <c r="P61" s="2">
        <f>--1655.95</f>
        <v>1655.95</v>
      </c>
      <c r="Q61" s="2"/>
      <c r="R61" s="19"/>
      <c r="S61" s="2"/>
      <c r="T61" s="2">
        <f>--1146.72</f>
        <v>1146.72</v>
      </c>
      <c r="U61" s="2"/>
      <c r="V61" s="19"/>
      <c r="W61" s="2"/>
      <c r="X61" s="2">
        <f t="shared" si="2"/>
        <v>509.23</v>
      </c>
      <c r="Y61" s="2"/>
      <c r="Z61" s="19">
        <f t="shared" si="3"/>
        <v>0.44407527556857823</v>
      </c>
    </row>
    <row r="62" spans="1:26" s="24" customFormat="1" hidden="1" outlineLevel="1" x14ac:dyDescent="0.25">
      <c r="A62" s="44"/>
      <c r="B62" s="11" t="str">
        <f>CONCATENATE("          ", "4118", " - ", "NON-TAXABLE SALES-STUDY GUIDES")</f>
        <v xml:space="preserve">          4118 - NON-TAXABLE SALES-STUDY GUIDES</v>
      </c>
      <c r="C62" s="11"/>
      <c r="D62" s="2">
        <f>--97.3</f>
        <v>97.3</v>
      </c>
      <c r="E62" s="2"/>
      <c r="F62" s="19"/>
      <c r="G62" s="2"/>
      <c r="H62" s="2">
        <f t="shared" si="11"/>
        <v>0</v>
      </c>
      <c r="I62" s="2"/>
      <c r="J62" s="19"/>
      <c r="K62" s="2"/>
      <c r="L62" s="2">
        <f t="shared" si="0"/>
        <v>97.3</v>
      </c>
      <c r="M62" s="2"/>
      <c r="N62" s="19">
        <f t="shared" si="1"/>
        <v>0</v>
      </c>
      <c r="O62" s="11"/>
      <c r="P62" s="2">
        <f>--205.63</f>
        <v>205.63</v>
      </c>
      <c r="Q62" s="2"/>
      <c r="R62" s="19"/>
      <c r="S62" s="2"/>
      <c r="T62" s="2">
        <f>--20.92</f>
        <v>20.92</v>
      </c>
      <c r="U62" s="2"/>
      <c r="V62" s="19"/>
      <c r="W62" s="2"/>
      <c r="X62" s="2">
        <f t="shared" si="2"/>
        <v>184.70999999999998</v>
      </c>
      <c r="Y62" s="2"/>
      <c r="Z62" s="19">
        <f t="shared" si="3"/>
        <v>8.829349904397704</v>
      </c>
    </row>
    <row r="63" spans="1:26" s="24" customFormat="1" hidden="1" outlineLevel="1" x14ac:dyDescent="0.25">
      <c r="A63" s="44"/>
      <c r="B63" s="11" t="str">
        <f>CONCATENATE("          ", "4125", " - ", "NON-TAXABLE SALES-TEST FORMS")</f>
        <v xml:space="preserve">          4125 - NON-TAXABLE SALES-TEST FORMS</v>
      </c>
      <c r="C63" s="11"/>
      <c r="D63" s="2">
        <f t="shared" ref="D63:D64" si="12">0</f>
        <v>0</v>
      </c>
      <c r="E63" s="2"/>
      <c r="F63" s="19"/>
      <c r="G63" s="2"/>
      <c r="H63" s="2">
        <f t="shared" si="11"/>
        <v>0</v>
      </c>
      <c r="I63" s="2"/>
      <c r="J63" s="19"/>
      <c r="K63" s="2"/>
      <c r="L63" s="2">
        <f t="shared" si="0"/>
        <v>0</v>
      </c>
      <c r="M63" s="2"/>
      <c r="N63" s="19">
        <f t="shared" si="1"/>
        <v>0</v>
      </c>
      <c r="O63" s="11"/>
      <c r="P63" s="2">
        <f>0</f>
        <v>0</v>
      </c>
      <c r="Q63" s="2"/>
      <c r="R63" s="19"/>
      <c r="S63" s="2"/>
      <c r="T63" s="2">
        <f>--124.18</f>
        <v>124.18</v>
      </c>
      <c r="U63" s="2"/>
      <c r="V63" s="19"/>
      <c r="W63" s="2"/>
      <c r="X63" s="2">
        <f t="shared" si="2"/>
        <v>-124.18</v>
      </c>
      <c r="Y63" s="2"/>
      <c r="Z63" s="19">
        <f t="shared" si="3"/>
        <v>-1</v>
      </c>
    </row>
    <row r="64" spans="1:26" s="24" customFormat="1" hidden="1" outlineLevel="1" x14ac:dyDescent="0.25">
      <c r="A64" s="44"/>
      <c r="B64" s="11" t="str">
        <f>CONCATENATE("          ", "4126", " - ", "NON-TAXABLE SALES-WRITING INST")</f>
        <v xml:space="preserve">          4126 - NON-TAXABLE SALES-WRITING INST</v>
      </c>
      <c r="C64" s="11"/>
      <c r="D64" s="2">
        <f t="shared" si="12"/>
        <v>0</v>
      </c>
      <c r="E64" s="2"/>
      <c r="F64" s="19"/>
      <c r="G64" s="2"/>
      <c r="H64" s="2">
        <f>--115.27</f>
        <v>115.27</v>
      </c>
      <c r="I64" s="2"/>
      <c r="J64" s="19"/>
      <c r="K64" s="2"/>
      <c r="L64" s="2">
        <f t="shared" si="0"/>
        <v>-115.27</v>
      </c>
      <c r="M64" s="2"/>
      <c r="N64" s="19">
        <f t="shared" si="1"/>
        <v>-1</v>
      </c>
      <c r="O64" s="11"/>
      <c r="P64" s="2">
        <f>--52.68</f>
        <v>52.68</v>
      </c>
      <c r="Q64" s="2"/>
      <c r="R64" s="19"/>
      <c r="S64" s="2"/>
      <c r="T64" s="2">
        <f>--1458.53</f>
        <v>1458.53</v>
      </c>
      <c r="U64" s="2"/>
      <c r="V64" s="19"/>
      <c r="W64" s="2"/>
      <c r="X64" s="2">
        <f t="shared" si="2"/>
        <v>-1405.85</v>
      </c>
      <c r="Y64" s="2"/>
      <c r="Z64" s="19">
        <f t="shared" si="3"/>
        <v>-0.96388144227407047</v>
      </c>
    </row>
    <row r="65" spans="1:26" s="24" customFormat="1" hidden="1" outlineLevel="1" x14ac:dyDescent="0.25">
      <c r="A65" s="44"/>
      <c r="B65" s="11" t="str">
        <f>CONCATENATE("          ", "4127", " - ", "NON-TAXABLE SALES-SCHOOL SUPPL")</f>
        <v xml:space="preserve">          4127 - NON-TAXABLE SALES-SCHOOL SUPPL</v>
      </c>
      <c r="C65" s="11"/>
      <c r="D65" s="2">
        <f>--160.95</f>
        <v>160.94999999999999</v>
      </c>
      <c r="E65" s="2"/>
      <c r="F65" s="19"/>
      <c r="G65" s="2"/>
      <c r="H65" s="2">
        <f>--179.63</f>
        <v>179.63</v>
      </c>
      <c r="I65" s="2"/>
      <c r="J65" s="19"/>
      <c r="K65" s="2"/>
      <c r="L65" s="2">
        <f t="shared" si="0"/>
        <v>-18.680000000000007</v>
      </c>
      <c r="M65" s="2"/>
      <c r="N65" s="19">
        <f t="shared" si="1"/>
        <v>-0.10399153816177703</v>
      </c>
      <c r="O65" s="11"/>
      <c r="P65" s="2">
        <f>--2831.69</f>
        <v>2831.69</v>
      </c>
      <c r="Q65" s="2"/>
      <c r="R65" s="19"/>
      <c r="S65" s="2"/>
      <c r="T65" s="2">
        <f>--2597.12</f>
        <v>2597.12</v>
      </c>
      <c r="U65" s="2"/>
      <c r="V65" s="19"/>
      <c r="W65" s="2"/>
      <c r="X65" s="2">
        <f t="shared" si="2"/>
        <v>234.57000000000016</v>
      </c>
      <c r="Y65" s="2"/>
      <c r="Z65" s="19">
        <f t="shared" si="3"/>
        <v>9.0319276737309093E-2</v>
      </c>
    </row>
    <row r="66" spans="1:26" s="24" customFormat="1" hidden="1" outlineLevel="1" x14ac:dyDescent="0.25">
      <c r="A66" s="44"/>
      <c r="B66" s="11" t="str">
        <f>CONCATENATE("          ", "4128", " - ", "NON-TAXABLE SALES-ART/TECH")</f>
        <v xml:space="preserve">          4128 - NON-TAXABLE SALES-ART/TECH</v>
      </c>
      <c r="C66" s="11"/>
      <c r="D66" s="2">
        <f>0</f>
        <v>0</v>
      </c>
      <c r="E66" s="2"/>
      <c r="F66" s="19"/>
      <c r="G66" s="2"/>
      <c r="H66" s="2">
        <f>--85.82</f>
        <v>85.82</v>
      </c>
      <c r="I66" s="2"/>
      <c r="J66" s="19"/>
      <c r="K66" s="2"/>
      <c r="L66" s="2">
        <f t="shared" si="0"/>
        <v>-85.82</v>
      </c>
      <c r="M66" s="2"/>
      <c r="N66" s="19">
        <f t="shared" si="1"/>
        <v>-1</v>
      </c>
      <c r="O66" s="11"/>
      <c r="P66" s="2">
        <f>0</f>
        <v>0</v>
      </c>
      <c r="Q66" s="2"/>
      <c r="R66" s="19"/>
      <c r="S66" s="2"/>
      <c r="T66" s="2">
        <f>--348.72</f>
        <v>348.72</v>
      </c>
      <c r="U66" s="2"/>
      <c r="V66" s="19"/>
      <c r="W66" s="2"/>
      <c r="X66" s="2">
        <f t="shared" si="2"/>
        <v>-348.72</v>
      </c>
      <c r="Y66" s="2"/>
      <c r="Z66" s="19">
        <f t="shared" si="3"/>
        <v>-1</v>
      </c>
    </row>
    <row r="67" spans="1:26" s="24" customFormat="1" hidden="1" outlineLevel="1" x14ac:dyDescent="0.25">
      <c r="A67" s="44"/>
      <c r="B67" s="11" t="str">
        <f>CONCATENATE("          ", "4131", " - ", "NON-TAXABLE SALES-FOOD")</f>
        <v xml:space="preserve">          4131 - NON-TAXABLE SALES-FOOD</v>
      </c>
      <c r="C67" s="11"/>
      <c r="D67" s="2">
        <f>--1521.48</f>
        <v>1521.48</v>
      </c>
      <c r="E67" s="2"/>
      <c r="F67" s="19"/>
      <c r="G67" s="2"/>
      <c r="H67" s="2">
        <f>--13457.13</f>
        <v>13457.13</v>
      </c>
      <c r="I67" s="2"/>
      <c r="J67" s="19"/>
      <c r="K67" s="2"/>
      <c r="L67" s="2">
        <f t="shared" si="0"/>
        <v>-11935.65</v>
      </c>
      <c r="M67" s="2"/>
      <c r="N67" s="19">
        <f t="shared" si="1"/>
        <v>-0.88693874548287788</v>
      </c>
      <c r="O67" s="11"/>
      <c r="P67" s="2">
        <f>--5525.44</f>
        <v>5525.44</v>
      </c>
      <c r="Q67" s="2"/>
      <c r="R67" s="19"/>
      <c r="S67" s="2"/>
      <c r="T67" s="2">
        <f>--26722.42</f>
        <v>26722.42</v>
      </c>
      <c r="U67" s="2"/>
      <c r="V67" s="19"/>
      <c r="W67" s="2"/>
      <c r="X67" s="2">
        <f t="shared" si="2"/>
        <v>-21196.98</v>
      </c>
      <c r="Y67" s="2"/>
      <c r="Z67" s="19">
        <f t="shared" si="3"/>
        <v>-0.79322830791522625</v>
      </c>
    </row>
    <row r="68" spans="1:26" s="24" customFormat="1" hidden="1" outlineLevel="1" x14ac:dyDescent="0.25">
      <c r="A68" s="44"/>
      <c r="B68" s="11" t="str">
        <f>CONCATENATE("          ", "4132", " - ", "NON-TAXABLE SALES-JUICE")</f>
        <v xml:space="preserve">          4132 - NON-TAXABLE SALES-JUICE</v>
      </c>
      <c r="C68" s="11"/>
      <c r="D68" s="2">
        <f t="shared" ref="D68:D72" si="13">0</f>
        <v>0</v>
      </c>
      <c r="E68" s="2"/>
      <c r="F68" s="19"/>
      <c r="G68" s="2"/>
      <c r="H68" s="2">
        <f>--243120.09</f>
        <v>243120.09</v>
      </c>
      <c r="I68" s="2"/>
      <c r="J68" s="19"/>
      <c r="K68" s="2"/>
      <c r="L68" s="2">
        <f t="shared" si="0"/>
        <v>-243120.09</v>
      </c>
      <c r="M68" s="2"/>
      <c r="N68" s="19">
        <f t="shared" si="1"/>
        <v>-1</v>
      </c>
      <c r="O68" s="11"/>
      <c r="P68" s="2">
        <f>--2054.37</f>
        <v>2054.37</v>
      </c>
      <c r="Q68" s="2"/>
      <c r="R68" s="19"/>
      <c r="S68" s="2"/>
      <c r="T68" s="2">
        <f>--522872.45</f>
        <v>522872.45</v>
      </c>
      <c r="U68" s="2"/>
      <c r="V68" s="19"/>
      <c r="W68" s="2"/>
      <c r="X68" s="2">
        <f t="shared" si="2"/>
        <v>-520818.08</v>
      </c>
      <c r="Y68" s="2"/>
      <c r="Z68" s="19">
        <f t="shared" si="3"/>
        <v>-0.99607099207464456</v>
      </c>
    </row>
    <row r="69" spans="1:26" s="24" customFormat="1" hidden="1" outlineLevel="1" x14ac:dyDescent="0.25">
      <c r="A69" s="44"/>
      <c r="B69" s="11" t="str">
        <f>CONCATENATE("          ", "4133", " - ", "NON-TAXABLE SALES-CANDY")</f>
        <v xml:space="preserve">          4133 - NON-TAXABLE SALES-CANDY</v>
      </c>
      <c r="C69" s="11"/>
      <c r="D69" s="2">
        <f t="shared" si="13"/>
        <v>0</v>
      </c>
      <c r="E69" s="2"/>
      <c r="F69" s="19"/>
      <c r="G69" s="2"/>
      <c r="H69" s="2">
        <f>--3801.88</f>
        <v>3801.88</v>
      </c>
      <c r="I69" s="2"/>
      <c r="J69" s="19"/>
      <c r="K69" s="2"/>
      <c r="L69" s="2">
        <f t="shared" si="0"/>
        <v>-3801.88</v>
      </c>
      <c r="M69" s="2"/>
      <c r="N69" s="19">
        <f t="shared" si="1"/>
        <v>-1</v>
      </c>
      <c r="O69" s="11"/>
      <c r="P69" s="2">
        <f>--80.71</f>
        <v>80.709999999999994</v>
      </c>
      <c r="Q69" s="2"/>
      <c r="R69" s="19"/>
      <c r="S69" s="2"/>
      <c r="T69" s="2">
        <f>--8466.86</f>
        <v>8466.86</v>
      </c>
      <c r="U69" s="2"/>
      <c r="V69" s="19"/>
      <c r="W69" s="2"/>
      <c r="X69" s="2">
        <f t="shared" si="2"/>
        <v>-8386.1500000000015</v>
      </c>
      <c r="Y69" s="2"/>
      <c r="Z69" s="19">
        <f t="shared" si="3"/>
        <v>-0.99046754050498065</v>
      </c>
    </row>
    <row r="70" spans="1:26" s="24" customFormat="1" hidden="1" outlineLevel="1" x14ac:dyDescent="0.25">
      <c r="A70" s="44"/>
      <c r="B70" s="11" t="str">
        <f>CONCATENATE("          ", "4134", " - ", "NON-TAXABLE SALES-SODA")</f>
        <v xml:space="preserve">          4134 - NON-TAXABLE SALES-SODA</v>
      </c>
      <c r="C70" s="11"/>
      <c r="D70" s="2">
        <f t="shared" si="13"/>
        <v>0</v>
      </c>
      <c r="E70" s="2"/>
      <c r="F70" s="19"/>
      <c r="G70" s="2"/>
      <c r="H70" s="2">
        <f>0</f>
        <v>0</v>
      </c>
      <c r="I70" s="2"/>
      <c r="J70" s="19"/>
      <c r="K70" s="2"/>
      <c r="L70" s="2">
        <f t="shared" si="0"/>
        <v>0</v>
      </c>
      <c r="M70" s="2"/>
      <c r="N70" s="19">
        <f t="shared" si="1"/>
        <v>0</v>
      </c>
      <c r="O70" s="11"/>
      <c r="P70" s="2">
        <f>--45.53</f>
        <v>45.53</v>
      </c>
      <c r="Q70" s="2"/>
      <c r="R70" s="19"/>
      <c r="S70" s="2"/>
      <c r="T70" s="2">
        <f>--0.39</f>
        <v>0.39</v>
      </c>
      <c r="U70" s="2"/>
      <c r="V70" s="19"/>
      <c r="W70" s="2"/>
      <c r="X70" s="2">
        <f t="shared" si="2"/>
        <v>45.14</v>
      </c>
      <c r="Y70" s="2"/>
      <c r="Z70" s="19">
        <f t="shared" si="3"/>
        <v>115.74358974358974</v>
      </c>
    </row>
    <row r="71" spans="1:26" s="24" customFormat="1" hidden="1" outlineLevel="1" x14ac:dyDescent="0.25">
      <c r="A71" s="44"/>
      <c r="B71" s="11" t="str">
        <f>CONCATENATE("          ", "4135", " - ", "NON-TAXABLE SALES")</f>
        <v xml:space="preserve">          4135 - NON-TAXABLE SALES</v>
      </c>
      <c r="C71" s="11"/>
      <c r="D71" s="2">
        <f t="shared" si="13"/>
        <v>0</v>
      </c>
      <c r="E71" s="2"/>
      <c r="F71" s="19"/>
      <c r="G71" s="2"/>
      <c r="H71" s="2">
        <f>--17.9</f>
        <v>17.899999999999999</v>
      </c>
      <c r="I71" s="2"/>
      <c r="J71" s="19"/>
      <c r="K71" s="2"/>
      <c r="L71" s="2">
        <f t="shared" si="0"/>
        <v>-17.899999999999999</v>
      </c>
      <c r="M71" s="2"/>
      <c r="N71" s="19">
        <f t="shared" si="1"/>
        <v>-1</v>
      </c>
      <c r="O71" s="11"/>
      <c r="P71" s="2">
        <f>0</f>
        <v>0</v>
      </c>
      <c r="Q71" s="2"/>
      <c r="R71" s="19"/>
      <c r="S71" s="2"/>
      <c r="T71" s="2">
        <f>--103.96</f>
        <v>103.96</v>
      </c>
      <c r="U71" s="2"/>
      <c r="V71" s="19"/>
      <c r="W71" s="2"/>
      <c r="X71" s="2">
        <f t="shared" si="2"/>
        <v>-103.96</v>
      </c>
      <c r="Y71" s="2"/>
      <c r="Z71" s="19">
        <f t="shared" si="3"/>
        <v>-1</v>
      </c>
    </row>
    <row r="72" spans="1:26" s="24" customFormat="1" hidden="1" outlineLevel="1" x14ac:dyDescent="0.25">
      <c r="A72" s="44"/>
      <c r="B72" s="11" t="str">
        <f>CONCATENATE("          ", "4137", " - ", "NON-TAXABLE SALES-WATER")</f>
        <v xml:space="preserve">          4137 - NON-TAXABLE SALES-WATER</v>
      </c>
      <c r="C72" s="11"/>
      <c r="D72" s="2">
        <f t="shared" si="13"/>
        <v>0</v>
      </c>
      <c r="E72" s="2"/>
      <c r="F72" s="19"/>
      <c r="G72" s="2"/>
      <c r="H72" s="2">
        <f>--2252.19</f>
        <v>2252.19</v>
      </c>
      <c r="I72" s="2"/>
      <c r="J72" s="19"/>
      <c r="K72" s="2"/>
      <c r="L72" s="2">
        <f t="shared" si="0"/>
        <v>-2252.19</v>
      </c>
      <c r="M72" s="2"/>
      <c r="N72" s="19">
        <f t="shared" si="1"/>
        <v>-1</v>
      </c>
      <c r="O72" s="11"/>
      <c r="P72" s="2">
        <f>--68.25</f>
        <v>68.25</v>
      </c>
      <c r="Q72" s="2"/>
      <c r="R72" s="19"/>
      <c r="S72" s="2"/>
      <c r="T72" s="2">
        <f>--5114.15</f>
        <v>5114.1499999999996</v>
      </c>
      <c r="U72" s="2"/>
      <c r="V72" s="19"/>
      <c r="W72" s="2"/>
      <c r="X72" s="2">
        <f t="shared" si="2"/>
        <v>-5045.8999999999996</v>
      </c>
      <c r="Y72" s="2"/>
      <c r="Z72" s="19">
        <f t="shared" si="3"/>
        <v>-0.98665467379720972</v>
      </c>
    </row>
    <row r="73" spans="1:26" s="24" customFormat="1" hidden="1" outlineLevel="1" x14ac:dyDescent="0.25">
      <c r="A73" s="44"/>
      <c r="B73" s="11" t="str">
        <f>CONCATENATE("          ", "4140", " - ", "NON-TAXABLE SALES-LOGO CLOTHIN")</f>
        <v xml:space="preserve">          4140 - NON-TAXABLE SALES-LOGO CLOTHIN</v>
      </c>
      <c r="C73" s="11"/>
      <c r="D73" s="2">
        <f>--13163.04</f>
        <v>13163.04</v>
      </c>
      <c r="E73" s="2"/>
      <c r="F73" s="19"/>
      <c r="G73" s="2"/>
      <c r="H73" s="2">
        <f>--4377.82</f>
        <v>4377.82</v>
      </c>
      <c r="I73" s="2"/>
      <c r="J73" s="19"/>
      <c r="K73" s="2"/>
      <c r="L73" s="2">
        <f t="shared" si="0"/>
        <v>8785.2200000000012</v>
      </c>
      <c r="M73" s="2"/>
      <c r="N73" s="19">
        <f t="shared" si="1"/>
        <v>2.0067567876248913</v>
      </c>
      <c r="O73" s="11"/>
      <c r="P73" s="2">
        <f>--30615.48</f>
        <v>30615.48</v>
      </c>
      <c r="Q73" s="2"/>
      <c r="R73" s="19"/>
      <c r="S73" s="2"/>
      <c r="T73" s="2">
        <f>--12635.52</f>
        <v>12635.52</v>
      </c>
      <c r="U73" s="2"/>
      <c r="V73" s="19"/>
      <c r="W73" s="2"/>
      <c r="X73" s="2">
        <f t="shared" si="2"/>
        <v>17979.96</v>
      </c>
      <c r="Y73" s="2"/>
      <c r="Z73" s="19">
        <f t="shared" si="3"/>
        <v>1.4229695335055461</v>
      </c>
    </row>
    <row r="74" spans="1:26" s="24" customFormat="1" hidden="1" outlineLevel="1" x14ac:dyDescent="0.25">
      <c r="A74" s="44"/>
      <c r="B74" s="11" t="str">
        <f>CONCATENATE("          ", "4141", " - ", "NON-TAXABLE SALES-LOGO GIFTS")</f>
        <v xml:space="preserve">          4141 - NON-TAXABLE SALES-LOGO GIFTS</v>
      </c>
      <c r="C74" s="11"/>
      <c r="D74" s="2">
        <f>--437.71</f>
        <v>437.71</v>
      </c>
      <c r="E74" s="2"/>
      <c r="F74" s="19"/>
      <c r="G74" s="2"/>
      <c r="H74" s="2">
        <f>--581.29</f>
        <v>581.29</v>
      </c>
      <c r="I74" s="2"/>
      <c r="J74" s="19"/>
      <c r="K74" s="2"/>
      <c r="L74" s="2">
        <f t="shared" si="0"/>
        <v>-143.57999999999998</v>
      </c>
      <c r="M74" s="2"/>
      <c r="N74" s="19">
        <f t="shared" si="1"/>
        <v>-0.24700235682705704</v>
      </c>
      <c r="O74" s="11"/>
      <c r="P74" s="2">
        <f>--3382.7</f>
        <v>3382.7</v>
      </c>
      <c r="Q74" s="2"/>
      <c r="R74" s="19"/>
      <c r="S74" s="2"/>
      <c r="T74" s="2">
        <f>--1395.93</f>
        <v>1395.93</v>
      </c>
      <c r="U74" s="2"/>
      <c r="V74" s="19"/>
      <c r="W74" s="2"/>
      <c r="X74" s="2">
        <f t="shared" si="2"/>
        <v>1986.7699999999998</v>
      </c>
      <c r="Y74" s="2"/>
      <c r="Z74" s="19">
        <f t="shared" si="3"/>
        <v>1.4232590459406989</v>
      </c>
    </row>
    <row r="75" spans="1:26" s="24" customFormat="1" hidden="1" outlineLevel="1" x14ac:dyDescent="0.25">
      <c r="A75" s="44"/>
      <c r="B75" s="11" t="str">
        <f>CONCATENATE("          ", "4142", " - ", "NON-TAXABLE SALES-EVERYDAY GIF")</f>
        <v xml:space="preserve">          4142 - NON-TAXABLE SALES-EVERYDAY GIF</v>
      </c>
      <c r="C75" s="11"/>
      <c r="D75" s="2">
        <f>--310.68</f>
        <v>310.68</v>
      </c>
      <c r="E75" s="2"/>
      <c r="F75" s="19"/>
      <c r="G75" s="2"/>
      <c r="H75" s="2">
        <f>--2883.11</f>
        <v>2883.11</v>
      </c>
      <c r="I75" s="2"/>
      <c r="J75" s="19"/>
      <c r="K75" s="2"/>
      <c r="L75" s="2">
        <f t="shared" si="0"/>
        <v>-2572.4300000000003</v>
      </c>
      <c r="M75" s="2"/>
      <c r="N75" s="19">
        <f t="shared" si="1"/>
        <v>-0.89224136436001411</v>
      </c>
      <c r="O75" s="11"/>
      <c r="P75" s="2">
        <f>--1320.41</f>
        <v>1320.41</v>
      </c>
      <c r="Q75" s="2"/>
      <c r="R75" s="19"/>
      <c r="S75" s="2"/>
      <c r="T75" s="2">
        <f>--5919.61</f>
        <v>5919.61</v>
      </c>
      <c r="U75" s="2"/>
      <c r="V75" s="19"/>
      <c r="W75" s="2"/>
      <c r="X75" s="2">
        <f t="shared" si="2"/>
        <v>-4599.2</v>
      </c>
      <c r="Y75" s="2"/>
      <c r="Z75" s="19">
        <f t="shared" si="3"/>
        <v>-0.77694307564180753</v>
      </c>
    </row>
    <row r="76" spans="1:26" s="24" customFormat="1" hidden="1" outlineLevel="1" x14ac:dyDescent="0.25">
      <c r="A76" s="44"/>
      <c r="B76" s="11" t="str">
        <f>CONCATENATE("          ", "4143", " - ", "NON-TAXABLE SALES-CARDS")</f>
        <v xml:space="preserve">          4143 - NON-TAXABLE SALES-CARDS</v>
      </c>
      <c r="C76" s="11"/>
      <c r="D76" s="2">
        <f>--9.99</f>
        <v>9.99</v>
      </c>
      <c r="E76" s="2"/>
      <c r="F76" s="19"/>
      <c r="G76" s="2"/>
      <c r="H76" s="2">
        <f>0</f>
        <v>0</v>
      </c>
      <c r="I76" s="2"/>
      <c r="J76" s="19"/>
      <c r="K76" s="2"/>
      <c r="L76" s="2">
        <f t="shared" si="0"/>
        <v>9.99</v>
      </c>
      <c r="M76" s="2"/>
      <c r="N76" s="19">
        <f t="shared" si="1"/>
        <v>0</v>
      </c>
      <c r="O76" s="11"/>
      <c r="P76" s="2">
        <f>--29.97</f>
        <v>29.97</v>
      </c>
      <c r="Q76" s="2"/>
      <c r="R76" s="19"/>
      <c r="S76" s="2"/>
      <c r="T76" s="2">
        <f>0</f>
        <v>0</v>
      </c>
      <c r="U76" s="2"/>
      <c r="V76" s="19"/>
      <c r="W76" s="2"/>
      <c r="X76" s="2">
        <f t="shared" si="2"/>
        <v>29.97</v>
      </c>
      <c r="Y76" s="2"/>
      <c r="Z76" s="19">
        <f t="shared" si="3"/>
        <v>0</v>
      </c>
    </row>
    <row r="77" spans="1:26" s="24" customFormat="1" hidden="1" outlineLevel="1" x14ac:dyDescent="0.25">
      <c r="A77" s="44"/>
      <c r="B77" s="11" t="str">
        <f>CONCATENATE("          ", "4144", " - ", "NON-TAXABLE SALES-ACCESSORIES")</f>
        <v xml:space="preserve">          4144 - NON-TAXABLE SALES-ACCESSORIES</v>
      </c>
      <c r="C77" s="11"/>
      <c r="D77" s="2">
        <f>--154</f>
        <v>154</v>
      </c>
      <c r="E77" s="2"/>
      <c r="F77" s="19"/>
      <c r="G77" s="2"/>
      <c r="H77" s="2">
        <f>--71.85</f>
        <v>71.849999999999994</v>
      </c>
      <c r="I77" s="2"/>
      <c r="J77" s="19"/>
      <c r="K77" s="2"/>
      <c r="L77" s="2">
        <f t="shared" si="0"/>
        <v>82.15</v>
      </c>
      <c r="M77" s="2"/>
      <c r="N77" s="19">
        <f t="shared" si="1"/>
        <v>1.1433542101600558</v>
      </c>
      <c r="O77" s="11"/>
      <c r="P77" s="2">
        <f>--369.75</f>
        <v>369.75</v>
      </c>
      <c r="Q77" s="2"/>
      <c r="R77" s="19"/>
      <c r="S77" s="2"/>
      <c r="T77" s="2">
        <f>--211.61</f>
        <v>211.61</v>
      </c>
      <c r="U77" s="2"/>
      <c r="V77" s="19"/>
      <c r="W77" s="2"/>
      <c r="X77" s="2">
        <f t="shared" si="2"/>
        <v>158.13999999999999</v>
      </c>
      <c r="Y77" s="2"/>
      <c r="Z77" s="19">
        <f t="shared" si="3"/>
        <v>0.7473181796701478</v>
      </c>
    </row>
    <row r="78" spans="1:26" s="24" customFormat="1" hidden="1" outlineLevel="1" x14ac:dyDescent="0.25">
      <c r="A78" s="44"/>
      <c r="B78" s="11" t="str">
        <f>CONCATENATE("          ", "4145", " - ", "NON-TAXABLE SALES-SPECIAL ORDE")</f>
        <v xml:space="preserve">          4145 - NON-TAXABLE SALES-SPECIAL ORDE</v>
      </c>
      <c r="C78" s="11"/>
      <c r="D78" s="2">
        <f>0</f>
        <v>0</v>
      </c>
      <c r="E78" s="2"/>
      <c r="F78" s="19"/>
      <c r="G78" s="2"/>
      <c r="H78" s="2">
        <f>0</f>
        <v>0</v>
      </c>
      <c r="I78" s="2"/>
      <c r="J78" s="19"/>
      <c r="K78" s="2"/>
      <c r="L78" s="2">
        <f t="shared" si="0"/>
        <v>0</v>
      </c>
      <c r="M78" s="2"/>
      <c r="N78" s="19">
        <f t="shared" si="1"/>
        <v>0</v>
      </c>
      <c r="O78" s="11"/>
      <c r="P78" s="2">
        <f>--35846</f>
        <v>35846</v>
      </c>
      <c r="Q78" s="2"/>
      <c r="R78" s="19"/>
      <c r="S78" s="2"/>
      <c r="T78" s="2">
        <f>--90</f>
        <v>90</v>
      </c>
      <c r="U78" s="2"/>
      <c r="V78" s="19"/>
      <c r="W78" s="2"/>
      <c r="X78" s="2">
        <f t="shared" si="2"/>
        <v>35756</v>
      </c>
      <c r="Y78" s="2"/>
      <c r="Z78" s="19">
        <f t="shared" si="3"/>
        <v>397.28888888888889</v>
      </c>
    </row>
    <row r="79" spans="1:26" s="24" customFormat="1" hidden="1" outlineLevel="1" x14ac:dyDescent="0.25">
      <c r="A79" s="44"/>
      <c r="B79" s="11" t="str">
        <f>CONCATENATE("          ", "4146", " - ", "NON-TAXABLE SALES-COIN OP MACH")</f>
        <v xml:space="preserve">          4146 - NON-TAXABLE SALES-COIN OP MACH</v>
      </c>
      <c r="C79" s="11"/>
      <c r="D79" s="2">
        <f>--21.3</f>
        <v>21.3</v>
      </c>
      <c r="E79" s="2"/>
      <c r="F79" s="19"/>
      <c r="G79" s="2"/>
      <c r="H79" s="2">
        <f>--40316.8</f>
        <v>40316.800000000003</v>
      </c>
      <c r="I79" s="2"/>
      <c r="J79" s="19"/>
      <c r="K79" s="2"/>
      <c r="L79" s="2">
        <f t="shared" si="0"/>
        <v>-40295.5</v>
      </c>
      <c r="M79" s="2"/>
      <c r="N79" s="19">
        <f t="shared" si="1"/>
        <v>-0.99947168426065558</v>
      </c>
      <c r="O79" s="11"/>
      <c r="P79" s="2">
        <f t="shared" ref="P79:P80" si="14">--86.5</f>
        <v>86.5</v>
      </c>
      <c r="Q79" s="2"/>
      <c r="R79" s="19"/>
      <c r="S79" s="2"/>
      <c r="T79" s="2">
        <f>--90410.3</f>
        <v>90410.3</v>
      </c>
      <c r="U79" s="2"/>
      <c r="V79" s="19"/>
      <c r="W79" s="2"/>
      <c r="X79" s="2">
        <f t="shared" si="2"/>
        <v>-90323.8</v>
      </c>
      <c r="Y79" s="2"/>
      <c r="Z79" s="19">
        <f t="shared" si="3"/>
        <v>-0.99904325060308397</v>
      </c>
    </row>
    <row r="80" spans="1:26" s="24" customFormat="1" hidden="1" outlineLevel="1" x14ac:dyDescent="0.25">
      <c r="A80" s="44"/>
      <c r="B80" s="11" t="str">
        <f>CONCATENATE("          ", "4147", " - ", "NON-TAXABLE SALES-MISC")</f>
        <v xml:space="preserve">          4147 - NON-TAXABLE SALES-MISC</v>
      </c>
      <c r="C80" s="11"/>
      <c r="D80" s="2">
        <f>--38.5</f>
        <v>38.5</v>
      </c>
      <c r="E80" s="2"/>
      <c r="F80" s="19"/>
      <c r="G80" s="2"/>
      <c r="H80" s="2">
        <f>-240</f>
        <v>-240</v>
      </c>
      <c r="I80" s="2"/>
      <c r="J80" s="19"/>
      <c r="K80" s="2"/>
      <c r="L80" s="2">
        <f t="shared" si="0"/>
        <v>278.5</v>
      </c>
      <c r="M80" s="2"/>
      <c r="N80" s="19">
        <f t="shared" si="1"/>
        <v>-1.1604166666666667</v>
      </c>
      <c r="O80" s="11"/>
      <c r="P80" s="2">
        <f t="shared" si="14"/>
        <v>86.5</v>
      </c>
      <c r="Q80" s="2"/>
      <c r="R80" s="19"/>
      <c r="S80" s="2"/>
      <c r="T80" s="2">
        <f>--174.9</f>
        <v>174.9</v>
      </c>
      <c r="U80" s="2"/>
      <c r="V80" s="19"/>
      <c r="W80" s="2"/>
      <c r="X80" s="2">
        <f t="shared" si="2"/>
        <v>-88.4</v>
      </c>
      <c r="Y80" s="2"/>
      <c r="Z80" s="19">
        <f t="shared" si="3"/>
        <v>-0.50543167524299604</v>
      </c>
    </row>
    <row r="81" spans="1:26" s="24" customFormat="1" hidden="1" outlineLevel="1" x14ac:dyDescent="0.25">
      <c r="A81" s="44"/>
      <c r="B81" s="11" t="str">
        <f>CONCATENATE("          ", "4151", " - ", "NON-TAXABLE SALES-FOOD")</f>
        <v xml:space="preserve">          4151 - NON-TAXABLE SALES-FOOD</v>
      </c>
      <c r="C81" s="11"/>
      <c r="D81" s="2">
        <f>--173820.37</f>
        <v>173820.37</v>
      </c>
      <c r="E81" s="2"/>
      <c r="F81" s="19"/>
      <c r="G81" s="2"/>
      <c r="H81" s="2">
        <f>--2126163.38</f>
        <v>2126163.38</v>
      </c>
      <c r="I81" s="2"/>
      <c r="J81" s="19"/>
      <c r="K81" s="2"/>
      <c r="L81" s="2">
        <f t="shared" si="0"/>
        <v>-1952343.0099999998</v>
      </c>
      <c r="M81" s="2"/>
      <c r="N81" s="19">
        <f t="shared" si="1"/>
        <v>-0.91824693641370114</v>
      </c>
      <c r="O81" s="11"/>
      <c r="P81" s="2">
        <f>--441429.04</f>
        <v>441429.04</v>
      </c>
      <c r="Q81" s="2"/>
      <c r="R81" s="19"/>
      <c r="S81" s="2"/>
      <c r="T81" s="2">
        <f>--4973952.84</f>
        <v>4973952.84</v>
      </c>
      <c r="U81" s="2"/>
      <c r="V81" s="19"/>
      <c r="W81" s="2"/>
      <c r="X81" s="2">
        <f t="shared" si="2"/>
        <v>-4532523.8</v>
      </c>
      <c r="Y81" s="2"/>
      <c r="Z81" s="19">
        <f t="shared" si="3"/>
        <v>-0.91125186462362995</v>
      </c>
    </row>
    <row r="82" spans="1:26" s="24" customFormat="1" hidden="1" outlineLevel="1" x14ac:dyDescent="0.25">
      <c r="A82" s="44"/>
      <c r="B82" s="11" t="str">
        <f>CONCATENATE("          ", "4152", " - ", "NON-TAXABLE SALES-FOOD")</f>
        <v xml:space="preserve">          4152 - NON-TAXABLE SALES-FOOD</v>
      </c>
      <c r="C82" s="11"/>
      <c r="D82" s="2">
        <f>0</f>
        <v>0</v>
      </c>
      <c r="E82" s="2"/>
      <c r="F82" s="19"/>
      <c r="G82" s="2"/>
      <c r="H82" s="2">
        <f>--9149.73</f>
        <v>9149.73</v>
      </c>
      <c r="I82" s="2"/>
      <c r="J82" s="19"/>
      <c r="K82" s="2"/>
      <c r="L82" s="2">
        <f t="shared" si="0"/>
        <v>-9149.73</v>
      </c>
      <c r="M82" s="2"/>
      <c r="N82" s="19">
        <f t="shared" si="1"/>
        <v>-1</v>
      </c>
      <c r="O82" s="11"/>
      <c r="P82" s="2">
        <f>0</f>
        <v>0</v>
      </c>
      <c r="Q82" s="2"/>
      <c r="R82" s="19"/>
      <c r="S82" s="2"/>
      <c r="T82" s="2">
        <f>--24938.79</f>
        <v>24938.79</v>
      </c>
      <c r="U82" s="2"/>
      <c r="V82" s="19"/>
      <c r="W82" s="2"/>
      <c r="X82" s="2">
        <f t="shared" si="2"/>
        <v>-24938.79</v>
      </c>
      <c r="Y82" s="2"/>
      <c r="Z82" s="19">
        <f t="shared" si="3"/>
        <v>-1</v>
      </c>
    </row>
    <row r="83" spans="1:26" s="24" customFormat="1" hidden="1" outlineLevel="1" x14ac:dyDescent="0.25">
      <c r="A83" s="44"/>
      <c r="B83" s="11" t="str">
        <f>CONCATENATE("          ", "4153", " - ", "NON-TAXABLE SALES-FOOD")</f>
        <v xml:space="preserve">          4153 - NON-TAXABLE SALES-FOOD</v>
      </c>
      <c r="C83" s="11"/>
      <c r="D83" s="2">
        <f>-14477.2</f>
        <v>-14477.2</v>
      </c>
      <c r="E83" s="2"/>
      <c r="F83" s="19"/>
      <c r="G83" s="2"/>
      <c r="H83" s="2">
        <f>--33376.48</f>
        <v>33376.480000000003</v>
      </c>
      <c r="I83" s="2"/>
      <c r="J83" s="19"/>
      <c r="K83" s="2"/>
      <c r="L83" s="2">
        <f t="shared" si="0"/>
        <v>-47853.680000000008</v>
      </c>
      <c r="M83" s="2"/>
      <c r="N83" s="19">
        <f t="shared" si="1"/>
        <v>-1.4337545481129228</v>
      </c>
      <c r="O83" s="11"/>
      <c r="P83" s="2">
        <f>--15876.58</f>
        <v>15876.58</v>
      </c>
      <c r="Q83" s="2"/>
      <c r="R83" s="19"/>
      <c r="S83" s="2"/>
      <c r="T83" s="2">
        <f>--195068.56</f>
        <v>195068.56</v>
      </c>
      <c r="U83" s="2"/>
      <c r="V83" s="19"/>
      <c r="W83" s="2"/>
      <c r="X83" s="2">
        <f t="shared" si="2"/>
        <v>-179191.98</v>
      </c>
      <c r="Y83" s="2"/>
      <c r="Z83" s="19">
        <f t="shared" si="3"/>
        <v>-0.91861025682457498</v>
      </c>
    </row>
    <row r="84" spans="1:26" s="24" customFormat="1" hidden="1" outlineLevel="1" x14ac:dyDescent="0.25">
      <c r="A84" s="44"/>
      <c r="B84" s="11" t="str">
        <f>CONCATENATE("          ", "4155", " - ", "NON-TAXABLE SALES-FOOD")</f>
        <v xml:space="preserve">          4155 - NON-TAXABLE SALES-FOOD</v>
      </c>
      <c r="C84" s="11"/>
      <c r="D84" s="2">
        <f t="shared" ref="D84:D85" si="15">0</f>
        <v>0</v>
      </c>
      <c r="E84" s="2"/>
      <c r="F84" s="19"/>
      <c r="G84" s="2"/>
      <c r="H84" s="2">
        <f>--150364.49</f>
        <v>150364.49</v>
      </c>
      <c r="I84" s="2"/>
      <c r="J84" s="19"/>
      <c r="K84" s="2"/>
      <c r="L84" s="2">
        <f t="shared" si="0"/>
        <v>-150364.49</v>
      </c>
      <c r="M84" s="2"/>
      <c r="N84" s="19">
        <f t="shared" si="1"/>
        <v>-1</v>
      </c>
      <c r="O84" s="11"/>
      <c r="P84" s="2">
        <f t="shared" ref="P84:P85" si="16">0</f>
        <v>0</v>
      </c>
      <c r="Q84" s="2"/>
      <c r="R84" s="19"/>
      <c r="S84" s="2"/>
      <c r="T84" s="2">
        <f>--334390.14</f>
        <v>334390.14</v>
      </c>
      <c r="U84" s="2"/>
      <c r="V84" s="19"/>
      <c r="W84" s="2"/>
      <c r="X84" s="2">
        <f t="shared" si="2"/>
        <v>-334390.14</v>
      </c>
      <c r="Y84" s="2"/>
      <c r="Z84" s="19">
        <f t="shared" si="3"/>
        <v>-1</v>
      </c>
    </row>
    <row r="85" spans="1:26" s="24" customFormat="1" hidden="1" outlineLevel="1" x14ac:dyDescent="0.25">
      <c r="A85" s="44"/>
      <c r="B85" s="11" t="str">
        <f>CONCATENATE("          ", "4158", " - ", "NON-TAXABLE SALES-FOOD")</f>
        <v xml:space="preserve">          4158 - NON-TAXABLE SALES-FOOD</v>
      </c>
      <c r="C85" s="11"/>
      <c r="D85" s="2">
        <f t="shared" si="15"/>
        <v>0</v>
      </c>
      <c r="E85" s="2"/>
      <c r="F85" s="19"/>
      <c r="G85" s="2"/>
      <c r="H85" s="2">
        <f>--95473.64</f>
        <v>95473.64</v>
      </c>
      <c r="I85" s="2"/>
      <c r="J85" s="19"/>
      <c r="K85" s="2"/>
      <c r="L85" s="2">
        <f t="shared" si="0"/>
        <v>-95473.64</v>
      </c>
      <c r="M85" s="2"/>
      <c r="N85" s="19">
        <f t="shared" si="1"/>
        <v>-1</v>
      </c>
      <c r="O85" s="11"/>
      <c r="P85" s="2">
        <f t="shared" si="16"/>
        <v>0</v>
      </c>
      <c r="Q85" s="2"/>
      <c r="R85" s="19"/>
      <c r="S85" s="2"/>
      <c r="T85" s="2">
        <f>--207720.27</f>
        <v>207720.27</v>
      </c>
      <c r="U85" s="2"/>
      <c r="V85" s="19"/>
      <c r="W85" s="2"/>
      <c r="X85" s="2">
        <f t="shared" si="2"/>
        <v>-207720.27</v>
      </c>
      <c r="Y85" s="2"/>
      <c r="Z85" s="19">
        <f t="shared" si="3"/>
        <v>-1</v>
      </c>
    </row>
    <row r="86" spans="1:26" s="24" customFormat="1" hidden="1" outlineLevel="1" x14ac:dyDescent="0.25">
      <c r="A86" s="44"/>
      <c r="B86" s="11" t="str">
        <f>CONCATENATE("          ", "4181", " - ", "NON-TAXABLE SALES-ELECTRONICS")</f>
        <v xml:space="preserve">          4181 - NON-TAXABLE SALES-ELECTRONICS</v>
      </c>
      <c r="C86" s="11"/>
      <c r="D86" s="2">
        <f>--194.97</f>
        <v>194.97</v>
      </c>
      <c r="E86" s="2"/>
      <c r="F86" s="19"/>
      <c r="G86" s="2"/>
      <c r="H86" s="2">
        <f>--7.99</f>
        <v>7.99</v>
      </c>
      <c r="I86" s="2"/>
      <c r="J86" s="19"/>
      <c r="K86" s="2"/>
      <c r="L86" s="2">
        <f t="shared" si="0"/>
        <v>186.98</v>
      </c>
      <c r="M86" s="2"/>
      <c r="N86" s="19">
        <f t="shared" si="1"/>
        <v>23.401752190237794</v>
      </c>
      <c r="O86" s="11"/>
      <c r="P86" s="2">
        <f>--3504.13</f>
        <v>3504.13</v>
      </c>
      <c r="Q86" s="2"/>
      <c r="R86" s="19"/>
      <c r="S86" s="2"/>
      <c r="T86" s="2">
        <f>--1462.51</f>
        <v>1462.51</v>
      </c>
      <c r="U86" s="2"/>
      <c r="V86" s="19"/>
      <c r="W86" s="2"/>
      <c r="X86" s="2">
        <f t="shared" si="2"/>
        <v>2041.6200000000001</v>
      </c>
      <c r="Y86" s="2"/>
      <c r="Z86" s="19">
        <f t="shared" si="3"/>
        <v>1.3959699420858662</v>
      </c>
    </row>
    <row r="87" spans="1:26" s="24" customFormat="1" hidden="1" outlineLevel="1" x14ac:dyDescent="0.25">
      <c r="A87" s="44"/>
      <c r="B87" s="11" t="str">
        <f>CONCATENATE("          ", "4182", " - ", "NON-TAXABLE SALES-COMPUTER HAR")</f>
        <v xml:space="preserve">          4182 - NON-TAXABLE SALES-COMPUTER HAR</v>
      </c>
      <c r="C87" s="11"/>
      <c r="D87" s="2">
        <f>--24570</f>
        <v>24570</v>
      </c>
      <c r="E87" s="2"/>
      <c r="F87" s="19"/>
      <c r="G87" s="2"/>
      <c r="H87" s="2">
        <f>--10758</f>
        <v>10758</v>
      </c>
      <c r="I87" s="2"/>
      <c r="J87" s="19"/>
      <c r="K87" s="2"/>
      <c r="L87" s="2">
        <f t="shared" si="0"/>
        <v>13812</v>
      </c>
      <c r="M87" s="2"/>
      <c r="N87" s="19">
        <f t="shared" si="1"/>
        <v>1.2838817624093697</v>
      </c>
      <c r="O87" s="11"/>
      <c r="P87" s="2">
        <f>--145294.38</f>
        <v>145294.38</v>
      </c>
      <c r="Q87" s="2"/>
      <c r="R87" s="19"/>
      <c r="S87" s="2"/>
      <c r="T87" s="2">
        <f>--56560</f>
        <v>56560</v>
      </c>
      <c r="U87" s="2"/>
      <c r="V87" s="19"/>
      <c r="W87" s="2"/>
      <c r="X87" s="2">
        <f t="shared" si="2"/>
        <v>88734.38</v>
      </c>
      <c r="Y87" s="2"/>
      <c r="Z87" s="19">
        <f t="shared" si="3"/>
        <v>1.5688539603960396</v>
      </c>
    </row>
    <row r="88" spans="1:26" s="24" customFormat="1" hidden="1" outlineLevel="1" x14ac:dyDescent="0.25">
      <c r="A88" s="44"/>
      <c r="B88" s="11" t="str">
        <f>CONCATENATE("          ", "4183", " - ", "NON-TAXABLE SALES-COMPUTER EQU")</f>
        <v xml:space="preserve">          4183 - NON-TAXABLE SALES-COMPUTER EQU</v>
      </c>
      <c r="C88" s="11"/>
      <c r="D88" s="2">
        <f>--1269.91</f>
        <v>1269.9100000000001</v>
      </c>
      <c r="E88" s="2"/>
      <c r="F88" s="19"/>
      <c r="G88" s="2"/>
      <c r="H88" s="2">
        <f>--1033.81</f>
        <v>1033.81</v>
      </c>
      <c r="I88" s="2"/>
      <c r="J88" s="19"/>
      <c r="K88" s="2"/>
      <c r="L88" s="2">
        <f t="shared" si="0"/>
        <v>236.10000000000014</v>
      </c>
      <c r="M88" s="2"/>
      <c r="N88" s="19">
        <f t="shared" si="1"/>
        <v>0.22837852216558183</v>
      </c>
      <c r="O88" s="11"/>
      <c r="P88" s="2">
        <f>--6336.39</f>
        <v>6336.39</v>
      </c>
      <c r="Q88" s="2"/>
      <c r="R88" s="19"/>
      <c r="S88" s="2"/>
      <c r="T88" s="2">
        <f>--3054.92</f>
        <v>3054.92</v>
      </c>
      <c r="U88" s="2"/>
      <c r="V88" s="19"/>
      <c r="W88" s="2"/>
      <c r="X88" s="2">
        <f t="shared" si="2"/>
        <v>3281.4700000000003</v>
      </c>
      <c r="Y88" s="2"/>
      <c r="Z88" s="19">
        <f t="shared" si="3"/>
        <v>1.0741590614484178</v>
      </c>
    </row>
    <row r="89" spans="1:26" s="24" customFormat="1" hidden="1" outlineLevel="1" x14ac:dyDescent="0.25">
      <c r="A89" s="44"/>
      <c r="B89" s="11" t="str">
        <f>CONCATENATE("          ", "4184", " - ", "NON-TAXABLE SALES-SOFTWARE LIC")</f>
        <v xml:space="preserve">          4184 - NON-TAXABLE SALES-SOFTWARE LIC</v>
      </c>
      <c r="C89" s="11"/>
      <c r="D89" s="2">
        <f>0</f>
        <v>0</v>
      </c>
      <c r="E89" s="2"/>
      <c r="F89" s="19"/>
      <c r="G89" s="2"/>
      <c r="H89" s="2">
        <f>0</f>
        <v>0</v>
      </c>
      <c r="I89" s="2"/>
      <c r="J89" s="19"/>
      <c r="K89" s="2"/>
      <c r="L89" s="2">
        <f t="shared" si="0"/>
        <v>0</v>
      </c>
      <c r="M89" s="2"/>
      <c r="N89" s="19">
        <f t="shared" si="1"/>
        <v>0</v>
      </c>
      <c r="O89" s="11"/>
      <c r="P89" s="2">
        <f>0</f>
        <v>0</v>
      </c>
      <c r="Q89" s="2"/>
      <c r="R89" s="19"/>
      <c r="S89" s="2"/>
      <c r="T89" s="2">
        <f>--1522</f>
        <v>1522</v>
      </c>
      <c r="U89" s="2"/>
      <c r="V89" s="19"/>
      <c r="W89" s="2"/>
      <c r="X89" s="2">
        <f t="shared" si="2"/>
        <v>-1522</v>
      </c>
      <c r="Y89" s="2"/>
      <c r="Z89" s="19">
        <f t="shared" si="3"/>
        <v>-1</v>
      </c>
    </row>
    <row r="90" spans="1:26" s="24" customFormat="1" hidden="1" outlineLevel="1" x14ac:dyDescent="0.25">
      <c r="A90" s="44"/>
      <c r="B90" s="11" t="str">
        <f>CONCATENATE("          ", "4185", " - ", "NON-TAXABLE SALES-SOFTWARE")</f>
        <v xml:space="preserve">          4185 - NON-TAXABLE SALES-SOFTWARE</v>
      </c>
      <c r="C90" s="11"/>
      <c r="D90" s="2">
        <f>--4590.76</f>
        <v>4590.76</v>
      </c>
      <c r="E90" s="2"/>
      <c r="F90" s="19"/>
      <c r="G90" s="2"/>
      <c r="H90" s="2">
        <f>--1389.95</f>
        <v>1389.95</v>
      </c>
      <c r="I90" s="2"/>
      <c r="J90" s="19"/>
      <c r="K90" s="2"/>
      <c r="L90" s="2">
        <f t="shared" si="0"/>
        <v>3200.8100000000004</v>
      </c>
      <c r="M90" s="2"/>
      <c r="N90" s="19">
        <f t="shared" si="1"/>
        <v>2.302823842584266</v>
      </c>
      <c r="O90" s="11"/>
      <c r="P90" s="2">
        <f>--23816.85</f>
        <v>23816.85</v>
      </c>
      <c r="Q90" s="2"/>
      <c r="R90" s="19"/>
      <c r="S90" s="2"/>
      <c r="T90" s="2">
        <f>--8467.89</f>
        <v>8467.89</v>
      </c>
      <c r="U90" s="2"/>
      <c r="V90" s="19"/>
      <c r="W90" s="2"/>
      <c r="X90" s="2">
        <f t="shared" si="2"/>
        <v>15348.96</v>
      </c>
      <c r="Y90" s="2"/>
      <c r="Z90" s="19">
        <f t="shared" si="3"/>
        <v>1.812607390979335</v>
      </c>
    </row>
    <row r="91" spans="1:26" s="24" customFormat="1" hidden="1" outlineLevel="1" x14ac:dyDescent="0.25">
      <c r="A91" s="44"/>
      <c r="B91" s="11" t="str">
        <f>CONCATENATE("          ", "4186", " - ", "NON-TAXABLE SALES-COMPUTER SUP")</f>
        <v xml:space="preserve">          4186 - NON-TAXABLE SALES-COMPUTER SUP</v>
      </c>
      <c r="C91" s="11"/>
      <c r="D91" s="2">
        <f>--855.98</f>
        <v>855.98</v>
      </c>
      <c r="E91" s="2"/>
      <c r="F91" s="19"/>
      <c r="G91" s="2"/>
      <c r="H91" s="2">
        <f>--796.63</f>
        <v>796.63</v>
      </c>
      <c r="I91" s="2"/>
      <c r="J91" s="19"/>
      <c r="K91" s="2"/>
      <c r="L91" s="2">
        <f t="shared" si="0"/>
        <v>59.350000000000023</v>
      </c>
      <c r="M91" s="2"/>
      <c r="N91" s="19">
        <f t="shared" si="1"/>
        <v>7.4501336881613825E-2</v>
      </c>
      <c r="O91" s="11"/>
      <c r="P91" s="2">
        <f>--1729.77</f>
        <v>1729.77</v>
      </c>
      <c r="Q91" s="2"/>
      <c r="R91" s="19"/>
      <c r="S91" s="2"/>
      <c r="T91" s="2">
        <f>--1522.41</f>
        <v>1522.41</v>
      </c>
      <c r="U91" s="2"/>
      <c r="V91" s="19"/>
      <c r="W91" s="2"/>
      <c r="X91" s="2">
        <f t="shared" si="2"/>
        <v>207.3599999999999</v>
      </c>
      <c r="Y91" s="2"/>
      <c r="Z91" s="19">
        <f t="shared" si="3"/>
        <v>0.13620509586773594</v>
      </c>
    </row>
    <row r="92" spans="1:26" s="24" customFormat="1" hidden="1" outlineLevel="1" x14ac:dyDescent="0.25">
      <c r="A92" s="44"/>
      <c r="B92" s="11" t="str">
        <f>CONCATENATE("          ", "4188", " - ", "NON-TAXABLE SALES-MUSIC")</f>
        <v xml:space="preserve">          4188 - NON-TAXABLE SALES-MUSIC</v>
      </c>
      <c r="C92" s="11"/>
      <c r="D92" s="2">
        <f>0</f>
        <v>0</v>
      </c>
      <c r="E92" s="2"/>
      <c r="F92" s="19"/>
      <c r="G92" s="2"/>
      <c r="H92" s="2">
        <f>0</f>
        <v>0</v>
      </c>
      <c r="I92" s="2"/>
      <c r="J92" s="19"/>
      <c r="K92" s="2"/>
      <c r="L92" s="2">
        <f t="shared" si="0"/>
        <v>0</v>
      </c>
      <c r="M92" s="2"/>
      <c r="N92" s="19">
        <f t="shared" si="1"/>
        <v>0</v>
      </c>
      <c r="O92" s="11"/>
      <c r="P92" s="2">
        <f>0</f>
        <v>0</v>
      </c>
      <c r="Q92" s="2"/>
      <c r="R92" s="19"/>
      <c r="S92" s="2"/>
      <c r="T92" s="2">
        <f>--219.96</f>
        <v>219.96</v>
      </c>
      <c r="U92" s="2"/>
      <c r="V92" s="19"/>
      <c r="W92" s="2"/>
      <c r="X92" s="2">
        <f t="shared" si="2"/>
        <v>-219.96</v>
      </c>
      <c r="Y92" s="2"/>
      <c r="Z92" s="19">
        <f t="shared" si="3"/>
        <v>-1</v>
      </c>
    </row>
    <row r="93" spans="1:26" s="24" customFormat="1" hidden="1" outlineLevel="1" x14ac:dyDescent="0.25">
      <c r="A93" s="44"/>
      <c r="B93" s="11" t="str">
        <f>CONCATENATE("          ", "4201", " - ", "SALES RETURN TAXABLE-NEW TEXT")</f>
        <v xml:space="preserve">          4201 - SALES RETURN TAXABLE-NEW TEXT</v>
      </c>
      <c r="C93" s="11"/>
      <c r="D93" s="2">
        <f>-1512.25</f>
        <v>-1512.25</v>
      </c>
      <c r="E93" s="2"/>
      <c r="F93" s="19"/>
      <c r="G93" s="2"/>
      <c r="H93" s="2">
        <f>-4543.92</f>
        <v>-4543.92</v>
      </c>
      <c r="I93" s="2"/>
      <c r="J93" s="19"/>
      <c r="K93" s="2"/>
      <c r="L93" s="2">
        <f t="shared" si="0"/>
        <v>3031.67</v>
      </c>
      <c r="M93" s="2"/>
      <c r="N93" s="19">
        <f t="shared" si="1"/>
        <v>-0.66719264423669433</v>
      </c>
      <c r="O93" s="11"/>
      <c r="P93" s="2">
        <f>-33761.24</f>
        <v>-33761.24</v>
      </c>
      <c r="Q93" s="2"/>
      <c r="R93" s="19"/>
      <c r="S93" s="2"/>
      <c r="T93" s="2">
        <f>-77783.67</f>
        <v>-77783.67</v>
      </c>
      <c r="U93" s="2"/>
      <c r="V93" s="19"/>
      <c r="W93" s="2"/>
      <c r="X93" s="2">
        <f t="shared" si="2"/>
        <v>44022.43</v>
      </c>
      <c r="Y93" s="2"/>
      <c r="Z93" s="19">
        <f t="shared" si="3"/>
        <v>-0.56595979593145962</v>
      </c>
    </row>
    <row r="94" spans="1:26" s="24" customFormat="1" hidden="1" outlineLevel="1" x14ac:dyDescent="0.25">
      <c r="A94" s="44"/>
      <c r="B94" s="11" t="str">
        <f>CONCATENATE("          ", "4202", " - ", "SALES RETURN TAXABLE-USED TEXT")</f>
        <v xml:space="preserve">          4202 - SALES RETURN TAXABLE-USED TEXT</v>
      </c>
      <c r="C94" s="11"/>
      <c r="D94" s="2">
        <f>-136.05</f>
        <v>-136.05000000000001</v>
      </c>
      <c r="E94" s="2"/>
      <c r="F94" s="19"/>
      <c r="G94" s="2"/>
      <c r="H94" s="2">
        <f>-3577.9</f>
        <v>-3577.9</v>
      </c>
      <c r="I94" s="2"/>
      <c r="J94" s="19"/>
      <c r="K94" s="2"/>
      <c r="L94" s="2">
        <f t="shared" si="0"/>
        <v>3441.85</v>
      </c>
      <c r="M94" s="2"/>
      <c r="N94" s="19">
        <f t="shared" si="1"/>
        <v>-0.96197490147852083</v>
      </c>
      <c r="O94" s="11"/>
      <c r="P94" s="2">
        <f>-10529</f>
        <v>-10529</v>
      </c>
      <c r="Q94" s="2"/>
      <c r="R94" s="19"/>
      <c r="S94" s="2"/>
      <c r="T94" s="2">
        <f>-26929</f>
        <v>-26929</v>
      </c>
      <c r="U94" s="2"/>
      <c r="V94" s="19"/>
      <c r="W94" s="2"/>
      <c r="X94" s="2">
        <f t="shared" si="2"/>
        <v>16400</v>
      </c>
      <c r="Y94" s="2"/>
      <c r="Z94" s="19">
        <f t="shared" si="3"/>
        <v>-0.60900887519031532</v>
      </c>
    </row>
    <row r="95" spans="1:26" s="24" customFormat="1" hidden="1" outlineLevel="1" x14ac:dyDescent="0.25">
      <c r="A95" s="44"/>
      <c r="B95" s="11" t="str">
        <f>CONCATENATE("          ", "4203", " - ", "SALES RETURN TAXABLE-RENTAL TE")</f>
        <v xml:space="preserve">          4203 - SALES RETURN TAXABLE-RENTAL TE</v>
      </c>
      <c r="C95" s="11"/>
      <c r="D95" s="2">
        <f>0</f>
        <v>0</v>
      </c>
      <c r="E95" s="2"/>
      <c r="F95" s="19"/>
      <c r="G95" s="2"/>
      <c r="H95" s="2">
        <f>0</f>
        <v>0</v>
      </c>
      <c r="I95" s="2"/>
      <c r="J95" s="19"/>
      <c r="K95" s="2"/>
      <c r="L95" s="2">
        <f t="shared" si="0"/>
        <v>0</v>
      </c>
      <c r="M95" s="2"/>
      <c r="N95" s="19">
        <f t="shared" si="1"/>
        <v>0</v>
      </c>
      <c r="O95" s="11"/>
      <c r="P95" s="2">
        <f>0</f>
        <v>0</v>
      </c>
      <c r="Q95" s="2"/>
      <c r="R95" s="19"/>
      <c r="S95" s="2"/>
      <c r="T95" s="2">
        <f>-144.99</f>
        <v>-144.99</v>
      </c>
      <c r="U95" s="2"/>
      <c r="V95" s="19"/>
      <c r="W95" s="2"/>
      <c r="X95" s="2">
        <f t="shared" si="2"/>
        <v>144.99</v>
      </c>
      <c r="Y95" s="2"/>
      <c r="Z95" s="19">
        <f t="shared" si="3"/>
        <v>-1</v>
      </c>
    </row>
    <row r="96" spans="1:26" s="24" customFormat="1" hidden="1" outlineLevel="1" x14ac:dyDescent="0.25">
      <c r="A96" s="44"/>
      <c r="B96" s="11" t="str">
        <f>CONCATENATE("          ", "4204", " - ", "SALES RETURN TAXABLE-DIGITAL T")</f>
        <v xml:space="preserve">          4204 - SALES RETURN TAXABLE-DIGITAL T</v>
      </c>
      <c r="C96" s="11"/>
      <c r="D96" s="2">
        <f>-383.9</f>
        <v>-383.9</v>
      </c>
      <c r="E96" s="2"/>
      <c r="F96" s="19"/>
      <c r="G96" s="2"/>
      <c r="H96" s="2">
        <f>-193.34</f>
        <v>-193.34</v>
      </c>
      <c r="I96" s="2"/>
      <c r="J96" s="19"/>
      <c r="K96" s="2"/>
      <c r="L96" s="2">
        <f t="shared" si="0"/>
        <v>-190.55999999999997</v>
      </c>
      <c r="M96" s="2"/>
      <c r="N96" s="19">
        <f t="shared" si="1"/>
        <v>0.98562118547636268</v>
      </c>
      <c r="O96" s="11"/>
      <c r="P96" s="2">
        <f>-1630.85</f>
        <v>-1630.85</v>
      </c>
      <c r="Q96" s="2"/>
      <c r="R96" s="19"/>
      <c r="S96" s="2"/>
      <c r="T96" s="2">
        <f>-11250.06</f>
        <v>-11250.06</v>
      </c>
      <c r="U96" s="2"/>
      <c r="V96" s="19"/>
      <c r="W96" s="2"/>
      <c r="X96" s="2">
        <f t="shared" si="2"/>
        <v>9619.2099999999991</v>
      </c>
      <c r="Y96" s="2"/>
      <c r="Z96" s="19">
        <f t="shared" si="3"/>
        <v>-0.85503632869513579</v>
      </c>
    </row>
    <row r="97" spans="1:26" s="24" customFormat="1" hidden="1" outlineLevel="1" x14ac:dyDescent="0.25">
      <c r="A97" s="44"/>
      <c r="B97" s="11" t="str">
        <f>CONCATENATE("          ", "4213", " - ", "NON-TAXABLE SALES-TRADE BOOKS")</f>
        <v xml:space="preserve">          4213 - NON-TAXABLE SALES-TRADE BOOKS</v>
      </c>
      <c r="C97" s="11"/>
      <c r="D97" s="2">
        <f t="shared" ref="D97:D100" si="17">0</f>
        <v>0</v>
      </c>
      <c r="E97" s="2"/>
      <c r="F97" s="19"/>
      <c r="G97" s="2"/>
      <c r="H97" s="2">
        <f>-35.37</f>
        <v>-35.369999999999997</v>
      </c>
      <c r="I97" s="2"/>
      <c r="J97" s="19"/>
      <c r="K97" s="2"/>
      <c r="L97" s="2">
        <f t="shared" si="0"/>
        <v>35.369999999999997</v>
      </c>
      <c r="M97" s="2"/>
      <c r="N97" s="19">
        <f t="shared" si="1"/>
        <v>-1</v>
      </c>
      <c r="O97" s="11"/>
      <c r="P97" s="2">
        <f t="shared" ref="P97:P100" si="18">0</f>
        <v>0</v>
      </c>
      <c r="Q97" s="2"/>
      <c r="R97" s="19"/>
      <c r="S97" s="2"/>
      <c r="T97" s="2">
        <f>-35.37</f>
        <v>-35.369999999999997</v>
      </c>
      <c r="U97" s="2"/>
      <c r="V97" s="19"/>
      <c r="W97" s="2"/>
      <c r="X97" s="2">
        <f t="shared" si="2"/>
        <v>35.369999999999997</v>
      </c>
      <c r="Y97" s="2"/>
      <c r="Z97" s="19">
        <f t="shared" si="3"/>
        <v>-1</v>
      </c>
    </row>
    <row r="98" spans="1:26" s="24" customFormat="1" hidden="1" outlineLevel="1" x14ac:dyDescent="0.25">
      <c r="A98" s="44"/>
      <c r="B98" s="11" t="str">
        <f>CONCATENATE("          ", "4217", " - ", "NON-TAXABLE SALES-DORM/HOUSEWA")</f>
        <v xml:space="preserve">          4217 - NON-TAXABLE SALES-DORM/HOUSEWA</v>
      </c>
      <c r="C98" s="11"/>
      <c r="D98" s="2">
        <f t="shared" si="17"/>
        <v>0</v>
      </c>
      <c r="E98" s="2"/>
      <c r="F98" s="19"/>
      <c r="G98" s="2"/>
      <c r="H98" s="2">
        <f>-2.98</f>
        <v>-2.98</v>
      </c>
      <c r="I98" s="2"/>
      <c r="J98" s="19"/>
      <c r="K98" s="2"/>
      <c r="L98" s="2">
        <f t="shared" si="0"/>
        <v>2.98</v>
      </c>
      <c r="M98" s="2"/>
      <c r="N98" s="19">
        <f t="shared" si="1"/>
        <v>-1</v>
      </c>
      <c r="O98" s="11"/>
      <c r="P98" s="2">
        <f t="shared" si="18"/>
        <v>0</v>
      </c>
      <c r="Q98" s="2"/>
      <c r="R98" s="19"/>
      <c r="S98" s="2"/>
      <c r="T98" s="2">
        <f>-2.98</f>
        <v>-2.98</v>
      </c>
      <c r="U98" s="2"/>
      <c r="V98" s="19"/>
      <c r="W98" s="2"/>
      <c r="X98" s="2">
        <f t="shared" si="2"/>
        <v>2.98</v>
      </c>
      <c r="Y98" s="2"/>
      <c r="Z98" s="19">
        <f t="shared" si="3"/>
        <v>-1</v>
      </c>
    </row>
    <row r="99" spans="1:26" s="24" customFormat="1" hidden="1" outlineLevel="1" x14ac:dyDescent="0.25">
      <c r="A99" s="44"/>
      <c r="B99" s="11" t="str">
        <f>CONCATENATE("          ", "4218", " - ", "SALES RETURN TAXABLE-STUDY GUI")</f>
        <v xml:space="preserve">          4218 - SALES RETURN TAXABLE-STUDY GUI</v>
      </c>
      <c r="C99" s="11"/>
      <c r="D99" s="2">
        <f t="shared" si="17"/>
        <v>0</v>
      </c>
      <c r="E99" s="2"/>
      <c r="F99" s="19"/>
      <c r="G99" s="2"/>
      <c r="H99" s="2">
        <f>0</f>
        <v>0</v>
      </c>
      <c r="I99" s="2"/>
      <c r="J99" s="19"/>
      <c r="K99" s="2"/>
      <c r="L99" s="2">
        <f t="shared" si="0"/>
        <v>0</v>
      </c>
      <c r="M99" s="2"/>
      <c r="N99" s="19">
        <f t="shared" si="1"/>
        <v>0</v>
      </c>
      <c r="O99" s="11"/>
      <c r="P99" s="2">
        <f t="shared" si="18"/>
        <v>0</v>
      </c>
      <c r="Q99" s="2"/>
      <c r="R99" s="19"/>
      <c r="S99" s="2"/>
      <c r="T99" s="2">
        <f>-32.75</f>
        <v>-32.75</v>
      </c>
      <c r="U99" s="2"/>
      <c r="V99" s="19"/>
      <c r="W99" s="2"/>
      <c r="X99" s="2">
        <f t="shared" si="2"/>
        <v>32.75</v>
      </c>
      <c r="Y99" s="2"/>
      <c r="Z99" s="19">
        <f t="shared" si="3"/>
        <v>-1</v>
      </c>
    </row>
    <row r="100" spans="1:26" s="24" customFormat="1" hidden="1" outlineLevel="1" x14ac:dyDescent="0.25">
      <c r="A100" s="44"/>
      <c r="B100" s="11" t="str">
        <f>CONCATENATE("          ", "4225", " - ", "SALES RETURN TAXABLE-TEST FORM")</f>
        <v xml:space="preserve">          4225 - SALES RETURN TAXABLE-TEST FORM</v>
      </c>
      <c r="C100" s="11"/>
      <c r="D100" s="2">
        <f t="shared" si="17"/>
        <v>0</v>
      </c>
      <c r="E100" s="2"/>
      <c r="F100" s="19"/>
      <c r="G100" s="2"/>
      <c r="H100" s="2">
        <f>-8.45</f>
        <v>-8.4499999999999993</v>
      </c>
      <c r="I100" s="2"/>
      <c r="J100" s="19"/>
      <c r="K100" s="2"/>
      <c r="L100" s="2">
        <f t="shared" si="0"/>
        <v>8.4499999999999993</v>
      </c>
      <c r="M100" s="2"/>
      <c r="N100" s="19">
        <f t="shared" si="1"/>
        <v>-1</v>
      </c>
      <c r="O100" s="11"/>
      <c r="P100" s="2">
        <f t="shared" si="18"/>
        <v>0</v>
      </c>
      <c r="Q100" s="2"/>
      <c r="R100" s="19"/>
      <c r="S100" s="2"/>
      <c r="T100" s="2">
        <f>-41.55</f>
        <v>-41.55</v>
      </c>
      <c r="U100" s="2"/>
      <c r="V100" s="19"/>
      <c r="W100" s="2"/>
      <c r="X100" s="2">
        <f t="shared" si="2"/>
        <v>41.55</v>
      </c>
      <c r="Y100" s="2"/>
      <c r="Z100" s="19">
        <f t="shared" si="3"/>
        <v>-1</v>
      </c>
    </row>
    <row r="101" spans="1:26" s="24" customFormat="1" hidden="1" outlineLevel="1" x14ac:dyDescent="0.25">
      <c r="A101" s="44"/>
      <c r="B101" s="11" t="str">
        <f>CONCATENATE("          ", "4226", " - ", "SALES RETURN TAXABLE-WRITING I")</f>
        <v xml:space="preserve">          4226 - SALES RETURN TAXABLE-WRITING I</v>
      </c>
      <c r="C101" s="11"/>
      <c r="D101" s="2">
        <f>-5.36</f>
        <v>-5.36</v>
      </c>
      <c r="E101" s="2"/>
      <c r="F101" s="19"/>
      <c r="G101" s="2"/>
      <c r="H101" s="2">
        <f>-166.9</f>
        <v>-166.9</v>
      </c>
      <c r="I101" s="2"/>
      <c r="J101" s="19"/>
      <c r="K101" s="2"/>
      <c r="L101" s="2">
        <f t="shared" si="0"/>
        <v>161.54</v>
      </c>
      <c r="M101" s="2"/>
      <c r="N101" s="19">
        <f t="shared" si="1"/>
        <v>-0.9678849610545236</v>
      </c>
      <c r="O101" s="11"/>
      <c r="P101" s="2">
        <f>-34.23</f>
        <v>-34.229999999999997</v>
      </c>
      <c r="Q101" s="2"/>
      <c r="R101" s="19"/>
      <c r="S101" s="2"/>
      <c r="T101" s="2">
        <f>-475.97</f>
        <v>-475.97</v>
      </c>
      <c r="U101" s="2"/>
      <c r="V101" s="19"/>
      <c r="W101" s="2"/>
      <c r="X101" s="2">
        <f t="shared" si="2"/>
        <v>441.74</v>
      </c>
      <c r="Y101" s="2"/>
      <c r="Z101" s="19">
        <f t="shared" si="3"/>
        <v>-0.92808370275437524</v>
      </c>
    </row>
    <row r="102" spans="1:26" s="24" customFormat="1" hidden="1" outlineLevel="1" x14ac:dyDescent="0.25">
      <c r="A102" s="44"/>
      <c r="B102" s="11" t="str">
        <f>CONCATENATE("          ", "4227", " - ", "SALES RETURN TAXABLE-SCHOOL SU")</f>
        <v xml:space="preserve">          4227 - SALES RETURN TAXABLE-SCHOOL SU</v>
      </c>
      <c r="C102" s="11"/>
      <c r="D102" s="2">
        <f>-9.99</f>
        <v>-9.99</v>
      </c>
      <c r="E102" s="2"/>
      <c r="F102" s="19"/>
      <c r="G102" s="2"/>
      <c r="H102" s="2">
        <f>-324.85</f>
        <v>-324.85000000000002</v>
      </c>
      <c r="I102" s="2"/>
      <c r="J102" s="19"/>
      <c r="K102" s="2"/>
      <c r="L102" s="2">
        <f t="shared" si="0"/>
        <v>314.86</v>
      </c>
      <c r="M102" s="2"/>
      <c r="N102" s="19">
        <f t="shared" si="1"/>
        <v>-0.96924734492842846</v>
      </c>
      <c r="O102" s="11"/>
      <c r="P102" s="2">
        <f>-578.66</f>
        <v>-578.66</v>
      </c>
      <c r="Q102" s="2"/>
      <c r="R102" s="19"/>
      <c r="S102" s="2"/>
      <c r="T102" s="2">
        <f>-4826.48</f>
        <v>-4826.4799999999996</v>
      </c>
      <c r="U102" s="2"/>
      <c r="V102" s="19"/>
      <c r="W102" s="2"/>
      <c r="X102" s="2">
        <f t="shared" si="2"/>
        <v>4247.82</v>
      </c>
      <c r="Y102" s="2"/>
      <c r="Z102" s="19">
        <f t="shared" si="3"/>
        <v>-0.88010724171653054</v>
      </c>
    </row>
    <row r="103" spans="1:26" s="24" customFormat="1" hidden="1" outlineLevel="1" x14ac:dyDescent="0.25">
      <c r="A103" s="44"/>
      <c r="B103" s="11" t="str">
        <f>CONCATENATE("          ", "4228", " - ", "SALES RETURN TAXABLE-ART/TECH")</f>
        <v xml:space="preserve">          4228 - SALES RETURN TAXABLE-ART/TECH</v>
      </c>
      <c r="C103" s="11"/>
      <c r="D103" s="2">
        <f>0</f>
        <v>0</v>
      </c>
      <c r="E103" s="2"/>
      <c r="F103" s="19"/>
      <c r="G103" s="2"/>
      <c r="H103" s="2">
        <f>-502.99</f>
        <v>-502.99</v>
      </c>
      <c r="I103" s="2"/>
      <c r="J103" s="19"/>
      <c r="K103" s="2"/>
      <c r="L103" s="2">
        <f t="shared" si="0"/>
        <v>502.99</v>
      </c>
      <c r="M103" s="2"/>
      <c r="N103" s="19">
        <f t="shared" si="1"/>
        <v>-1</v>
      </c>
      <c r="O103" s="11"/>
      <c r="P103" s="2">
        <f>-222.2</f>
        <v>-222.2</v>
      </c>
      <c r="Q103" s="2"/>
      <c r="R103" s="19"/>
      <c r="S103" s="2"/>
      <c r="T103" s="2">
        <f>-2430.26</f>
        <v>-2430.2600000000002</v>
      </c>
      <c r="U103" s="2"/>
      <c r="V103" s="19"/>
      <c r="W103" s="2"/>
      <c r="X103" s="2">
        <f t="shared" si="2"/>
        <v>2208.0600000000004</v>
      </c>
      <c r="Y103" s="2"/>
      <c r="Z103" s="19">
        <f t="shared" si="3"/>
        <v>-0.908569453474114</v>
      </c>
    </row>
    <row r="104" spans="1:26" s="24" customFormat="1" hidden="1" outlineLevel="1" x14ac:dyDescent="0.25">
      <c r="A104" s="44"/>
      <c r="B104" s="11" t="str">
        <f>CONCATENATE("          ", "4240", " - ", "SALES RETURN TAXABLE-LOGO CLOT")</f>
        <v xml:space="preserve">          4240 - SALES RETURN TAXABLE-LOGO CLOT</v>
      </c>
      <c r="C104" s="11"/>
      <c r="D104" s="2">
        <f>-2239.56</f>
        <v>-2239.56</v>
      </c>
      <c r="E104" s="2"/>
      <c r="F104" s="19"/>
      <c r="G104" s="2"/>
      <c r="H104" s="2">
        <f>-9501.82</f>
        <v>-9501.82</v>
      </c>
      <c r="I104" s="2"/>
      <c r="J104" s="19"/>
      <c r="K104" s="2"/>
      <c r="L104" s="2">
        <f t="shared" si="0"/>
        <v>7262.26</v>
      </c>
      <c r="M104" s="2"/>
      <c r="N104" s="19">
        <f t="shared" si="1"/>
        <v>-0.76430199688059763</v>
      </c>
      <c r="O104" s="11"/>
      <c r="P104" s="2">
        <f>-13849.52</f>
        <v>-13849.52</v>
      </c>
      <c r="Q104" s="2"/>
      <c r="R104" s="19"/>
      <c r="S104" s="2"/>
      <c r="T104" s="2">
        <f>-30294.8</f>
        <v>-30294.799999999999</v>
      </c>
      <c r="U104" s="2"/>
      <c r="V104" s="19"/>
      <c r="W104" s="2"/>
      <c r="X104" s="2">
        <f t="shared" si="2"/>
        <v>16445.28</v>
      </c>
      <c r="Y104" s="2"/>
      <c r="Z104" s="19">
        <f t="shared" si="3"/>
        <v>-0.54284167579914699</v>
      </c>
    </row>
    <row r="105" spans="1:26" s="24" customFormat="1" hidden="1" outlineLevel="1" x14ac:dyDescent="0.25">
      <c r="A105" s="44"/>
      <c r="B105" s="11" t="str">
        <f>CONCATENATE("          ", "4241", " - ", "SALES RETURN TAXABLE-LOGO GIFT")</f>
        <v xml:space="preserve">          4241 - SALES RETURN TAXABLE-LOGO GIFT</v>
      </c>
      <c r="C105" s="11"/>
      <c r="D105" s="2">
        <f>-379.45</f>
        <v>-379.45</v>
      </c>
      <c r="E105" s="2"/>
      <c r="F105" s="19"/>
      <c r="G105" s="2"/>
      <c r="H105" s="2">
        <f>-327.07</f>
        <v>-327.07</v>
      </c>
      <c r="I105" s="2"/>
      <c r="J105" s="19"/>
      <c r="K105" s="2"/>
      <c r="L105" s="2">
        <f t="shared" si="0"/>
        <v>-52.379999999999995</v>
      </c>
      <c r="M105" s="2"/>
      <c r="N105" s="19">
        <f t="shared" si="1"/>
        <v>0.16014920353441159</v>
      </c>
      <c r="O105" s="11"/>
      <c r="P105" s="2">
        <f>-2696.56</f>
        <v>-2696.56</v>
      </c>
      <c r="Q105" s="2"/>
      <c r="R105" s="19"/>
      <c r="S105" s="2"/>
      <c r="T105" s="2">
        <f>-2717.95</f>
        <v>-2717.95</v>
      </c>
      <c r="U105" s="2"/>
      <c r="V105" s="19"/>
      <c r="W105" s="2"/>
      <c r="X105" s="2">
        <f t="shared" si="2"/>
        <v>21.389999999999873</v>
      </c>
      <c r="Y105" s="2"/>
      <c r="Z105" s="19">
        <f t="shared" si="3"/>
        <v>-7.8699019481594124E-3</v>
      </c>
    </row>
    <row r="106" spans="1:26" s="24" customFormat="1" hidden="1" outlineLevel="1" x14ac:dyDescent="0.25">
      <c r="A106" s="44"/>
      <c r="B106" s="11" t="str">
        <f>CONCATENATE("          ", "4242", " - ", "SALES RETURN TAXABLE-EVERYDAY")</f>
        <v xml:space="preserve">          4242 - SALES RETURN TAXABLE-EVERYDAY</v>
      </c>
      <c r="C106" s="11"/>
      <c r="D106" s="2">
        <f>-266.95</f>
        <v>-266.95</v>
      </c>
      <c r="E106" s="2"/>
      <c r="F106" s="19"/>
      <c r="G106" s="2"/>
      <c r="H106" s="2">
        <f>-165.1</f>
        <v>-165.1</v>
      </c>
      <c r="I106" s="2"/>
      <c r="J106" s="19"/>
      <c r="K106" s="2"/>
      <c r="L106" s="2">
        <f t="shared" si="0"/>
        <v>-101.85</v>
      </c>
      <c r="M106" s="2"/>
      <c r="N106" s="19">
        <f t="shared" si="1"/>
        <v>0.61689884918231375</v>
      </c>
      <c r="O106" s="11"/>
      <c r="P106" s="2">
        <f>-1321.51</f>
        <v>-1321.51</v>
      </c>
      <c r="Q106" s="2"/>
      <c r="R106" s="19"/>
      <c r="S106" s="2"/>
      <c r="T106" s="2">
        <f>-1159.57</f>
        <v>-1159.57</v>
      </c>
      <c r="U106" s="2"/>
      <c r="V106" s="19"/>
      <c r="W106" s="2"/>
      <c r="X106" s="2">
        <f t="shared" si="2"/>
        <v>-161.94000000000005</v>
      </c>
      <c r="Y106" s="2"/>
      <c r="Z106" s="19">
        <f t="shared" si="3"/>
        <v>0.13965521702010233</v>
      </c>
    </row>
    <row r="107" spans="1:26" s="24" customFormat="1" hidden="1" outlineLevel="1" x14ac:dyDescent="0.25">
      <c r="A107" s="44"/>
      <c r="B107" s="11" t="str">
        <f>CONCATENATE("          ", "4243", " - ", "SALES RETURN TAXABLE-CARDS")</f>
        <v xml:space="preserve">          4243 - SALES RETURN TAXABLE-CARDS</v>
      </c>
      <c r="C107" s="11"/>
      <c r="D107" s="2">
        <f>-829.55</f>
        <v>-829.55</v>
      </c>
      <c r="E107" s="2"/>
      <c r="F107" s="19"/>
      <c r="G107" s="2"/>
      <c r="H107" s="2">
        <f>0</f>
        <v>0</v>
      </c>
      <c r="I107" s="2"/>
      <c r="J107" s="19"/>
      <c r="K107" s="2"/>
      <c r="L107" s="2">
        <f t="shared" si="0"/>
        <v>-829.55</v>
      </c>
      <c r="M107" s="2"/>
      <c r="N107" s="19">
        <f t="shared" si="1"/>
        <v>0</v>
      </c>
      <c r="O107" s="11"/>
      <c r="P107" s="2">
        <f>-982.92</f>
        <v>-982.92</v>
      </c>
      <c r="Q107" s="2"/>
      <c r="R107" s="19"/>
      <c r="S107" s="2"/>
      <c r="T107" s="2">
        <f>-4.5</f>
        <v>-4.5</v>
      </c>
      <c r="U107" s="2"/>
      <c r="V107" s="19"/>
      <c r="W107" s="2"/>
      <c r="X107" s="2">
        <f t="shared" si="2"/>
        <v>-978.42</v>
      </c>
      <c r="Y107" s="2"/>
      <c r="Z107" s="19">
        <f t="shared" si="3"/>
        <v>217.42666666666665</v>
      </c>
    </row>
    <row r="108" spans="1:26" s="24" customFormat="1" hidden="1" outlineLevel="1" x14ac:dyDescent="0.25">
      <c r="A108" s="44"/>
      <c r="B108" s="11" t="str">
        <f>CONCATENATE("          ", "4244", " - ", "SALES RETURN TAXABLE-ACCESSORI")</f>
        <v xml:space="preserve">          4244 - SALES RETURN TAXABLE-ACCESSORI</v>
      </c>
      <c r="C108" s="11"/>
      <c r="D108" s="2">
        <f>0</f>
        <v>0</v>
      </c>
      <c r="E108" s="2"/>
      <c r="F108" s="19"/>
      <c r="G108" s="2"/>
      <c r="H108" s="2">
        <f>-177.85</f>
        <v>-177.85</v>
      </c>
      <c r="I108" s="2"/>
      <c r="J108" s="19"/>
      <c r="K108" s="2"/>
      <c r="L108" s="2">
        <f t="shared" si="0"/>
        <v>177.85</v>
      </c>
      <c r="M108" s="2"/>
      <c r="N108" s="19">
        <f t="shared" si="1"/>
        <v>-1</v>
      </c>
      <c r="O108" s="11"/>
      <c r="P108" s="2">
        <f>-410.99</f>
        <v>-410.99</v>
      </c>
      <c r="Q108" s="2"/>
      <c r="R108" s="19"/>
      <c r="S108" s="2"/>
      <c r="T108" s="2">
        <f>-1432.36</f>
        <v>-1432.36</v>
      </c>
      <c r="U108" s="2"/>
      <c r="V108" s="19"/>
      <c r="W108" s="2"/>
      <c r="X108" s="2">
        <f t="shared" si="2"/>
        <v>1021.3699999999999</v>
      </c>
      <c r="Y108" s="2"/>
      <c r="Z108" s="19">
        <f t="shared" si="3"/>
        <v>-0.71306794381300787</v>
      </c>
    </row>
    <row r="109" spans="1:26" s="24" customFormat="1" hidden="1" outlineLevel="1" x14ac:dyDescent="0.25">
      <c r="A109" s="44"/>
      <c r="B109" s="11" t="str">
        <f>CONCATENATE("          ", "4245", " - ", "SALES RETURN TAXABLE-SPECIAL O")</f>
        <v xml:space="preserve">          4245 - SALES RETURN TAXABLE-SPECIAL O</v>
      </c>
      <c r="C109" s="11"/>
      <c r="D109" s="2">
        <f>-363.98</f>
        <v>-363.98</v>
      </c>
      <c r="E109" s="2"/>
      <c r="F109" s="19"/>
      <c r="G109" s="2"/>
      <c r="H109" s="2">
        <f>0</f>
        <v>0</v>
      </c>
      <c r="I109" s="2"/>
      <c r="J109" s="19"/>
      <c r="K109" s="2"/>
      <c r="L109" s="2">
        <f t="shared" si="0"/>
        <v>-363.98</v>
      </c>
      <c r="M109" s="2"/>
      <c r="N109" s="19">
        <f t="shared" si="1"/>
        <v>0</v>
      </c>
      <c r="O109" s="11"/>
      <c r="P109" s="2">
        <f>-1546.93</f>
        <v>-1546.93</v>
      </c>
      <c r="Q109" s="2"/>
      <c r="R109" s="19"/>
      <c r="S109" s="2"/>
      <c r="T109" s="2">
        <f>-91.96</f>
        <v>-91.96</v>
      </c>
      <c r="U109" s="2"/>
      <c r="V109" s="19"/>
      <c r="W109" s="2"/>
      <c r="X109" s="2">
        <f t="shared" si="2"/>
        <v>-1454.97</v>
      </c>
      <c r="Y109" s="2"/>
      <c r="Z109" s="19">
        <f t="shared" si="3"/>
        <v>15.821770334928232</v>
      </c>
    </row>
    <row r="110" spans="1:26" s="24" customFormat="1" hidden="1" outlineLevel="1" x14ac:dyDescent="0.25">
      <c r="A110" s="44"/>
      <c r="B110" s="11" t="str">
        <f>CONCATENATE("          ", "4281", " - ", "SALES RETURN TAXABLE-ELECTRONI")</f>
        <v xml:space="preserve">          4281 - SALES RETURN TAXABLE-ELECTRONI</v>
      </c>
      <c r="C110" s="11"/>
      <c r="D110" s="2">
        <f>-357.99</f>
        <v>-357.99</v>
      </c>
      <c r="E110" s="2"/>
      <c r="F110" s="19"/>
      <c r="G110" s="2"/>
      <c r="H110" s="2">
        <f>-1301.67</f>
        <v>-1301.67</v>
      </c>
      <c r="I110" s="2"/>
      <c r="J110" s="19"/>
      <c r="K110" s="2"/>
      <c r="L110" s="2">
        <f t="shared" si="0"/>
        <v>943.68000000000006</v>
      </c>
      <c r="M110" s="2"/>
      <c r="N110" s="19">
        <f t="shared" si="1"/>
        <v>-0.72497637650095648</v>
      </c>
      <c r="O110" s="11"/>
      <c r="P110" s="2">
        <f>-14632.15</f>
        <v>-14632.15</v>
      </c>
      <c r="Q110" s="2"/>
      <c r="R110" s="19"/>
      <c r="S110" s="2"/>
      <c r="T110" s="2">
        <f>-4601.13</f>
        <v>-4601.13</v>
      </c>
      <c r="U110" s="2"/>
      <c r="V110" s="19"/>
      <c r="W110" s="2"/>
      <c r="X110" s="2">
        <f t="shared" si="2"/>
        <v>-10031.02</v>
      </c>
      <c r="Y110" s="2"/>
      <c r="Z110" s="19">
        <f t="shared" si="3"/>
        <v>2.180120970283387</v>
      </c>
    </row>
    <row r="111" spans="1:26" s="24" customFormat="1" hidden="1" outlineLevel="1" x14ac:dyDescent="0.25">
      <c r="A111" s="44"/>
      <c r="B111" s="11" t="str">
        <f>CONCATENATE("          ", "4282", " - ", "SALES RETURN TAXABLE-COMPUTER")</f>
        <v xml:space="preserve">          4282 - SALES RETURN TAXABLE-COMPUTER</v>
      </c>
      <c r="C111" s="11"/>
      <c r="D111" s="2">
        <f>-20038</f>
        <v>-20038</v>
      </c>
      <c r="E111" s="2"/>
      <c r="F111" s="19"/>
      <c r="G111" s="2"/>
      <c r="H111" s="2">
        <f>-22491.01</f>
        <v>-22491.01</v>
      </c>
      <c r="I111" s="2"/>
      <c r="J111" s="19"/>
      <c r="K111" s="2"/>
      <c r="L111" s="2">
        <f t="shared" si="0"/>
        <v>2453.0099999999984</v>
      </c>
      <c r="M111" s="2"/>
      <c r="N111" s="19">
        <f t="shared" si="1"/>
        <v>-0.10906624469065633</v>
      </c>
      <c r="O111" s="11"/>
      <c r="P111" s="2">
        <f>-68323</f>
        <v>-68323</v>
      </c>
      <c r="Q111" s="2"/>
      <c r="R111" s="19"/>
      <c r="S111" s="2"/>
      <c r="T111" s="2">
        <f>-170137.86</f>
        <v>-170137.86</v>
      </c>
      <c r="U111" s="2"/>
      <c r="V111" s="19"/>
      <c r="W111" s="2"/>
      <c r="X111" s="2">
        <f t="shared" si="2"/>
        <v>101814.85999999999</v>
      </c>
      <c r="Y111" s="2"/>
      <c r="Z111" s="19">
        <f t="shared" si="3"/>
        <v>-0.59842565317325602</v>
      </c>
    </row>
    <row r="112" spans="1:26" s="24" customFormat="1" hidden="1" outlineLevel="1" x14ac:dyDescent="0.25">
      <c r="A112" s="44"/>
      <c r="B112" s="11" t="str">
        <f>CONCATENATE("          ", "4283", " - ", "SALES RETURN TAXABLE-COMPUTER")</f>
        <v xml:space="preserve">          4283 - SALES RETURN TAXABLE-COMPUTER</v>
      </c>
      <c r="C112" s="11"/>
      <c r="D112" s="2">
        <f>-629.58</f>
        <v>-629.58000000000004</v>
      </c>
      <c r="E112" s="2"/>
      <c r="F112" s="19"/>
      <c r="G112" s="2"/>
      <c r="H112" s="2">
        <f>-1247.85</f>
        <v>-1247.8499999999999</v>
      </c>
      <c r="I112" s="2"/>
      <c r="J112" s="19"/>
      <c r="K112" s="2"/>
      <c r="L112" s="2">
        <f t="shared" si="0"/>
        <v>618.26999999999987</v>
      </c>
      <c r="M112" s="2"/>
      <c r="N112" s="19">
        <f t="shared" si="1"/>
        <v>-0.49546820531313851</v>
      </c>
      <c r="O112" s="11"/>
      <c r="P112" s="2">
        <f>-2632.31</f>
        <v>-2632.31</v>
      </c>
      <c r="Q112" s="2"/>
      <c r="R112" s="19"/>
      <c r="S112" s="2"/>
      <c r="T112" s="2">
        <f>-2532.33</f>
        <v>-2532.33</v>
      </c>
      <c r="U112" s="2"/>
      <c r="V112" s="19"/>
      <c r="W112" s="2"/>
      <c r="X112" s="2">
        <f t="shared" si="2"/>
        <v>-99.980000000000018</v>
      </c>
      <c r="Y112" s="2"/>
      <c r="Z112" s="19">
        <f t="shared" si="3"/>
        <v>3.9481426196427805E-2</v>
      </c>
    </row>
    <row r="113" spans="1:26" s="24" customFormat="1" hidden="1" outlineLevel="1" x14ac:dyDescent="0.25">
      <c r="A113" s="44"/>
      <c r="B113" s="11" t="str">
        <f>CONCATENATE("          ", "4284", " - ", "SALES RETURN TAXABLE-SOFTWARE")</f>
        <v xml:space="preserve">          4284 - SALES RETURN TAXABLE-SOFTWARE</v>
      </c>
      <c r="C113" s="11"/>
      <c r="D113" s="2">
        <f t="shared" ref="D113:D114" si="19">0</f>
        <v>0</v>
      </c>
      <c r="E113" s="2"/>
      <c r="F113" s="19"/>
      <c r="G113" s="2"/>
      <c r="H113" s="2">
        <f>0</f>
        <v>0</v>
      </c>
      <c r="I113" s="2"/>
      <c r="J113" s="19"/>
      <c r="K113" s="2"/>
      <c r="L113" s="2">
        <f t="shared" si="0"/>
        <v>0</v>
      </c>
      <c r="M113" s="2"/>
      <c r="N113" s="19">
        <f t="shared" si="1"/>
        <v>0</v>
      </c>
      <c r="O113" s="11"/>
      <c r="P113" s="2">
        <f>0</f>
        <v>0</v>
      </c>
      <c r="Q113" s="2"/>
      <c r="R113" s="19"/>
      <c r="S113" s="2"/>
      <c r="T113" s="2">
        <f>-129</f>
        <v>-129</v>
      </c>
      <c r="U113" s="2"/>
      <c r="V113" s="19"/>
      <c r="W113" s="2"/>
      <c r="X113" s="2">
        <f t="shared" si="2"/>
        <v>129</v>
      </c>
      <c r="Y113" s="2"/>
      <c r="Z113" s="19">
        <f t="shared" si="3"/>
        <v>-1</v>
      </c>
    </row>
    <row r="114" spans="1:26" s="24" customFormat="1" hidden="1" outlineLevel="1" x14ac:dyDescent="0.25">
      <c r="A114" s="44"/>
      <c r="B114" s="11" t="str">
        <f>CONCATENATE("          ", "4285", " - ", "SALES RETURN TAXABLE-SOFTWARE")</f>
        <v xml:space="preserve">          4285 - SALES RETURN TAXABLE-SOFTWARE</v>
      </c>
      <c r="C114" s="11"/>
      <c r="D114" s="2">
        <f t="shared" si="19"/>
        <v>0</v>
      </c>
      <c r="E114" s="2"/>
      <c r="F114" s="19"/>
      <c r="G114" s="2"/>
      <c r="H114" s="2">
        <f>-248.99</f>
        <v>-248.99</v>
      </c>
      <c r="I114" s="2"/>
      <c r="J114" s="19"/>
      <c r="K114" s="2"/>
      <c r="L114" s="2">
        <f t="shared" si="0"/>
        <v>248.99</v>
      </c>
      <c r="M114" s="2"/>
      <c r="N114" s="19">
        <f t="shared" si="1"/>
        <v>-1</v>
      </c>
      <c r="O114" s="11"/>
      <c r="P114" s="2">
        <f>-552.98</f>
        <v>-552.98</v>
      </c>
      <c r="Q114" s="2"/>
      <c r="R114" s="19"/>
      <c r="S114" s="2"/>
      <c r="T114" s="2">
        <f>-655.98</f>
        <v>-655.98</v>
      </c>
      <c r="U114" s="2"/>
      <c r="V114" s="19"/>
      <c r="W114" s="2"/>
      <c r="X114" s="2">
        <f t="shared" si="2"/>
        <v>103</v>
      </c>
      <c r="Y114" s="2"/>
      <c r="Z114" s="19">
        <f t="shared" si="3"/>
        <v>-0.15701698222506782</v>
      </c>
    </row>
    <row r="115" spans="1:26" s="24" customFormat="1" hidden="1" outlineLevel="1" x14ac:dyDescent="0.25">
      <c r="A115" s="44"/>
      <c r="B115" s="11" t="str">
        <f>CONCATENATE("          ", "4286", " - ", "SALES RETURN TAXABLE-COMPUTER")</f>
        <v xml:space="preserve">          4286 - SALES RETURN TAXABLE-COMPUTER</v>
      </c>
      <c r="C115" s="11"/>
      <c r="D115" s="2">
        <f>-158.96</f>
        <v>-158.96</v>
      </c>
      <c r="E115" s="2"/>
      <c r="F115" s="19"/>
      <c r="G115" s="2"/>
      <c r="H115" s="2">
        <f>-307.86</f>
        <v>-307.86</v>
      </c>
      <c r="I115" s="2"/>
      <c r="J115" s="19"/>
      <c r="K115" s="2"/>
      <c r="L115" s="2">
        <f t="shared" si="0"/>
        <v>148.9</v>
      </c>
      <c r="M115" s="2"/>
      <c r="N115" s="19">
        <f t="shared" si="1"/>
        <v>-0.48366140453452866</v>
      </c>
      <c r="O115" s="11"/>
      <c r="P115" s="2">
        <f>-571.36</f>
        <v>-571.36</v>
      </c>
      <c r="Q115" s="2"/>
      <c r="R115" s="19"/>
      <c r="S115" s="2"/>
      <c r="T115" s="2">
        <f>-2451.6</f>
        <v>-2451.6</v>
      </c>
      <c r="U115" s="2"/>
      <c r="V115" s="19"/>
      <c r="W115" s="2"/>
      <c r="X115" s="2">
        <f t="shared" si="2"/>
        <v>1880.2399999999998</v>
      </c>
      <c r="Y115" s="2"/>
      <c r="Z115" s="19">
        <f t="shared" si="3"/>
        <v>-0.76694403654756071</v>
      </c>
    </row>
    <row r="116" spans="1:26" s="24" customFormat="1" hidden="1" outlineLevel="1" x14ac:dyDescent="0.25">
      <c r="A116" s="44"/>
      <c r="B116" s="11" t="str">
        <f>CONCATENATE("          ", "4288", " - ", "TAXABLE SALES RETURN-MUSIC")</f>
        <v xml:space="preserve">          4288 - TAXABLE SALES RETURN-MUSIC</v>
      </c>
      <c r="C116" s="11"/>
      <c r="D116" s="2">
        <f t="shared" ref="D116:D118" si="20">0</f>
        <v>0</v>
      </c>
      <c r="E116" s="2"/>
      <c r="F116" s="19"/>
      <c r="G116" s="2"/>
      <c r="H116" s="2">
        <f>-3.99</f>
        <v>-3.99</v>
      </c>
      <c r="I116" s="2"/>
      <c r="J116" s="19"/>
      <c r="K116" s="2"/>
      <c r="L116" s="2">
        <f t="shared" si="0"/>
        <v>3.99</v>
      </c>
      <c r="M116" s="2"/>
      <c r="N116" s="19">
        <f t="shared" si="1"/>
        <v>-1</v>
      </c>
      <c r="O116" s="11"/>
      <c r="P116" s="2">
        <f t="shared" ref="P116:P118" si="21">0</f>
        <v>0</v>
      </c>
      <c r="Q116" s="2"/>
      <c r="R116" s="19"/>
      <c r="S116" s="2"/>
      <c r="T116" s="2">
        <f>-3.99</f>
        <v>-3.99</v>
      </c>
      <c r="U116" s="2"/>
      <c r="V116" s="19"/>
      <c r="W116" s="2"/>
      <c r="X116" s="2">
        <f t="shared" si="2"/>
        <v>3.99</v>
      </c>
      <c r="Y116" s="2"/>
      <c r="Z116" s="19">
        <f t="shared" si="3"/>
        <v>-1</v>
      </c>
    </row>
    <row r="117" spans="1:26" s="24" customFormat="1" hidden="1" outlineLevel="1" x14ac:dyDescent="0.25">
      <c r="A117" s="44"/>
      <c r="B117" s="11" t="str">
        <f>CONCATENATE("          ", "4292", " - ", "SALES RETURN TAXABLE-GRAD MERC")</f>
        <v xml:space="preserve">          4292 - SALES RETURN TAXABLE-GRAD MERC</v>
      </c>
      <c r="C117" s="11"/>
      <c r="D117" s="2">
        <f t="shared" si="20"/>
        <v>0</v>
      </c>
      <c r="E117" s="2"/>
      <c r="F117" s="19"/>
      <c r="G117" s="2"/>
      <c r="H117" s="2">
        <f>-39.95</f>
        <v>-39.950000000000003</v>
      </c>
      <c r="I117" s="2"/>
      <c r="J117" s="19"/>
      <c r="K117" s="2"/>
      <c r="L117" s="2">
        <f t="shared" si="0"/>
        <v>39.950000000000003</v>
      </c>
      <c r="M117" s="2"/>
      <c r="N117" s="19">
        <f t="shared" si="1"/>
        <v>-1</v>
      </c>
      <c r="O117" s="11"/>
      <c r="P117" s="2">
        <f t="shared" si="21"/>
        <v>0</v>
      </c>
      <c r="Q117" s="2"/>
      <c r="R117" s="19"/>
      <c r="S117" s="2"/>
      <c r="T117" s="2">
        <f>-409.1</f>
        <v>-409.1</v>
      </c>
      <c r="U117" s="2"/>
      <c r="V117" s="19"/>
      <c r="W117" s="2"/>
      <c r="X117" s="2">
        <f t="shared" si="2"/>
        <v>409.1</v>
      </c>
      <c r="Y117" s="2"/>
      <c r="Z117" s="19">
        <f t="shared" si="3"/>
        <v>-1</v>
      </c>
    </row>
    <row r="118" spans="1:26" s="24" customFormat="1" hidden="1" outlineLevel="1" x14ac:dyDescent="0.25">
      <c r="A118" s="44"/>
      <c r="B118" s="11" t="str">
        <f>CONCATENATE("          ", "4295", " - ", "SALES RETURN TAXABLE-CUSTOMER")</f>
        <v xml:space="preserve">          4295 - SALES RETURN TAXABLE-CUSTOMER</v>
      </c>
      <c r="C118" s="11"/>
      <c r="D118" s="2">
        <f t="shared" si="20"/>
        <v>0</v>
      </c>
      <c r="E118" s="2"/>
      <c r="F118" s="19"/>
      <c r="G118" s="2"/>
      <c r="H118" s="2">
        <f>0</f>
        <v>0</v>
      </c>
      <c r="I118" s="2"/>
      <c r="J118" s="19"/>
      <c r="K118" s="2"/>
      <c r="L118" s="2">
        <f t="shared" si="0"/>
        <v>0</v>
      </c>
      <c r="M118" s="2"/>
      <c r="N118" s="19">
        <f t="shared" si="1"/>
        <v>0</v>
      </c>
      <c r="O118" s="11"/>
      <c r="P118" s="2">
        <f t="shared" si="21"/>
        <v>0</v>
      </c>
      <c r="Q118" s="2"/>
      <c r="R118" s="19"/>
      <c r="S118" s="2"/>
      <c r="T118" s="2">
        <f>--0.99</f>
        <v>0.99</v>
      </c>
      <c r="U118" s="2"/>
      <c r="V118" s="19"/>
      <c r="W118" s="2"/>
      <c r="X118" s="2">
        <f t="shared" si="2"/>
        <v>-0.99</v>
      </c>
      <c r="Y118" s="2"/>
      <c r="Z118" s="19">
        <f t="shared" si="3"/>
        <v>-1</v>
      </c>
    </row>
    <row r="119" spans="1:26" s="24" customFormat="1" hidden="1" outlineLevel="1" x14ac:dyDescent="0.25">
      <c r="A119" s="44"/>
      <c r="B119" s="11" t="str">
        <f>CONCATENATE("          ", "4301", " - ", "SALES RETURN NON TAXABLE-NEW T")</f>
        <v xml:space="preserve">          4301 - SALES RETURN NON TAXABLE-NEW T</v>
      </c>
      <c r="C119" s="11"/>
      <c r="D119" s="2">
        <f>-535.49</f>
        <v>-535.49</v>
      </c>
      <c r="E119" s="2"/>
      <c r="F119" s="19"/>
      <c r="G119" s="2"/>
      <c r="H119" s="2">
        <f>-5585.76</f>
        <v>-5585.76</v>
      </c>
      <c r="I119" s="2"/>
      <c r="J119" s="19"/>
      <c r="K119" s="2"/>
      <c r="L119" s="2">
        <f t="shared" si="0"/>
        <v>5050.2700000000004</v>
      </c>
      <c r="M119" s="2"/>
      <c r="N119" s="19">
        <f t="shared" si="1"/>
        <v>-0.90413300965311794</v>
      </c>
      <c r="O119" s="11"/>
      <c r="P119" s="2">
        <f>-2376.17</f>
        <v>-2376.17</v>
      </c>
      <c r="Q119" s="2"/>
      <c r="R119" s="19"/>
      <c r="S119" s="2"/>
      <c r="T119" s="2">
        <f>-12310.98</f>
        <v>-12310.98</v>
      </c>
      <c r="U119" s="2"/>
      <c r="V119" s="19"/>
      <c r="W119" s="2"/>
      <c r="X119" s="2">
        <f t="shared" si="2"/>
        <v>9934.81</v>
      </c>
      <c r="Y119" s="2"/>
      <c r="Z119" s="19">
        <f t="shared" si="3"/>
        <v>-0.80698774589837685</v>
      </c>
    </row>
    <row r="120" spans="1:26" s="24" customFormat="1" hidden="1" outlineLevel="1" x14ac:dyDescent="0.25">
      <c r="A120" s="44"/>
      <c r="B120" s="11" t="str">
        <f>CONCATENATE("          ", "4302", " - ", "SALES RETURN NON TAXABLE-TEXT")</f>
        <v xml:space="preserve">          4302 - SALES RETURN NON TAXABLE-TEXT</v>
      </c>
      <c r="C120" s="11"/>
      <c r="D120" s="2">
        <f>-169.72</f>
        <v>-169.72</v>
      </c>
      <c r="E120" s="2"/>
      <c r="F120" s="19"/>
      <c r="G120" s="2"/>
      <c r="H120" s="2">
        <f>-35.1</f>
        <v>-35.1</v>
      </c>
      <c r="I120" s="2"/>
      <c r="J120" s="19"/>
      <c r="K120" s="2"/>
      <c r="L120" s="2">
        <f t="shared" si="0"/>
        <v>-134.62</v>
      </c>
      <c r="M120" s="2"/>
      <c r="N120" s="19">
        <f t="shared" si="1"/>
        <v>3.8353276353276353</v>
      </c>
      <c r="O120" s="11"/>
      <c r="P120" s="2">
        <f>-1316.8</f>
        <v>-1316.8</v>
      </c>
      <c r="Q120" s="2"/>
      <c r="R120" s="19"/>
      <c r="S120" s="2"/>
      <c r="T120" s="2">
        <f>-683.8</f>
        <v>-683.8</v>
      </c>
      <c r="U120" s="2"/>
      <c r="V120" s="19"/>
      <c r="W120" s="2"/>
      <c r="X120" s="2">
        <f t="shared" si="2"/>
        <v>-633</v>
      </c>
      <c r="Y120" s="2"/>
      <c r="Z120" s="19">
        <f t="shared" si="3"/>
        <v>0.92570927171687634</v>
      </c>
    </row>
    <row r="121" spans="1:26" s="24" customFormat="1" hidden="1" outlineLevel="1" x14ac:dyDescent="0.25">
      <c r="A121" s="44"/>
      <c r="B121" s="11" t="str">
        <f>CONCATENATE("          ", "4303", " - ", "SALES RETURN NON-TAXABLE-RENTA")</f>
        <v xml:space="preserve">          4303 - SALES RETURN NON-TAXABLE-RENTA</v>
      </c>
      <c r="C121" s="11"/>
      <c r="D121" s="2">
        <f>0</f>
        <v>0</v>
      </c>
      <c r="E121" s="2"/>
      <c r="F121" s="19"/>
      <c r="G121" s="2"/>
      <c r="H121" s="2">
        <f>0</f>
        <v>0</v>
      </c>
      <c r="I121" s="2"/>
      <c r="J121" s="19"/>
      <c r="K121" s="2"/>
      <c r="L121" s="2">
        <f t="shared" si="0"/>
        <v>0</v>
      </c>
      <c r="M121" s="2"/>
      <c r="N121" s="19">
        <f t="shared" si="1"/>
        <v>0</v>
      </c>
      <c r="O121" s="11"/>
      <c r="P121" s="2">
        <f>0</f>
        <v>0</v>
      </c>
      <c r="Q121" s="2"/>
      <c r="R121" s="19"/>
      <c r="S121" s="2"/>
      <c r="T121" s="2">
        <f>-184.99</f>
        <v>-184.99</v>
      </c>
      <c r="U121" s="2"/>
      <c r="V121" s="19"/>
      <c r="W121" s="2"/>
      <c r="X121" s="2">
        <f t="shared" si="2"/>
        <v>184.99</v>
      </c>
      <c r="Y121" s="2"/>
      <c r="Z121" s="19">
        <f t="shared" si="3"/>
        <v>-1</v>
      </c>
    </row>
    <row r="122" spans="1:26" s="24" customFormat="1" hidden="1" outlineLevel="1" x14ac:dyDescent="0.25">
      <c r="A122" s="44"/>
      <c r="B122" s="11" t="str">
        <f>CONCATENATE("          ", "4304", " - ", "SALES RETURN NON TAXABLE-DIGIT")</f>
        <v xml:space="preserve">          4304 - SALES RETURN NON TAXABLE-DIGIT</v>
      </c>
      <c r="C122" s="11"/>
      <c r="D122" s="2">
        <f>-692.75</f>
        <v>-692.75</v>
      </c>
      <c r="E122" s="2"/>
      <c r="F122" s="19"/>
      <c r="G122" s="2"/>
      <c r="H122" s="2">
        <f>-617.98</f>
        <v>-617.98</v>
      </c>
      <c r="I122" s="2"/>
      <c r="J122" s="19"/>
      <c r="K122" s="2"/>
      <c r="L122" s="2">
        <f t="shared" si="0"/>
        <v>-74.769999999999982</v>
      </c>
      <c r="M122" s="2"/>
      <c r="N122" s="19">
        <f t="shared" si="1"/>
        <v>0.12099097058157218</v>
      </c>
      <c r="O122" s="11"/>
      <c r="P122" s="2">
        <f>-14102.11</f>
        <v>-14102.11</v>
      </c>
      <c r="Q122" s="2"/>
      <c r="R122" s="19"/>
      <c r="S122" s="2"/>
      <c r="T122" s="2">
        <f>-13133.29</f>
        <v>-13133.29</v>
      </c>
      <c r="U122" s="2"/>
      <c r="V122" s="19"/>
      <c r="W122" s="2"/>
      <c r="X122" s="2">
        <f t="shared" si="2"/>
        <v>-968.81999999999971</v>
      </c>
      <c r="Y122" s="2"/>
      <c r="Z122" s="19">
        <f t="shared" si="3"/>
        <v>7.3768263702392894E-2</v>
      </c>
    </row>
    <row r="123" spans="1:26" s="24" customFormat="1" hidden="1" outlineLevel="1" x14ac:dyDescent="0.25">
      <c r="A123" s="44"/>
      <c r="B123" s="11" t="str">
        <f>CONCATENATE("          ", "4311", " - ", "SALES RETURN NON TAXABLE-NO VA")</f>
        <v xml:space="preserve">          4311 - SALES RETURN NON TAXABLE-NO VA</v>
      </c>
      <c r="C123" s="11"/>
      <c r="D123" s="2">
        <f t="shared" ref="D123:D124" si="22">0</f>
        <v>0</v>
      </c>
      <c r="E123" s="2"/>
      <c r="F123" s="19"/>
      <c r="G123" s="2"/>
      <c r="H123" s="2">
        <f>-0.02</f>
        <v>-0.02</v>
      </c>
      <c r="I123" s="2"/>
      <c r="J123" s="19"/>
      <c r="K123" s="2"/>
      <c r="L123" s="2">
        <f t="shared" si="0"/>
        <v>0.02</v>
      </c>
      <c r="M123" s="2"/>
      <c r="N123" s="19">
        <f t="shared" si="1"/>
        <v>-1</v>
      </c>
      <c r="O123" s="11"/>
      <c r="P123" s="2">
        <f t="shared" ref="P123:P124" si="23">0</f>
        <v>0</v>
      </c>
      <c r="Q123" s="2"/>
      <c r="R123" s="19"/>
      <c r="S123" s="2"/>
      <c r="T123" s="2">
        <f>-387.96</f>
        <v>-387.96</v>
      </c>
      <c r="U123" s="2"/>
      <c r="V123" s="19"/>
      <c r="W123" s="2"/>
      <c r="X123" s="2">
        <f t="shared" si="2"/>
        <v>387.96</v>
      </c>
      <c r="Y123" s="2"/>
      <c r="Z123" s="19">
        <f t="shared" si="3"/>
        <v>-1</v>
      </c>
    </row>
    <row r="124" spans="1:26" s="24" customFormat="1" hidden="1" outlineLevel="1" x14ac:dyDescent="0.25">
      <c r="A124" s="44"/>
      <c r="B124" s="11" t="str">
        <f>CONCATENATE("          ", "4327", " - ", "SALES RETURN NON TAXABLE-SCHOO")</f>
        <v xml:space="preserve">          4327 - SALES RETURN NON TAXABLE-SCHOO</v>
      </c>
      <c r="C124" s="11"/>
      <c r="D124" s="2">
        <f t="shared" si="22"/>
        <v>0</v>
      </c>
      <c r="E124" s="2"/>
      <c r="F124" s="19"/>
      <c r="G124" s="2"/>
      <c r="H124" s="2">
        <f t="shared" ref="H124:H125" si="24">0</f>
        <v>0</v>
      </c>
      <c r="I124" s="2"/>
      <c r="J124" s="19"/>
      <c r="K124" s="2"/>
      <c r="L124" s="2">
        <f t="shared" si="0"/>
        <v>0</v>
      </c>
      <c r="M124" s="2"/>
      <c r="N124" s="19">
        <f t="shared" si="1"/>
        <v>0</v>
      </c>
      <c r="O124" s="11"/>
      <c r="P124" s="2">
        <f t="shared" si="23"/>
        <v>0</v>
      </c>
      <c r="Q124" s="2"/>
      <c r="R124" s="19"/>
      <c r="S124" s="2"/>
      <c r="T124" s="2">
        <f>-21.87</f>
        <v>-21.87</v>
      </c>
      <c r="U124" s="2"/>
      <c r="V124" s="19"/>
      <c r="W124" s="2"/>
      <c r="X124" s="2">
        <f t="shared" si="2"/>
        <v>21.87</v>
      </c>
      <c r="Y124" s="2"/>
      <c r="Z124" s="19">
        <f t="shared" si="3"/>
        <v>-1</v>
      </c>
    </row>
    <row r="125" spans="1:26" s="24" customFormat="1" hidden="1" outlineLevel="1" x14ac:dyDescent="0.25">
      <c r="A125" s="44"/>
      <c r="B125" s="11" t="str">
        <f>CONCATENATE("          ", "4340", " - ", "SALES RETURN NON TAXABLE-LOGO")</f>
        <v xml:space="preserve">          4340 - SALES RETURN NON TAXABLE-LOGO</v>
      </c>
      <c r="C125" s="11"/>
      <c r="D125" s="2">
        <f>-195.69</f>
        <v>-195.69</v>
      </c>
      <c r="E125" s="2"/>
      <c r="F125" s="19"/>
      <c r="G125" s="2"/>
      <c r="H125" s="2">
        <f t="shared" si="24"/>
        <v>0</v>
      </c>
      <c r="I125" s="2"/>
      <c r="J125" s="19"/>
      <c r="K125" s="2"/>
      <c r="L125" s="2">
        <f t="shared" si="0"/>
        <v>-195.69</v>
      </c>
      <c r="M125" s="2"/>
      <c r="N125" s="19">
        <f t="shared" si="1"/>
        <v>0</v>
      </c>
      <c r="O125" s="11"/>
      <c r="P125" s="2">
        <f>-736.73</f>
        <v>-736.73</v>
      </c>
      <c r="Q125" s="2"/>
      <c r="R125" s="19"/>
      <c r="S125" s="2"/>
      <c r="T125" s="2">
        <f>-293.45</f>
        <v>-293.45</v>
      </c>
      <c r="U125" s="2"/>
      <c r="V125" s="19"/>
      <c r="W125" s="2"/>
      <c r="X125" s="2">
        <f t="shared" si="2"/>
        <v>-443.28000000000003</v>
      </c>
      <c r="Y125" s="2"/>
      <c r="Z125" s="19">
        <f t="shared" si="3"/>
        <v>1.5105810189129325</v>
      </c>
    </row>
    <row r="126" spans="1:26" s="24" customFormat="1" hidden="1" outlineLevel="1" x14ac:dyDescent="0.25">
      <c r="A126" s="44"/>
      <c r="B126" s="11" t="str">
        <f>CONCATENATE("          ", "4341", " - ", "SALES RETURN NON TAXABLE-LOGO")</f>
        <v xml:space="preserve">          4341 - SALES RETURN NON TAXABLE-LOGO</v>
      </c>
      <c r="C126" s="11"/>
      <c r="D126" s="2">
        <f t="shared" ref="D126:D131" si="25">0</f>
        <v>0</v>
      </c>
      <c r="E126" s="2"/>
      <c r="F126" s="19"/>
      <c r="G126" s="2"/>
      <c r="H126" s="2">
        <f>-6.95</f>
        <v>-6.95</v>
      </c>
      <c r="I126" s="2"/>
      <c r="J126" s="19"/>
      <c r="K126" s="2"/>
      <c r="L126" s="2">
        <f t="shared" si="0"/>
        <v>6.95</v>
      </c>
      <c r="M126" s="2"/>
      <c r="N126" s="19">
        <f t="shared" si="1"/>
        <v>-1</v>
      </c>
      <c r="O126" s="11"/>
      <c r="P126" s="2">
        <f>-146.9</f>
        <v>-146.9</v>
      </c>
      <c r="Q126" s="2"/>
      <c r="R126" s="19"/>
      <c r="S126" s="2"/>
      <c r="T126" s="2">
        <f>-10.9</f>
        <v>-10.9</v>
      </c>
      <c r="U126" s="2"/>
      <c r="V126" s="19"/>
      <c r="W126" s="2"/>
      <c r="X126" s="2">
        <f t="shared" si="2"/>
        <v>-136</v>
      </c>
      <c r="Y126" s="2"/>
      <c r="Z126" s="19">
        <f t="shared" si="3"/>
        <v>12.477064220183486</v>
      </c>
    </row>
    <row r="127" spans="1:26" s="24" customFormat="1" hidden="1" outlineLevel="1" x14ac:dyDescent="0.25">
      <c r="A127" s="44"/>
      <c r="B127" s="11" t="str">
        <f>CONCATENATE("          ", "4342", " - ", "SALES RETURN NON TAXABLE-EVERY")</f>
        <v xml:space="preserve">          4342 - SALES RETURN NON TAXABLE-EVERY</v>
      </c>
      <c r="C127" s="11"/>
      <c r="D127" s="2">
        <f t="shared" si="25"/>
        <v>0</v>
      </c>
      <c r="E127" s="2"/>
      <c r="F127" s="19"/>
      <c r="G127" s="2"/>
      <c r="H127" s="2">
        <f>-92.85</f>
        <v>-92.85</v>
      </c>
      <c r="I127" s="2"/>
      <c r="J127" s="19"/>
      <c r="K127" s="2"/>
      <c r="L127" s="2">
        <f t="shared" si="0"/>
        <v>92.85</v>
      </c>
      <c r="M127" s="2"/>
      <c r="N127" s="19">
        <f t="shared" si="1"/>
        <v>-1</v>
      </c>
      <c r="O127" s="11"/>
      <c r="P127" s="2">
        <f>-118.7</f>
        <v>-118.7</v>
      </c>
      <c r="Q127" s="2"/>
      <c r="R127" s="19"/>
      <c r="S127" s="2"/>
      <c r="T127" s="2">
        <f>-102.85</f>
        <v>-102.85</v>
      </c>
      <c r="U127" s="2"/>
      <c r="V127" s="19"/>
      <c r="W127" s="2"/>
      <c r="X127" s="2">
        <f t="shared" si="2"/>
        <v>-15.850000000000009</v>
      </c>
      <c r="Y127" s="2"/>
      <c r="Z127" s="19">
        <f t="shared" si="3"/>
        <v>0.15410792416140018</v>
      </c>
    </row>
    <row r="128" spans="1:26" s="24" customFormat="1" hidden="1" outlineLevel="1" x14ac:dyDescent="0.25">
      <c r="A128" s="44"/>
      <c r="B128" s="11" t="str">
        <f>CONCATENATE("          ", "4346", " - ", "SALES RETURN NON TAXABLE-COIN-")</f>
        <v xml:space="preserve">          4346 - SALES RETURN NON TAXABLE-COIN-</v>
      </c>
      <c r="C128" s="11"/>
      <c r="D128" s="2">
        <f t="shared" si="25"/>
        <v>0</v>
      </c>
      <c r="E128" s="2"/>
      <c r="F128" s="19"/>
      <c r="G128" s="2"/>
      <c r="H128" s="2">
        <f t="shared" ref="H128:H129" si="26">0</f>
        <v>0</v>
      </c>
      <c r="I128" s="2"/>
      <c r="J128" s="19"/>
      <c r="K128" s="2"/>
      <c r="L128" s="2">
        <f t="shared" si="0"/>
        <v>0</v>
      </c>
      <c r="M128" s="2"/>
      <c r="N128" s="19">
        <f t="shared" si="1"/>
        <v>0</v>
      </c>
      <c r="O128" s="11"/>
      <c r="P128" s="2">
        <f>0</f>
        <v>0</v>
      </c>
      <c r="Q128" s="2"/>
      <c r="R128" s="19"/>
      <c r="S128" s="2"/>
      <c r="T128" s="2">
        <f>-8.15</f>
        <v>-8.15</v>
      </c>
      <c r="U128" s="2"/>
      <c r="V128" s="19"/>
      <c r="W128" s="2"/>
      <c r="X128" s="2">
        <f t="shared" si="2"/>
        <v>8.15</v>
      </c>
      <c r="Y128" s="2"/>
      <c r="Z128" s="19">
        <f t="shared" si="3"/>
        <v>-1</v>
      </c>
    </row>
    <row r="129" spans="1:26" s="24" customFormat="1" hidden="1" outlineLevel="1" x14ac:dyDescent="0.25">
      <c r="A129" s="44"/>
      <c r="B129" s="11" t="str">
        <f>CONCATENATE("          ", "4381", " - ", "SALES RETURN NON TAXABLE-ELECT")</f>
        <v xml:space="preserve">          4381 - SALES RETURN NON TAXABLE-ELECT</v>
      </c>
      <c r="C129" s="11"/>
      <c r="D129" s="2">
        <f t="shared" si="25"/>
        <v>0</v>
      </c>
      <c r="E129" s="2"/>
      <c r="F129" s="19"/>
      <c r="G129" s="2"/>
      <c r="H129" s="2">
        <f t="shared" si="26"/>
        <v>0</v>
      </c>
      <c r="I129" s="2"/>
      <c r="J129" s="19"/>
      <c r="K129" s="2"/>
      <c r="L129" s="2">
        <f t="shared" si="0"/>
        <v>0</v>
      </c>
      <c r="M129" s="2"/>
      <c r="N129" s="19">
        <f t="shared" si="1"/>
        <v>0</v>
      </c>
      <c r="O129" s="11"/>
      <c r="P129" s="2">
        <f>-5624.15</f>
        <v>-5624.15</v>
      </c>
      <c r="Q129" s="2"/>
      <c r="R129" s="19"/>
      <c r="S129" s="2"/>
      <c r="T129" s="2">
        <f>-1279.84</f>
        <v>-1279.8399999999999</v>
      </c>
      <c r="U129" s="2"/>
      <c r="V129" s="19"/>
      <c r="W129" s="2"/>
      <c r="X129" s="2">
        <f t="shared" si="2"/>
        <v>-4344.3099999999995</v>
      </c>
      <c r="Y129" s="2"/>
      <c r="Z129" s="19">
        <f t="shared" si="3"/>
        <v>3.3944164895611948</v>
      </c>
    </row>
    <row r="130" spans="1:26" s="24" customFormat="1" hidden="1" outlineLevel="1" x14ac:dyDescent="0.25">
      <c r="A130" s="44"/>
      <c r="B130" s="11" t="str">
        <f>CONCATENATE("          ", "4383", " - ", "SALES RETURN NON TAXABLE-COMPU")</f>
        <v xml:space="preserve">          4383 - SALES RETURN NON TAXABLE-COMPU</v>
      </c>
      <c r="C130" s="11"/>
      <c r="D130" s="2">
        <f t="shared" si="25"/>
        <v>0</v>
      </c>
      <c r="E130" s="2"/>
      <c r="F130" s="19"/>
      <c r="G130" s="2"/>
      <c r="H130" s="2">
        <f>-24.99</f>
        <v>-24.99</v>
      </c>
      <c r="I130" s="2"/>
      <c r="J130" s="19"/>
      <c r="K130" s="2"/>
      <c r="L130" s="2">
        <f t="shared" si="0"/>
        <v>24.99</v>
      </c>
      <c r="M130" s="2"/>
      <c r="N130" s="19">
        <f t="shared" si="1"/>
        <v>-1</v>
      </c>
      <c r="O130" s="11"/>
      <c r="P130" s="2">
        <f t="shared" ref="P130:P131" si="27">0</f>
        <v>0</v>
      </c>
      <c r="Q130" s="2"/>
      <c r="R130" s="19"/>
      <c r="S130" s="2"/>
      <c r="T130" s="2">
        <f>-49.98</f>
        <v>-49.98</v>
      </c>
      <c r="U130" s="2"/>
      <c r="V130" s="19"/>
      <c r="W130" s="2"/>
      <c r="X130" s="2">
        <f t="shared" si="2"/>
        <v>49.98</v>
      </c>
      <c r="Y130" s="2"/>
      <c r="Z130" s="19">
        <f t="shared" si="3"/>
        <v>-1</v>
      </c>
    </row>
    <row r="131" spans="1:26" s="24" customFormat="1" hidden="1" outlineLevel="1" x14ac:dyDescent="0.25">
      <c r="A131" s="44"/>
      <c r="B131" s="11" t="str">
        <f>CONCATENATE("          ", "4386", " - ", "SALES RETURN NON TAXABLE-COMPU")</f>
        <v xml:space="preserve">          4386 - SALES RETURN NON TAXABLE-COMPU</v>
      </c>
      <c r="C131" s="11"/>
      <c r="D131" s="2">
        <f t="shared" si="25"/>
        <v>0</v>
      </c>
      <c r="E131" s="2"/>
      <c r="F131" s="19"/>
      <c r="G131" s="2"/>
      <c r="H131" s="2">
        <f>-34.98</f>
        <v>-34.979999999999997</v>
      </c>
      <c r="I131" s="2"/>
      <c r="J131" s="19"/>
      <c r="K131" s="2"/>
      <c r="L131" s="2">
        <f t="shared" si="0"/>
        <v>34.979999999999997</v>
      </c>
      <c r="M131" s="2"/>
      <c r="N131" s="19">
        <f t="shared" si="1"/>
        <v>-1</v>
      </c>
      <c r="O131" s="11"/>
      <c r="P131" s="2">
        <f t="shared" si="27"/>
        <v>0</v>
      </c>
      <c r="Q131" s="2"/>
      <c r="R131" s="19"/>
      <c r="S131" s="2"/>
      <c r="T131" s="2">
        <f>-54.97</f>
        <v>-54.97</v>
      </c>
      <c r="U131" s="2"/>
      <c r="V131" s="19"/>
      <c r="W131" s="2"/>
      <c r="X131" s="2">
        <f t="shared" si="2"/>
        <v>54.97</v>
      </c>
      <c r="Y131" s="2"/>
      <c r="Z131" s="19">
        <f t="shared" si="3"/>
        <v>-1</v>
      </c>
    </row>
    <row r="132" spans="1:26" x14ac:dyDescent="0.25">
      <c r="A132" s="9"/>
      <c r="B132" s="10"/>
      <c r="C132" s="9"/>
      <c r="D132" s="3"/>
      <c r="E132" s="3"/>
      <c r="F132" s="8"/>
      <c r="G132" s="3"/>
      <c r="H132" s="3"/>
      <c r="I132" s="3"/>
      <c r="J132" s="8"/>
      <c r="K132" s="3"/>
      <c r="L132" s="3"/>
      <c r="M132" s="3"/>
      <c r="N132" s="8"/>
      <c r="P132" s="3"/>
      <c r="Q132" s="3"/>
      <c r="R132" s="8"/>
      <c r="S132" s="3"/>
      <c r="T132" s="3"/>
      <c r="U132" s="3"/>
      <c r="V132" s="8"/>
      <c r="W132" s="3"/>
      <c r="X132" s="3"/>
      <c r="Y132" s="3"/>
      <c r="Z132" s="8"/>
    </row>
    <row r="133" spans="1:26" s="23" customFormat="1" collapsed="1" x14ac:dyDescent="0.25">
      <c r="A133" s="10"/>
      <c r="B133" s="26" t="s">
        <v>8</v>
      </c>
      <c r="C133" s="10"/>
      <c r="D133" s="4">
        <f>SUM(OSRRefD16x_0)</f>
        <v>333634.33</v>
      </c>
      <c r="E133" s="4"/>
      <c r="F133" s="12">
        <f t="shared" ref="F133:F190" si="28">IF(D$12=0,0,D133/D$12)</f>
        <v>0.49050848337253966</v>
      </c>
      <c r="G133" s="4"/>
      <c r="H133" s="4">
        <f>SUM(OSRRefH16x_0)</f>
        <v>1241006.0500000005</v>
      </c>
      <c r="I133" s="4"/>
      <c r="J133" s="12">
        <f t="shared" ref="J133:J190" si="29">IF(H$12=0,0,H133/H$12)</f>
        <v>0.33329661358970397</v>
      </c>
      <c r="K133" s="4"/>
      <c r="L133" s="4">
        <f t="shared" ref="L133:L190" si="30">+D133-H133</f>
        <v>-907371.72000000044</v>
      </c>
      <c r="M133" s="4"/>
      <c r="N133" s="12">
        <f t="shared" ref="N133:N190" si="31">IF(H133=0,0,L133/H133)</f>
        <v>-0.73115817606207489</v>
      </c>
      <c r="O133" s="10"/>
      <c r="P133" s="4">
        <f>SUM(OSRRefP16x_0)</f>
        <v>2817354.5100000012</v>
      </c>
      <c r="Q133" s="4"/>
      <c r="R133" s="12">
        <f t="shared" ref="R133:R190" si="32">IF(P$12=0,0,P133/P$12)</f>
        <v>0.66074940859111908</v>
      </c>
      <c r="S133" s="4"/>
      <c r="T133" s="4">
        <f>SUM(OSRRefT16x_0)</f>
        <v>6244288.5700000012</v>
      </c>
      <c r="U133" s="4"/>
      <c r="V133" s="12">
        <f t="shared" ref="V133:V190" si="33">IF(T$12=0,0,T133/T$12)</f>
        <v>0.46400399095732803</v>
      </c>
      <c r="W133" s="4"/>
      <c r="X133" s="4">
        <f t="shared" ref="X133:X190" si="34">+P133-T133</f>
        <v>-3426934.06</v>
      </c>
      <c r="Y133" s="4"/>
      <c r="Z133" s="12">
        <f t="shared" ref="Z133:Z190" si="35">IF(T133=0,0,X133/T133)</f>
        <v>-0.54881096886910841</v>
      </c>
    </row>
    <row r="134" spans="1:26" s="24" customFormat="1" hidden="1" outlineLevel="1" x14ac:dyDescent="0.25">
      <c r="A134" s="44"/>
      <c r="B134" s="11" t="str">
        <f>CONCATENATE("          ", "5001", " - ", "PURCHASES @ COST-NEW TEXT")</f>
        <v xml:space="preserve">          5001 - PURCHASES @ COST-NEW TEXT</v>
      </c>
      <c r="C134" s="11"/>
      <c r="D134" s="2">
        <v>55775.07</v>
      </c>
      <c r="E134" s="2"/>
      <c r="F134" s="19">
        <f t="shared" si="28"/>
        <v>8.200038945541735E-2</v>
      </c>
      <c r="G134" s="2"/>
      <c r="H134" s="2">
        <v>-175502.53</v>
      </c>
      <c r="I134" s="2"/>
      <c r="J134" s="19">
        <f t="shared" si="29"/>
        <v>-4.7134660564648656E-2</v>
      </c>
      <c r="K134" s="2"/>
      <c r="L134" s="2">
        <f t="shared" si="30"/>
        <v>231277.6</v>
      </c>
      <c r="M134" s="2"/>
      <c r="N134" s="19">
        <f t="shared" si="31"/>
        <v>-1.3178020852462926</v>
      </c>
      <c r="O134" s="11"/>
      <c r="P134" s="2">
        <v>1349196.8299999998</v>
      </c>
      <c r="Q134" s="2"/>
      <c r="R134" s="19">
        <f t="shared" si="32"/>
        <v>0.316424860389867</v>
      </c>
      <c r="S134" s="2"/>
      <c r="T134" s="2">
        <v>1757148.42</v>
      </c>
      <c r="U134" s="2"/>
      <c r="V134" s="19">
        <f t="shared" si="33"/>
        <v>0.13057114040204632</v>
      </c>
      <c r="W134" s="2"/>
      <c r="X134" s="2">
        <f t="shared" si="34"/>
        <v>-407951.59000000008</v>
      </c>
      <c r="Y134" s="2"/>
      <c r="Z134" s="19">
        <f t="shared" si="35"/>
        <v>-0.23216683653848666</v>
      </c>
    </row>
    <row r="135" spans="1:26" s="24" customFormat="1" hidden="1" outlineLevel="1" x14ac:dyDescent="0.25">
      <c r="A135" s="44"/>
      <c r="B135" s="11" t="str">
        <f>CONCATENATE("          ", "5002", " - ", "PURCHASES @ COST-USED TEXT")</f>
        <v xml:space="preserve">          5002 - PURCHASES @ COST-USED TEXT</v>
      </c>
      <c r="C135" s="11"/>
      <c r="D135" s="2">
        <v>6331.95</v>
      </c>
      <c r="E135" s="2"/>
      <c r="F135" s="19">
        <f t="shared" si="28"/>
        <v>9.3092194418084983E-3</v>
      </c>
      <c r="G135" s="2"/>
      <c r="H135" s="2">
        <v>14221.93</v>
      </c>
      <c r="I135" s="2"/>
      <c r="J135" s="19">
        <f t="shared" si="29"/>
        <v>3.8195793708739908E-3</v>
      </c>
      <c r="K135" s="2"/>
      <c r="L135" s="2">
        <f t="shared" si="30"/>
        <v>-7889.9800000000005</v>
      </c>
      <c r="M135" s="2"/>
      <c r="N135" s="19">
        <f t="shared" si="31"/>
        <v>-0.55477561765526906</v>
      </c>
      <c r="O135" s="11"/>
      <c r="P135" s="2">
        <v>303063.33</v>
      </c>
      <c r="Q135" s="2"/>
      <c r="R135" s="19">
        <f t="shared" si="32"/>
        <v>7.1076932403212223E-2</v>
      </c>
      <c r="S135" s="2"/>
      <c r="T135" s="2">
        <v>368033.17</v>
      </c>
      <c r="U135" s="2"/>
      <c r="V135" s="19">
        <f t="shared" si="33"/>
        <v>2.7348008947747388E-2</v>
      </c>
      <c r="W135" s="2"/>
      <c r="X135" s="2">
        <f t="shared" si="34"/>
        <v>-64969.839999999967</v>
      </c>
      <c r="Y135" s="2"/>
      <c r="Z135" s="19">
        <f t="shared" si="35"/>
        <v>-0.17653256634449543</v>
      </c>
    </row>
    <row r="136" spans="1:26" s="24" customFormat="1" hidden="1" outlineLevel="1" x14ac:dyDescent="0.25">
      <c r="A136" s="44"/>
      <c r="B136" s="11" t="str">
        <f>CONCATENATE("          ", "5003", " - ", "PURCHASES @ COST-RENTAL TEXT")</f>
        <v xml:space="preserve">          5003 - PURCHASES @ COST-RENTAL TEXT</v>
      </c>
      <c r="C136" s="11"/>
      <c r="D136" s="2">
        <v>10600.69</v>
      </c>
      <c r="E136" s="2"/>
      <c r="F136" s="19">
        <f t="shared" si="28"/>
        <v>1.5585111923591459E-2</v>
      </c>
      <c r="G136" s="2"/>
      <c r="H136" s="2"/>
      <c r="I136" s="2"/>
      <c r="J136" s="19">
        <f t="shared" si="29"/>
        <v>0</v>
      </c>
      <c r="K136" s="2"/>
      <c r="L136" s="2">
        <f t="shared" si="30"/>
        <v>10600.69</v>
      </c>
      <c r="M136" s="2"/>
      <c r="N136" s="19">
        <f t="shared" si="31"/>
        <v>0</v>
      </c>
      <c r="O136" s="11"/>
      <c r="P136" s="2">
        <v>-485.41</v>
      </c>
      <c r="Q136" s="2"/>
      <c r="R136" s="19">
        <f t="shared" si="32"/>
        <v>-1.1384238983265723E-4</v>
      </c>
      <c r="S136" s="2"/>
      <c r="T136" s="2">
        <v>-78.400000000000006</v>
      </c>
      <c r="U136" s="2"/>
      <c r="V136" s="19">
        <f t="shared" si="33"/>
        <v>-5.8257898371046158E-6</v>
      </c>
      <c r="W136" s="2"/>
      <c r="X136" s="2">
        <f t="shared" si="34"/>
        <v>-407.01</v>
      </c>
      <c r="Y136" s="2"/>
      <c r="Z136" s="19">
        <f t="shared" si="35"/>
        <v>5.1914540816326529</v>
      </c>
    </row>
    <row r="137" spans="1:26" s="24" customFormat="1" hidden="1" outlineLevel="1" x14ac:dyDescent="0.25">
      <c r="A137" s="44"/>
      <c r="B137" s="11" t="str">
        <f>CONCATENATE("          ", "5004", " - ", "PURCHASES @ COST-DIGITAL TEXT")</f>
        <v xml:space="preserve">          5004 - PURCHASES @ COST-DIGITAL TEXT</v>
      </c>
      <c r="C137" s="11"/>
      <c r="D137" s="2">
        <v>12903.46</v>
      </c>
      <c r="E137" s="2"/>
      <c r="F137" s="19">
        <f t="shared" si="28"/>
        <v>1.8970639486824481E-2</v>
      </c>
      <c r="G137" s="2"/>
      <c r="H137" s="2">
        <v>-30949.360000000001</v>
      </c>
      <c r="I137" s="2"/>
      <c r="J137" s="19">
        <f t="shared" si="29"/>
        <v>-8.3120601070144958E-3</v>
      </c>
      <c r="K137" s="2"/>
      <c r="L137" s="2">
        <f t="shared" si="30"/>
        <v>43852.82</v>
      </c>
      <c r="M137" s="2"/>
      <c r="N137" s="19">
        <f t="shared" si="31"/>
        <v>-1.416921706943213</v>
      </c>
      <c r="O137" s="11"/>
      <c r="P137" s="2">
        <v>195519.53</v>
      </c>
      <c r="Q137" s="2"/>
      <c r="R137" s="19">
        <f t="shared" si="32"/>
        <v>4.5854866101147321E-2</v>
      </c>
      <c r="S137" s="2"/>
      <c r="T137" s="2">
        <v>322779.02999999997</v>
      </c>
      <c r="U137" s="2"/>
      <c r="V137" s="19">
        <f t="shared" si="33"/>
        <v>2.3985239701587825E-2</v>
      </c>
      <c r="W137" s="2"/>
      <c r="X137" s="2">
        <f t="shared" si="34"/>
        <v>-127259.49999999997</v>
      </c>
      <c r="Y137" s="2"/>
      <c r="Z137" s="19">
        <f t="shared" si="35"/>
        <v>-0.39426198164112453</v>
      </c>
    </row>
    <row r="138" spans="1:26" s="24" customFormat="1" hidden="1" outlineLevel="1" x14ac:dyDescent="0.25">
      <c r="A138" s="44"/>
      <c r="B138" s="11" t="str">
        <f>CONCATENATE("          ", "5011", " - ", "PURCHASES @ COST-NO VALUE TEXT")</f>
        <v xml:space="preserve">          5011 - PURCHASES @ COST-NO VALUE TEXT</v>
      </c>
      <c r="C138" s="11"/>
      <c r="D138" s="2">
        <v>67.17</v>
      </c>
      <c r="E138" s="2"/>
      <c r="F138" s="19">
        <f t="shared" si="28"/>
        <v>9.8753191340152227E-5</v>
      </c>
      <c r="G138" s="2"/>
      <c r="H138" s="2">
        <v>90</v>
      </c>
      <c r="I138" s="2"/>
      <c r="J138" s="19">
        <f t="shared" si="29"/>
        <v>2.4171272350423548E-5</v>
      </c>
      <c r="K138" s="2"/>
      <c r="L138" s="2">
        <f t="shared" si="30"/>
        <v>-22.83</v>
      </c>
      <c r="M138" s="2"/>
      <c r="N138" s="19">
        <f t="shared" si="31"/>
        <v>-0.25366666666666665</v>
      </c>
      <c r="O138" s="11"/>
      <c r="P138" s="2">
        <v>67.17</v>
      </c>
      <c r="Q138" s="2"/>
      <c r="R138" s="19">
        <f t="shared" si="32"/>
        <v>1.5753266980613473E-5</v>
      </c>
      <c r="S138" s="2"/>
      <c r="T138" s="2">
        <v>3675</v>
      </c>
      <c r="U138" s="2"/>
      <c r="V138" s="19">
        <f t="shared" si="33"/>
        <v>2.7308389861427883E-4</v>
      </c>
      <c r="W138" s="2"/>
      <c r="X138" s="2">
        <f t="shared" si="34"/>
        <v>-3607.83</v>
      </c>
      <c r="Y138" s="2"/>
      <c r="Z138" s="19">
        <f t="shared" si="35"/>
        <v>-0.98172244897959182</v>
      </c>
    </row>
    <row r="139" spans="1:26" s="24" customFormat="1" hidden="1" outlineLevel="1" x14ac:dyDescent="0.25">
      <c r="A139" s="44"/>
      <c r="B139" s="11" t="str">
        <f>CONCATENATE("          ", "5013", " - ", "PURCHASES @ COST-TRADE BOOKS")</f>
        <v xml:space="preserve">          5013 - PURCHASES @ COST-TRADE BOOKS</v>
      </c>
      <c r="C139" s="11"/>
      <c r="D139" s="2">
        <v>1384.46</v>
      </c>
      <c r="E139" s="2"/>
      <c r="F139" s="19">
        <f t="shared" si="28"/>
        <v>2.0354301515972477E-3</v>
      </c>
      <c r="G139" s="2"/>
      <c r="H139" s="2">
        <v>212.56</v>
      </c>
      <c r="I139" s="2"/>
      <c r="J139" s="19">
        <f t="shared" si="29"/>
        <v>5.7087173897844771E-5</v>
      </c>
      <c r="K139" s="2"/>
      <c r="L139" s="2">
        <f t="shared" si="30"/>
        <v>1171.9000000000001</v>
      </c>
      <c r="M139" s="2"/>
      <c r="N139" s="19">
        <f t="shared" si="31"/>
        <v>5.5132668423033504</v>
      </c>
      <c r="O139" s="11"/>
      <c r="P139" s="2">
        <v>1483.64</v>
      </c>
      <c r="Q139" s="2"/>
      <c r="R139" s="19">
        <f t="shared" si="32"/>
        <v>3.4795559063744791E-4</v>
      </c>
      <c r="S139" s="2"/>
      <c r="T139" s="2">
        <v>687.35</v>
      </c>
      <c r="U139" s="2"/>
      <c r="V139" s="19">
        <f t="shared" si="33"/>
        <v>5.1075977608850224E-5</v>
      </c>
      <c r="W139" s="2"/>
      <c r="X139" s="2">
        <f t="shared" si="34"/>
        <v>796.29000000000008</v>
      </c>
      <c r="Y139" s="2"/>
      <c r="Z139" s="19">
        <f t="shared" si="35"/>
        <v>1.1584927620571761</v>
      </c>
    </row>
    <row r="140" spans="1:26" s="24" customFormat="1" hidden="1" outlineLevel="1" x14ac:dyDescent="0.25">
      <c r="A140" s="44"/>
      <c r="B140" s="11" t="str">
        <f>CONCATENATE("          ", "5014", " - ", "PURCHASES @ COST-REMAINDERS")</f>
        <v xml:space="preserve">          5014 - PURCHASES @ COST-REMAINDERS</v>
      </c>
      <c r="C140" s="11"/>
      <c r="D140" s="2">
        <v>102.92</v>
      </c>
      <c r="E140" s="2"/>
      <c r="F140" s="19">
        <f t="shared" si="28"/>
        <v>1.5131276541206589E-4</v>
      </c>
      <c r="G140" s="2"/>
      <c r="H140" s="2">
        <v>52</v>
      </c>
      <c r="I140" s="2"/>
      <c r="J140" s="19">
        <f t="shared" si="29"/>
        <v>1.3965624024689162E-5</v>
      </c>
      <c r="K140" s="2"/>
      <c r="L140" s="2">
        <f t="shared" si="30"/>
        <v>50.92</v>
      </c>
      <c r="M140" s="2"/>
      <c r="N140" s="19">
        <f t="shared" si="31"/>
        <v>0.97923076923076924</v>
      </c>
      <c r="O140" s="11"/>
      <c r="P140" s="2">
        <v>90.41</v>
      </c>
      <c r="Q140" s="2"/>
      <c r="R140" s="19">
        <f t="shared" si="32"/>
        <v>2.1203705042686675E-5</v>
      </c>
      <c r="S140" s="2"/>
      <c r="T140" s="2">
        <v>341.97</v>
      </c>
      <c r="U140" s="2"/>
      <c r="V140" s="19">
        <f t="shared" si="33"/>
        <v>2.5411292737176857E-5</v>
      </c>
      <c r="W140" s="2"/>
      <c r="X140" s="2">
        <f t="shared" si="34"/>
        <v>-251.56000000000003</v>
      </c>
      <c r="Y140" s="2"/>
      <c r="Z140" s="19">
        <f t="shared" si="35"/>
        <v>-0.7356200836330673</v>
      </c>
    </row>
    <row r="141" spans="1:26" s="24" customFormat="1" hidden="1" outlineLevel="1" x14ac:dyDescent="0.25">
      <c r="A141" s="44"/>
      <c r="B141" s="11" t="str">
        <f>CONCATENATE("          ", "5017", " - ", "PURCHASES @ COST-DORM/HOUSEWAR")</f>
        <v xml:space="preserve">          5017 - PURCHASES @ COST-DORM/HOUSEWAR</v>
      </c>
      <c r="C141" s="11"/>
      <c r="D141" s="2"/>
      <c r="E141" s="2"/>
      <c r="F141" s="19">
        <f t="shared" si="28"/>
        <v>0</v>
      </c>
      <c r="G141" s="2"/>
      <c r="H141" s="2"/>
      <c r="I141" s="2"/>
      <c r="J141" s="19">
        <f t="shared" si="29"/>
        <v>0</v>
      </c>
      <c r="K141" s="2"/>
      <c r="L141" s="2">
        <f t="shared" si="30"/>
        <v>0</v>
      </c>
      <c r="M141" s="2"/>
      <c r="N141" s="19">
        <f t="shared" si="31"/>
        <v>0</v>
      </c>
      <c r="O141" s="11"/>
      <c r="P141" s="2"/>
      <c r="Q141" s="2"/>
      <c r="R141" s="19">
        <f t="shared" si="32"/>
        <v>0</v>
      </c>
      <c r="S141" s="2"/>
      <c r="T141" s="2">
        <v>0</v>
      </c>
      <c r="U141" s="2"/>
      <c r="V141" s="19">
        <f t="shared" si="33"/>
        <v>0</v>
      </c>
      <c r="W141" s="2"/>
      <c r="X141" s="2">
        <f t="shared" si="34"/>
        <v>0</v>
      </c>
      <c r="Y141" s="2"/>
      <c r="Z141" s="19">
        <f t="shared" si="35"/>
        <v>0</v>
      </c>
    </row>
    <row r="142" spans="1:26" s="24" customFormat="1" hidden="1" outlineLevel="1" x14ac:dyDescent="0.25">
      <c r="A142" s="44"/>
      <c r="B142" s="11" t="str">
        <f>CONCATENATE("          ", "5018", " - ", "PURCHASES @ COST-STUDY GUIDES")</f>
        <v xml:space="preserve">          5018 - PURCHASES @ COST-STUDY GUIDES</v>
      </c>
      <c r="C142" s="11"/>
      <c r="D142" s="2"/>
      <c r="E142" s="2"/>
      <c r="F142" s="19">
        <f t="shared" si="28"/>
        <v>0</v>
      </c>
      <c r="G142" s="2"/>
      <c r="H142" s="2">
        <v>298.16000000000003</v>
      </c>
      <c r="I142" s="2"/>
      <c r="J142" s="19">
        <f t="shared" si="29"/>
        <v>8.0076739600025399E-5</v>
      </c>
      <c r="K142" s="2"/>
      <c r="L142" s="2">
        <f t="shared" si="30"/>
        <v>-298.16000000000003</v>
      </c>
      <c r="M142" s="2"/>
      <c r="N142" s="19">
        <f t="shared" si="31"/>
        <v>-1</v>
      </c>
      <c r="O142" s="11"/>
      <c r="P142" s="2"/>
      <c r="Q142" s="2"/>
      <c r="R142" s="19">
        <f t="shared" si="32"/>
        <v>0</v>
      </c>
      <c r="S142" s="2"/>
      <c r="T142" s="2">
        <v>802.09</v>
      </c>
      <c r="U142" s="2"/>
      <c r="V142" s="19">
        <f t="shared" si="33"/>
        <v>5.9602139929122972E-5</v>
      </c>
      <c r="W142" s="2"/>
      <c r="X142" s="2">
        <f t="shared" si="34"/>
        <v>-802.09</v>
      </c>
      <c r="Y142" s="2"/>
      <c r="Z142" s="19">
        <f t="shared" si="35"/>
        <v>-1</v>
      </c>
    </row>
    <row r="143" spans="1:26" s="24" customFormat="1" hidden="1" outlineLevel="1" x14ac:dyDescent="0.25">
      <c r="A143" s="44"/>
      <c r="B143" s="11" t="str">
        <f>CONCATENATE("          ", "5025", " - ", "PURCHASES @ COST-TEST FORMS")</f>
        <v xml:space="preserve">          5025 - PURCHASES @ COST-TEST FORMS</v>
      </c>
      <c r="C143" s="11"/>
      <c r="D143" s="2">
        <v>599.29</v>
      </c>
      <c r="E143" s="2"/>
      <c r="F143" s="19">
        <f t="shared" si="28"/>
        <v>8.8107488519040972E-4</v>
      </c>
      <c r="G143" s="2"/>
      <c r="H143" s="2">
        <v>0</v>
      </c>
      <c r="I143" s="2"/>
      <c r="J143" s="19">
        <f t="shared" si="29"/>
        <v>0</v>
      </c>
      <c r="K143" s="2"/>
      <c r="L143" s="2">
        <f t="shared" si="30"/>
        <v>599.29</v>
      </c>
      <c r="M143" s="2"/>
      <c r="N143" s="19">
        <f t="shared" si="31"/>
        <v>0</v>
      </c>
      <c r="O143" s="11"/>
      <c r="P143" s="2">
        <v>599.29</v>
      </c>
      <c r="Q143" s="2"/>
      <c r="R143" s="19">
        <f t="shared" si="32"/>
        <v>1.4055047445007962E-4</v>
      </c>
      <c r="S143" s="2"/>
      <c r="T143" s="2">
        <v>3252.39</v>
      </c>
      <c r="U143" s="2"/>
      <c r="V143" s="19">
        <f t="shared" si="33"/>
        <v>2.4168036490179439E-4</v>
      </c>
      <c r="W143" s="2"/>
      <c r="X143" s="2">
        <f t="shared" si="34"/>
        <v>-2653.1</v>
      </c>
      <c r="Y143" s="2"/>
      <c r="Z143" s="19">
        <f t="shared" si="35"/>
        <v>-0.81573857993660048</v>
      </c>
    </row>
    <row r="144" spans="1:26" s="24" customFormat="1" hidden="1" outlineLevel="1" x14ac:dyDescent="0.25">
      <c r="A144" s="44"/>
      <c r="B144" s="11" t="str">
        <f>CONCATENATE("          ", "5026", " - ", "PURCHASES @ COST-WRITING INSTR")</f>
        <v xml:space="preserve">          5026 - PURCHASES @ COST-WRITING INSTR</v>
      </c>
      <c r="C144" s="11"/>
      <c r="D144" s="2">
        <v>380.02</v>
      </c>
      <c r="E144" s="2"/>
      <c r="F144" s="19">
        <f t="shared" si="28"/>
        <v>5.5870459688975207E-4</v>
      </c>
      <c r="G144" s="2"/>
      <c r="H144" s="2">
        <v>10530.19</v>
      </c>
      <c r="I144" s="2"/>
      <c r="J144" s="19">
        <f t="shared" si="29"/>
        <v>2.8280898932411839E-3</v>
      </c>
      <c r="K144" s="2"/>
      <c r="L144" s="2">
        <f t="shared" si="30"/>
        <v>-10150.17</v>
      </c>
      <c r="M144" s="2"/>
      <c r="N144" s="19">
        <f t="shared" si="31"/>
        <v>-0.96391138241570185</v>
      </c>
      <c r="O144" s="11"/>
      <c r="P144" s="2">
        <v>380.02</v>
      </c>
      <c r="Q144" s="2"/>
      <c r="R144" s="19">
        <f t="shared" si="32"/>
        <v>8.9125450617429382E-5</v>
      </c>
      <c r="S144" s="2"/>
      <c r="T144" s="2">
        <v>25317.57</v>
      </c>
      <c r="U144" s="2"/>
      <c r="V144" s="19">
        <f t="shared" si="33"/>
        <v>1.881311760282968E-3</v>
      </c>
      <c r="W144" s="2"/>
      <c r="X144" s="2">
        <f t="shared" si="34"/>
        <v>-24937.55</v>
      </c>
      <c r="Y144" s="2"/>
      <c r="Z144" s="19">
        <f t="shared" si="35"/>
        <v>-0.98498987067084243</v>
      </c>
    </row>
    <row r="145" spans="1:26" s="24" customFormat="1" hidden="1" outlineLevel="1" x14ac:dyDescent="0.25">
      <c r="A145" s="44"/>
      <c r="B145" s="11" t="str">
        <f>CONCATENATE("          ", "5027", " - ", "PURCHASES @ COST-SCHOOL SUPPLI")</f>
        <v xml:space="preserve">          5027 - PURCHASES @ COST-SCHOOL SUPPLI</v>
      </c>
      <c r="C145" s="11"/>
      <c r="D145" s="2">
        <v>10567.95</v>
      </c>
      <c r="E145" s="2"/>
      <c r="F145" s="19">
        <f t="shared" si="28"/>
        <v>1.5536977645126718E-2</v>
      </c>
      <c r="G145" s="2"/>
      <c r="H145" s="2">
        <v>9839.7000000000007</v>
      </c>
      <c r="I145" s="2"/>
      <c r="J145" s="19">
        <f t="shared" si="29"/>
        <v>2.6426452060718066E-3</v>
      </c>
      <c r="K145" s="2"/>
      <c r="L145" s="2">
        <f t="shared" si="30"/>
        <v>728.25</v>
      </c>
      <c r="M145" s="2"/>
      <c r="N145" s="19">
        <f t="shared" si="31"/>
        <v>7.4011402786670316E-2</v>
      </c>
      <c r="O145" s="11"/>
      <c r="P145" s="2">
        <v>19071.350000000002</v>
      </c>
      <c r="Q145" s="2"/>
      <c r="R145" s="19">
        <f t="shared" si="32"/>
        <v>4.4727715978967212E-3</v>
      </c>
      <c r="S145" s="2"/>
      <c r="T145" s="2">
        <v>72022.38</v>
      </c>
      <c r="U145" s="2"/>
      <c r="V145" s="19">
        <f t="shared" si="33"/>
        <v>5.3518781817358E-3</v>
      </c>
      <c r="W145" s="2"/>
      <c r="X145" s="2">
        <f t="shared" si="34"/>
        <v>-52951.03</v>
      </c>
      <c r="Y145" s="2"/>
      <c r="Z145" s="19">
        <f t="shared" si="35"/>
        <v>-0.73520244679501001</v>
      </c>
    </row>
    <row r="146" spans="1:26" s="24" customFormat="1" hidden="1" outlineLevel="1" x14ac:dyDescent="0.25">
      <c r="A146" s="44"/>
      <c r="B146" s="11" t="str">
        <f>CONCATENATE("          ", "5028", " - ", "PURCHASES @ COST-ART/TECH")</f>
        <v xml:space="preserve">          5028 - PURCHASES @ COST-ART/TECH</v>
      </c>
      <c r="C146" s="11"/>
      <c r="D146" s="2">
        <v>41425.96</v>
      </c>
      <c r="E146" s="2"/>
      <c r="F146" s="19">
        <f t="shared" si="28"/>
        <v>6.0904358408954772E-2</v>
      </c>
      <c r="G146" s="2"/>
      <c r="H146" s="2">
        <v>19494.289999999997</v>
      </c>
      <c r="I146" s="2"/>
      <c r="J146" s="19">
        <f t="shared" si="29"/>
        <v>5.2355754763126466E-3</v>
      </c>
      <c r="K146" s="2"/>
      <c r="L146" s="2">
        <f t="shared" si="30"/>
        <v>21931.670000000002</v>
      </c>
      <c r="M146" s="2"/>
      <c r="N146" s="19">
        <f t="shared" si="31"/>
        <v>1.1250304576365697</v>
      </c>
      <c r="O146" s="11"/>
      <c r="P146" s="2">
        <v>41342.559999999998</v>
      </c>
      <c r="Q146" s="2"/>
      <c r="R146" s="19">
        <f t="shared" si="32"/>
        <v>9.6960009727859366E-3</v>
      </c>
      <c r="S146" s="2"/>
      <c r="T146" s="2">
        <v>90339.069999999992</v>
      </c>
      <c r="U146" s="2"/>
      <c r="V146" s="19">
        <f t="shared" si="33"/>
        <v>6.7129647436158469E-3</v>
      </c>
      <c r="W146" s="2"/>
      <c r="X146" s="2">
        <f t="shared" si="34"/>
        <v>-48996.509999999995</v>
      </c>
      <c r="Y146" s="2"/>
      <c r="Z146" s="19">
        <f t="shared" si="35"/>
        <v>-0.54236234665687832</v>
      </c>
    </row>
    <row r="147" spans="1:26" s="24" customFormat="1" hidden="1" outlineLevel="1" x14ac:dyDescent="0.25">
      <c r="A147" s="44"/>
      <c r="B147" s="11" t="str">
        <f>CONCATENATE("          ", "5031", " - ", "PURCHASES @ COST-FOOD")</f>
        <v xml:space="preserve">          5031 - PURCHASES @ COST-FOOD</v>
      </c>
      <c r="C147" s="11"/>
      <c r="D147" s="2">
        <v>4469.18</v>
      </c>
      <c r="E147" s="2"/>
      <c r="F147" s="19">
        <f t="shared" si="28"/>
        <v>6.570578944075949E-3</v>
      </c>
      <c r="G147" s="2"/>
      <c r="H147" s="2">
        <v>7839.04</v>
      </c>
      <c r="I147" s="2"/>
      <c r="J147" s="19">
        <f t="shared" si="29"/>
        <v>2.1053285645096023E-3</v>
      </c>
      <c r="K147" s="2"/>
      <c r="L147" s="2">
        <f t="shared" si="30"/>
        <v>-3369.8599999999997</v>
      </c>
      <c r="M147" s="2"/>
      <c r="N147" s="19">
        <f t="shared" si="31"/>
        <v>-0.42988172021063797</v>
      </c>
      <c r="O147" s="11"/>
      <c r="P147" s="2">
        <v>8535.1</v>
      </c>
      <c r="Q147" s="2"/>
      <c r="R147" s="19">
        <f t="shared" si="32"/>
        <v>2.0017226292427283E-3</v>
      </c>
      <c r="S147" s="2"/>
      <c r="T147" s="2">
        <v>15989.089999999998</v>
      </c>
      <c r="U147" s="2"/>
      <c r="V147" s="19">
        <f t="shared" si="33"/>
        <v>1.1881259952366203E-3</v>
      </c>
      <c r="W147" s="2"/>
      <c r="X147" s="2">
        <f t="shared" si="34"/>
        <v>-7453.989999999998</v>
      </c>
      <c r="Y147" s="2"/>
      <c r="Z147" s="19">
        <f t="shared" si="35"/>
        <v>-0.46619225984718321</v>
      </c>
    </row>
    <row r="148" spans="1:26" s="24" customFormat="1" hidden="1" outlineLevel="1" x14ac:dyDescent="0.25">
      <c r="A148" s="44"/>
      <c r="B148" s="11" t="str">
        <f>CONCATENATE("          ", "5032", " - ", "PURCHASES @ COST-JUICE")</f>
        <v xml:space="preserve">          5032 - PURCHASES @ COST-JUICE</v>
      </c>
      <c r="C148" s="11"/>
      <c r="D148" s="2"/>
      <c r="E148" s="2"/>
      <c r="F148" s="19">
        <f t="shared" si="28"/>
        <v>0</v>
      </c>
      <c r="G148" s="2"/>
      <c r="H148" s="2">
        <v>2565.13</v>
      </c>
      <c r="I148" s="2"/>
      <c r="J148" s="19">
        <f t="shared" si="29"/>
        <v>6.8891617604713285E-4</v>
      </c>
      <c r="K148" s="2"/>
      <c r="L148" s="2">
        <f t="shared" si="30"/>
        <v>-2565.13</v>
      </c>
      <c r="M148" s="2"/>
      <c r="N148" s="19">
        <f t="shared" si="31"/>
        <v>-1</v>
      </c>
      <c r="O148" s="11"/>
      <c r="P148" s="2"/>
      <c r="Q148" s="2"/>
      <c r="R148" s="19">
        <f t="shared" si="32"/>
        <v>0</v>
      </c>
      <c r="S148" s="2"/>
      <c r="T148" s="2">
        <v>3384.28</v>
      </c>
      <c r="U148" s="2"/>
      <c r="V148" s="19">
        <f t="shared" si="33"/>
        <v>2.5148091874893381E-4</v>
      </c>
      <c r="W148" s="2"/>
      <c r="X148" s="2">
        <f t="shared" si="34"/>
        <v>-3384.28</v>
      </c>
      <c r="Y148" s="2"/>
      <c r="Z148" s="19">
        <f t="shared" si="35"/>
        <v>-1</v>
      </c>
    </row>
    <row r="149" spans="1:26" s="24" customFormat="1" hidden="1" outlineLevel="1" x14ac:dyDescent="0.25">
      <c r="A149" s="44"/>
      <c r="B149" s="11" t="str">
        <f>CONCATENATE("          ", "5033", " - ", "PURCHASES @ COST-CANDY")</f>
        <v xml:space="preserve">          5033 - PURCHASES @ COST-CANDY</v>
      </c>
      <c r="C149" s="11"/>
      <c r="D149" s="2"/>
      <c r="E149" s="2"/>
      <c r="F149" s="19">
        <f t="shared" si="28"/>
        <v>0</v>
      </c>
      <c r="G149" s="2"/>
      <c r="H149" s="2">
        <v>2102.09</v>
      </c>
      <c r="I149" s="2"/>
      <c r="J149" s="19">
        <f t="shared" si="29"/>
        <v>5.6455766550113156E-4</v>
      </c>
      <c r="K149" s="2"/>
      <c r="L149" s="2">
        <f t="shared" si="30"/>
        <v>-2102.09</v>
      </c>
      <c r="M149" s="2"/>
      <c r="N149" s="19">
        <f t="shared" si="31"/>
        <v>-1</v>
      </c>
      <c r="O149" s="11"/>
      <c r="P149" s="2"/>
      <c r="Q149" s="2"/>
      <c r="R149" s="19">
        <f t="shared" si="32"/>
        <v>0</v>
      </c>
      <c r="S149" s="2"/>
      <c r="T149" s="2">
        <v>4455.2</v>
      </c>
      <c r="U149" s="2"/>
      <c r="V149" s="19">
        <f t="shared" si="33"/>
        <v>3.3105942451873064E-4</v>
      </c>
      <c r="W149" s="2"/>
      <c r="X149" s="2">
        <f t="shared" si="34"/>
        <v>-4455.2</v>
      </c>
      <c r="Y149" s="2"/>
      <c r="Z149" s="19">
        <f t="shared" si="35"/>
        <v>-1</v>
      </c>
    </row>
    <row r="150" spans="1:26" s="24" customFormat="1" hidden="1" outlineLevel="1" x14ac:dyDescent="0.25">
      <c r="A150" s="44"/>
      <c r="B150" s="11" t="str">
        <f>CONCATENATE("          ", "5034", " - ", "PURCHASES @ COST-SODA")</f>
        <v xml:space="preserve">          5034 - PURCHASES @ COST-SODA</v>
      </c>
      <c r="C150" s="11"/>
      <c r="D150" s="2"/>
      <c r="E150" s="2"/>
      <c r="F150" s="19">
        <f t="shared" si="28"/>
        <v>0</v>
      </c>
      <c r="G150" s="2"/>
      <c r="H150" s="2">
        <v>876</v>
      </c>
      <c r="I150" s="2"/>
      <c r="J150" s="19">
        <f t="shared" si="29"/>
        <v>2.3526705087745586E-4</v>
      </c>
      <c r="K150" s="2"/>
      <c r="L150" s="2">
        <f t="shared" si="30"/>
        <v>-876</v>
      </c>
      <c r="M150" s="2"/>
      <c r="N150" s="19">
        <f t="shared" si="31"/>
        <v>-1</v>
      </c>
      <c r="O150" s="11"/>
      <c r="P150" s="2"/>
      <c r="Q150" s="2"/>
      <c r="R150" s="19">
        <f t="shared" si="32"/>
        <v>0</v>
      </c>
      <c r="S150" s="2"/>
      <c r="T150" s="2">
        <v>1494.54</v>
      </c>
      <c r="U150" s="2"/>
      <c r="V150" s="19">
        <f t="shared" si="33"/>
        <v>1.1105709111156036E-4</v>
      </c>
      <c r="W150" s="2"/>
      <c r="X150" s="2">
        <f t="shared" si="34"/>
        <v>-1494.54</v>
      </c>
      <c r="Y150" s="2"/>
      <c r="Z150" s="19">
        <f t="shared" si="35"/>
        <v>-1</v>
      </c>
    </row>
    <row r="151" spans="1:26" s="24" customFormat="1" hidden="1" outlineLevel="1" x14ac:dyDescent="0.25">
      <c r="A151" s="44"/>
      <c r="B151" s="11" t="str">
        <f>CONCATENATE("          ", "5035", " - ", "PURCHASES @ COST-HEALTH &amp; BEAU")</f>
        <v xml:space="preserve">          5035 - PURCHASES @ COST-HEALTH &amp; BEAU</v>
      </c>
      <c r="C151" s="11"/>
      <c r="D151" s="2"/>
      <c r="E151" s="2"/>
      <c r="F151" s="19">
        <f t="shared" si="28"/>
        <v>0</v>
      </c>
      <c r="G151" s="2"/>
      <c r="H151" s="2">
        <v>291.13</v>
      </c>
      <c r="I151" s="2"/>
      <c r="J151" s="19">
        <f t="shared" si="29"/>
        <v>7.8188694659764529E-5</v>
      </c>
      <c r="K151" s="2"/>
      <c r="L151" s="2">
        <f t="shared" si="30"/>
        <v>-291.13</v>
      </c>
      <c r="M151" s="2"/>
      <c r="N151" s="19">
        <f t="shared" si="31"/>
        <v>-1</v>
      </c>
      <c r="O151" s="11"/>
      <c r="P151" s="2"/>
      <c r="Q151" s="2"/>
      <c r="R151" s="19">
        <f t="shared" si="32"/>
        <v>0</v>
      </c>
      <c r="S151" s="2"/>
      <c r="T151" s="2">
        <v>578.69000000000005</v>
      </c>
      <c r="U151" s="2"/>
      <c r="V151" s="19">
        <f t="shared" si="33"/>
        <v>4.3001611235128447E-5</v>
      </c>
      <c r="W151" s="2"/>
      <c r="X151" s="2">
        <f t="shared" si="34"/>
        <v>-578.69000000000005</v>
      </c>
      <c r="Y151" s="2"/>
      <c r="Z151" s="19">
        <f t="shared" si="35"/>
        <v>-1</v>
      </c>
    </row>
    <row r="152" spans="1:26" s="24" customFormat="1" hidden="1" outlineLevel="1" x14ac:dyDescent="0.25">
      <c r="A152" s="44"/>
      <c r="B152" s="11" t="str">
        <f>CONCATENATE("          ", "5037", " - ", "PURCHASES @ COST-WATER")</f>
        <v xml:space="preserve">          5037 - PURCHASES @ COST-WATER</v>
      </c>
      <c r="C152" s="11"/>
      <c r="D152" s="2"/>
      <c r="E152" s="2"/>
      <c r="F152" s="19">
        <f t="shared" si="28"/>
        <v>0</v>
      </c>
      <c r="G152" s="2"/>
      <c r="H152" s="2">
        <v>1463.27</v>
      </c>
      <c r="I152" s="2"/>
      <c r="J152" s="19">
        <f t="shared" si="29"/>
        <v>3.9298997435782516E-4</v>
      </c>
      <c r="K152" s="2"/>
      <c r="L152" s="2">
        <f t="shared" si="30"/>
        <v>-1463.27</v>
      </c>
      <c r="M152" s="2"/>
      <c r="N152" s="19">
        <f t="shared" si="31"/>
        <v>-1</v>
      </c>
      <c r="O152" s="11"/>
      <c r="P152" s="2"/>
      <c r="Q152" s="2"/>
      <c r="R152" s="19">
        <f t="shared" si="32"/>
        <v>0</v>
      </c>
      <c r="S152" s="2"/>
      <c r="T152" s="2">
        <v>2855.85</v>
      </c>
      <c r="U152" s="2"/>
      <c r="V152" s="19">
        <f t="shared" si="33"/>
        <v>2.1221405492723489E-4</v>
      </c>
      <c r="W152" s="2"/>
      <c r="X152" s="2">
        <f t="shared" si="34"/>
        <v>-2855.85</v>
      </c>
      <c r="Y152" s="2"/>
      <c r="Z152" s="19">
        <f t="shared" si="35"/>
        <v>-1</v>
      </c>
    </row>
    <row r="153" spans="1:26" s="24" customFormat="1" hidden="1" outlineLevel="1" x14ac:dyDescent="0.25">
      <c r="A153" s="44"/>
      <c r="B153" s="11" t="str">
        <f>CONCATENATE("          ", "5040", " - ", "PURCHASES @ COST-LOGO CLOTHING")</f>
        <v xml:space="preserve">          5040 - PURCHASES @ COST-LOGO CLOTHING</v>
      </c>
      <c r="C153" s="11"/>
      <c r="D153" s="2">
        <v>25420.9</v>
      </c>
      <c r="E153" s="2"/>
      <c r="F153" s="19">
        <f t="shared" si="28"/>
        <v>3.7373753189502389E-2</v>
      </c>
      <c r="G153" s="2"/>
      <c r="H153" s="2">
        <v>176749.05</v>
      </c>
      <c r="I153" s="2"/>
      <c r="J153" s="19">
        <f t="shared" si="29"/>
        <v>4.7469438058095878E-2</v>
      </c>
      <c r="K153" s="2"/>
      <c r="L153" s="2">
        <f t="shared" si="30"/>
        <v>-151328.15</v>
      </c>
      <c r="M153" s="2"/>
      <c r="N153" s="19">
        <f t="shared" si="31"/>
        <v>-0.85617518170536133</v>
      </c>
      <c r="O153" s="11"/>
      <c r="P153" s="2">
        <v>39170.950000000004</v>
      </c>
      <c r="Q153" s="2"/>
      <c r="R153" s="19">
        <f t="shared" si="32"/>
        <v>9.1866969366422718E-3</v>
      </c>
      <c r="S153" s="2"/>
      <c r="T153" s="2">
        <v>512600.91000000003</v>
      </c>
      <c r="U153" s="2"/>
      <c r="V153" s="19">
        <f t="shared" si="33"/>
        <v>3.8090627193476757E-2</v>
      </c>
      <c r="W153" s="2"/>
      <c r="X153" s="2">
        <f t="shared" si="34"/>
        <v>-473429.96</v>
      </c>
      <c r="Y153" s="2"/>
      <c r="Z153" s="19">
        <f t="shared" si="35"/>
        <v>-0.92358392418772728</v>
      </c>
    </row>
    <row r="154" spans="1:26" s="24" customFormat="1" hidden="1" outlineLevel="1" x14ac:dyDescent="0.25">
      <c r="A154" s="44"/>
      <c r="B154" s="11" t="str">
        <f>CONCATENATE("          ", "5041", " - ", "PURCHASES @ COST-LOGO GIFTS")</f>
        <v xml:space="preserve">          5041 - PURCHASES @ COST-LOGO GIFTS</v>
      </c>
      <c r="C154" s="11"/>
      <c r="D154" s="2">
        <v>15289.8</v>
      </c>
      <c r="E154" s="2"/>
      <c r="F154" s="19">
        <f t="shared" si="28"/>
        <v>2.2479031486566315E-2</v>
      </c>
      <c r="G154" s="2"/>
      <c r="H154" s="2">
        <v>27759.98</v>
      </c>
      <c r="I154" s="2"/>
      <c r="J154" s="19">
        <f t="shared" si="29"/>
        <v>7.4554893002478969E-3</v>
      </c>
      <c r="K154" s="2"/>
      <c r="L154" s="2">
        <f t="shared" si="30"/>
        <v>-12470.18</v>
      </c>
      <c r="M154" s="2"/>
      <c r="N154" s="19">
        <f t="shared" si="31"/>
        <v>-0.44921430058667189</v>
      </c>
      <c r="O154" s="11"/>
      <c r="P154" s="2">
        <v>17287.34</v>
      </c>
      <c r="Q154" s="2"/>
      <c r="R154" s="19">
        <f t="shared" si="32"/>
        <v>4.0543707370051885E-3</v>
      </c>
      <c r="S154" s="2"/>
      <c r="T154" s="2">
        <v>70456.460000000006</v>
      </c>
      <c r="U154" s="2"/>
      <c r="V154" s="19">
        <f t="shared" si="33"/>
        <v>5.2355169467648965E-3</v>
      </c>
      <c r="W154" s="2"/>
      <c r="X154" s="2">
        <f t="shared" si="34"/>
        <v>-53169.12000000001</v>
      </c>
      <c r="Y154" s="2"/>
      <c r="Z154" s="19">
        <f t="shared" si="35"/>
        <v>-0.75463797074107908</v>
      </c>
    </row>
    <row r="155" spans="1:26" s="24" customFormat="1" hidden="1" outlineLevel="1" x14ac:dyDescent="0.25">
      <c r="A155" s="44"/>
      <c r="B155" s="11" t="str">
        <f>CONCATENATE("          ", "5042", " - ", "PURCHASES @ COST-EVERYDAY GIFT")</f>
        <v xml:space="preserve">          5042 - PURCHASES @ COST-EVERYDAY GIFT</v>
      </c>
      <c r="C155" s="11"/>
      <c r="D155" s="2">
        <v>9421.5300000000007</v>
      </c>
      <c r="E155" s="2"/>
      <c r="F155" s="19">
        <f t="shared" si="28"/>
        <v>1.3851513395965229E-2</v>
      </c>
      <c r="G155" s="2"/>
      <c r="H155" s="2">
        <v>13956.79</v>
      </c>
      <c r="I155" s="2"/>
      <c r="J155" s="19">
        <f t="shared" si="29"/>
        <v>3.7483708025296434E-3</v>
      </c>
      <c r="K155" s="2"/>
      <c r="L155" s="2">
        <f t="shared" si="30"/>
        <v>-4535.26</v>
      </c>
      <c r="M155" s="2"/>
      <c r="N155" s="19">
        <f t="shared" si="31"/>
        <v>-0.32495007806236248</v>
      </c>
      <c r="O155" s="11"/>
      <c r="P155" s="2">
        <v>10912.68</v>
      </c>
      <c r="Q155" s="2"/>
      <c r="R155" s="19">
        <f t="shared" si="32"/>
        <v>2.5593324626172554E-3</v>
      </c>
      <c r="S155" s="2"/>
      <c r="T155" s="2">
        <v>49248.47</v>
      </c>
      <c r="U155" s="2"/>
      <c r="V155" s="19">
        <f t="shared" si="33"/>
        <v>3.6595820920784635E-3</v>
      </c>
      <c r="W155" s="2"/>
      <c r="X155" s="2">
        <f t="shared" si="34"/>
        <v>-38335.79</v>
      </c>
      <c r="Y155" s="2"/>
      <c r="Z155" s="19">
        <f t="shared" si="35"/>
        <v>-0.77841585738602637</v>
      </c>
    </row>
    <row r="156" spans="1:26" s="24" customFormat="1" hidden="1" outlineLevel="1" x14ac:dyDescent="0.25">
      <c r="A156" s="44"/>
      <c r="B156" s="11" t="str">
        <f>CONCATENATE("          ", "5043", " - ", "PURCHASES @ COST-CARDS")</f>
        <v xml:space="preserve">          5043 - PURCHASES @ COST-CARDS</v>
      </c>
      <c r="C156" s="11"/>
      <c r="D156" s="2">
        <v>2526.75</v>
      </c>
      <c r="E156" s="2"/>
      <c r="F156" s="19">
        <f t="shared" si="28"/>
        <v>3.7148224835302905E-3</v>
      </c>
      <c r="G156" s="2"/>
      <c r="H156" s="2">
        <v>331.09</v>
      </c>
      <c r="I156" s="2"/>
      <c r="J156" s="19">
        <f t="shared" si="29"/>
        <v>8.8920739583352577E-5</v>
      </c>
      <c r="K156" s="2"/>
      <c r="L156" s="2">
        <f t="shared" si="30"/>
        <v>2195.66</v>
      </c>
      <c r="M156" s="2"/>
      <c r="N156" s="19">
        <f t="shared" si="31"/>
        <v>6.631610740282099</v>
      </c>
      <c r="O156" s="11"/>
      <c r="P156" s="2">
        <v>5643</v>
      </c>
      <c r="Q156" s="2"/>
      <c r="R156" s="19">
        <f t="shared" si="32"/>
        <v>1.3234432867589971E-3</v>
      </c>
      <c r="S156" s="2"/>
      <c r="T156" s="2">
        <v>1340.08</v>
      </c>
      <c r="U156" s="2"/>
      <c r="V156" s="19">
        <f t="shared" si="33"/>
        <v>9.9579393429938167E-5</v>
      </c>
      <c r="W156" s="2"/>
      <c r="X156" s="2">
        <f t="shared" si="34"/>
        <v>4302.92</v>
      </c>
      <c r="Y156" s="2"/>
      <c r="Z156" s="19">
        <f t="shared" si="35"/>
        <v>3.2109426302907291</v>
      </c>
    </row>
    <row r="157" spans="1:26" s="24" customFormat="1" hidden="1" outlineLevel="1" x14ac:dyDescent="0.25">
      <c r="A157" s="44"/>
      <c r="B157" s="11" t="str">
        <f>CONCATENATE("          ", "5044", " - ", "PURCHASES @ COST-ACCESSORIES")</f>
        <v xml:space="preserve">          5044 - PURCHASES @ COST-ACCESSORIES</v>
      </c>
      <c r="C157" s="11"/>
      <c r="D157" s="2"/>
      <c r="E157" s="2"/>
      <c r="F157" s="19">
        <f t="shared" si="28"/>
        <v>0</v>
      </c>
      <c r="G157" s="2"/>
      <c r="H157" s="2">
        <v>3747.48</v>
      </c>
      <c r="I157" s="2"/>
      <c r="J157" s="19">
        <f t="shared" si="29"/>
        <v>1.0064595523085027E-3</v>
      </c>
      <c r="K157" s="2"/>
      <c r="L157" s="2">
        <f t="shared" si="30"/>
        <v>-3747.48</v>
      </c>
      <c r="M157" s="2"/>
      <c r="N157" s="19">
        <f t="shared" si="31"/>
        <v>-1</v>
      </c>
      <c r="O157" s="11"/>
      <c r="P157" s="2"/>
      <c r="Q157" s="2"/>
      <c r="R157" s="19">
        <f t="shared" si="32"/>
        <v>0</v>
      </c>
      <c r="S157" s="2"/>
      <c r="T157" s="2">
        <v>24151.129999999997</v>
      </c>
      <c r="U157" s="2"/>
      <c r="V157" s="19">
        <f t="shared" si="33"/>
        <v>1.7946353024055151E-3</v>
      </c>
      <c r="W157" s="2"/>
      <c r="X157" s="2">
        <f t="shared" si="34"/>
        <v>-24151.129999999997</v>
      </c>
      <c r="Y157" s="2"/>
      <c r="Z157" s="19">
        <f t="shared" si="35"/>
        <v>-1</v>
      </c>
    </row>
    <row r="158" spans="1:26" s="24" customFormat="1" hidden="1" outlineLevel="1" x14ac:dyDescent="0.25">
      <c r="A158" s="44"/>
      <c r="B158" s="11" t="str">
        <f>CONCATENATE("          ", "5045", " - ", "PURCHASES @ COST-SPECIAL ORDER")</f>
        <v xml:space="preserve">          5045 - PURCHASES @ COST-SPECIAL ORDER</v>
      </c>
      <c r="C158" s="11"/>
      <c r="D158" s="2">
        <v>10080.23</v>
      </c>
      <c r="E158" s="2"/>
      <c r="F158" s="19">
        <f t="shared" si="28"/>
        <v>1.4819932736976961E-2</v>
      </c>
      <c r="G158" s="2"/>
      <c r="H158" s="2">
        <v>3599.17</v>
      </c>
      <c r="I158" s="2"/>
      <c r="J158" s="19">
        <f t="shared" si="29"/>
        <v>9.6662798117193251E-4</v>
      </c>
      <c r="K158" s="2"/>
      <c r="L158" s="2">
        <f t="shared" si="30"/>
        <v>6481.0599999999995</v>
      </c>
      <c r="M158" s="2"/>
      <c r="N158" s="19">
        <f t="shared" si="31"/>
        <v>1.8007096080485221</v>
      </c>
      <c r="O158" s="11"/>
      <c r="P158" s="2">
        <v>71254.52</v>
      </c>
      <c r="Q158" s="2"/>
      <c r="R158" s="19">
        <f t="shared" si="32"/>
        <v>1.6711202577571273E-2</v>
      </c>
      <c r="S158" s="2"/>
      <c r="T158" s="2">
        <v>28063.200000000001</v>
      </c>
      <c r="U158" s="2"/>
      <c r="V158" s="19">
        <f t="shared" si="33"/>
        <v>2.08533552750809E-3</v>
      </c>
      <c r="W158" s="2"/>
      <c r="X158" s="2">
        <f t="shared" si="34"/>
        <v>43191.320000000007</v>
      </c>
      <c r="Y158" s="2"/>
      <c r="Z158" s="19">
        <f t="shared" si="35"/>
        <v>1.539073234698823</v>
      </c>
    </row>
    <row r="159" spans="1:26" s="24" customFormat="1" hidden="1" outlineLevel="1" x14ac:dyDescent="0.25">
      <c r="A159" s="44"/>
      <c r="B159" s="11" t="str">
        <f>CONCATENATE("          ", "5053", " - ", "PURCHASES @ COST-FOOD")</f>
        <v xml:space="preserve">          5053 - PURCHASES @ COST-FOOD</v>
      </c>
      <c r="C159" s="11"/>
      <c r="D159" s="2">
        <v>64600.930000000008</v>
      </c>
      <c r="E159" s="2"/>
      <c r="F159" s="19">
        <f t="shared" si="28"/>
        <v>9.4976150082503805E-2</v>
      </c>
      <c r="G159" s="2"/>
      <c r="H159" s="2">
        <v>926039.94000000006</v>
      </c>
      <c r="I159" s="2"/>
      <c r="J159" s="19">
        <f t="shared" si="29"/>
        <v>0.2487062621901098</v>
      </c>
      <c r="K159" s="2"/>
      <c r="L159" s="2">
        <f t="shared" si="30"/>
        <v>-861439.01</v>
      </c>
      <c r="M159" s="2"/>
      <c r="N159" s="19">
        <f t="shared" si="31"/>
        <v>-0.93023958556258379</v>
      </c>
      <c r="O159" s="11"/>
      <c r="P159" s="2">
        <v>192681.29</v>
      </c>
      <c r="Q159" s="2"/>
      <c r="R159" s="19">
        <f t="shared" si="32"/>
        <v>4.5189218453759256E-2</v>
      </c>
      <c r="S159" s="2"/>
      <c r="T159" s="2">
        <v>2338600.98</v>
      </c>
      <c r="U159" s="2"/>
      <c r="V159" s="19">
        <f t="shared" si="33"/>
        <v>0.17377803344804713</v>
      </c>
      <c r="W159" s="2"/>
      <c r="X159" s="2">
        <f t="shared" si="34"/>
        <v>-2145919.69</v>
      </c>
      <c r="Y159" s="2"/>
      <c r="Z159" s="19">
        <f t="shared" si="35"/>
        <v>-0.91760830870771293</v>
      </c>
    </row>
    <row r="160" spans="1:26" s="24" customFormat="1" hidden="1" outlineLevel="1" x14ac:dyDescent="0.25">
      <c r="A160" s="44"/>
      <c r="B160" s="11" t="str">
        <f>CONCATENATE("          ", "5059", " - ", "PURCHASES @ COST-FOOD")</f>
        <v xml:space="preserve">          5059 - PURCHASES @ COST-FOOD</v>
      </c>
      <c r="C160" s="11"/>
      <c r="D160" s="2">
        <v>25839.9</v>
      </c>
      <c r="E160" s="2"/>
      <c r="F160" s="19">
        <f t="shared" si="28"/>
        <v>3.7989766099603979E-2</v>
      </c>
      <c r="G160" s="2"/>
      <c r="H160" s="2">
        <v>-22045.34</v>
      </c>
      <c r="I160" s="2"/>
      <c r="J160" s="19">
        <f t="shared" si="29"/>
        <v>-5.9207101910854027E-3</v>
      </c>
      <c r="K160" s="2"/>
      <c r="L160" s="2">
        <f t="shared" si="30"/>
        <v>47885.240000000005</v>
      </c>
      <c r="M160" s="2"/>
      <c r="N160" s="19">
        <f t="shared" si="31"/>
        <v>-2.1721252654756062</v>
      </c>
      <c r="O160" s="11"/>
      <c r="P160" s="2">
        <v>2968.29</v>
      </c>
      <c r="Q160" s="2"/>
      <c r="R160" s="19">
        <f t="shared" si="32"/>
        <v>6.961480548739789E-4</v>
      </c>
      <c r="S160" s="2"/>
      <c r="T160" s="2">
        <v>-109586.63</v>
      </c>
      <c r="U160" s="2"/>
      <c r="V160" s="19">
        <f t="shared" si="33"/>
        <v>-8.1432228997008142E-3</v>
      </c>
      <c r="W160" s="2"/>
      <c r="X160" s="2">
        <f t="shared" si="34"/>
        <v>112554.92</v>
      </c>
      <c r="Y160" s="2"/>
      <c r="Z160" s="19">
        <f t="shared" si="35"/>
        <v>-1.0270862421811857</v>
      </c>
    </row>
    <row r="161" spans="1:26" s="24" customFormat="1" hidden="1" outlineLevel="1" x14ac:dyDescent="0.25">
      <c r="A161" s="44"/>
      <c r="B161" s="11" t="str">
        <f>CONCATENATE("          ", "5081", " - ", "PURCHASES @ COST-ELECTRONICS")</f>
        <v xml:space="preserve">          5081 - PURCHASES @ COST-ELECTRONICS</v>
      </c>
      <c r="C161" s="11"/>
      <c r="D161" s="2">
        <v>6249.76</v>
      </c>
      <c r="E161" s="2"/>
      <c r="F161" s="19">
        <f t="shared" si="28"/>
        <v>9.1883838783687628E-3</v>
      </c>
      <c r="G161" s="2"/>
      <c r="H161" s="2">
        <v>18978.52</v>
      </c>
      <c r="I161" s="2"/>
      <c r="J161" s="19">
        <f t="shared" si="29"/>
        <v>5.0970552858662262E-3</v>
      </c>
      <c r="K161" s="2"/>
      <c r="L161" s="2">
        <f t="shared" si="30"/>
        <v>-12728.76</v>
      </c>
      <c r="M161" s="2"/>
      <c r="N161" s="19">
        <f t="shared" si="31"/>
        <v>-0.67069297289778129</v>
      </c>
      <c r="O161" s="11"/>
      <c r="P161" s="2">
        <v>21947.21</v>
      </c>
      <c r="Q161" s="2"/>
      <c r="R161" s="19">
        <f t="shared" si="32"/>
        <v>5.1472422005298469E-3</v>
      </c>
      <c r="S161" s="2"/>
      <c r="T161" s="2">
        <v>169136.69</v>
      </c>
      <c r="U161" s="2"/>
      <c r="V161" s="19">
        <f t="shared" si="33"/>
        <v>1.2568301143922371E-2</v>
      </c>
      <c r="W161" s="2"/>
      <c r="X161" s="2">
        <f t="shared" si="34"/>
        <v>-147189.48000000001</v>
      </c>
      <c r="Y161" s="2"/>
      <c r="Z161" s="19">
        <f t="shared" si="35"/>
        <v>-0.87023980426718772</v>
      </c>
    </row>
    <row r="162" spans="1:26" s="24" customFormat="1" hidden="1" outlineLevel="1" x14ac:dyDescent="0.25">
      <c r="A162" s="44"/>
      <c r="B162" s="11" t="str">
        <f>CONCATENATE("          ", "5082", " - ", "PURCHASES @ COST-COMPUTER HARD")</f>
        <v xml:space="preserve">          5082 - PURCHASES @ COST-COMPUTER HARD</v>
      </c>
      <c r="C162" s="11"/>
      <c r="D162" s="2">
        <v>175404.87</v>
      </c>
      <c r="E162" s="2"/>
      <c r="F162" s="19">
        <f t="shared" si="28"/>
        <v>0.25787986733816476</v>
      </c>
      <c r="G162" s="2"/>
      <c r="H162" s="2">
        <v>94594.73</v>
      </c>
      <c r="I162" s="2"/>
      <c r="J162" s="19">
        <f t="shared" si="29"/>
        <v>2.5405277574942011E-2</v>
      </c>
      <c r="K162" s="2"/>
      <c r="L162" s="2">
        <f t="shared" si="30"/>
        <v>80810.14</v>
      </c>
      <c r="M162" s="2"/>
      <c r="N162" s="19">
        <f t="shared" si="31"/>
        <v>0.85427740002006458</v>
      </c>
      <c r="O162" s="11"/>
      <c r="P162" s="2">
        <v>888778.08000000007</v>
      </c>
      <c r="Q162" s="2"/>
      <c r="R162" s="19">
        <f t="shared" si="32"/>
        <v>0.2084436263325449</v>
      </c>
      <c r="S162" s="2"/>
      <c r="T162" s="2">
        <v>895787.3</v>
      </c>
      <c r="U162" s="2"/>
      <c r="V162" s="19">
        <f t="shared" si="33"/>
        <v>6.6564649853920702E-2</v>
      </c>
      <c r="W162" s="2"/>
      <c r="X162" s="2">
        <f t="shared" si="34"/>
        <v>-7009.2199999999721</v>
      </c>
      <c r="Y162" s="2"/>
      <c r="Z162" s="19">
        <f t="shared" si="35"/>
        <v>-7.8246476591038658E-3</v>
      </c>
    </row>
    <row r="163" spans="1:26" s="24" customFormat="1" hidden="1" outlineLevel="1" x14ac:dyDescent="0.25">
      <c r="A163" s="44"/>
      <c r="B163" s="11" t="str">
        <f>CONCATENATE("          ", "5083", " - ", "PURCHASES @ COST-COMPUTER EQUI")</f>
        <v xml:space="preserve">          5083 - PURCHASES @ COST-COMPUTER EQUI</v>
      </c>
      <c r="C163" s="11"/>
      <c r="D163" s="2">
        <v>11838.95</v>
      </c>
      <c r="E163" s="2"/>
      <c r="F163" s="19">
        <f t="shared" si="28"/>
        <v>1.7405599145697413E-2</v>
      </c>
      <c r="G163" s="2"/>
      <c r="H163" s="2">
        <v>14172.43</v>
      </c>
      <c r="I163" s="2"/>
      <c r="J163" s="19">
        <f t="shared" si="29"/>
        <v>3.8062851710812581E-3</v>
      </c>
      <c r="K163" s="2"/>
      <c r="L163" s="2">
        <f t="shared" si="30"/>
        <v>-2333.4799999999996</v>
      </c>
      <c r="M163" s="2"/>
      <c r="N163" s="19">
        <f t="shared" si="31"/>
        <v>-0.16464925210426154</v>
      </c>
      <c r="O163" s="11"/>
      <c r="P163" s="2">
        <v>73272.95</v>
      </c>
      <c r="Q163" s="2"/>
      <c r="R163" s="19">
        <f t="shared" si="32"/>
        <v>1.7184581566281703E-2</v>
      </c>
      <c r="S163" s="2"/>
      <c r="T163" s="2">
        <v>42040.84</v>
      </c>
      <c r="U163" s="2"/>
      <c r="V163" s="19">
        <f t="shared" si="33"/>
        <v>3.1239936022364944E-3</v>
      </c>
      <c r="W163" s="2"/>
      <c r="X163" s="2">
        <f t="shared" si="34"/>
        <v>31232.11</v>
      </c>
      <c r="Y163" s="2"/>
      <c r="Z163" s="19">
        <f t="shared" si="35"/>
        <v>0.74289928555185869</v>
      </c>
    </row>
    <row r="164" spans="1:26" s="24" customFormat="1" hidden="1" outlineLevel="1" x14ac:dyDescent="0.25">
      <c r="A164" s="44"/>
      <c r="B164" s="11" t="str">
        <f>CONCATENATE("          ", "5084", " - ", "PURCHASES @ COST-SOFTWARE LICE")</f>
        <v xml:space="preserve">          5084 - PURCHASES @ COST-SOFTWARE LICE</v>
      </c>
      <c r="C164" s="11"/>
      <c r="D164" s="2"/>
      <c r="E164" s="2"/>
      <c r="F164" s="19">
        <f t="shared" si="28"/>
        <v>0</v>
      </c>
      <c r="G164" s="2"/>
      <c r="H164" s="2">
        <v>1206</v>
      </c>
      <c r="I164" s="2"/>
      <c r="J164" s="19">
        <f t="shared" si="29"/>
        <v>3.2389504949567556E-4</v>
      </c>
      <c r="K164" s="2"/>
      <c r="L164" s="2">
        <f t="shared" si="30"/>
        <v>-1206</v>
      </c>
      <c r="M164" s="2"/>
      <c r="N164" s="19">
        <f t="shared" si="31"/>
        <v>-1</v>
      </c>
      <c r="O164" s="11"/>
      <c r="P164" s="2"/>
      <c r="Q164" s="2"/>
      <c r="R164" s="19">
        <f t="shared" si="32"/>
        <v>0</v>
      </c>
      <c r="S164" s="2"/>
      <c r="T164" s="2">
        <v>2728</v>
      </c>
      <c r="U164" s="2"/>
      <c r="V164" s="19">
        <f t="shared" si="33"/>
        <v>2.0271370759721163E-4</v>
      </c>
      <c r="W164" s="2"/>
      <c r="X164" s="2">
        <f t="shared" si="34"/>
        <v>-2728</v>
      </c>
      <c r="Y164" s="2"/>
      <c r="Z164" s="19">
        <f t="shared" si="35"/>
        <v>-1</v>
      </c>
    </row>
    <row r="165" spans="1:26" s="24" customFormat="1" hidden="1" outlineLevel="1" x14ac:dyDescent="0.25">
      <c r="A165" s="44"/>
      <c r="B165" s="11" t="str">
        <f>CONCATENATE("          ", "5085", " - ", "PURCHASES @ COST-SOFTWARE")</f>
        <v xml:space="preserve">          5085 - PURCHASES @ COST-SOFTWARE</v>
      </c>
      <c r="C165" s="11"/>
      <c r="D165" s="2">
        <v>5843.52</v>
      </c>
      <c r="E165" s="2"/>
      <c r="F165" s="19">
        <f t="shared" si="28"/>
        <v>8.5911306931666861E-3</v>
      </c>
      <c r="G165" s="2"/>
      <c r="H165" s="2">
        <v>506.04</v>
      </c>
      <c r="I165" s="2"/>
      <c r="J165" s="19">
        <f t="shared" si="29"/>
        <v>1.3590700733564815E-4</v>
      </c>
      <c r="K165" s="2"/>
      <c r="L165" s="2">
        <f t="shared" si="30"/>
        <v>5337.4800000000005</v>
      </c>
      <c r="M165" s="2"/>
      <c r="N165" s="19">
        <f t="shared" si="31"/>
        <v>10.547545648565331</v>
      </c>
      <c r="O165" s="11"/>
      <c r="P165" s="2">
        <v>20681.2</v>
      </c>
      <c r="Q165" s="2"/>
      <c r="R165" s="19">
        <f t="shared" si="32"/>
        <v>4.8503270072869338E-3</v>
      </c>
      <c r="S165" s="2"/>
      <c r="T165" s="2">
        <v>6932.04</v>
      </c>
      <c r="U165" s="2"/>
      <c r="V165" s="19">
        <f t="shared" si="33"/>
        <v>5.151097982449321E-4</v>
      </c>
      <c r="W165" s="2"/>
      <c r="X165" s="2">
        <f t="shared" si="34"/>
        <v>13749.16</v>
      </c>
      <c r="Y165" s="2"/>
      <c r="Z165" s="19">
        <f t="shared" si="35"/>
        <v>1.9834219075481387</v>
      </c>
    </row>
    <row r="166" spans="1:26" s="24" customFormat="1" hidden="1" outlineLevel="1" x14ac:dyDescent="0.25">
      <c r="A166" s="44"/>
      <c r="B166" s="11" t="str">
        <f>CONCATENATE("          ", "5086", " - ", "PURCHASES @ COST-COMPUTER SUPP")</f>
        <v xml:space="preserve">          5086 - PURCHASES @ COST-COMPUTER SUPP</v>
      </c>
      <c r="C166" s="11"/>
      <c r="D166" s="2">
        <v>773.47</v>
      </c>
      <c r="E166" s="2"/>
      <c r="F166" s="19">
        <f t="shared" si="28"/>
        <v>1.13715395125603E-3</v>
      </c>
      <c r="G166" s="2"/>
      <c r="H166" s="2">
        <v>5942.35</v>
      </c>
      <c r="I166" s="2"/>
      <c r="J166" s="19">
        <f t="shared" si="29"/>
        <v>1.5959351139059931E-3</v>
      </c>
      <c r="K166" s="2"/>
      <c r="L166" s="2">
        <f t="shared" si="30"/>
        <v>-5168.88</v>
      </c>
      <c r="M166" s="2"/>
      <c r="N166" s="19">
        <f t="shared" si="31"/>
        <v>-0.86983769047599013</v>
      </c>
      <c r="O166" s="11"/>
      <c r="P166" s="2">
        <v>22529.439999999999</v>
      </c>
      <c r="Q166" s="2"/>
      <c r="R166" s="19">
        <f t="shared" si="32"/>
        <v>5.2837916219102632E-3</v>
      </c>
      <c r="S166" s="2"/>
      <c r="T166" s="2">
        <v>18509.099999999999</v>
      </c>
      <c r="U166" s="2"/>
      <c r="V166" s="19">
        <f t="shared" si="33"/>
        <v>1.3753842688004213E-3</v>
      </c>
      <c r="W166" s="2"/>
      <c r="X166" s="2">
        <f t="shared" si="34"/>
        <v>4020.34</v>
      </c>
      <c r="Y166" s="2"/>
      <c r="Z166" s="19">
        <f t="shared" si="35"/>
        <v>0.21720883241216485</v>
      </c>
    </row>
    <row r="167" spans="1:26" s="24" customFormat="1" hidden="1" outlineLevel="1" x14ac:dyDescent="0.25">
      <c r="A167" s="44"/>
      <c r="B167" s="11" t="str">
        <f>CONCATENATE("          ", "5088", " - ", "PURCHASES @ COST-MUSIC")</f>
        <v xml:space="preserve">          5088 - PURCHASES @ COST-MUSIC</v>
      </c>
      <c r="C167" s="11"/>
      <c r="D167" s="2"/>
      <c r="E167" s="2"/>
      <c r="F167" s="19">
        <f t="shared" si="28"/>
        <v>0</v>
      </c>
      <c r="G167" s="2"/>
      <c r="H167" s="2"/>
      <c r="I167" s="2"/>
      <c r="J167" s="19">
        <f t="shared" si="29"/>
        <v>0</v>
      </c>
      <c r="K167" s="2"/>
      <c r="L167" s="2">
        <f t="shared" si="30"/>
        <v>0</v>
      </c>
      <c r="M167" s="2"/>
      <c r="N167" s="19">
        <f t="shared" si="31"/>
        <v>0</v>
      </c>
      <c r="O167" s="11"/>
      <c r="P167" s="2"/>
      <c r="Q167" s="2"/>
      <c r="R167" s="19">
        <f t="shared" si="32"/>
        <v>0</v>
      </c>
      <c r="S167" s="2"/>
      <c r="T167" s="2">
        <v>88.75</v>
      </c>
      <c r="U167" s="2"/>
      <c r="V167" s="19">
        <f t="shared" si="33"/>
        <v>6.5948832658550331E-6</v>
      </c>
      <c r="W167" s="2"/>
      <c r="X167" s="2">
        <f t="shared" si="34"/>
        <v>-88.75</v>
      </c>
      <c r="Y167" s="2"/>
      <c r="Z167" s="19">
        <f t="shared" si="35"/>
        <v>-1</v>
      </c>
    </row>
    <row r="168" spans="1:26" s="24" customFormat="1" hidden="1" outlineLevel="1" x14ac:dyDescent="0.25">
      <c r="A168" s="44"/>
      <c r="B168" s="11" t="str">
        <f>CONCATENATE("          ", "5092", " - ", "PURCHASES @ COST-GRAD MERCH")</f>
        <v xml:space="preserve">          5092 - PURCHASES @ COST-GRAD MERCH</v>
      </c>
      <c r="C168" s="11"/>
      <c r="D168" s="2"/>
      <c r="E168" s="2"/>
      <c r="F168" s="19">
        <f t="shared" si="28"/>
        <v>0</v>
      </c>
      <c r="G168" s="2"/>
      <c r="H168" s="2">
        <v>1296.1400000000001</v>
      </c>
      <c r="I168" s="2"/>
      <c r="J168" s="19">
        <f t="shared" si="29"/>
        <v>3.4810392160308865E-4</v>
      </c>
      <c r="K168" s="2"/>
      <c r="L168" s="2">
        <f t="shared" si="30"/>
        <v>-1296.1400000000001</v>
      </c>
      <c r="M168" s="2"/>
      <c r="N168" s="19">
        <f t="shared" si="31"/>
        <v>-1</v>
      </c>
      <c r="O168" s="11"/>
      <c r="P168" s="2"/>
      <c r="Q168" s="2"/>
      <c r="R168" s="19">
        <f t="shared" si="32"/>
        <v>0</v>
      </c>
      <c r="S168" s="2"/>
      <c r="T168" s="2">
        <v>1296.1400000000001</v>
      </c>
      <c r="U168" s="2"/>
      <c r="V168" s="19">
        <f t="shared" si="33"/>
        <v>9.6314276013581335E-5</v>
      </c>
      <c r="W168" s="2"/>
      <c r="X168" s="2">
        <f t="shared" si="34"/>
        <v>-1296.1400000000001</v>
      </c>
      <c r="Y168" s="2"/>
      <c r="Z168" s="19">
        <f t="shared" si="35"/>
        <v>-1</v>
      </c>
    </row>
    <row r="169" spans="1:26" s="24" customFormat="1" hidden="1" outlineLevel="1" x14ac:dyDescent="0.25">
      <c r="A169" s="44"/>
      <c r="B169" s="11" t="str">
        <f>CONCATENATE("          ", "5095", " - ", "PURCHASES @ COST-CUSTOMER SERV")</f>
        <v xml:space="preserve">          5095 - PURCHASES @ COST-CUSTOMER SERV</v>
      </c>
      <c r="C169" s="11"/>
      <c r="D169" s="2"/>
      <c r="E169" s="2"/>
      <c r="F169" s="19">
        <f t="shared" si="28"/>
        <v>0</v>
      </c>
      <c r="G169" s="2"/>
      <c r="H169" s="2"/>
      <c r="I169" s="2"/>
      <c r="J169" s="19">
        <f t="shared" si="29"/>
        <v>0</v>
      </c>
      <c r="K169" s="2"/>
      <c r="L169" s="2">
        <f t="shared" si="30"/>
        <v>0</v>
      </c>
      <c r="M169" s="2"/>
      <c r="N169" s="19">
        <f t="shared" si="31"/>
        <v>0</v>
      </c>
      <c r="O169" s="11"/>
      <c r="P169" s="2"/>
      <c r="Q169" s="2"/>
      <c r="R169" s="19">
        <f t="shared" si="32"/>
        <v>0</v>
      </c>
      <c r="S169" s="2"/>
      <c r="T169" s="2">
        <v>0</v>
      </c>
      <c r="U169" s="2"/>
      <c r="V169" s="19">
        <f t="shared" si="33"/>
        <v>0</v>
      </c>
      <c r="W169" s="2"/>
      <c r="X169" s="2">
        <f t="shared" si="34"/>
        <v>0</v>
      </c>
      <c r="Y169" s="2"/>
      <c r="Z169" s="19">
        <f t="shared" si="35"/>
        <v>0</v>
      </c>
    </row>
    <row r="170" spans="1:26" s="24" customFormat="1" hidden="1" outlineLevel="1" x14ac:dyDescent="0.25">
      <c r="A170" s="44"/>
      <c r="B170" s="11" t="str">
        <f>CONCATENATE("          ", "5200", " - ", "PURCHASES OFFSET")</f>
        <v xml:space="preserve">          5200 - PURCHASES OFFSET</v>
      </c>
      <c r="C170" s="11"/>
      <c r="D170" s="2">
        <v>-434415.86</v>
      </c>
      <c r="E170" s="2"/>
      <c r="F170" s="19">
        <f t="shared" si="28"/>
        <v>-0.63867727473242186</v>
      </c>
      <c r="G170" s="2"/>
      <c r="H170" s="2">
        <v>-237338.99999999997</v>
      </c>
      <c r="I170" s="2"/>
      <c r="J170" s="19">
        <f t="shared" si="29"/>
        <v>-6.3742062315301926E-2</v>
      </c>
      <c r="K170" s="2"/>
      <c r="L170" s="2">
        <f t="shared" si="30"/>
        <v>-197076.86000000002</v>
      </c>
      <c r="M170" s="2"/>
      <c r="N170" s="19">
        <f t="shared" si="31"/>
        <v>0.8303602020738271</v>
      </c>
      <c r="O170" s="11"/>
      <c r="P170" s="2">
        <v>-2796709.36</v>
      </c>
      <c r="Q170" s="2"/>
      <c r="R170" s="19">
        <f t="shared" si="32"/>
        <v>-0.65590753632962095</v>
      </c>
      <c r="S170" s="2"/>
      <c r="T170" s="2">
        <v>-3872821</v>
      </c>
      <c r="U170" s="2"/>
      <c r="V170" s="19">
        <f t="shared" si="33"/>
        <v>-0.28778368906537416</v>
      </c>
      <c r="W170" s="2"/>
      <c r="X170" s="2">
        <f t="shared" si="34"/>
        <v>1076111.6400000001</v>
      </c>
      <c r="Y170" s="2"/>
      <c r="Z170" s="19">
        <f t="shared" si="35"/>
        <v>-0.2778624780231258</v>
      </c>
    </row>
    <row r="171" spans="1:26" s="24" customFormat="1" hidden="1" outlineLevel="1" x14ac:dyDescent="0.25">
      <c r="A171" s="44"/>
      <c r="B171" s="11" t="str">
        <f>CONCATENATE("          ", "5300", " - ", "COG$ OFFSET")</f>
        <v xml:space="preserve">          5300 - COG$ OFFSET</v>
      </c>
      <c r="C171" s="11"/>
      <c r="D171" s="2">
        <v>241934</v>
      </c>
      <c r="E171" s="2"/>
      <c r="F171" s="19">
        <f t="shared" si="28"/>
        <v>0.35569085296543673</v>
      </c>
      <c r="G171" s="2"/>
      <c r="H171" s="2">
        <v>328565</v>
      </c>
      <c r="I171" s="2"/>
      <c r="J171" s="19">
        <f t="shared" si="29"/>
        <v>8.8242601109076807E-2</v>
      </c>
      <c r="K171" s="2"/>
      <c r="L171" s="2">
        <f t="shared" si="30"/>
        <v>-86631</v>
      </c>
      <c r="M171" s="2"/>
      <c r="N171" s="19">
        <f t="shared" si="31"/>
        <v>-0.26366472387503231</v>
      </c>
      <c r="O171" s="11"/>
      <c r="P171" s="2">
        <v>2276964</v>
      </c>
      <c r="Q171" s="2"/>
      <c r="R171" s="19">
        <f t="shared" si="32"/>
        <v>0.53401253233952028</v>
      </c>
      <c r="S171" s="2"/>
      <c r="T171" s="2">
        <v>3332472</v>
      </c>
      <c r="U171" s="2"/>
      <c r="V171" s="19">
        <f t="shared" si="33"/>
        <v>0.24763114170963893</v>
      </c>
      <c r="W171" s="2"/>
      <c r="X171" s="2">
        <f t="shared" si="34"/>
        <v>-1055508</v>
      </c>
      <c r="Y171" s="2"/>
      <c r="Z171" s="19">
        <f t="shared" si="35"/>
        <v>-0.31673424412868284</v>
      </c>
    </row>
    <row r="172" spans="1:26" s="24" customFormat="1" hidden="1" outlineLevel="1" x14ac:dyDescent="0.25">
      <c r="A172" s="44"/>
      <c r="B172" s="11" t="str">
        <f>CONCATENATE("          ", "5500", " - ", "FREIGHT-IN")</f>
        <v xml:space="preserve">          5500 - FREIGHT-IN</v>
      </c>
      <c r="C172" s="11"/>
      <c r="D172" s="2"/>
      <c r="E172" s="2"/>
      <c r="F172" s="19">
        <f t="shared" si="28"/>
        <v>0</v>
      </c>
      <c r="G172" s="2"/>
      <c r="H172" s="2">
        <v>35.229999999999997</v>
      </c>
      <c r="I172" s="2"/>
      <c r="J172" s="19">
        <f t="shared" si="29"/>
        <v>9.4617102767269059E-6</v>
      </c>
      <c r="K172" s="2"/>
      <c r="L172" s="2">
        <f t="shared" si="30"/>
        <v>-35.229999999999997</v>
      </c>
      <c r="M172" s="2"/>
      <c r="N172" s="19">
        <f t="shared" si="31"/>
        <v>-1</v>
      </c>
      <c r="O172" s="11"/>
      <c r="P172" s="2"/>
      <c r="Q172" s="2"/>
      <c r="R172" s="19">
        <f t="shared" si="32"/>
        <v>0</v>
      </c>
      <c r="S172" s="2"/>
      <c r="T172" s="2">
        <v>35.229999999999997</v>
      </c>
      <c r="U172" s="2"/>
      <c r="V172" s="19">
        <f t="shared" si="33"/>
        <v>2.6178899995050457E-6</v>
      </c>
      <c r="W172" s="2"/>
      <c r="X172" s="2">
        <f t="shared" si="34"/>
        <v>-35.229999999999997</v>
      </c>
      <c r="Y172" s="2"/>
      <c r="Z172" s="19">
        <f t="shared" si="35"/>
        <v>-1</v>
      </c>
    </row>
    <row r="173" spans="1:26" s="24" customFormat="1" hidden="1" outlineLevel="1" x14ac:dyDescent="0.25">
      <c r="A173" s="44"/>
      <c r="B173" s="11" t="str">
        <f>CONCATENATE("          ", "5501", " - ", "FREIGHT-IN-NEW TEXT")</f>
        <v xml:space="preserve">          5501 - FREIGHT-IN-NEW TEXT</v>
      </c>
      <c r="C173" s="11"/>
      <c r="D173" s="2">
        <v>23295.74</v>
      </c>
      <c r="E173" s="2"/>
      <c r="F173" s="19">
        <f t="shared" si="28"/>
        <v>3.4249347471050136E-2</v>
      </c>
      <c r="G173" s="2"/>
      <c r="H173" s="2">
        <v>7434.02</v>
      </c>
      <c r="I173" s="2"/>
      <c r="J173" s="19">
        <f t="shared" si="29"/>
        <v>1.9965524675388409E-3</v>
      </c>
      <c r="K173" s="2"/>
      <c r="L173" s="2">
        <f t="shared" si="30"/>
        <v>15861.720000000001</v>
      </c>
      <c r="M173" s="2"/>
      <c r="N173" s="19">
        <f t="shared" si="31"/>
        <v>2.1336665760920739</v>
      </c>
      <c r="O173" s="11"/>
      <c r="P173" s="2">
        <v>34058.620000000003</v>
      </c>
      <c r="Q173" s="2"/>
      <c r="R173" s="19">
        <f t="shared" si="32"/>
        <v>7.9877107912946499E-3</v>
      </c>
      <c r="S173" s="2"/>
      <c r="T173" s="2">
        <v>34017.480000000003</v>
      </c>
      <c r="U173" s="2"/>
      <c r="V173" s="19">
        <f t="shared" si="33"/>
        <v>2.5277894039274175E-3</v>
      </c>
      <c r="W173" s="2"/>
      <c r="X173" s="2">
        <f t="shared" si="34"/>
        <v>41.139999999999418</v>
      </c>
      <c r="Y173" s="2"/>
      <c r="Z173" s="19">
        <f t="shared" si="35"/>
        <v>1.2093782373062147E-3</v>
      </c>
    </row>
    <row r="174" spans="1:26" s="24" customFormat="1" hidden="1" outlineLevel="1" x14ac:dyDescent="0.25">
      <c r="A174" s="44"/>
      <c r="B174" s="11" t="str">
        <f>CONCATENATE("          ", "5502", " - ", "FREIGHT-IN-USED TEXT")</f>
        <v xml:space="preserve">          5502 - FREIGHT-IN-USED TEXT</v>
      </c>
      <c r="C174" s="11"/>
      <c r="D174" s="2">
        <v>2233.9</v>
      </c>
      <c r="E174" s="2"/>
      <c r="F174" s="19">
        <f t="shared" si="28"/>
        <v>3.2842750355034397E-3</v>
      </c>
      <c r="G174" s="2"/>
      <c r="H174" s="2">
        <v>591.29999999999995</v>
      </c>
      <c r="I174" s="2"/>
      <c r="J174" s="19">
        <f t="shared" si="29"/>
        <v>1.5880525934228271E-4</v>
      </c>
      <c r="K174" s="2"/>
      <c r="L174" s="2">
        <f t="shared" si="30"/>
        <v>1642.6000000000001</v>
      </c>
      <c r="M174" s="2"/>
      <c r="N174" s="19">
        <f t="shared" si="31"/>
        <v>2.7779468966683583</v>
      </c>
      <c r="O174" s="11"/>
      <c r="P174" s="2">
        <v>10744.72</v>
      </c>
      <c r="Q174" s="2"/>
      <c r="R174" s="19">
        <f t="shared" si="32"/>
        <v>2.5199410866746639E-3</v>
      </c>
      <c r="S174" s="2"/>
      <c r="T174" s="2">
        <v>6852.47</v>
      </c>
      <c r="U174" s="2"/>
      <c r="V174" s="19">
        <f t="shared" si="33"/>
        <v>5.0919706741153401E-4</v>
      </c>
      <c r="W174" s="2"/>
      <c r="X174" s="2">
        <f t="shared" si="34"/>
        <v>3892.2499999999991</v>
      </c>
      <c r="Y174" s="2"/>
      <c r="Z174" s="19">
        <f t="shared" si="35"/>
        <v>0.56800686467799189</v>
      </c>
    </row>
    <row r="175" spans="1:26" s="24" customFormat="1" hidden="1" outlineLevel="1" x14ac:dyDescent="0.25">
      <c r="A175" s="44"/>
      <c r="B175" s="11" t="str">
        <f>CONCATENATE("          ", "5504", " - ", "FREIGHT-IN-DIGITAL TEXT")</f>
        <v xml:space="preserve">          5504 - FREIGHT-IN-DIGITAL TEXT</v>
      </c>
      <c r="C175" s="11"/>
      <c r="D175" s="2">
        <v>10.99</v>
      </c>
      <c r="E175" s="2"/>
      <c r="F175" s="19">
        <f t="shared" si="28"/>
        <v>1.6157474658750528E-5</v>
      </c>
      <c r="G175" s="2"/>
      <c r="H175" s="2">
        <v>93.94</v>
      </c>
      <c r="I175" s="2"/>
      <c r="J175" s="19">
        <f t="shared" si="29"/>
        <v>2.5229436939986534E-5</v>
      </c>
      <c r="K175" s="2"/>
      <c r="L175" s="2">
        <f t="shared" si="30"/>
        <v>-82.95</v>
      </c>
      <c r="M175" s="2"/>
      <c r="N175" s="19">
        <f t="shared" si="31"/>
        <v>-0.88301043219076014</v>
      </c>
      <c r="O175" s="11"/>
      <c r="P175" s="2">
        <v>21.98</v>
      </c>
      <c r="Q175" s="2"/>
      <c r="R175" s="19">
        <f t="shared" si="32"/>
        <v>5.1549323840089939E-6</v>
      </c>
      <c r="S175" s="2"/>
      <c r="T175" s="2">
        <v>100.97</v>
      </c>
      <c r="U175" s="2"/>
      <c r="V175" s="19">
        <f t="shared" si="33"/>
        <v>7.502933671587411E-6</v>
      </c>
      <c r="W175" s="2"/>
      <c r="X175" s="2">
        <f t="shared" si="34"/>
        <v>-78.989999999999995</v>
      </c>
      <c r="Y175" s="2"/>
      <c r="Z175" s="19">
        <f t="shared" si="35"/>
        <v>-0.78231157769634541</v>
      </c>
    </row>
    <row r="176" spans="1:26" s="24" customFormat="1" hidden="1" outlineLevel="1" x14ac:dyDescent="0.25">
      <c r="A176" s="44"/>
      <c r="B176" s="11" t="str">
        <f>CONCATENATE("          ", "5525", " - ", "FREIGHT-IN-TEST FORMS")</f>
        <v xml:space="preserve">          5525 - FREIGHT-IN-TEST FORMS</v>
      </c>
      <c r="C176" s="11"/>
      <c r="D176" s="2">
        <v>48.14</v>
      </c>
      <c r="E176" s="2"/>
      <c r="F176" s="19">
        <f t="shared" si="28"/>
        <v>7.0775325757256631E-5</v>
      </c>
      <c r="G176" s="2"/>
      <c r="H176" s="2">
        <v>39.22</v>
      </c>
      <c r="I176" s="2"/>
      <c r="J176" s="19">
        <f t="shared" si="29"/>
        <v>1.0533303350929017E-5</v>
      </c>
      <c r="K176" s="2"/>
      <c r="L176" s="2">
        <f t="shared" si="30"/>
        <v>8.9200000000000017</v>
      </c>
      <c r="M176" s="2"/>
      <c r="N176" s="19">
        <f t="shared" si="31"/>
        <v>0.22743498215196334</v>
      </c>
      <c r="O176" s="11"/>
      <c r="P176" s="2">
        <v>48.14</v>
      </c>
      <c r="Q176" s="2"/>
      <c r="R176" s="19">
        <f t="shared" si="32"/>
        <v>1.1290193128580208E-5</v>
      </c>
      <c r="S176" s="2"/>
      <c r="T176" s="2">
        <v>39.22</v>
      </c>
      <c r="U176" s="2"/>
      <c r="V176" s="19">
        <f t="shared" si="33"/>
        <v>2.9143810894291199E-6</v>
      </c>
      <c r="W176" s="2"/>
      <c r="X176" s="2">
        <f t="shared" si="34"/>
        <v>8.9200000000000017</v>
      </c>
      <c r="Y176" s="2"/>
      <c r="Z176" s="19">
        <f t="shared" si="35"/>
        <v>0.22743498215196334</v>
      </c>
    </row>
    <row r="177" spans="1:26" s="24" customFormat="1" hidden="1" outlineLevel="1" x14ac:dyDescent="0.25">
      <c r="A177" s="44"/>
      <c r="B177" s="11" t="str">
        <f>CONCATENATE("          ", "5526", " - ", "FREIGHT-IN-WRITING INSTRUMENTS")</f>
        <v xml:space="preserve">          5526 - FREIGHT-IN-WRITING INSTRUMENTS</v>
      </c>
      <c r="C177" s="11"/>
      <c r="D177" s="2"/>
      <c r="E177" s="2"/>
      <c r="F177" s="19">
        <f t="shared" si="28"/>
        <v>0</v>
      </c>
      <c r="G177" s="2"/>
      <c r="H177" s="2"/>
      <c r="I177" s="2"/>
      <c r="J177" s="19">
        <f t="shared" si="29"/>
        <v>0</v>
      </c>
      <c r="K177" s="2"/>
      <c r="L177" s="2">
        <f t="shared" si="30"/>
        <v>0</v>
      </c>
      <c r="M177" s="2"/>
      <c r="N177" s="19">
        <f t="shared" si="31"/>
        <v>0</v>
      </c>
      <c r="O177" s="11"/>
      <c r="P177" s="2"/>
      <c r="Q177" s="2"/>
      <c r="R177" s="19">
        <f t="shared" si="32"/>
        <v>0</v>
      </c>
      <c r="S177" s="2"/>
      <c r="T177" s="2">
        <v>56.57</v>
      </c>
      <c r="U177" s="2"/>
      <c r="V177" s="19">
        <f t="shared" si="33"/>
        <v>4.2036343250638788E-6</v>
      </c>
      <c r="W177" s="2"/>
      <c r="X177" s="2">
        <f t="shared" si="34"/>
        <v>-56.57</v>
      </c>
      <c r="Y177" s="2"/>
      <c r="Z177" s="19">
        <f t="shared" si="35"/>
        <v>-1</v>
      </c>
    </row>
    <row r="178" spans="1:26" s="24" customFormat="1" hidden="1" outlineLevel="1" x14ac:dyDescent="0.25">
      <c r="A178" s="44"/>
      <c r="B178" s="11" t="str">
        <f>CONCATENATE("          ", "5527", " - ", "FREIGHT-IN-SCHOOL SUPPLIES")</f>
        <v xml:space="preserve">          5527 - FREIGHT-IN-SCHOOL SUPPLIES</v>
      </c>
      <c r="C178" s="11"/>
      <c r="D178" s="2">
        <v>56</v>
      </c>
      <c r="E178" s="2"/>
      <c r="F178" s="19">
        <f t="shared" si="28"/>
        <v>8.2331081063696955E-5</v>
      </c>
      <c r="G178" s="2"/>
      <c r="H178" s="2">
        <v>344.59</v>
      </c>
      <c r="I178" s="2"/>
      <c r="J178" s="19">
        <f t="shared" si="29"/>
        <v>9.2546430435916108E-5</v>
      </c>
      <c r="K178" s="2"/>
      <c r="L178" s="2">
        <f t="shared" si="30"/>
        <v>-288.58999999999997</v>
      </c>
      <c r="M178" s="2"/>
      <c r="N178" s="19">
        <f t="shared" si="31"/>
        <v>-0.83748802925215471</v>
      </c>
      <c r="O178" s="11"/>
      <c r="P178" s="2">
        <v>56</v>
      </c>
      <c r="Q178" s="2"/>
      <c r="R178" s="19">
        <f t="shared" si="32"/>
        <v>1.313358569174266E-5</v>
      </c>
      <c r="S178" s="2"/>
      <c r="T178" s="2">
        <v>738.49</v>
      </c>
      <c r="U178" s="2"/>
      <c r="V178" s="19">
        <f t="shared" si="33"/>
        <v>5.4876116540859531E-5</v>
      </c>
      <c r="W178" s="2"/>
      <c r="X178" s="2">
        <f t="shared" si="34"/>
        <v>-682.49</v>
      </c>
      <c r="Y178" s="2"/>
      <c r="Z178" s="19">
        <f t="shared" si="35"/>
        <v>-0.92416958929707915</v>
      </c>
    </row>
    <row r="179" spans="1:26" s="24" customFormat="1" hidden="1" outlineLevel="1" x14ac:dyDescent="0.25">
      <c r="A179" s="44"/>
      <c r="B179" s="11" t="str">
        <f>CONCATENATE("          ", "5528", " - ", "FREIGHT-IN-ART/TECH")</f>
        <v xml:space="preserve">          5528 - FREIGHT-IN-ART/TECH</v>
      </c>
      <c r="C179" s="11"/>
      <c r="D179" s="2">
        <v>239.39</v>
      </c>
      <c r="E179" s="2"/>
      <c r="F179" s="19">
        <f t="shared" si="28"/>
        <v>3.519506695685431E-4</v>
      </c>
      <c r="G179" s="2"/>
      <c r="H179" s="2">
        <v>185.67</v>
      </c>
      <c r="I179" s="2"/>
      <c r="J179" s="19">
        <f t="shared" si="29"/>
        <v>4.9865334858923777E-5</v>
      </c>
      <c r="K179" s="2"/>
      <c r="L179" s="2">
        <f t="shared" si="30"/>
        <v>53.72</v>
      </c>
      <c r="M179" s="2"/>
      <c r="N179" s="19">
        <f t="shared" si="31"/>
        <v>0.28933053266548175</v>
      </c>
      <c r="O179" s="11"/>
      <c r="P179" s="2">
        <v>284.2</v>
      </c>
      <c r="Q179" s="2"/>
      <c r="R179" s="19">
        <f t="shared" si="32"/>
        <v>6.6652947385594004E-5</v>
      </c>
      <c r="S179" s="2"/>
      <c r="T179" s="2">
        <v>818.44</v>
      </c>
      <c r="U179" s="2"/>
      <c r="V179" s="19">
        <f t="shared" si="33"/>
        <v>6.0817084620917116E-5</v>
      </c>
      <c r="W179" s="2"/>
      <c r="X179" s="2">
        <f t="shared" si="34"/>
        <v>-534.24</v>
      </c>
      <c r="Y179" s="2"/>
      <c r="Z179" s="19">
        <f t="shared" si="35"/>
        <v>-0.65275401984262738</v>
      </c>
    </row>
    <row r="180" spans="1:26" s="24" customFormat="1" hidden="1" outlineLevel="1" x14ac:dyDescent="0.25">
      <c r="A180" s="44"/>
      <c r="B180" s="11" t="str">
        <f>CONCATENATE("          ", "5540", " - ", "FREIGHT-IN-LOGO CLOTHING")</f>
        <v xml:space="preserve">          5540 - FREIGHT-IN-LOGO CLOTHING</v>
      </c>
      <c r="C180" s="11"/>
      <c r="D180" s="2">
        <v>1036.57</v>
      </c>
      <c r="E180" s="2"/>
      <c r="F180" s="19">
        <f t="shared" si="28"/>
        <v>1.5239630124677919E-3</v>
      </c>
      <c r="G180" s="2"/>
      <c r="H180" s="2">
        <v>9102.58</v>
      </c>
      <c r="I180" s="2"/>
      <c r="J180" s="19">
        <f t="shared" si="29"/>
        <v>2.4446771141279819E-3</v>
      </c>
      <c r="K180" s="2"/>
      <c r="L180" s="2">
        <f t="shared" si="30"/>
        <v>-8066.01</v>
      </c>
      <c r="M180" s="2"/>
      <c r="N180" s="19">
        <f t="shared" si="31"/>
        <v>-0.88612349465755869</v>
      </c>
      <c r="O180" s="11"/>
      <c r="P180" s="2">
        <v>3202.33</v>
      </c>
      <c r="Q180" s="2"/>
      <c r="R180" s="19">
        <f t="shared" si="32"/>
        <v>7.5103706193282624E-4</v>
      </c>
      <c r="S180" s="2"/>
      <c r="T180" s="2">
        <v>14107.44</v>
      </c>
      <c r="U180" s="2"/>
      <c r="V180" s="19">
        <f t="shared" si="33"/>
        <v>1.0483033237189176E-3</v>
      </c>
      <c r="W180" s="2"/>
      <c r="X180" s="2">
        <f t="shared" si="34"/>
        <v>-10905.11</v>
      </c>
      <c r="Y180" s="2"/>
      <c r="Z180" s="19">
        <f t="shared" si="35"/>
        <v>-0.77300417368424035</v>
      </c>
    </row>
    <row r="181" spans="1:26" s="24" customFormat="1" hidden="1" outlineLevel="1" x14ac:dyDescent="0.25">
      <c r="A181" s="44"/>
      <c r="B181" s="11" t="str">
        <f>CONCATENATE("          ", "5541", " - ", "FREIGHT-IN-LOGO GIFTS")</f>
        <v xml:space="preserve">          5541 - FREIGHT-IN-LOGO GIFTS</v>
      </c>
      <c r="C181" s="11"/>
      <c r="D181" s="2">
        <v>773.7</v>
      </c>
      <c r="E181" s="2"/>
      <c r="F181" s="19">
        <f t="shared" si="28"/>
        <v>1.1374920967675416E-3</v>
      </c>
      <c r="G181" s="2"/>
      <c r="H181" s="2">
        <v>718.84</v>
      </c>
      <c r="I181" s="2"/>
      <c r="J181" s="19">
        <f t="shared" si="29"/>
        <v>1.9305863795976072E-4</v>
      </c>
      <c r="K181" s="2"/>
      <c r="L181" s="2">
        <f t="shared" si="30"/>
        <v>54.860000000000014</v>
      </c>
      <c r="M181" s="2"/>
      <c r="N181" s="19">
        <f t="shared" si="31"/>
        <v>7.6317400255967963E-2</v>
      </c>
      <c r="O181" s="11"/>
      <c r="P181" s="2">
        <v>1134.81</v>
      </c>
      <c r="Q181" s="2"/>
      <c r="R181" s="19">
        <f t="shared" si="32"/>
        <v>2.6614507819368728E-4</v>
      </c>
      <c r="S181" s="2"/>
      <c r="T181" s="2">
        <v>1536.85</v>
      </c>
      <c r="U181" s="2"/>
      <c r="V181" s="19">
        <f t="shared" si="33"/>
        <v>1.1420108560145698E-4</v>
      </c>
      <c r="W181" s="2"/>
      <c r="X181" s="2">
        <f t="shared" si="34"/>
        <v>-402.03999999999996</v>
      </c>
      <c r="Y181" s="2"/>
      <c r="Z181" s="19">
        <f t="shared" si="35"/>
        <v>-0.26160002602726357</v>
      </c>
    </row>
    <row r="182" spans="1:26" s="24" customFormat="1" hidden="1" outlineLevel="1" x14ac:dyDescent="0.25">
      <c r="A182" s="44"/>
      <c r="B182" s="11" t="str">
        <f>CONCATENATE("          ", "5542", " - ", "FREIGHT-IN-EVERYDAY GIFTS")</f>
        <v xml:space="preserve">          5542 - FREIGHT-IN-EVERYDAY GIFTS</v>
      </c>
      <c r="C182" s="11"/>
      <c r="D182" s="2">
        <v>104.17</v>
      </c>
      <c r="E182" s="2"/>
      <c r="F182" s="19">
        <f t="shared" si="28"/>
        <v>1.5315051275723769E-4</v>
      </c>
      <c r="G182" s="2"/>
      <c r="H182" s="2">
        <v>596.04999999999995</v>
      </c>
      <c r="I182" s="2"/>
      <c r="J182" s="19">
        <f t="shared" si="29"/>
        <v>1.600809653829995E-4</v>
      </c>
      <c r="K182" s="2"/>
      <c r="L182" s="2">
        <f t="shared" si="30"/>
        <v>-491.87999999999994</v>
      </c>
      <c r="M182" s="2"/>
      <c r="N182" s="19">
        <f t="shared" si="31"/>
        <v>-0.8252327824846909</v>
      </c>
      <c r="O182" s="11"/>
      <c r="P182" s="2">
        <v>175.55</v>
      </c>
      <c r="Q182" s="2"/>
      <c r="R182" s="19">
        <f t="shared" si="32"/>
        <v>4.1171445860454001E-5</v>
      </c>
      <c r="S182" s="2"/>
      <c r="T182" s="2">
        <v>767.73</v>
      </c>
      <c r="U182" s="2"/>
      <c r="V182" s="19">
        <f t="shared" si="33"/>
        <v>5.7048898362759264E-5</v>
      </c>
      <c r="W182" s="2"/>
      <c r="X182" s="2">
        <f t="shared" si="34"/>
        <v>-592.18000000000006</v>
      </c>
      <c r="Y182" s="2"/>
      <c r="Z182" s="19">
        <f t="shared" si="35"/>
        <v>-0.77133888215909241</v>
      </c>
    </row>
    <row r="183" spans="1:26" s="24" customFormat="1" hidden="1" outlineLevel="1" x14ac:dyDescent="0.25">
      <c r="A183" s="44"/>
      <c r="B183" s="11" t="str">
        <f>CONCATENATE("          ", "5543", " - ", "FREIGHT-IN-CARDS")</f>
        <v xml:space="preserve">          5543 - FREIGHT-IN-CARDS</v>
      </c>
      <c r="C183" s="11"/>
      <c r="D183" s="2">
        <v>107.42</v>
      </c>
      <c r="E183" s="2"/>
      <c r="F183" s="19">
        <f t="shared" si="28"/>
        <v>1.5792865585468441E-4</v>
      </c>
      <c r="G183" s="2"/>
      <c r="H183" s="2"/>
      <c r="I183" s="2"/>
      <c r="J183" s="19">
        <f t="shared" si="29"/>
        <v>0</v>
      </c>
      <c r="K183" s="2"/>
      <c r="L183" s="2">
        <f t="shared" si="30"/>
        <v>107.42</v>
      </c>
      <c r="M183" s="2"/>
      <c r="N183" s="19">
        <f t="shared" si="31"/>
        <v>0</v>
      </c>
      <c r="O183" s="11"/>
      <c r="P183" s="2">
        <v>189.19</v>
      </c>
      <c r="Q183" s="2"/>
      <c r="R183" s="19">
        <f t="shared" si="32"/>
        <v>4.4370412089657032E-5</v>
      </c>
      <c r="S183" s="2"/>
      <c r="T183" s="2">
        <v>4.58</v>
      </c>
      <c r="U183" s="2"/>
      <c r="V183" s="19">
        <f t="shared" si="33"/>
        <v>3.4033313079004002E-7</v>
      </c>
      <c r="W183" s="2"/>
      <c r="X183" s="2">
        <f t="shared" si="34"/>
        <v>184.60999999999999</v>
      </c>
      <c r="Y183" s="2"/>
      <c r="Z183" s="19">
        <f t="shared" si="35"/>
        <v>40.307860262008731</v>
      </c>
    </row>
    <row r="184" spans="1:26" s="24" customFormat="1" hidden="1" outlineLevel="1" x14ac:dyDescent="0.25">
      <c r="A184" s="44"/>
      <c r="B184" s="11" t="str">
        <f>CONCATENATE("          ", "5544", " - ", "FREIGHT-IN-ACCESSORIES")</f>
        <v xml:space="preserve">          5544 - FREIGHT-IN-ACCESSORIES</v>
      </c>
      <c r="C184" s="11"/>
      <c r="D184" s="2"/>
      <c r="E184" s="2"/>
      <c r="F184" s="19">
        <f t="shared" si="28"/>
        <v>0</v>
      </c>
      <c r="G184" s="2"/>
      <c r="H184" s="2">
        <v>223.25</v>
      </c>
      <c r="I184" s="2"/>
      <c r="J184" s="19">
        <f t="shared" si="29"/>
        <v>5.9958183913689526E-5</v>
      </c>
      <c r="K184" s="2"/>
      <c r="L184" s="2">
        <f t="shared" si="30"/>
        <v>-223.25</v>
      </c>
      <c r="M184" s="2"/>
      <c r="N184" s="19">
        <f t="shared" si="31"/>
        <v>-1</v>
      </c>
      <c r="O184" s="11"/>
      <c r="P184" s="2"/>
      <c r="Q184" s="2"/>
      <c r="R184" s="19">
        <f t="shared" si="32"/>
        <v>0</v>
      </c>
      <c r="S184" s="2"/>
      <c r="T184" s="2">
        <v>359.09</v>
      </c>
      <c r="U184" s="2"/>
      <c r="V184" s="19">
        <f t="shared" si="33"/>
        <v>2.6683455007728267E-5</v>
      </c>
      <c r="W184" s="2"/>
      <c r="X184" s="2">
        <f t="shared" si="34"/>
        <v>-359.09</v>
      </c>
      <c r="Y184" s="2"/>
      <c r="Z184" s="19">
        <f t="shared" si="35"/>
        <v>-1</v>
      </c>
    </row>
    <row r="185" spans="1:26" s="24" customFormat="1" hidden="1" outlineLevel="1" x14ac:dyDescent="0.25">
      <c r="A185" s="44"/>
      <c r="B185" s="11" t="str">
        <f>CONCATENATE("          ", "5545", " - ", "FREIGHT-IN-SPECIAL ORDERS")</f>
        <v xml:space="preserve">          5545 - FREIGHT-IN-SPECIAL ORDERS</v>
      </c>
      <c r="C185" s="11"/>
      <c r="D185" s="2">
        <v>189.66</v>
      </c>
      <c r="E185" s="2"/>
      <c r="F185" s="19">
        <f t="shared" si="28"/>
        <v>2.7883772918822791E-4</v>
      </c>
      <c r="G185" s="2"/>
      <c r="H185" s="2">
        <v>84.47</v>
      </c>
      <c r="I185" s="2"/>
      <c r="J185" s="19">
        <f t="shared" si="29"/>
        <v>2.2686081949336412E-5</v>
      </c>
      <c r="K185" s="2"/>
      <c r="L185" s="2">
        <f t="shared" si="30"/>
        <v>105.19</v>
      </c>
      <c r="M185" s="2"/>
      <c r="N185" s="19">
        <f t="shared" si="31"/>
        <v>1.2452941872854268</v>
      </c>
      <c r="O185" s="11"/>
      <c r="P185" s="2">
        <v>850.27</v>
      </c>
      <c r="Q185" s="2"/>
      <c r="R185" s="19">
        <f t="shared" si="32"/>
        <v>1.9941239118067912E-4</v>
      </c>
      <c r="S185" s="2"/>
      <c r="T185" s="2">
        <v>346.98</v>
      </c>
      <c r="U185" s="2"/>
      <c r="V185" s="19">
        <f t="shared" si="33"/>
        <v>2.5783578541818362E-5</v>
      </c>
      <c r="W185" s="2"/>
      <c r="X185" s="2">
        <f t="shared" si="34"/>
        <v>503.28999999999996</v>
      </c>
      <c r="Y185" s="2"/>
      <c r="Z185" s="19">
        <f t="shared" si="35"/>
        <v>1.4504870597728974</v>
      </c>
    </row>
    <row r="186" spans="1:26" s="24" customFormat="1" hidden="1" outlineLevel="1" x14ac:dyDescent="0.25">
      <c r="A186" s="44"/>
      <c r="B186" s="11" t="str">
        <f>CONCATENATE("          ", "5581", " - ", "FREIGHT-IN-ELECTRONICS")</f>
        <v xml:space="preserve">          5581 - FREIGHT-IN-ELECTRONICS</v>
      </c>
      <c r="C186" s="11"/>
      <c r="D186" s="2"/>
      <c r="E186" s="2"/>
      <c r="F186" s="19">
        <f t="shared" si="28"/>
        <v>0</v>
      </c>
      <c r="G186" s="2"/>
      <c r="H186" s="2">
        <v>12.8</v>
      </c>
      <c r="I186" s="2"/>
      <c r="J186" s="19">
        <f t="shared" si="29"/>
        <v>3.4376920676157936E-6</v>
      </c>
      <c r="K186" s="2"/>
      <c r="L186" s="2">
        <f t="shared" si="30"/>
        <v>-12.8</v>
      </c>
      <c r="M186" s="2"/>
      <c r="N186" s="19">
        <f t="shared" si="31"/>
        <v>-1</v>
      </c>
      <c r="O186" s="11"/>
      <c r="P186" s="2"/>
      <c r="Q186" s="2"/>
      <c r="R186" s="19">
        <f t="shared" si="32"/>
        <v>0</v>
      </c>
      <c r="S186" s="2"/>
      <c r="T186" s="2">
        <v>105.75</v>
      </c>
      <c r="U186" s="2"/>
      <c r="V186" s="19">
        <f t="shared" si="33"/>
        <v>7.8581285111455744E-6</v>
      </c>
      <c r="W186" s="2"/>
      <c r="X186" s="2">
        <f t="shared" si="34"/>
        <v>-105.75</v>
      </c>
      <c r="Y186" s="2"/>
      <c r="Z186" s="19">
        <f t="shared" si="35"/>
        <v>-1</v>
      </c>
    </row>
    <row r="187" spans="1:26" s="24" customFormat="1" hidden="1" outlineLevel="1" x14ac:dyDescent="0.25">
      <c r="A187" s="44"/>
      <c r="B187" s="11" t="str">
        <f>CONCATENATE("          ", "5582", " - ", "FREIGHT-IN-COMPUTER HARDWARE")</f>
        <v xml:space="preserve">          5582 - FREIGHT-IN-COMPUTER HARDWARE</v>
      </c>
      <c r="C187" s="11"/>
      <c r="D187" s="2">
        <v>70</v>
      </c>
      <c r="E187" s="2"/>
      <c r="F187" s="19">
        <f t="shared" si="28"/>
        <v>1.0291385132962119E-4</v>
      </c>
      <c r="G187" s="2"/>
      <c r="H187" s="2"/>
      <c r="I187" s="2"/>
      <c r="J187" s="19">
        <f t="shared" si="29"/>
        <v>0</v>
      </c>
      <c r="K187" s="2"/>
      <c r="L187" s="2">
        <f t="shared" si="30"/>
        <v>70</v>
      </c>
      <c r="M187" s="2"/>
      <c r="N187" s="19">
        <f t="shared" si="31"/>
        <v>0</v>
      </c>
      <c r="O187" s="11"/>
      <c r="P187" s="2">
        <v>94</v>
      </c>
      <c r="Q187" s="2"/>
      <c r="R187" s="19">
        <f t="shared" si="32"/>
        <v>2.204566169685375E-5</v>
      </c>
      <c r="S187" s="2"/>
      <c r="T187" s="2">
        <v>4.84</v>
      </c>
      <c r="U187" s="2"/>
      <c r="V187" s="19">
        <f t="shared" si="33"/>
        <v>3.5965335218860126E-7</v>
      </c>
      <c r="W187" s="2"/>
      <c r="X187" s="2">
        <f t="shared" si="34"/>
        <v>89.16</v>
      </c>
      <c r="Y187" s="2"/>
      <c r="Z187" s="19">
        <f t="shared" si="35"/>
        <v>18.421487603305785</v>
      </c>
    </row>
    <row r="188" spans="1:26" s="24" customFormat="1" hidden="1" outlineLevel="1" x14ac:dyDescent="0.25">
      <c r="A188" s="44"/>
      <c r="B188" s="11" t="str">
        <f>CONCATENATE("          ", "5583", " - ", "FREIGHT-IN-COMPUTER EQUIPMENT")</f>
        <v xml:space="preserve">          5583 - FREIGHT-IN-COMPUTER EQUIPMENT</v>
      </c>
      <c r="C188" s="11"/>
      <c r="D188" s="2">
        <v>51.78</v>
      </c>
      <c r="E188" s="2"/>
      <c r="F188" s="19">
        <f t="shared" si="28"/>
        <v>7.6126846026396938E-5</v>
      </c>
      <c r="G188" s="2"/>
      <c r="H188" s="2"/>
      <c r="I188" s="2"/>
      <c r="J188" s="19">
        <f t="shared" si="29"/>
        <v>0</v>
      </c>
      <c r="K188" s="2"/>
      <c r="L188" s="2">
        <f t="shared" si="30"/>
        <v>51.78</v>
      </c>
      <c r="M188" s="2"/>
      <c r="N188" s="19">
        <f t="shared" si="31"/>
        <v>0</v>
      </c>
      <c r="O188" s="11"/>
      <c r="P188" s="2">
        <v>225.17</v>
      </c>
      <c r="Q188" s="2"/>
      <c r="R188" s="19">
        <f t="shared" si="32"/>
        <v>5.2808740896601692E-5</v>
      </c>
      <c r="S188" s="2"/>
      <c r="T188" s="2">
        <v>41</v>
      </c>
      <c r="U188" s="2"/>
      <c r="V188" s="19">
        <f t="shared" si="33"/>
        <v>3.0466502974654239E-6</v>
      </c>
      <c r="W188" s="2"/>
      <c r="X188" s="2">
        <f t="shared" si="34"/>
        <v>184.17</v>
      </c>
      <c r="Y188" s="2"/>
      <c r="Z188" s="19">
        <f t="shared" si="35"/>
        <v>4.4919512195121944</v>
      </c>
    </row>
    <row r="189" spans="1:26" s="24" customFormat="1" hidden="1" outlineLevel="1" x14ac:dyDescent="0.25">
      <c r="A189" s="44"/>
      <c r="B189" s="11" t="str">
        <f>CONCATENATE("          ", "5586", " - ", "FREIGHT-IN-COMPUTER SUPPLIES")</f>
        <v xml:space="preserve">          5586 - FREIGHT-IN-COMPUTER SUPPLIES</v>
      </c>
      <c r="C189" s="11"/>
      <c r="D189" s="2"/>
      <c r="E189" s="2"/>
      <c r="F189" s="19">
        <f t="shared" si="28"/>
        <v>0</v>
      </c>
      <c r="G189" s="2"/>
      <c r="H189" s="2">
        <v>60.12</v>
      </c>
      <c r="I189" s="2"/>
      <c r="J189" s="19">
        <f t="shared" si="29"/>
        <v>1.6146409930082928E-5</v>
      </c>
      <c r="K189" s="2"/>
      <c r="L189" s="2">
        <f t="shared" si="30"/>
        <v>-60.12</v>
      </c>
      <c r="M189" s="2"/>
      <c r="N189" s="19">
        <f t="shared" si="31"/>
        <v>-1</v>
      </c>
      <c r="O189" s="11"/>
      <c r="P189" s="2">
        <v>24.12</v>
      </c>
      <c r="Q189" s="2"/>
      <c r="R189" s="19">
        <f t="shared" si="32"/>
        <v>5.656822980086303E-6</v>
      </c>
      <c r="S189" s="2"/>
      <c r="T189" s="2">
        <v>162.51</v>
      </c>
      <c r="U189" s="2"/>
      <c r="V189" s="19">
        <f t="shared" si="33"/>
        <v>1.2075881459539171E-5</v>
      </c>
      <c r="W189" s="2"/>
      <c r="X189" s="2">
        <f t="shared" si="34"/>
        <v>-138.38999999999999</v>
      </c>
      <c r="Y189" s="2"/>
      <c r="Z189" s="19">
        <f t="shared" si="35"/>
        <v>-0.85157836440834411</v>
      </c>
    </row>
    <row r="190" spans="1:26" s="24" customFormat="1" hidden="1" outlineLevel="1" x14ac:dyDescent="0.25">
      <c r="A190" s="44"/>
      <c r="B190" s="11" t="str">
        <f>CONCATENATE("          ", "5592", " - ", "FREIGHT-IN-GRAD MERCH")</f>
        <v xml:space="preserve">          5592 - FREIGHT-IN-GRAD MERCH</v>
      </c>
      <c r="C190" s="11"/>
      <c r="D190" s="2"/>
      <c r="E190" s="2"/>
      <c r="F190" s="19">
        <f t="shared" si="28"/>
        <v>0</v>
      </c>
      <c r="G190" s="2"/>
      <c r="H190" s="2"/>
      <c r="I190" s="2"/>
      <c r="J190" s="19">
        <f t="shared" si="29"/>
        <v>0</v>
      </c>
      <c r="K190" s="2"/>
      <c r="L190" s="2">
        <f t="shared" si="30"/>
        <v>0</v>
      </c>
      <c r="M190" s="2"/>
      <c r="N190" s="19">
        <f t="shared" si="31"/>
        <v>0</v>
      </c>
      <c r="O190" s="11"/>
      <c r="P190" s="2"/>
      <c r="Q190" s="2"/>
      <c r="R190" s="19">
        <f t="shared" si="32"/>
        <v>0</v>
      </c>
      <c r="S190" s="2"/>
      <c r="T190" s="2">
        <v>70.78</v>
      </c>
      <c r="U190" s="2"/>
      <c r="V190" s="19">
        <f t="shared" si="33"/>
        <v>5.2595587330390903E-6</v>
      </c>
      <c r="W190" s="2"/>
      <c r="X190" s="2">
        <f t="shared" si="34"/>
        <v>-70.78</v>
      </c>
      <c r="Y190" s="2"/>
      <c r="Z190" s="19">
        <f t="shared" si="35"/>
        <v>-1</v>
      </c>
    </row>
    <row r="191" spans="1:26" x14ac:dyDescent="0.25">
      <c r="A191" s="9"/>
      <c r="B191" s="10"/>
      <c r="C191" s="10"/>
      <c r="D191" s="3"/>
      <c r="E191" s="3"/>
      <c r="F191" s="8"/>
      <c r="G191" s="3"/>
      <c r="H191" s="3"/>
      <c r="I191" s="3"/>
      <c r="J191" s="8"/>
      <c r="K191" s="3"/>
      <c r="L191" s="3"/>
      <c r="M191" s="3"/>
      <c r="N191" s="8"/>
      <c r="O191" s="10"/>
      <c r="P191" s="3"/>
      <c r="Q191" s="3"/>
      <c r="R191" s="8"/>
      <c r="S191" s="3"/>
      <c r="T191" s="3"/>
      <c r="U191" s="3"/>
      <c r="V191" s="8"/>
      <c r="W191" s="3"/>
      <c r="X191" s="3"/>
      <c r="Y191" s="3"/>
      <c r="Z191" s="8"/>
    </row>
    <row r="192" spans="1:26" s="23" customFormat="1" x14ac:dyDescent="0.25">
      <c r="A192" s="10"/>
      <c r="B192" s="25" t="s">
        <v>6</v>
      </c>
      <c r="C192" s="25"/>
      <c r="D192" s="20">
        <f>D12-D133</f>
        <v>346546.22000000026</v>
      </c>
      <c r="E192" s="13"/>
      <c r="F192" s="21">
        <f>IF(D$12=0,0,D192/D$12)</f>
        <v>0.50949151662746039</v>
      </c>
      <c r="G192" s="13"/>
      <c r="H192" s="20">
        <f>H12-H133</f>
        <v>2482422.2699999996</v>
      </c>
      <c r="I192" s="13"/>
      <c r="J192" s="21">
        <f>IF(H$12=0,0,H192/H$12)</f>
        <v>0.66670338641029614</v>
      </c>
      <c r="K192" s="15"/>
      <c r="L192" s="20">
        <f>+D192-H192</f>
        <v>-2135876.0499999993</v>
      </c>
      <c r="M192" s="15"/>
      <c r="N192" s="21">
        <f>IF(H192=0,0,L192/H192)</f>
        <v>-0.86039997135539703</v>
      </c>
      <c r="O192" s="26"/>
      <c r="P192" s="20">
        <f>P12-P133</f>
        <v>1446522.949999996</v>
      </c>
      <c r="Q192" s="13"/>
      <c r="R192" s="21">
        <f>IF(P$12=0,0,P192/P$12)</f>
        <v>0.33925059140888092</v>
      </c>
      <c r="S192" s="13"/>
      <c r="T192" s="20">
        <f>T12-T133</f>
        <v>7213114.1499999976</v>
      </c>
      <c r="U192" s="13"/>
      <c r="V192" s="21">
        <f>IF(T$12=0,0,T192/T$12)</f>
        <v>0.53599600904267197</v>
      </c>
      <c r="W192" s="15"/>
      <c r="X192" s="20">
        <f>+P192-T192</f>
        <v>-5766591.2000000011</v>
      </c>
      <c r="Y192" s="15"/>
      <c r="Z192" s="21">
        <f>IF(T192=0,0,X192/T192)</f>
        <v>-0.79945930150017142</v>
      </c>
    </row>
    <row r="193" spans="1:26" x14ac:dyDescent="0.25">
      <c r="A193" s="9"/>
      <c r="B193" s="10"/>
      <c r="C193" s="9"/>
      <c r="D193" s="1"/>
      <c r="E193" s="1"/>
      <c r="F193" s="5"/>
      <c r="G193" s="1"/>
      <c r="H193" s="1"/>
      <c r="I193" s="1"/>
      <c r="J193" s="5"/>
      <c r="K193" s="1"/>
      <c r="L193" s="1"/>
      <c r="M193" s="1"/>
      <c r="N193" s="5"/>
      <c r="O193" s="37"/>
      <c r="P193" s="1"/>
      <c r="Q193" s="1"/>
      <c r="R193" s="5"/>
      <c r="S193" s="1"/>
      <c r="T193" s="1"/>
      <c r="U193" s="1"/>
      <c r="V193" s="5"/>
      <c r="W193" s="1"/>
      <c r="X193" s="1"/>
      <c r="Y193" s="1"/>
      <c r="Z193" s="5"/>
    </row>
    <row r="194" spans="1:26" s="23" customFormat="1" x14ac:dyDescent="0.25">
      <c r="A194" s="10"/>
      <c r="B194" s="26" t="s">
        <v>9</v>
      </c>
      <c r="C194" s="10"/>
      <c r="D194" s="22">
        <f>SUM(OSRRefD22x_0)</f>
        <v>914242.09</v>
      </c>
      <c r="E194" s="22"/>
      <c r="F194" s="36">
        <f t="shared" ref="F194:F205" si="36">IF(D$12=0,0,D194/D$12)</f>
        <v>1.3441167789934594</v>
      </c>
      <c r="G194" s="22"/>
      <c r="H194" s="22">
        <f>SUM(OSRRefH22x_0)</f>
        <v>1862720.9900000009</v>
      </c>
      <c r="I194" s="22"/>
      <c r="J194" s="36">
        <f t="shared" ref="J194:J205" si="37">IF(H$12=0,0,H194/H$12)</f>
        <v>0.50027040402378442</v>
      </c>
      <c r="K194" s="4"/>
      <c r="L194" s="22">
        <f t="shared" ref="L194:L205" si="38">+D194-H194</f>
        <v>-948478.90000000095</v>
      </c>
      <c r="M194" s="4"/>
      <c r="N194" s="36">
        <f t="shared" ref="N194:N205" si="39">IF(H194=0,0,L194/H194)</f>
        <v>-0.50918999951785615</v>
      </c>
      <c r="O194" s="10"/>
      <c r="P194" s="22">
        <f>SUM(OSRRefP22x_0)</f>
        <v>2912884.35</v>
      </c>
      <c r="Q194" s="22"/>
      <c r="R194" s="36">
        <f t="shared" ref="R194:R205" si="40">IF(P$12=0,0,P194/P$12)</f>
        <v>0.68315386108680576</v>
      </c>
      <c r="S194" s="22"/>
      <c r="T194" s="22">
        <f>SUM(OSRRefT22x_0)</f>
        <v>6148200.4900000012</v>
      </c>
      <c r="U194" s="22"/>
      <c r="V194" s="36">
        <f t="shared" ref="V194:V205" si="41">IF(T$12=0,0,T194/T$12)</f>
        <v>0.45686382565208705</v>
      </c>
      <c r="W194" s="4"/>
      <c r="X194" s="22">
        <f t="shared" ref="X194:X205" si="42">+P194-T194</f>
        <v>-3235316.1400000011</v>
      </c>
      <c r="Y194" s="4"/>
      <c r="Z194" s="36">
        <f t="shared" ref="Z194:Z205" si="43">IF(T194=0,0,X194/T194)</f>
        <v>-0.52622163920357135</v>
      </c>
    </row>
    <row r="195" spans="1:26" s="29" customFormat="1" outlineLevel="1" collapsed="1" x14ac:dyDescent="0.25">
      <c r="A195" s="27"/>
      <c r="B195" s="14" t="str">
        <f>CONCATENATE("     ","*Benefits                                         ")</f>
        <v xml:space="preserve">     *Benefits                                         </v>
      </c>
      <c r="C195" s="14"/>
      <c r="D195" s="1">
        <f>SUM(OSRRefD22_0x_0)</f>
        <v>172384.21000000002</v>
      </c>
      <c r="E195" s="1"/>
      <c r="F195" s="5">
        <f t="shared" si="36"/>
        <v>0.25343889942163145</v>
      </c>
      <c r="G195" s="1"/>
      <c r="H195" s="1">
        <f>SUM(OSRRefH22_0x_0)</f>
        <v>257850.38999999998</v>
      </c>
      <c r="I195" s="1"/>
      <c r="J195" s="5">
        <f t="shared" si="37"/>
        <v>6.9250800026143644E-2</v>
      </c>
      <c r="K195" s="1"/>
      <c r="L195" s="1">
        <f t="shared" si="38"/>
        <v>-85466.179999999964</v>
      </c>
      <c r="M195" s="1"/>
      <c r="N195" s="5">
        <f t="shared" si="39"/>
        <v>-0.33145646977691201</v>
      </c>
      <c r="O195" s="14"/>
      <c r="P195" s="1">
        <f>SUM(OSRRefP22_0x_0)</f>
        <v>635961.71</v>
      </c>
      <c r="Q195" s="1"/>
      <c r="R195" s="5">
        <f t="shared" si="40"/>
        <v>0.14915102883843204</v>
      </c>
      <c r="S195" s="1"/>
      <c r="T195" s="1">
        <f>SUM(OSRRefT22_0x_0)</f>
        <v>958745.79</v>
      </c>
      <c r="U195" s="1"/>
      <c r="V195" s="5">
        <f t="shared" si="41"/>
        <v>7.1243003568224952E-2</v>
      </c>
      <c r="W195" s="1"/>
      <c r="X195" s="1">
        <f t="shared" si="42"/>
        <v>-322784.08000000007</v>
      </c>
      <c r="Y195" s="1"/>
      <c r="Z195" s="5">
        <f t="shared" si="43"/>
        <v>-0.33667326977258494</v>
      </c>
    </row>
    <row r="196" spans="1:26" s="24" customFormat="1" hidden="1" outlineLevel="2" x14ac:dyDescent="0.25">
      <c r="A196" s="28"/>
      <c r="B196" s="11" t="str">
        <f>CONCATENATE("          ", "6111", " - ", "F.I.C.A.")</f>
        <v xml:space="preserve">          6111 - F.I.C.A.</v>
      </c>
      <c r="C196" s="11"/>
      <c r="D196" s="6">
        <v>33152.579999999994</v>
      </c>
      <c r="E196" s="2"/>
      <c r="F196" s="7">
        <f t="shared" si="36"/>
        <v>4.8740852704476749E-2</v>
      </c>
      <c r="G196" s="2"/>
      <c r="H196" s="6">
        <v>68701.600000000006</v>
      </c>
      <c r="I196" s="2"/>
      <c r="J196" s="7">
        <f t="shared" si="37"/>
        <v>1.8451167605665095E-2</v>
      </c>
      <c r="K196" s="2"/>
      <c r="L196" s="6">
        <f t="shared" si="38"/>
        <v>-35549.020000000011</v>
      </c>
      <c r="M196" s="2"/>
      <c r="N196" s="7">
        <f t="shared" si="39"/>
        <v>-0.51744093296226013</v>
      </c>
      <c r="O196" s="11"/>
      <c r="P196" s="6">
        <v>98830.790000000008</v>
      </c>
      <c r="Q196" s="2"/>
      <c r="R196" s="7">
        <f t="shared" si="40"/>
        <v>2.3178618740136138E-2</v>
      </c>
      <c r="S196" s="2"/>
      <c r="T196" s="6">
        <v>186599.85</v>
      </c>
      <c r="U196" s="2"/>
      <c r="V196" s="7">
        <f t="shared" si="41"/>
        <v>1.3865963134378134E-2</v>
      </c>
      <c r="W196" s="2"/>
      <c r="X196" s="6">
        <f t="shared" si="42"/>
        <v>-87769.06</v>
      </c>
      <c r="Y196" s="2"/>
      <c r="Z196" s="7">
        <f t="shared" si="43"/>
        <v>-0.47035975645210859</v>
      </c>
    </row>
    <row r="197" spans="1:26" s="24" customFormat="1" hidden="1" outlineLevel="2" x14ac:dyDescent="0.25">
      <c r="A197" s="28"/>
      <c r="B197" s="11" t="str">
        <f>CONCATENATE("          ", "6112", " - ", "COMPENSATION INSURANCE")</f>
        <v xml:space="preserve">          6112 - COMPENSATION INSURANCE</v>
      </c>
      <c r="C197" s="11"/>
      <c r="D197" s="6">
        <v>7630.81</v>
      </c>
      <c r="E197" s="2"/>
      <c r="F197" s="7">
        <f t="shared" si="36"/>
        <v>1.1218800655208382E-2</v>
      </c>
      <c r="G197" s="2"/>
      <c r="H197" s="6">
        <v>-3346.01</v>
      </c>
      <c r="I197" s="2"/>
      <c r="J197" s="7">
        <f t="shared" si="37"/>
        <v>-8.9863687774711888E-4</v>
      </c>
      <c r="K197" s="2"/>
      <c r="L197" s="6">
        <f t="shared" si="38"/>
        <v>10976.82</v>
      </c>
      <c r="M197" s="2"/>
      <c r="N197" s="7">
        <f t="shared" si="39"/>
        <v>-3.2805699923192098</v>
      </c>
      <c r="O197" s="11"/>
      <c r="P197" s="6">
        <v>31615.779999999995</v>
      </c>
      <c r="Q197" s="2"/>
      <c r="R197" s="7">
        <f t="shared" si="40"/>
        <v>7.4147956400229236E-3</v>
      </c>
      <c r="S197" s="2"/>
      <c r="T197" s="6">
        <v>53296.4</v>
      </c>
      <c r="U197" s="2"/>
      <c r="V197" s="7">
        <f t="shared" si="41"/>
        <v>3.9603778759472246E-3</v>
      </c>
      <c r="W197" s="2"/>
      <c r="X197" s="6">
        <f t="shared" si="42"/>
        <v>-21680.620000000006</v>
      </c>
      <c r="Y197" s="2"/>
      <c r="Z197" s="7">
        <f t="shared" si="43"/>
        <v>-0.40679332938059615</v>
      </c>
    </row>
    <row r="198" spans="1:26" s="24" customFormat="1" hidden="1" outlineLevel="2" x14ac:dyDescent="0.25">
      <c r="A198" s="28"/>
      <c r="B198" s="11" t="str">
        <f>CONCATENATE("          ", "6113", " - ", "GROUP INSURANCE")</f>
        <v xml:space="preserve">          6113 - GROUP INSURANCE</v>
      </c>
      <c r="C198" s="11"/>
      <c r="D198" s="6">
        <v>74141.570000000007</v>
      </c>
      <c r="E198" s="2"/>
      <c r="F198" s="7">
        <f t="shared" si="36"/>
        <v>0.10900277874749575</v>
      </c>
      <c r="G198" s="2"/>
      <c r="H198" s="6">
        <v>93374.51</v>
      </c>
      <c r="I198" s="2"/>
      <c r="J198" s="7">
        <f t="shared" si="37"/>
        <v>2.5077563464414965E-2</v>
      </c>
      <c r="K198" s="2"/>
      <c r="L198" s="6">
        <f t="shared" si="38"/>
        <v>-19232.939999999988</v>
      </c>
      <c r="M198" s="2"/>
      <c r="N198" s="7">
        <f t="shared" si="39"/>
        <v>-0.20597634193743014</v>
      </c>
      <c r="O198" s="11"/>
      <c r="P198" s="6">
        <v>300191.68</v>
      </c>
      <c r="Q198" s="2"/>
      <c r="R198" s="7">
        <f t="shared" si="40"/>
        <v>7.0403449164789134E-2</v>
      </c>
      <c r="S198" s="2"/>
      <c r="T198" s="6">
        <v>373725.63</v>
      </c>
      <c r="U198" s="2"/>
      <c r="V198" s="7">
        <f t="shared" si="41"/>
        <v>2.7771007361218365E-2</v>
      </c>
      <c r="W198" s="2"/>
      <c r="X198" s="6">
        <f t="shared" si="42"/>
        <v>-73533.950000000012</v>
      </c>
      <c r="Y198" s="2"/>
      <c r="Z198" s="7">
        <f t="shared" si="43"/>
        <v>-0.19675918400351619</v>
      </c>
    </row>
    <row r="199" spans="1:26" s="24" customFormat="1" hidden="1" outlineLevel="2" x14ac:dyDescent="0.25">
      <c r="A199" s="28"/>
      <c r="B199" s="11" t="str">
        <f>CONCATENATE("          ", "6114", " - ", "STATE UNEMPLOYMENT INSURANCE")</f>
        <v xml:space="preserve">          6114 - STATE UNEMPLOYMENT INSURANCE</v>
      </c>
      <c r="C199" s="11"/>
      <c r="D199" s="6">
        <v>756.23</v>
      </c>
      <c r="E199" s="2"/>
      <c r="F199" s="7">
        <f t="shared" si="36"/>
        <v>1.1118077398714205E-3</v>
      </c>
      <c r="G199" s="2"/>
      <c r="H199" s="6">
        <v>2593.4</v>
      </c>
      <c r="I199" s="2"/>
      <c r="J199" s="7">
        <f t="shared" si="37"/>
        <v>6.9650864126209364E-4</v>
      </c>
      <c r="K199" s="2"/>
      <c r="L199" s="6">
        <f t="shared" si="38"/>
        <v>-1837.17</v>
      </c>
      <c r="M199" s="2"/>
      <c r="N199" s="7">
        <f t="shared" si="39"/>
        <v>-0.70840209763245165</v>
      </c>
      <c r="O199" s="11"/>
      <c r="P199" s="6">
        <v>3240.67</v>
      </c>
      <c r="Q199" s="2"/>
      <c r="R199" s="7">
        <f t="shared" si="40"/>
        <v>7.600288775653516E-4</v>
      </c>
      <c r="S199" s="2"/>
      <c r="T199" s="6">
        <v>7628.11</v>
      </c>
      <c r="U199" s="2"/>
      <c r="V199" s="7">
        <f t="shared" si="41"/>
        <v>5.6683374635607253E-4</v>
      </c>
      <c r="W199" s="2"/>
      <c r="X199" s="6">
        <f t="shared" si="42"/>
        <v>-4387.4399999999996</v>
      </c>
      <c r="Y199" s="2"/>
      <c r="Z199" s="7">
        <f t="shared" si="43"/>
        <v>-0.57516737435616416</v>
      </c>
    </row>
    <row r="200" spans="1:26" s="24" customFormat="1" hidden="1" outlineLevel="2" x14ac:dyDescent="0.25">
      <c r="A200" s="28"/>
      <c r="B200" s="11" t="str">
        <f>CONCATENATE("          ", "6115", " - ", "P.E.R.S.")</f>
        <v xml:space="preserve">          6115 - P.E.R.S.</v>
      </c>
      <c r="C200" s="11"/>
      <c r="D200" s="6">
        <v>12331.13</v>
      </c>
      <c r="E200" s="2"/>
      <c r="F200" s="7">
        <f t="shared" si="36"/>
        <v>1.8129201136374739E-2</v>
      </c>
      <c r="G200" s="2"/>
      <c r="H200" s="6">
        <v>31711.139999999996</v>
      </c>
      <c r="I200" s="2"/>
      <c r="J200" s="7">
        <f t="shared" si="37"/>
        <v>8.5166511275823337E-3</v>
      </c>
      <c r="K200" s="2"/>
      <c r="L200" s="6">
        <f t="shared" si="38"/>
        <v>-19380.009999999995</v>
      </c>
      <c r="M200" s="2"/>
      <c r="N200" s="7">
        <f t="shared" si="39"/>
        <v>-0.61114201507735133</v>
      </c>
      <c r="O200" s="11"/>
      <c r="P200" s="6">
        <v>61840.480000000003</v>
      </c>
      <c r="Q200" s="2"/>
      <c r="R200" s="7">
        <f t="shared" si="40"/>
        <v>1.4503343630330325E-2</v>
      </c>
      <c r="S200" s="2"/>
      <c r="T200" s="6">
        <v>87252.32</v>
      </c>
      <c r="U200" s="2"/>
      <c r="V200" s="7">
        <f t="shared" si="41"/>
        <v>6.4835928459158138E-3</v>
      </c>
      <c r="W200" s="2"/>
      <c r="X200" s="6">
        <f t="shared" si="42"/>
        <v>-25411.840000000004</v>
      </c>
      <c r="Y200" s="2"/>
      <c r="Z200" s="7">
        <f t="shared" si="43"/>
        <v>-0.29124543622450383</v>
      </c>
    </row>
    <row r="201" spans="1:26" s="24" customFormat="1" hidden="1" outlineLevel="2" x14ac:dyDescent="0.25">
      <c r="A201" s="28"/>
      <c r="B201" s="11" t="str">
        <f>CONCATENATE("          ", "6116", " - ", "EDUCATIONAL BENEFITS")</f>
        <v xml:space="preserve">          6116 - EDUCATIONAL BENEFITS</v>
      </c>
      <c r="C201" s="11"/>
      <c r="D201" s="6"/>
      <c r="E201" s="2"/>
      <c r="F201" s="7">
        <f t="shared" si="36"/>
        <v>0</v>
      </c>
      <c r="G201" s="2"/>
      <c r="H201" s="6"/>
      <c r="I201" s="2"/>
      <c r="J201" s="7">
        <f t="shared" si="37"/>
        <v>0</v>
      </c>
      <c r="K201" s="2"/>
      <c r="L201" s="6">
        <f t="shared" si="38"/>
        <v>0</v>
      </c>
      <c r="M201" s="2"/>
      <c r="N201" s="7">
        <f t="shared" si="39"/>
        <v>0</v>
      </c>
      <c r="O201" s="11"/>
      <c r="P201" s="6">
        <v>0</v>
      </c>
      <c r="Q201" s="2"/>
      <c r="R201" s="7">
        <f t="shared" si="40"/>
        <v>0</v>
      </c>
      <c r="S201" s="2"/>
      <c r="T201" s="6"/>
      <c r="U201" s="2"/>
      <c r="V201" s="7">
        <f t="shared" si="41"/>
        <v>0</v>
      </c>
      <c r="W201" s="2"/>
      <c r="X201" s="6">
        <f t="shared" si="42"/>
        <v>0</v>
      </c>
      <c r="Y201" s="2"/>
      <c r="Z201" s="7">
        <f t="shared" si="43"/>
        <v>0</v>
      </c>
    </row>
    <row r="202" spans="1:26" s="24" customFormat="1" hidden="1" outlineLevel="2" x14ac:dyDescent="0.25">
      <c r="A202" s="28"/>
      <c r="B202" s="11" t="str">
        <f>CONCATENATE("          ", "6117", " - ", "RETIREMENT STAFF HOURLY")</f>
        <v xml:space="preserve">          6117 - RETIREMENT STAFF HOURLY</v>
      </c>
      <c r="C202" s="11"/>
      <c r="D202" s="6">
        <v>1868.21</v>
      </c>
      <c r="E202" s="2"/>
      <c r="F202" s="7">
        <f t="shared" si="36"/>
        <v>2.7466383741787371E-3</v>
      </c>
      <c r="G202" s="2"/>
      <c r="H202" s="6">
        <v>1954.23</v>
      </c>
      <c r="I202" s="2"/>
      <c r="J202" s="7">
        <f t="shared" si="37"/>
        <v>5.2484695072631347E-4</v>
      </c>
      <c r="K202" s="2"/>
      <c r="L202" s="6">
        <f t="shared" si="38"/>
        <v>-86.019999999999982</v>
      </c>
      <c r="M202" s="2"/>
      <c r="N202" s="7">
        <f t="shared" si="39"/>
        <v>-4.401733675155943E-2</v>
      </c>
      <c r="O202" s="11"/>
      <c r="P202" s="6">
        <v>8484.51</v>
      </c>
      <c r="Q202" s="2"/>
      <c r="R202" s="7">
        <f t="shared" si="40"/>
        <v>1.9898578417401344E-3</v>
      </c>
      <c r="S202" s="2"/>
      <c r="T202" s="6">
        <v>7996.4</v>
      </c>
      <c r="U202" s="2"/>
      <c r="V202" s="7">
        <f t="shared" si="41"/>
        <v>5.942008399671345E-4</v>
      </c>
      <c r="W202" s="2"/>
      <c r="X202" s="6">
        <f t="shared" si="42"/>
        <v>488.11000000000058</v>
      </c>
      <c r="Y202" s="2"/>
      <c r="Z202" s="7">
        <f t="shared" si="43"/>
        <v>6.1041218548346834E-2</v>
      </c>
    </row>
    <row r="203" spans="1:26" s="24" customFormat="1" hidden="1" outlineLevel="2" x14ac:dyDescent="0.25">
      <c r="A203" s="28"/>
      <c r="B203" s="11" t="str">
        <f>CONCATENATE("          ", "6118", " - ", "VACATION")</f>
        <v xml:space="preserve">          6118 - VACATION</v>
      </c>
      <c r="C203" s="11"/>
      <c r="D203" s="6">
        <v>21889.86</v>
      </c>
      <c r="E203" s="2"/>
      <c r="F203" s="7">
        <f t="shared" si="36"/>
        <v>3.2182425680946022E-2</v>
      </c>
      <c r="G203" s="2"/>
      <c r="H203" s="6">
        <v>30937.859999999997</v>
      </c>
      <c r="I203" s="2"/>
      <c r="J203" s="7">
        <f t="shared" si="37"/>
        <v>8.3089715555474952E-3</v>
      </c>
      <c r="K203" s="2"/>
      <c r="L203" s="6">
        <f t="shared" si="38"/>
        <v>-9047.9999999999964</v>
      </c>
      <c r="M203" s="2"/>
      <c r="N203" s="7">
        <f t="shared" si="39"/>
        <v>-0.2924572029222447</v>
      </c>
      <c r="O203" s="11"/>
      <c r="P203" s="6">
        <v>66166.710000000006</v>
      </c>
      <c r="Q203" s="2"/>
      <c r="R203" s="7">
        <f t="shared" si="40"/>
        <v>1.5517967066530108E-2</v>
      </c>
      <c r="S203" s="2"/>
      <c r="T203" s="6">
        <v>104837.95999999999</v>
      </c>
      <c r="U203" s="2"/>
      <c r="V203" s="7">
        <f t="shared" si="41"/>
        <v>7.790356146821175E-3</v>
      </c>
      <c r="W203" s="2"/>
      <c r="X203" s="6">
        <f t="shared" si="42"/>
        <v>-38671.249999999985</v>
      </c>
      <c r="Y203" s="2"/>
      <c r="Z203" s="7">
        <f t="shared" si="43"/>
        <v>-0.36886686845108385</v>
      </c>
    </row>
    <row r="204" spans="1:26" s="24" customFormat="1" hidden="1" outlineLevel="2" x14ac:dyDescent="0.25">
      <c r="A204" s="28"/>
      <c r="B204" s="11" t="str">
        <f>CONCATENATE("          ", "6119", " - ", "SICK LEAVE")</f>
        <v xml:space="preserve">          6119 - SICK LEAVE</v>
      </c>
      <c r="C204" s="11"/>
      <c r="D204" s="6">
        <v>14712.85</v>
      </c>
      <c r="E204" s="2"/>
      <c r="F204" s="7">
        <f t="shared" si="36"/>
        <v>2.1630800821928815E-2</v>
      </c>
      <c r="G204" s="2"/>
      <c r="H204" s="6">
        <v>21819.96</v>
      </c>
      <c r="I204" s="2"/>
      <c r="J204" s="7">
        <f t="shared" si="37"/>
        <v>5.8601799537260869E-3</v>
      </c>
      <c r="K204" s="2"/>
      <c r="L204" s="6">
        <f t="shared" si="38"/>
        <v>-7107.1099999999988</v>
      </c>
      <c r="M204" s="2"/>
      <c r="N204" s="7">
        <f t="shared" si="39"/>
        <v>-0.32571599581300786</v>
      </c>
      <c r="O204" s="11"/>
      <c r="P204" s="6">
        <v>45215.590000000004</v>
      </c>
      <c r="Q204" s="2"/>
      <c r="R204" s="7">
        <f t="shared" si="40"/>
        <v>1.0604336176208975E-2</v>
      </c>
      <c r="S204" s="2"/>
      <c r="T204" s="6">
        <v>101414.38</v>
      </c>
      <c r="U204" s="2"/>
      <c r="V204" s="7">
        <f t="shared" si="41"/>
        <v>7.5359549022993057E-3</v>
      </c>
      <c r="W204" s="2"/>
      <c r="X204" s="6">
        <f t="shared" si="42"/>
        <v>-56198.79</v>
      </c>
      <c r="Y204" s="2"/>
      <c r="Z204" s="7">
        <f t="shared" si="43"/>
        <v>-0.55415011165083294</v>
      </c>
    </row>
    <row r="205" spans="1:26" s="24" customFormat="1" hidden="1" outlineLevel="2" x14ac:dyDescent="0.25">
      <c r="A205" s="28"/>
      <c r="B205" s="11" t="str">
        <f>CONCATENATE("          ", "6156", " - ", "EMPLOYEE MEALS")</f>
        <v xml:space="preserve">          6156 - EMPLOYEE MEALS</v>
      </c>
      <c r="C205" s="11"/>
      <c r="D205" s="6">
        <v>5900.97</v>
      </c>
      <c r="E205" s="2"/>
      <c r="F205" s="7">
        <f t="shared" si="36"/>
        <v>8.6755935611507826E-3</v>
      </c>
      <c r="G205" s="2"/>
      <c r="H205" s="6">
        <v>10103.700000000001</v>
      </c>
      <c r="I205" s="2"/>
      <c r="J205" s="7">
        <f t="shared" si="37"/>
        <v>2.7135476049663823E-3</v>
      </c>
      <c r="K205" s="2"/>
      <c r="L205" s="6">
        <f t="shared" si="38"/>
        <v>-4202.7300000000005</v>
      </c>
      <c r="M205" s="2"/>
      <c r="N205" s="7">
        <f t="shared" si="39"/>
        <v>-0.41595949998515397</v>
      </c>
      <c r="O205" s="11"/>
      <c r="P205" s="6">
        <v>20375.5</v>
      </c>
      <c r="Q205" s="2"/>
      <c r="R205" s="7">
        <f t="shared" si="40"/>
        <v>4.7786317011089749E-3</v>
      </c>
      <c r="S205" s="2"/>
      <c r="T205" s="6">
        <v>35994.74</v>
      </c>
      <c r="U205" s="2"/>
      <c r="V205" s="7">
        <f t="shared" si="41"/>
        <v>2.6747167153217217E-3</v>
      </c>
      <c r="W205" s="2"/>
      <c r="X205" s="6">
        <f t="shared" si="42"/>
        <v>-15619.239999999998</v>
      </c>
      <c r="Y205" s="2"/>
      <c r="Z205" s="7">
        <f t="shared" si="43"/>
        <v>-0.43393117994462521</v>
      </c>
    </row>
    <row r="206" spans="1:26" s="29" customFormat="1" outlineLevel="1" collapsed="1" x14ac:dyDescent="0.25">
      <c r="A206" s="27"/>
      <c r="B206" s="14" t="str">
        <f>CONCATENATE("     ","*Payroll                                          ")</f>
        <v xml:space="preserve">     *Payroll                                          </v>
      </c>
      <c r="C206" s="14"/>
      <c r="D206" s="1">
        <f>SUM(OSRRefD22_1x_0)</f>
        <v>322845.24</v>
      </c>
      <c r="E206" s="1"/>
      <c r="F206" s="5">
        <f t="shared" ref="F206:F213" si="44">IF(D$12=0,0,D206/D$12)</f>
        <v>0.47464638616908389</v>
      </c>
      <c r="G206" s="1"/>
      <c r="H206" s="1">
        <f>SUM(OSRRefH22_1x_0)</f>
        <v>957117.34</v>
      </c>
      <c r="I206" s="1"/>
      <c r="J206" s="5">
        <f t="shared" ref="J206:J213" si="45">IF(H$12=0,0,H206/H$12)</f>
        <v>0.25705270996058815</v>
      </c>
      <c r="K206" s="1"/>
      <c r="L206" s="1">
        <f t="shared" ref="L206:L213" si="46">+D206-H206</f>
        <v>-634272.1</v>
      </c>
      <c r="M206" s="1"/>
      <c r="N206" s="5">
        <f t="shared" ref="N206:N213" si="47">IF(H206=0,0,L206/H206)</f>
        <v>-0.66269001040144149</v>
      </c>
      <c r="O206" s="14"/>
      <c r="P206" s="1">
        <f>SUM(OSRRefP22_1x_0)</f>
        <v>1217153.8600000001</v>
      </c>
      <c r="Q206" s="1"/>
      <c r="R206" s="5">
        <f t="shared" ref="R206:R213" si="48">IF(P$12=0,0,P206/P$12)</f>
        <v>0.28545704500616698</v>
      </c>
      <c r="S206" s="1"/>
      <c r="T206" s="1">
        <f>SUM(OSRRefT22_1x_0)</f>
        <v>3021583.71</v>
      </c>
      <c r="U206" s="1"/>
      <c r="V206" s="5">
        <f t="shared" ref="V206:V213" si="49">IF(T$12=0,0,T206/T$12)</f>
        <v>0.22452948558263849</v>
      </c>
      <c r="W206" s="1"/>
      <c r="X206" s="1">
        <f t="shared" ref="X206:X213" si="50">+P206-T206</f>
        <v>-1804429.8499999999</v>
      </c>
      <c r="Y206" s="1"/>
      <c r="Z206" s="5">
        <f t="shared" ref="Z206:Z213" si="51">IF(T206=0,0,X206/T206)</f>
        <v>-0.59718016218719949</v>
      </c>
    </row>
    <row r="207" spans="1:26" s="24" customFormat="1" hidden="1" outlineLevel="2" x14ac:dyDescent="0.25">
      <c r="A207" s="28"/>
      <c r="B207" s="11" t="str">
        <f>CONCATENATE("          ", "6001", " - ", "ADMINISTRATIVE SALARIES")</f>
        <v xml:space="preserve">          6001 - ADMINISTRATIVE SALARIES</v>
      </c>
      <c r="C207" s="11"/>
      <c r="D207" s="6">
        <v>30125.759999999998</v>
      </c>
      <c r="E207" s="2"/>
      <c r="F207" s="7">
        <f t="shared" si="44"/>
        <v>4.4290828369026411E-2</v>
      </c>
      <c r="G207" s="2"/>
      <c r="H207" s="6">
        <v>39846.089999999997</v>
      </c>
      <c r="I207" s="2"/>
      <c r="J207" s="7">
        <f t="shared" si="45"/>
        <v>1.0701452149883202E-2</v>
      </c>
      <c r="K207" s="2"/>
      <c r="L207" s="6">
        <f t="shared" si="46"/>
        <v>-9720.3299999999981</v>
      </c>
      <c r="M207" s="2"/>
      <c r="N207" s="7">
        <f t="shared" si="47"/>
        <v>-0.24394689667166838</v>
      </c>
      <c r="O207" s="11"/>
      <c r="P207" s="6">
        <v>115612.94</v>
      </c>
      <c r="Q207" s="2"/>
      <c r="R207" s="7">
        <f t="shared" si="48"/>
        <v>2.7114508117219691E-2</v>
      </c>
      <c r="S207" s="2"/>
      <c r="T207" s="6">
        <v>146476.41</v>
      </c>
      <c r="U207" s="2"/>
      <c r="V207" s="7">
        <f t="shared" si="49"/>
        <v>1.0884448734101644E-2</v>
      </c>
      <c r="W207" s="2"/>
      <c r="X207" s="6">
        <f t="shared" si="50"/>
        <v>-30863.47</v>
      </c>
      <c r="Y207" s="2"/>
      <c r="Z207" s="7">
        <f t="shared" si="51"/>
        <v>-0.2107060788832823</v>
      </c>
    </row>
    <row r="208" spans="1:26" s="24" customFormat="1" hidden="1" outlineLevel="2" x14ac:dyDescent="0.25">
      <c r="A208" s="28"/>
      <c r="B208" s="11" t="str">
        <f>CONCATENATE("          ", "6002", " - ", "STAFF SALARIES")</f>
        <v xml:space="preserve">          6002 - STAFF SALARIES</v>
      </c>
      <c r="C208" s="11"/>
      <c r="D208" s="6">
        <v>113887.76</v>
      </c>
      <c r="E208" s="2"/>
      <c r="F208" s="7">
        <f t="shared" si="44"/>
        <v>0.16743754287005111</v>
      </c>
      <c r="G208" s="2"/>
      <c r="H208" s="6">
        <v>213778.99</v>
      </c>
      <c r="I208" s="2"/>
      <c r="J208" s="7">
        <f t="shared" si="45"/>
        <v>5.741455766764969E-2</v>
      </c>
      <c r="K208" s="2"/>
      <c r="L208" s="6">
        <f t="shared" si="46"/>
        <v>-99891.23</v>
      </c>
      <c r="M208" s="2"/>
      <c r="N208" s="7">
        <f t="shared" si="47"/>
        <v>-0.46726401878875001</v>
      </c>
      <c r="O208" s="11"/>
      <c r="P208" s="6">
        <v>470899.36</v>
      </c>
      <c r="Q208" s="2"/>
      <c r="R208" s="7">
        <f t="shared" si="48"/>
        <v>0.11043923387047815</v>
      </c>
      <c r="S208" s="2"/>
      <c r="T208" s="6">
        <v>755841.06</v>
      </c>
      <c r="U208" s="2"/>
      <c r="V208" s="7">
        <f t="shared" si="49"/>
        <v>5.6165448543550767E-2</v>
      </c>
      <c r="W208" s="2"/>
      <c r="X208" s="6">
        <f t="shared" si="50"/>
        <v>-284941.70000000007</v>
      </c>
      <c r="Y208" s="2"/>
      <c r="Z208" s="7">
        <f t="shared" si="51"/>
        <v>-0.37698626745681169</v>
      </c>
    </row>
    <row r="209" spans="1:26" s="24" customFormat="1" hidden="1" outlineLevel="2" x14ac:dyDescent="0.25">
      <c r="A209" s="28"/>
      <c r="B209" s="11" t="str">
        <f>CONCATENATE("          ", "6004", " - ", "STAFF HOURLY")</f>
        <v xml:space="preserve">          6004 - STAFF HOURLY</v>
      </c>
      <c r="C209" s="11"/>
      <c r="D209" s="6">
        <v>94314.06</v>
      </c>
      <c r="E209" s="2"/>
      <c r="F209" s="7">
        <f t="shared" si="44"/>
        <v>0.13866033070189959</v>
      </c>
      <c r="G209" s="2"/>
      <c r="H209" s="6">
        <v>130620.26000000001</v>
      </c>
      <c r="I209" s="2"/>
      <c r="J209" s="7">
        <f t="shared" si="45"/>
        <v>3.5080643099368168E-2</v>
      </c>
      <c r="K209" s="2"/>
      <c r="L209" s="6">
        <f t="shared" si="46"/>
        <v>-36306.200000000012</v>
      </c>
      <c r="M209" s="2"/>
      <c r="N209" s="7">
        <f t="shared" si="47"/>
        <v>-0.27795228703418606</v>
      </c>
      <c r="O209" s="11"/>
      <c r="P209" s="6">
        <v>284692.43</v>
      </c>
      <c r="Q209" s="2"/>
      <c r="R209" s="7">
        <f t="shared" si="48"/>
        <v>6.6768436164204442E-2</v>
      </c>
      <c r="S209" s="2"/>
      <c r="T209" s="6">
        <v>336427.16000000003</v>
      </c>
      <c r="U209" s="2"/>
      <c r="V209" s="7">
        <f t="shared" si="49"/>
        <v>2.4999412368035313E-2</v>
      </c>
      <c r="W209" s="2"/>
      <c r="X209" s="6">
        <f t="shared" si="50"/>
        <v>-51734.73000000004</v>
      </c>
      <c r="Y209" s="2"/>
      <c r="Z209" s="7">
        <f t="shared" si="51"/>
        <v>-0.15377691266067828</v>
      </c>
    </row>
    <row r="210" spans="1:26" s="24" customFormat="1" hidden="1" outlineLevel="2" x14ac:dyDescent="0.25">
      <c r="A210" s="28"/>
      <c r="B210" s="11" t="str">
        <f>CONCATENATE("          ", "6005", " - ", "TEMPORARY WAGES-HOURLY")</f>
        <v xml:space="preserve">          6005 - TEMPORARY WAGES-HOURLY</v>
      </c>
      <c r="C210" s="11"/>
      <c r="D210" s="6">
        <v>52240.990000000005</v>
      </c>
      <c r="E210" s="2"/>
      <c r="F210" s="7">
        <f t="shared" si="44"/>
        <v>7.6804592545317546E-2</v>
      </c>
      <c r="G210" s="2"/>
      <c r="H210" s="6">
        <v>204868.69999999998</v>
      </c>
      <c r="I210" s="2"/>
      <c r="J210" s="7">
        <f t="shared" si="45"/>
        <v>5.502152381974685E-2</v>
      </c>
      <c r="K210" s="2"/>
      <c r="L210" s="6">
        <f t="shared" si="46"/>
        <v>-152627.70999999996</v>
      </c>
      <c r="M210" s="2"/>
      <c r="N210" s="7">
        <f t="shared" si="47"/>
        <v>-0.74500257970104744</v>
      </c>
      <c r="O210" s="11"/>
      <c r="P210" s="6">
        <v>151704.62</v>
      </c>
      <c r="Q210" s="2"/>
      <c r="R210" s="7">
        <f t="shared" si="48"/>
        <v>3.5579029046486736E-2</v>
      </c>
      <c r="S210" s="2"/>
      <c r="T210" s="6">
        <v>535259.53999999992</v>
      </c>
      <c r="U210" s="2"/>
      <c r="V210" s="7">
        <f t="shared" si="49"/>
        <v>3.9774356994200136E-2</v>
      </c>
      <c r="W210" s="2"/>
      <c r="X210" s="6">
        <f t="shared" si="50"/>
        <v>-383554.91999999993</v>
      </c>
      <c r="Y210" s="2"/>
      <c r="Z210" s="7">
        <f t="shared" si="51"/>
        <v>-0.71657745698469943</v>
      </c>
    </row>
    <row r="211" spans="1:26" s="24" customFormat="1" hidden="1" outlineLevel="2" x14ac:dyDescent="0.25">
      <c r="A211" s="28"/>
      <c r="B211" s="11" t="str">
        <f>CONCATENATE("          ", "6006", " - ", "TEMPORARY PART TIME")</f>
        <v xml:space="preserve">          6006 - TEMPORARY PART TIME</v>
      </c>
      <c r="C211" s="11"/>
      <c r="D211" s="6">
        <v>1802.76</v>
      </c>
      <c r="E211" s="2"/>
      <c r="F211" s="7">
        <f t="shared" si="44"/>
        <v>2.6504139231855414E-3</v>
      </c>
      <c r="G211" s="2"/>
      <c r="H211" s="6">
        <v>18317.53</v>
      </c>
      <c r="I211" s="2"/>
      <c r="J211" s="7">
        <f t="shared" si="45"/>
        <v>4.9195334046339316E-3</v>
      </c>
      <c r="K211" s="2"/>
      <c r="L211" s="6">
        <f t="shared" si="46"/>
        <v>-16514.77</v>
      </c>
      <c r="M211" s="2"/>
      <c r="N211" s="7">
        <f t="shared" si="47"/>
        <v>-0.90158280073787245</v>
      </c>
      <c r="O211" s="11"/>
      <c r="P211" s="6">
        <v>7507.17</v>
      </c>
      <c r="Q211" s="2"/>
      <c r="R211" s="7">
        <f t="shared" si="48"/>
        <v>1.7606439374549955E-3</v>
      </c>
      <c r="S211" s="2"/>
      <c r="T211" s="6">
        <v>64764.42</v>
      </c>
      <c r="U211" s="2"/>
      <c r="V211" s="7">
        <f t="shared" si="49"/>
        <v>4.8125497428823331E-3</v>
      </c>
      <c r="W211" s="2"/>
      <c r="X211" s="6">
        <f t="shared" si="50"/>
        <v>-57257.25</v>
      </c>
      <c r="Y211" s="2"/>
      <c r="Z211" s="7">
        <f t="shared" si="51"/>
        <v>-0.88408496517069102</v>
      </c>
    </row>
    <row r="212" spans="1:26" s="24" customFormat="1" hidden="1" outlineLevel="2" x14ac:dyDescent="0.25">
      <c r="A212" s="28"/>
      <c r="B212" s="11" t="str">
        <f>CONCATENATE("          ", "6007", " - ", "STUDENT HOURLY")</f>
        <v xml:space="preserve">          6007 - STUDENT HOURLY</v>
      </c>
      <c r="C212" s="11"/>
      <c r="D212" s="6">
        <v>23964.41</v>
      </c>
      <c r="E212" s="2"/>
      <c r="F212" s="7">
        <f t="shared" si="44"/>
        <v>3.5232424684886958E-2</v>
      </c>
      <c r="G212" s="2"/>
      <c r="H212" s="6">
        <v>302913.64</v>
      </c>
      <c r="I212" s="2"/>
      <c r="J212" s="7">
        <f t="shared" si="45"/>
        <v>8.1353423234423919E-2</v>
      </c>
      <c r="K212" s="2"/>
      <c r="L212" s="6">
        <f t="shared" si="46"/>
        <v>-278949.23000000004</v>
      </c>
      <c r="M212" s="2"/>
      <c r="N212" s="7">
        <f t="shared" si="47"/>
        <v>-0.92088698944029068</v>
      </c>
      <c r="O212" s="11"/>
      <c r="P212" s="6">
        <v>174193.12</v>
      </c>
      <c r="Q212" s="2"/>
      <c r="R212" s="7">
        <f t="shared" si="48"/>
        <v>4.0853219079143077E-2</v>
      </c>
      <c r="S212" s="2"/>
      <c r="T212" s="6">
        <v>1073775.6600000001</v>
      </c>
      <c r="U212" s="2"/>
      <c r="V212" s="7">
        <f t="shared" si="49"/>
        <v>7.9790705706100792E-2</v>
      </c>
      <c r="W212" s="2"/>
      <c r="X212" s="6">
        <f t="shared" si="50"/>
        <v>-899582.54000000015</v>
      </c>
      <c r="Y212" s="2"/>
      <c r="Z212" s="7">
        <f t="shared" si="51"/>
        <v>-0.83777512706890755</v>
      </c>
    </row>
    <row r="213" spans="1:26" s="24" customFormat="1" hidden="1" outlineLevel="2" x14ac:dyDescent="0.25">
      <c r="A213" s="28"/>
      <c r="B213" s="11" t="str">
        <f>CONCATENATE("          ", "6008", " - ", "STUDENT HOURLY-FICA EXEMPT")</f>
        <v xml:space="preserve">          6008 - STUDENT HOURLY-FICA EXEMPT</v>
      </c>
      <c r="C213" s="11"/>
      <c r="D213" s="6">
        <v>6509.5</v>
      </c>
      <c r="E213" s="2"/>
      <c r="F213" s="7">
        <f t="shared" si="44"/>
        <v>9.5702530747167024E-3</v>
      </c>
      <c r="G213" s="2"/>
      <c r="H213" s="6">
        <v>46772.13</v>
      </c>
      <c r="I213" s="2"/>
      <c r="J213" s="7">
        <f t="shared" si="45"/>
        <v>1.2561576584882397E-2</v>
      </c>
      <c r="K213" s="2"/>
      <c r="L213" s="6">
        <f t="shared" si="46"/>
        <v>-40262.629999999997</v>
      </c>
      <c r="M213" s="2"/>
      <c r="N213" s="7">
        <f t="shared" si="47"/>
        <v>-0.86082523930383326</v>
      </c>
      <c r="O213" s="11"/>
      <c r="P213" s="6">
        <v>12544.22</v>
      </c>
      <c r="Q213" s="2"/>
      <c r="R213" s="7">
        <f t="shared" si="48"/>
        <v>2.941974791179859E-3</v>
      </c>
      <c r="S213" s="2"/>
      <c r="T213" s="6">
        <v>109039.45999999999</v>
      </c>
      <c r="U213" s="2"/>
      <c r="V213" s="7">
        <f t="shared" si="49"/>
        <v>8.1025634937675409E-3</v>
      </c>
      <c r="W213" s="2"/>
      <c r="X213" s="6">
        <f t="shared" si="50"/>
        <v>-96495.239999999991</v>
      </c>
      <c r="Y213" s="2"/>
      <c r="Z213" s="7">
        <f t="shared" si="51"/>
        <v>-0.88495706049901568</v>
      </c>
    </row>
    <row r="214" spans="1:26" s="29" customFormat="1" outlineLevel="1" collapsed="1" x14ac:dyDescent="0.25">
      <c r="A214" s="27"/>
      <c r="B214" s="14" t="str">
        <f>CONCATENATE("     ","Advertising/Promo                                 ")</f>
        <v xml:space="preserve">     Advertising/Promo                                 </v>
      </c>
      <c r="C214" s="14"/>
      <c r="D214" s="1">
        <f>SUM(OSRRefD22_2x_0)</f>
        <v>1331.21</v>
      </c>
      <c r="E214" s="1"/>
      <c r="F214" s="5">
        <f t="shared" ref="F214:F218" si="52">IF(D$12=0,0,D214/D$12)</f>
        <v>1.957142114692929E-3</v>
      </c>
      <c r="G214" s="1"/>
      <c r="H214" s="1">
        <f>SUM(OSRRefH22_2x_0)</f>
        <v>18492.79</v>
      </c>
      <c r="I214" s="1"/>
      <c r="J214" s="5">
        <f t="shared" ref="J214:J218" si="53">IF(H$12=0,0,H214/H$12)</f>
        <v>4.9666029289909906E-3</v>
      </c>
      <c r="K214" s="1"/>
      <c r="L214" s="1">
        <f t="shared" ref="L214:L218" si="54">+D214-H214</f>
        <v>-17161.580000000002</v>
      </c>
      <c r="M214" s="1"/>
      <c r="N214" s="5">
        <f t="shared" ref="N214:N218" si="55">IF(H214=0,0,L214/H214)</f>
        <v>-0.92801464787087296</v>
      </c>
      <c r="O214" s="14"/>
      <c r="P214" s="1">
        <f>SUM(OSRRefP22_2x_0)</f>
        <v>15498.26</v>
      </c>
      <c r="Q214" s="1"/>
      <c r="R214" s="5">
        <f t="shared" ref="R214:R218" si="56">IF(P$12=0,0,P214/P$12)</f>
        <v>3.6347808175519213E-3</v>
      </c>
      <c r="S214" s="1"/>
      <c r="T214" s="1">
        <f>SUM(OSRRefT22_2x_0)</f>
        <v>40476.879999999997</v>
      </c>
      <c r="U214" s="1"/>
      <c r="V214" s="5">
        <f t="shared" ref="V214:V218" si="57">IF(T$12=0,0,T214/T$12)</f>
        <v>3.0077780120115185E-3</v>
      </c>
      <c r="W214" s="1"/>
      <c r="X214" s="1">
        <f t="shared" ref="X214:X218" si="58">+P214-T214</f>
        <v>-24978.619999999995</v>
      </c>
      <c r="Y214" s="1"/>
      <c r="Z214" s="5">
        <f t="shared" ref="Z214:Z218" si="59">IF(T214=0,0,X214/T214)</f>
        <v>-0.61710833443684388</v>
      </c>
    </row>
    <row r="215" spans="1:26" s="24" customFormat="1" hidden="1" outlineLevel="2" x14ac:dyDescent="0.25">
      <c r="A215" s="28"/>
      <c r="B215" s="11" t="str">
        <f>CONCATENATE("          ", "6362", " - ", "ADVERTISING EXPENSE")</f>
        <v xml:space="preserve">          6362 - ADVERTISING EXPENSE</v>
      </c>
      <c r="C215" s="11"/>
      <c r="D215" s="6">
        <v>1331.21</v>
      </c>
      <c r="E215" s="2"/>
      <c r="F215" s="7">
        <f t="shared" si="52"/>
        <v>1.957142114692929E-3</v>
      </c>
      <c r="G215" s="2"/>
      <c r="H215" s="6">
        <v>18492.79</v>
      </c>
      <c r="I215" s="2"/>
      <c r="J215" s="7">
        <f t="shared" si="53"/>
        <v>4.9666029289909906E-3</v>
      </c>
      <c r="K215" s="2"/>
      <c r="L215" s="6">
        <f t="shared" si="54"/>
        <v>-17161.580000000002</v>
      </c>
      <c r="M215" s="2"/>
      <c r="N215" s="7">
        <f t="shared" si="55"/>
        <v>-0.92801464787087296</v>
      </c>
      <c r="O215" s="11"/>
      <c r="P215" s="6">
        <v>15498.26</v>
      </c>
      <c r="Q215" s="2"/>
      <c r="R215" s="7">
        <f t="shared" si="56"/>
        <v>3.6347808175519213E-3</v>
      </c>
      <c r="S215" s="2"/>
      <c r="T215" s="6">
        <v>40476.879999999997</v>
      </c>
      <c r="U215" s="2"/>
      <c r="V215" s="7">
        <f t="shared" si="57"/>
        <v>3.0077780120115185E-3</v>
      </c>
      <c r="W215" s="2"/>
      <c r="X215" s="6">
        <f t="shared" si="58"/>
        <v>-24978.619999999995</v>
      </c>
      <c r="Y215" s="2"/>
      <c r="Z215" s="7">
        <f t="shared" si="59"/>
        <v>-0.61710833443684388</v>
      </c>
    </row>
    <row r="216" spans="1:26" s="29" customFormat="1" outlineLevel="1" collapsed="1" x14ac:dyDescent="0.25">
      <c r="A216" s="27"/>
      <c r="B216" s="14" t="str">
        <f>CONCATENATE("     ","Bad Debts/Over/Short                              ")</f>
        <v xml:space="preserve">     Bad Debts/Over/Short                              </v>
      </c>
      <c r="C216" s="14"/>
      <c r="D216" s="1">
        <f>SUM(OSRRefD22_3x_0)</f>
        <v>1510.35</v>
      </c>
      <c r="E216" s="1"/>
      <c r="F216" s="5">
        <f t="shared" si="52"/>
        <v>2.2205133622241907E-3</v>
      </c>
      <c r="G216" s="1"/>
      <c r="H216" s="1">
        <f>SUM(OSRRefH22_3x_0)</f>
        <v>67.44</v>
      </c>
      <c r="I216" s="1"/>
      <c r="J216" s="5">
        <f t="shared" si="53"/>
        <v>1.8112340081250713E-5</v>
      </c>
      <c r="K216" s="1"/>
      <c r="L216" s="1">
        <f t="shared" si="54"/>
        <v>1442.9099999999999</v>
      </c>
      <c r="M216" s="1"/>
      <c r="N216" s="5">
        <f t="shared" si="55"/>
        <v>21.395462633451956</v>
      </c>
      <c r="O216" s="14"/>
      <c r="P216" s="1">
        <f>SUM(OSRRefP22_3x_0)</f>
        <v>1461.89</v>
      </c>
      <c r="Q216" s="1"/>
      <c r="R216" s="5">
        <f t="shared" si="56"/>
        <v>3.4285459976610139E-4</v>
      </c>
      <c r="S216" s="1"/>
      <c r="T216" s="1">
        <f>SUM(OSRRefT22_3x_0)</f>
        <v>-268.83999999999997</v>
      </c>
      <c r="U216" s="1"/>
      <c r="V216" s="5">
        <f t="shared" si="57"/>
        <v>-1.9977108926112303E-5</v>
      </c>
      <c r="W216" s="1"/>
      <c r="X216" s="1">
        <f t="shared" si="58"/>
        <v>1730.73</v>
      </c>
      <c r="Y216" s="1"/>
      <c r="Z216" s="5">
        <f t="shared" si="59"/>
        <v>-6.4377696771313797</v>
      </c>
    </row>
    <row r="217" spans="1:26" s="24" customFormat="1" hidden="1" outlineLevel="2" x14ac:dyDescent="0.25">
      <c r="A217" s="28"/>
      <c r="B217" s="11" t="str">
        <f>CONCATENATE("          ", "6272", " - ", "CASH (OVER/SHORT)")</f>
        <v xml:space="preserve">          6272 - CASH (OVER/SHORT)</v>
      </c>
      <c r="C217" s="11"/>
      <c r="D217" s="6">
        <v>1510.35</v>
      </c>
      <c r="E217" s="2"/>
      <c r="F217" s="7">
        <f t="shared" si="52"/>
        <v>2.2205133622241907E-3</v>
      </c>
      <c r="G217" s="2"/>
      <c r="H217" s="6">
        <v>22.64</v>
      </c>
      <c r="I217" s="2"/>
      <c r="J217" s="7">
        <f t="shared" si="53"/>
        <v>6.0804178445954347E-6</v>
      </c>
      <c r="K217" s="2"/>
      <c r="L217" s="6">
        <f t="shared" si="54"/>
        <v>1487.7099999999998</v>
      </c>
      <c r="M217" s="2"/>
      <c r="N217" s="7">
        <f t="shared" si="55"/>
        <v>65.711572438162534</v>
      </c>
      <c r="O217" s="11"/>
      <c r="P217" s="6">
        <v>1461.89</v>
      </c>
      <c r="Q217" s="2"/>
      <c r="R217" s="7">
        <f t="shared" si="56"/>
        <v>3.4285459976610139E-4</v>
      </c>
      <c r="S217" s="2"/>
      <c r="T217" s="6">
        <v>-313.64</v>
      </c>
      <c r="U217" s="2"/>
      <c r="V217" s="7">
        <f t="shared" si="57"/>
        <v>-2.3306131690172087E-5</v>
      </c>
      <c r="W217" s="2"/>
      <c r="X217" s="6">
        <f t="shared" si="58"/>
        <v>1775.5300000000002</v>
      </c>
      <c r="Y217" s="2"/>
      <c r="Z217" s="7">
        <f t="shared" si="59"/>
        <v>-5.6610445096288746</v>
      </c>
    </row>
    <row r="218" spans="1:26" s="24" customFormat="1" hidden="1" outlineLevel="2" x14ac:dyDescent="0.25">
      <c r="A218" s="28"/>
      <c r="B218" s="11" t="str">
        <f>CONCATENATE("          ", "6342", " - ", "BAD DEBT")</f>
        <v xml:space="preserve">          6342 - BAD DEBT</v>
      </c>
      <c r="C218" s="11"/>
      <c r="D218" s="6"/>
      <c r="E218" s="2"/>
      <c r="F218" s="7">
        <f t="shared" si="52"/>
        <v>0</v>
      </c>
      <c r="G218" s="2"/>
      <c r="H218" s="6">
        <v>44.8</v>
      </c>
      <c r="I218" s="2"/>
      <c r="J218" s="7">
        <f t="shared" si="53"/>
        <v>1.2031922236655277E-5</v>
      </c>
      <c r="K218" s="2"/>
      <c r="L218" s="6">
        <f t="shared" si="54"/>
        <v>-44.8</v>
      </c>
      <c r="M218" s="2"/>
      <c r="N218" s="7">
        <f t="shared" si="55"/>
        <v>-1</v>
      </c>
      <c r="O218" s="11"/>
      <c r="P218" s="6"/>
      <c r="Q218" s="2"/>
      <c r="R218" s="7">
        <f t="shared" si="56"/>
        <v>0</v>
      </c>
      <c r="S218" s="2"/>
      <c r="T218" s="6">
        <v>44.8</v>
      </c>
      <c r="U218" s="2"/>
      <c r="V218" s="7">
        <f t="shared" si="57"/>
        <v>3.32902276405978E-6</v>
      </c>
      <c r="W218" s="2"/>
      <c r="X218" s="6">
        <f t="shared" si="58"/>
        <v>-44.8</v>
      </c>
      <c r="Y218" s="2"/>
      <c r="Z218" s="7">
        <f t="shared" si="59"/>
        <v>-1</v>
      </c>
    </row>
    <row r="219" spans="1:26" s="29" customFormat="1" outlineLevel="1" collapsed="1" x14ac:dyDescent="0.25">
      <c r="A219" s="27"/>
      <c r="B219" s="14" t="str">
        <f>CONCATENATE("     ","Bank/card Fees                                    ")</f>
        <v xml:space="preserve">     Bank/card Fees                                    </v>
      </c>
      <c r="C219" s="14"/>
      <c r="D219" s="1">
        <f>SUM(OSRRefD22_4x_0)</f>
        <v>5909.57</v>
      </c>
      <c r="E219" s="1"/>
      <c r="F219" s="5">
        <f t="shared" ref="F219:F224" si="60">IF(D$12=0,0,D219/D$12)</f>
        <v>8.6882372628855637E-3</v>
      </c>
      <c r="G219" s="1"/>
      <c r="H219" s="1">
        <f>SUM(OSRRefH22_4x_0)</f>
        <v>61421.33</v>
      </c>
      <c r="I219" s="1"/>
      <c r="J219" s="5">
        <f t="shared" ref="J219:J224" si="61">IF(H$12=0,0,H219/H$12)</f>
        <v>1.6495907728391559E-2</v>
      </c>
      <c r="K219" s="1"/>
      <c r="L219" s="1">
        <f t="shared" ref="L219:L224" si="62">+D219-H219</f>
        <v>-55511.76</v>
      </c>
      <c r="M219" s="1"/>
      <c r="N219" s="5">
        <f t="shared" ref="N219:N224" si="63">IF(H219=0,0,L219/H219)</f>
        <v>-0.90378635565201859</v>
      </c>
      <c r="O219" s="14"/>
      <c r="P219" s="1">
        <f>SUM(OSRRefP22_4x_0)</f>
        <v>41961.270000000004</v>
      </c>
      <c r="Q219" s="1"/>
      <c r="R219" s="5">
        <f t="shared" ref="R219:R224" si="64">IF(P$12=0,0,P219/P$12)</f>
        <v>9.8411059871312597E-3</v>
      </c>
      <c r="S219" s="1"/>
      <c r="T219" s="1">
        <f>SUM(OSRRefT22_4x_0)</f>
        <v>182275.66</v>
      </c>
      <c r="U219" s="1"/>
      <c r="V219" s="5">
        <f t="shared" ref="V219:V224" si="65">IF(T$12=0,0,T219/T$12)</f>
        <v>1.3544638872187962E-2</v>
      </c>
      <c r="W219" s="1"/>
      <c r="X219" s="1">
        <f t="shared" ref="X219:X224" si="66">+P219-T219</f>
        <v>-140314.39000000001</v>
      </c>
      <c r="Y219" s="1"/>
      <c r="Z219" s="5">
        <f t="shared" ref="Z219:Z224" si="67">IF(T219=0,0,X219/T219)</f>
        <v>-0.76979224763196585</v>
      </c>
    </row>
    <row r="220" spans="1:26" s="24" customFormat="1" hidden="1" outlineLevel="2" x14ac:dyDescent="0.25">
      <c r="A220" s="28"/>
      <c r="B220" s="11" t="str">
        <f>CONCATENATE("          ", "6381", " - ", "BANK/CREDIT CARD FEES")</f>
        <v xml:space="preserve">          6381 - BANK/CREDIT CARD FEES</v>
      </c>
      <c r="C220" s="11"/>
      <c r="D220" s="6">
        <v>5909.57</v>
      </c>
      <c r="E220" s="2"/>
      <c r="F220" s="7">
        <f t="shared" si="60"/>
        <v>8.6882372628855637E-3</v>
      </c>
      <c r="G220" s="2"/>
      <c r="H220" s="6">
        <v>61421.33</v>
      </c>
      <c r="I220" s="2"/>
      <c r="J220" s="7">
        <f t="shared" si="61"/>
        <v>1.6495907728391559E-2</v>
      </c>
      <c r="K220" s="2"/>
      <c r="L220" s="6">
        <f t="shared" si="62"/>
        <v>-55511.76</v>
      </c>
      <c r="M220" s="2"/>
      <c r="N220" s="7">
        <f t="shared" si="63"/>
        <v>-0.90378635565201859</v>
      </c>
      <c r="O220" s="11"/>
      <c r="P220" s="6">
        <v>41961.270000000004</v>
      </c>
      <c r="Q220" s="2"/>
      <c r="R220" s="7">
        <f t="shared" si="64"/>
        <v>9.8411059871312597E-3</v>
      </c>
      <c r="S220" s="2"/>
      <c r="T220" s="6">
        <v>182275.66</v>
      </c>
      <c r="U220" s="2"/>
      <c r="V220" s="7">
        <f t="shared" si="65"/>
        <v>1.3544638872187962E-2</v>
      </c>
      <c r="W220" s="2"/>
      <c r="X220" s="6">
        <f t="shared" si="66"/>
        <v>-140314.39000000001</v>
      </c>
      <c r="Y220" s="2"/>
      <c r="Z220" s="7">
        <f t="shared" si="67"/>
        <v>-0.76979224763196585</v>
      </c>
    </row>
    <row r="221" spans="1:26" s="29" customFormat="1" outlineLevel="1" collapsed="1" x14ac:dyDescent="0.25">
      <c r="A221" s="27"/>
      <c r="B221" s="14" t="str">
        <f>CONCATENATE("     ","Depreciation                                      ")</f>
        <v xml:space="preserve">     Depreciation                                      </v>
      </c>
      <c r="C221" s="14"/>
      <c r="D221" s="1">
        <f>SUM(OSRRefD22_5x_0)</f>
        <v>77816.37999999999</v>
      </c>
      <c r="E221" s="1"/>
      <c r="F221" s="5">
        <f t="shared" si="60"/>
        <v>0.11440547660470438</v>
      </c>
      <c r="G221" s="1"/>
      <c r="H221" s="1">
        <f>SUM(OSRRefH22_5x_0)</f>
        <v>77862.400000000009</v>
      </c>
      <c r="I221" s="1"/>
      <c r="J221" s="5">
        <f t="shared" si="61"/>
        <v>2.0911480847306874E-2</v>
      </c>
      <c r="K221" s="1"/>
      <c r="L221" s="1">
        <f t="shared" si="62"/>
        <v>-46.020000000018626</v>
      </c>
      <c r="M221" s="1"/>
      <c r="N221" s="5">
        <f t="shared" si="63"/>
        <v>-5.91042659872013E-4</v>
      </c>
      <c r="O221" s="14"/>
      <c r="P221" s="1">
        <f>SUM(OSRRefP22_5x_0)</f>
        <v>313362.41000000003</v>
      </c>
      <c r="Q221" s="1"/>
      <c r="R221" s="5">
        <f t="shared" si="64"/>
        <v>7.3492358291178533E-2</v>
      </c>
      <c r="S221" s="1"/>
      <c r="T221" s="1">
        <f>SUM(OSRRefT22_5x_0)</f>
        <v>311449.60000000003</v>
      </c>
      <c r="U221" s="1"/>
      <c r="V221" s="5">
        <f t="shared" si="65"/>
        <v>2.3143366255743595E-2</v>
      </c>
      <c r="W221" s="1"/>
      <c r="X221" s="1">
        <f t="shared" si="66"/>
        <v>1912.8099999999977</v>
      </c>
      <c r="Y221" s="1"/>
      <c r="Z221" s="5">
        <f t="shared" si="67"/>
        <v>6.1416357574387553E-3</v>
      </c>
    </row>
    <row r="222" spans="1:26" s="24" customFormat="1" hidden="1" outlineLevel="2" x14ac:dyDescent="0.25">
      <c r="A222" s="28"/>
      <c r="B222" s="11" t="str">
        <f>CONCATENATE("          ", "6321", " - ", "BUILDING DEPRECIATION")</f>
        <v xml:space="preserve">          6321 - BUILDING DEPRECIATION</v>
      </c>
      <c r="C222" s="11"/>
      <c r="D222" s="6">
        <v>45060.52</v>
      </c>
      <c r="E222" s="2"/>
      <c r="F222" s="7">
        <f t="shared" si="60"/>
        <v>6.6247880801648881E-2</v>
      </c>
      <c r="G222" s="2"/>
      <c r="H222" s="6">
        <v>45519.990000000005</v>
      </c>
      <c r="I222" s="2"/>
      <c r="J222" s="7">
        <f t="shared" si="61"/>
        <v>1.2225289729761739E-2</v>
      </c>
      <c r="K222" s="2"/>
      <c r="L222" s="6">
        <f t="shared" si="62"/>
        <v>-459.47000000000844</v>
      </c>
      <c r="M222" s="2"/>
      <c r="N222" s="7">
        <f t="shared" si="63"/>
        <v>-1.0093807138358519E-2</v>
      </c>
      <c r="O222" s="11"/>
      <c r="P222" s="6">
        <v>181026.27000000002</v>
      </c>
      <c r="Q222" s="2"/>
      <c r="R222" s="7">
        <f t="shared" si="64"/>
        <v>4.2455786241098997E-2</v>
      </c>
      <c r="S222" s="2"/>
      <c r="T222" s="6">
        <v>182079.96000000002</v>
      </c>
      <c r="U222" s="2"/>
      <c r="V222" s="7">
        <f t="shared" si="65"/>
        <v>1.3530096690158354E-2</v>
      </c>
      <c r="W222" s="2"/>
      <c r="X222" s="6">
        <f t="shared" si="66"/>
        <v>-1053.6900000000023</v>
      </c>
      <c r="Y222" s="2"/>
      <c r="Z222" s="7">
        <f t="shared" si="67"/>
        <v>-5.7869630463451456E-3</v>
      </c>
    </row>
    <row r="223" spans="1:26" s="24" customFormat="1" hidden="1" outlineLevel="2" x14ac:dyDescent="0.25">
      <c r="A223" s="28"/>
      <c r="B223" s="11" t="str">
        <f>CONCATENATE("          ", "6322", " - ", "EQUIPMENT DEPRECIATION EXPENSE")</f>
        <v xml:space="preserve">          6322 - EQUIPMENT DEPRECIATION EXPENSE</v>
      </c>
      <c r="C223" s="11"/>
      <c r="D223" s="6">
        <v>32755.859999999997</v>
      </c>
      <c r="E223" s="2"/>
      <c r="F223" s="7">
        <f t="shared" si="60"/>
        <v>4.8157595803055502E-2</v>
      </c>
      <c r="G223" s="2"/>
      <c r="H223" s="6">
        <v>31918.16</v>
      </c>
      <c r="I223" s="2"/>
      <c r="J223" s="7">
        <f t="shared" si="61"/>
        <v>8.5722504253821653E-3</v>
      </c>
      <c r="K223" s="2"/>
      <c r="L223" s="6">
        <f t="shared" si="62"/>
        <v>837.69999999999709</v>
      </c>
      <c r="M223" s="2"/>
      <c r="N223" s="7">
        <f t="shared" si="63"/>
        <v>2.6245247219764456E-2</v>
      </c>
      <c r="O223" s="11"/>
      <c r="P223" s="6">
        <v>132336.14000000001</v>
      </c>
      <c r="Q223" s="2"/>
      <c r="R223" s="7">
        <f t="shared" si="64"/>
        <v>3.1036572050079529E-2</v>
      </c>
      <c r="S223" s="2"/>
      <c r="T223" s="6">
        <v>127672.64</v>
      </c>
      <c r="U223" s="2"/>
      <c r="V223" s="7">
        <f t="shared" si="65"/>
        <v>9.4871679666877068E-3</v>
      </c>
      <c r="W223" s="2"/>
      <c r="X223" s="6">
        <f t="shared" si="66"/>
        <v>4663.5000000000146</v>
      </c>
      <c r="Y223" s="2"/>
      <c r="Z223" s="7">
        <f t="shared" si="67"/>
        <v>3.6527011582121391E-2</v>
      </c>
    </row>
    <row r="224" spans="1:26" s="24" customFormat="1" hidden="1" outlineLevel="2" x14ac:dyDescent="0.25">
      <c r="A224" s="28"/>
      <c r="B224" s="11" t="str">
        <f>CONCATENATE("          ", "6326", " - ", "VEHICLES DEPRECIATION EXPENSE")</f>
        <v xml:space="preserve">          6326 - VEHICLES DEPRECIATION EXPENSE</v>
      </c>
      <c r="C224" s="11"/>
      <c r="D224" s="6"/>
      <c r="E224" s="2"/>
      <c r="F224" s="7">
        <f t="shared" si="60"/>
        <v>0</v>
      </c>
      <c r="G224" s="2"/>
      <c r="H224" s="6">
        <v>424.25</v>
      </c>
      <c r="I224" s="2"/>
      <c r="J224" s="7">
        <f t="shared" si="61"/>
        <v>1.1394069216296878E-4</v>
      </c>
      <c r="K224" s="2"/>
      <c r="L224" s="6">
        <f t="shared" si="62"/>
        <v>-424.25</v>
      </c>
      <c r="M224" s="2"/>
      <c r="N224" s="7">
        <f t="shared" si="63"/>
        <v>-1</v>
      </c>
      <c r="O224" s="11"/>
      <c r="P224" s="6"/>
      <c r="Q224" s="2"/>
      <c r="R224" s="7">
        <f t="shared" si="64"/>
        <v>0</v>
      </c>
      <c r="S224" s="2"/>
      <c r="T224" s="6">
        <v>1697</v>
      </c>
      <c r="U224" s="2"/>
      <c r="V224" s="7">
        <f t="shared" si="65"/>
        <v>1.2610159889753231E-4</v>
      </c>
      <c r="W224" s="2"/>
      <c r="X224" s="6">
        <f t="shared" si="66"/>
        <v>-1697</v>
      </c>
      <c r="Y224" s="2"/>
      <c r="Z224" s="7">
        <f t="shared" si="67"/>
        <v>-1</v>
      </c>
    </row>
    <row r="225" spans="1:26" s="29" customFormat="1" outlineLevel="1" collapsed="1" x14ac:dyDescent="0.25">
      <c r="A225" s="27"/>
      <c r="B225" s="14" t="str">
        <f>CONCATENATE("     ","Discounts and Markdowns                           ")</f>
        <v xml:space="preserve">     Discounts and Markdowns                           </v>
      </c>
      <c r="C225" s="14"/>
      <c r="D225" s="1">
        <f>SUM(OSRRefD22_6x_0)</f>
        <v>-1249.8000000000002</v>
      </c>
      <c r="E225" s="1"/>
      <c r="F225" s="5">
        <f t="shared" ref="F225:F227" si="68">IF(D$12=0,0,D225/D$12)</f>
        <v>-1.8374533055965797E-3</v>
      </c>
      <c r="G225" s="1"/>
      <c r="H225" s="1">
        <f>SUM(OSRRefH22_6x_0)</f>
        <v>35167.93</v>
      </c>
      <c r="I225" s="1"/>
      <c r="J225" s="5">
        <f t="shared" ref="J225:J227" si="69">IF(H$12=0,0,H225/H$12)</f>
        <v>9.4450401558958987E-3</v>
      </c>
      <c r="K225" s="1"/>
      <c r="L225" s="1">
        <f t="shared" ref="L225:L227" si="70">+D225-H225</f>
        <v>-36417.730000000003</v>
      </c>
      <c r="M225" s="1"/>
      <c r="N225" s="5">
        <f t="shared" ref="N225:N227" si="71">IF(H225=0,0,L225/H225)</f>
        <v>-1.0355380598175667</v>
      </c>
      <c r="O225" s="14"/>
      <c r="P225" s="1">
        <f>SUM(OSRRefP22_6x_0)</f>
        <v>-418.85</v>
      </c>
      <c r="Q225" s="1"/>
      <c r="R225" s="5">
        <f t="shared" ref="R225:R227" si="72">IF(P$12=0,0,P225/P$12)</f>
        <v>-9.8232185124757379E-5</v>
      </c>
      <c r="S225" s="1"/>
      <c r="T225" s="1">
        <f>SUM(OSRRefT22_6x_0)</f>
        <v>166228.07999999999</v>
      </c>
      <c r="U225" s="1"/>
      <c r="V225" s="5">
        <f t="shared" ref="V225:V227" si="73">IF(T$12=0,0,T225/T$12)</f>
        <v>1.2352166570222103E-2</v>
      </c>
      <c r="W225" s="1"/>
      <c r="X225" s="1">
        <f t="shared" ref="X225:X227" si="74">+P225-T225</f>
        <v>-166646.93</v>
      </c>
      <c r="Y225" s="1"/>
      <c r="Z225" s="5">
        <f t="shared" ref="Z225:Z227" si="75">IF(T225=0,0,X225/T225)</f>
        <v>-1.002519730721789</v>
      </c>
    </row>
    <row r="226" spans="1:26" s="24" customFormat="1" hidden="1" outlineLevel="2" x14ac:dyDescent="0.25">
      <c r="A226" s="28"/>
      <c r="B226" s="11" t="str">
        <f>CONCATENATE("          ", "6382", " - ", "DISCOUNTS/MARK DOWNS")</f>
        <v xml:space="preserve">          6382 - DISCOUNTS/MARK DOWNS</v>
      </c>
      <c r="C226" s="11"/>
      <c r="D226" s="6">
        <v>-830.95</v>
      </c>
      <c r="E226" s="2"/>
      <c r="F226" s="7">
        <f t="shared" si="68"/>
        <v>-1.2216609251764104E-3</v>
      </c>
      <c r="G226" s="2"/>
      <c r="H226" s="6">
        <v>35637.82</v>
      </c>
      <c r="I226" s="2"/>
      <c r="J226" s="7">
        <f t="shared" si="69"/>
        <v>9.5712383688374598E-3</v>
      </c>
      <c r="K226" s="2"/>
      <c r="L226" s="6">
        <f t="shared" si="70"/>
        <v>-36468.769999999997</v>
      </c>
      <c r="M226" s="2"/>
      <c r="N226" s="7">
        <f t="shared" si="71"/>
        <v>-1.0233165216054181</v>
      </c>
      <c r="O226" s="11"/>
      <c r="P226" s="6">
        <v>0</v>
      </c>
      <c r="Q226" s="2"/>
      <c r="R226" s="7">
        <f t="shared" si="72"/>
        <v>0</v>
      </c>
      <c r="S226" s="2"/>
      <c r="T226" s="6">
        <v>168345.83</v>
      </c>
      <c r="U226" s="2"/>
      <c r="V226" s="7">
        <f t="shared" si="73"/>
        <v>1.2509533488940577E-2</v>
      </c>
      <c r="W226" s="2"/>
      <c r="X226" s="6">
        <f t="shared" si="74"/>
        <v>-168345.83</v>
      </c>
      <c r="Y226" s="2"/>
      <c r="Z226" s="7">
        <f t="shared" si="75"/>
        <v>-1</v>
      </c>
    </row>
    <row r="227" spans="1:26" s="24" customFormat="1" hidden="1" outlineLevel="2" x14ac:dyDescent="0.25">
      <c r="A227" s="28"/>
      <c r="B227" s="11" t="str">
        <f>CONCATENATE("          ", "9175", " - ", "EARNED DISCOUNTS")</f>
        <v xml:space="preserve">          9175 - EARNED DISCOUNTS</v>
      </c>
      <c r="C227" s="11"/>
      <c r="D227" s="6">
        <v>-418.85</v>
      </c>
      <c r="E227" s="2"/>
      <c r="F227" s="7">
        <f t="shared" si="68"/>
        <v>-6.157923804201691E-4</v>
      </c>
      <c r="G227" s="2"/>
      <c r="H227" s="6">
        <v>-469.89</v>
      </c>
      <c r="I227" s="2"/>
      <c r="J227" s="7">
        <f t="shared" si="69"/>
        <v>-1.2619821294156133E-4</v>
      </c>
      <c r="K227" s="2"/>
      <c r="L227" s="6">
        <f t="shared" si="70"/>
        <v>51.039999999999964</v>
      </c>
      <c r="M227" s="2"/>
      <c r="N227" s="7">
        <f t="shared" si="71"/>
        <v>-0.10862116665602581</v>
      </c>
      <c r="O227" s="11"/>
      <c r="P227" s="6">
        <v>-418.85</v>
      </c>
      <c r="Q227" s="2"/>
      <c r="R227" s="7">
        <f t="shared" si="72"/>
        <v>-9.8232185124757379E-5</v>
      </c>
      <c r="S227" s="2"/>
      <c r="T227" s="6">
        <v>-2117.75</v>
      </c>
      <c r="U227" s="2"/>
      <c r="V227" s="7">
        <f t="shared" si="73"/>
        <v>-1.5736691871847322E-4</v>
      </c>
      <c r="W227" s="2"/>
      <c r="X227" s="6">
        <f t="shared" si="74"/>
        <v>1698.9</v>
      </c>
      <c r="Y227" s="2"/>
      <c r="Z227" s="7">
        <f t="shared" si="75"/>
        <v>-0.80221933656002842</v>
      </c>
    </row>
    <row r="228" spans="1:26" s="29" customFormat="1" outlineLevel="1" collapsed="1" x14ac:dyDescent="0.25">
      <c r="A228" s="27"/>
      <c r="B228" s="14" t="str">
        <f>CONCATENATE("     ","Donations                                         ")</f>
        <v xml:space="preserve">     Donations                                         </v>
      </c>
      <c r="C228" s="14"/>
      <c r="D228" s="1">
        <f>SUM(OSRRefD22_7x_0)</f>
        <v>11110.09</v>
      </c>
      <c r="E228" s="1"/>
      <c r="F228" s="5">
        <f t="shared" ref="F228:F236" si="76">IF(D$12=0,0,D228/D$12)</f>
        <v>1.6334030721695873E-2</v>
      </c>
      <c r="G228" s="1"/>
      <c r="H228" s="1">
        <f>SUM(OSRRefH22_7x_0)</f>
        <v>24688.82</v>
      </c>
      <c r="I228" s="1"/>
      <c r="J228" s="5">
        <f t="shared" ref="J228:J236" si="77">IF(H$12=0,0,H228/H$12)</f>
        <v>6.630668802562043E-3</v>
      </c>
      <c r="K228" s="1"/>
      <c r="L228" s="1">
        <f t="shared" ref="L228:L236" si="78">+D228-H228</f>
        <v>-13578.73</v>
      </c>
      <c r="M228" s="1"/>
      <c r="N228" s="5">
        <f t="shared" ref="N228:N236" si="79">IF(H228=0,0,L228/H228)</f>
        <v>-0.54999509899622578</v>
      </c>
      <c r="O228" s="14"/>
      <c r="P228" s="1">
        <f>SUM(OSRRefP22_7x_0)</f>
        <v>22220.18</v>
      </c>
      <c r="Q228" s="1"/>
      <c r="R228" s="5">
        <f t="shared" ref="R228:R236" si="80">IF(P$12=0,0,P228/P$12)</f>
        <v>5.2112613949276149E-3</v>
      </c>
      <c r="S228" s="1"/>
      <c r="T228" s="1">
        <f>SUM(OSRRefT22_7x_0)</f>
        <v>56510.91</v>
      </c>
      <c r="U228" s="1"/>
      <c r="V228" s="5">
        <f t="shared" ref="V228:V236" si="81">IF(T$12=0,0,T228/T$12)</f>
        <v>4.1992434332083365E-3</v>
      </c>
      <c r="W228" s="1"/>
      <c r="X228" s="1">
        <f t="shared" ref="X228:X236" si="82">+P228-T228</f>
        <v>-34290.730000000003</v>
      </c>
      <c r="Y228" s="1"/>
      <c r="Z228" s="5">
        <f t="shared" ref="Z228:Z236" si="83">IF(T228=0,0,X228/T228)</f>
        <v>-0.6067984040603841</v>
      </c>
    </row>
    <row r="229" spans="1:26" s="24" customFormat="1" hidden="1" outlineLevel="2" x14ac:dyDescent="0.25">
      <c r="A229" s="28"/>
      <c r="B229" s="11" t="str">
        <f>CONCATENATE("          ", "6399", " - ", "DONATION-ON CAMPUS")</f>
        <v xml:space="preserve">          6399 - DONATION-ON CAMPUS</v>
      </c>
      <c r="C229" s="11"/>
      <c r="D229" s="6">
        <v>11110.09</v>
      </c>
      <c r="E229" s="2"/>
      <c r="F229" s="7">
        <f t="shared" si="76"/>
        <v>1.6334030721695873E-2</v>
      </c>
      <c r="G229" s="2"/>
      <c r="H229" s="6">
        <v>24688.82</v>
      </c>
      <c r="I229" s="2"/>
      <c r="J229" s="7">
        <f t="shared" si="77"/>
        <v>6.630668802562043E-3</v>
      </c>
      <c r="K229" s="2"/>
      <c r="L229" s="6">
        <f t="shared" si="78"/>
        <v>-13578.73</v>
      </c>
      <c r="M229" s="2"/>
      <c r="N229" s="7">
        <f t="shared" si="79"/>
        <v>-0.54999509899622578</v>
      </c>
      <c r="O229" s="11"/>
      <c r="P229" s="6">
        <v>22220.18</v>
      </c>
      <c r="Q229" s="2"/>
      <c r="R229" s="7">
        <f t="shared" si="80"/>
        <v>5.2112613949276149E-3</v>
      </c>
      <c r="S229" s="2"/>
      <c r="T229" s="6">
        <v>56510.91</v>
      </c>
      <c r="U229" s="2"/>
      <c r="V229" s="7">
        <f t="shared" si="81"/>
        <v>4.1992434332083365E-3</v>
      </c>
      <c r="W229" s="2"/>
      <c r="X229" s="6">
        <f t="shared" si="82"/>
        <v>-34290.730000000003</v>
      </c>
      <c r="Y229" s="2"/>
      <c r="Z229" s="7">
        <f t="shared" si="83"/>
        <v>-0.6067984040603841</v>
      </c>
    </row>
    <row r="230" spans="1:26" s="29" customFormat="1" outlineLevel="1" collapsed="1" x14ac:dyDescent="0.25">
      <c r="A230" s="27"/>
      <c r="B230" s="14" t="str">
        <f>CONCATENATE("     ","Employees' Appreciation                           ")</f>
        <v xml:space="preserve">     Employees' Appreciation                           </v>
      </c>
      <c r="C230" s="14"/>
      <c r="D230" s="1">
        <f>SUM(OSRRefD22_8x_0)</f>
        <v>0</v>
      </c>
      <c r="E230" s="1"/>
      <c r="F230" s="5">
        <f t="shared" si="76"/>
        <v>0</v>
      </c>
      <c r="G230" s="1"/>
      <c r="H230" s="1">
        <f>SUM(OSRRefH22_8x_0)</f>
        <v>160.91999999999999</v>
      </c>
      <c r="I230" s="1"/>
      <c r="J230" s="5">
        <f t="shared" si="77"/>
        <v>4.3218234962557303E-5</v>
      </c>
      <c r="K230" s="1"/>
      <c r="L230" s="1">
        <f t="shared" si="78"/>
        <v>-160.91999999999999</v>
      </c>
      <c r="M230" s="1"/>
      <c r="N230" s="5">
        <f t="shared" si="79"/>
        <v>-1</v>
      </c>
      <c r="O230" s="14"/>
      <c r="P230" s="1">
        <f>SUM(OSRRefP22_8x_0)</f>
        <v>107.7</v>
      </c>
      <c r="Q230" s="1"/>
      <c r="R230" s="5">
        <f t="shared" si="80"/>
        <v>2.5258699625012225E-5</v>
      </c>
      <c r="S230" s="1"/>
      <c r="T230" s="1">
        <f>SUM(OSRRefT22_8x_0)</f>
        <v>2078.15</v>
      </c>
      <c r="U230" s="1"/>
      <c r="V230" s="5">
        <f t="shared" si="81"/>
        <v>1.5442430038238467E-4</v>
      </c>
      <c r="W230" s="1"/>
      <c r="X230" s="1">
        <f t="shared" si="82"/>
        <v>-1970.45</v>
      </c>
      <c r="Y230" s="1"/>
      <c r="Z230" s="5">
        <f t="shared" si="83"/>
        <v>-0.94817505954815584</v>
      </c>
    </row>
    <row r="231" spans="1:26" s="24" customFormat="1" hidden="1" outlineLevel="2" x14ac:dyDescent="0.25">
      <c r="A231" s="28"/>
      <c r="B231" s="11" t="str">
        <f>CONCATENATE("          ", "6277", " - ", "EMPLOYEE APPRECIATION")</f>
        <v xml:space="preserve">          6277 - EMPLOYEE APPRECIATION</v>
      </c>
      <c r="C231" s="11"/>
      <c r="D231" s="6"/>
      <c r="E231" s="2"/>
      <c r="F231" s="7">
        <f t="shared" si="76"/>
        <v>0</v>
      </c>
      <c r="G231" s="2"/>
      <c r="H231" s="6">
        <v>160.91999999999999</v>
      </c>
      <c r="I231" s="2"/>
      <c r="J231" s="7">
        <f t="shared" si="77"/>
        <v>4.3218234962557303E-5</v>
      </c>
      <c r="K231" s="2"/>
      <c r="L231" s="6">
        <f t="shared" si="78"/>
        <v>-160.91999999999999</v>
      </c>
      <c r="M231" s="2"/>
      <c r="N231" s="7">
        <f t="shared" si="79"/>
        <v>-1</v>
      </c>
      <c r="O231" s="11"/>
      <c r="P231" s="6">
        <v>107.7</v>
      </c>
      <c r="Q231" s="2"/>
      <c r="R231" s="7">
        <f t="shared" si="80"/>
        <v>2.5258699625012225E-5</v>
      </c>
      <c r="S231" s="2"/>
      <c r="T231" s="6">
        <v>2078.15</v>
      </c>
      <c r="U231" s="2"/>
      <c r="V231" s="7">
        <f t="shared" si="81"/>
        <v>1.5442430038238467E-4</v>
      </c>
      <c r="W231" s="2"/>
      <c r="X231" s="6">
        <f t="shared" si="82"/>
        <v>-1970.45</v>
      </c>
      <c r="Y231" s="2"/>
      <c r="Z231" s="7">
        <f t="shared" si="83"/>
        <v>-0.94817505954815584</v>
      </c>
    </row>
    <row r="232" spans="1:26" s="29" customFormat="1" outlineLevel="1" collapsed="1" x14ac:dyDescent="0.25">
      <c r="A232" s="27"/>
      <c r="B232" s="14" t="str">
        <f>CONCATENATE("     ","Equipment Rental                                  ")</f>
        <v xml:space="preserve">     Equipment Rental                                  </v>
      </c>
      <c r="C232" s="14"/>
      <c r="D232" s="1">
        <f>SUM(OSRRefD22_9x_0)</f>
        <v>4077.27</v>
      </c>
      <c r="E232" s="1"/>
      <c r="F232" s="5">
        <f t="shared" si="76"/>
        <v>5.9943936944389228E-3</v>
      </c>
      <c r="G232" s="1"/>
      <c r="H232" s="1">
        <f>SUM(OSRRefH22_9x_0)</f>
        <v>10339.049999999999</v>
      </c>
      <c r="I232" s="1"/>
      <c r="J232" s="5">
        <f t="shared" si="77"/>
        <v>2.7767554821627395E-3</v>
      </c>
      <c r="K232" s="1"/>
      <c r="L232" s="1">
        <f t="shared" si="78"/>
        <v>-6261.7799999999988</v>
      </c>
      <c r="M232" s="1"/>
      <c r="N232" s="5">
        <f t="shared" si="79"/>
        <v>-0.60564365197963055</v>
      </c>
      <c r="O232" s="14"/>
      <c r="P232" s="1">
        <f>SUM(OSRRefP22_9x_0)</f>
        <v>11540.93</v>
      </c>
      <c r="Q232" s="1"/>
      <c r="R232" s="5">
        <f t="shared" si="80"/>
        <v>2.7066748770964932E-3</v>
      </c>
      <c r="S232" s="1"/>
      <c r="T232" s="1">
        <f>SUM(OSRRefT22_9x_0)</f>
        <v>22192.99</v>
      </c>
      <c r="U232" s="1"/>
      <c r="V232" s="5">
        <f t="shared" si="81"/>
        <v>1.6491287703694435E-3</v>
      </c>
      <c r="W232" s="1"/>
      <c r="X232" s="1">
        <f t="shared" si="82"/>
        <v>-10652.060000000001</v>
      </c>
      <c r="Y232" s="1"/>
      <c r="Z232" s="5">
        <f t="shared" si="83"/>
        <v>-0.47997408190604335</v>
      </c>
    </row>
    <row r="233" spans="1:26" s="24" customFormat="1" hidden="1" outlineLevel="2" x14ac:dyDescent="0.25">
      <c r="A233" s="28"/>
      <c r="B233" s="11" t="str">
        <f>CONCATENATE("          ", "6351", " - ", "EQUIPMENT RENTAL")</f>
        <v xml:space="preserve">          6351 - EQUIPMENT RENTAL</v>
      </c>
      <c r="C233" s="11"/>
      <c r="D233" s="6">
        <v>4077.27</v>
      </c>
      <c r="E233" s="2"/>
      <c r="F233" s="7">
        <f t="shared" si="76"/>
        <v>5.9943936944389228E-3</v>
      </c>
      <c r="G233" s="2"/>
      <c r="H233" s="6">
        <v>10339.049999999999</v>
      </c>
      <c r="I233" s="2"/>
      <c r="J233" s="7">
        <f t="shared" si="77"/>
        <v>2.7767554821627395E-3</v>
      </c>
      <c r="K233" s="2"/>
      <c r="L233" s="6">
        <f t="shared" si="78"/>
        <v>-6261.7799999999988</v>
      </c>
      <c r="M233" s="2"/>
      <c r="N233" s="7">
        <f t="shared" si="79"/>
        <v>-0.60564365197963055</v>
      </c>
      <c r="O233" s="11"/>
      <c r="P233" s="6">
        <v>11540.93</v>
      </c>
      <c r="Q233" s="2"/>
      <c r="R233" s="7">
        <f t="shared" si="80"/>
        <v>2.7066748770964932E-3</v>
      </c>
      <c r="S233" s="2"/>
      <c r="T233" s="6">
        <v>22192.99</v>
      </c>
      <c r="U233" s="2"/>
      <c r="V233" s="7">
        <f t="shared" si="81"/>
        <v>1.6491287703694435E-3</v>
      </c>
      <c r="W233" s="2"/>
      <c r="X233" s="6">
        <f t="shared" si="82"/>
        <v>-10652.060000000001</v>
      </c>
      <c r="Y233" s="2"/>
      <c r="Z233" s="7">
        <f t="shared" si="83"/>
        <v>-0.47997408190604335</v>
      </c>
    </row>
    <row r="234" spans="1:26" s="29" customFormat="1" outlineLevel="1" collapsed="1" x14ac:dyDescent="0.25">
      <c r="A234" s="27"/>
      <c r="B234" s="14" t="str">
        <f>CONCATENATE("     ","Freight out/Postage                               ")</f>
        <v xml:space="preserve">     Freight out/Postage                               </v>
      </c>
      <c r="C234" s="14"/>
      <c r="D234" s="1">
        <f>SUM(OSRRefD22_10x_0)</f>
        <v>49268.130000000005</v>
      </c>
      <c r="E234" s="1"/>
      <c r="F234" s="5">
        <f t="shared" si="76"/>
        <v>7.2433900087263567E-2</v>
      </c>
      <c r="G234" s="1"/>
      <c r="H234" s="1">
        <f>SUM(OSRRefH22_10x_0)</f>
        <v>1663.4299999999998</v>
      </c>
      <c r="I234" s="1"/>
      <c r="J234" s="5">
        <f t="shared" si="77"/>
        <v>4.4674688406516708E-4</v>
      </c>
      <c r="K234" s="1"/>
      <c r="L234" s="1">
        <f t="shared" si="78"/>
        <v>47604.700000000004</v>
      </c>
      <c r="M234" s="1"/>
      <c r="N234" s="5">
        <f t="shared" si="79"/>
        <v>28.618396926831913</v>
      </c>
      <c r="O234" s="14"/>
      <c r="P234" s="1">
        <f>SUM(OSRRefP22_10x_0)</f>
        <v>-31200.739999999976</v>
      </c>
      <c r="Q234" s="1"/>
      <c r="R234" s="5">
        <f t="shared" si="80"/>
        <v>-7.3174570077818319E-3</v>
      </c>
      <c r="S234" s="1"/>
      <c r="T234" s="1">
        <f>SUM(OSRRefT22_10x_0)</f>
        <v>-3896.3700000000026</v>
      </c>
      <c r="U234" s="1"/>
      <c r="V234" s="5">
        <f t="shared" si="81"/>
        <v>-2.8953358096427709E-4</v>
      </c>
      <c r="W234" s="1"/>
      <c r="X234" s="1">
        <f t="shared" si="82"/>
        <v>-27304.369999999974</v>
      </c>
      <c r="Y234" s="1"/>
      <c r="Z234" s="5">
        <f t="shared" si="83"/>
        <v>7.0076430113156487</v>
      </c>
    </row>
    <row r="235" spans="1:26" s="24" customFormat="1" hidden="1" outlineLevel="2" x14ac:dyDescent="0.25">
      <c r="A235" s="28"/>
      <c r="B235" s="11" t="str">
        <f>CONCATENATE("          ", "6305", " - ", "FREIGHT OUT")</f>
        <v xml:space="preserve">          6305 - FREIGHT OUT</v>
      </c>
      <c r="C235" s="11"/>
      <c r="D235" s="6">
        <v>60954.65</v>
      </c>
      <c r="E235" s="2"/>
      <c r="F235" s="7">
        <f t="shared" si="76"/>
        <v>8.9615396970701353E-2</v>
      </c>
      <c r="G235" s="2"/>
      <c r="H235" s="6">
        <v>4609.62</v>
      </c>
      <c r="I235" s="2"/>
      <c r="J235" s="7">
        <f t="shared" si="77"/>
        <v>1.2380042272439932E-3</v>
      </c>
      <c r="K235" s="2"/>
      <c r="L235" s="6">
        <f t="shared" si="78"/>
        <v>56345.03</v>
      </c>
      <c r="M235" s="2"/>
      <c r="N235" s="7">
        <f t="shared" si="79"/>
        <v>12.223356805984007</v>
      </c>
      <c r="O235" s="11"/>
      <c r="P235" s="6">
        <v>86887.66</v>
      </c>
      <c r="Q235" s="2"/>
      <c r="R235" s="7">
        <f t="shared" si="80"/>
        <v>2.0377616574375021E-2</v>
      </c>
      <c r="S235" s="2"/>
      <c r="T235" s="6">
        <v>19691.86</v>
      </c>
      <c r="U235" s="2"/>
      <c r="V235" s="7">
        <f t="shared" si="81"/>
        <v>1.4632734421133533E-3</v>
      </c>
      <c r="W235" s="2"/>
      <c r="X235" s="6">
        <f t="shared" si="82"/>
        <v>67195.8</v>
      </c>
      <c r="Y235" s="2"/>
      <c r="Z235" s="7">
        <f t="shared" si="83"/>
        <v>3.4123642967195584</v>
      </c>
    </row>
    <row r="236" spans="1:26" s="24" customFormat="1" hidden="1" outlineLevel="2" x14ac:dyDescent="0.25">
      <c r="A236" s="28"/>
      <c r="B236" s="11" t="str">
        <f>CONCATENATE("          ", "6307", " - ", "POSTAGE")</f>
        <v xml:space="preserve">          6307 - POSTAGE</v>
      </c>
      <c r="C236" s="11"/>
      <c r="D236" s="6">
        <v>-11686.52</v>
      </c>
      <c r="E236" s="2"/>
      <c r="F236" s="7">
        <f t="shared" si="76"/>
        <v>-1.7181496883437782E-2</v>
      </c>
      <c r="G236" s="2"/>
      <c r="H236" s="6">
        <v>-2946.19</v>
      </c>
      <c r="I236" s="2"/>
      <c r="J236" s="7">
        <f t="shared" si="77"/>
        <v>-7.9125734317882614E-4</v>
      </c>
      <c r="K236" s="2"/>
      <c r="L236" s="6">
        <f t="shared" si="78"/>
        <v>-8740.33</v>
      </c>
      <c r="M236" s="2"/>
      <c r="N236" s="7">
        <f t="shared" si="79"/>
        <v>2.9666552394787842</v>
      </c>
      <c r="O236" s="11"/>
      <c r="P236" s="6">
        <v>-118088.39999999998</v>
      </c>
      <c r="Q236" s="2"/>
      <c r="R236" s="7">
        <f t="shared" si="80"/>
        <v>-2.7695073582156851E-2</v>
      </c>
      <c r="S236" s="2"/>
      <c r="T236" s="6">
        <v>-23588.230000000003</v>
      </c>
      <c r="U236" s="2"/>
      <c r="V236" s="7">
        <f t="shared" si="81"/>
        <v>-1.7528070230776304E-3</v>
      </c>
      <c r="W236" s="2"/>
      <c r="X236" s="6">
        <f t="shared" si="82"/>
        <v>-94500.169999999984</v>
      </c>
      <c r="Y236" s="2"/>
      <c r="Z236" s="7">
        <f t="shared" si="83"/>
        <v>4.0062425201043048</v>
      </c>
    </row>
    <row r="237" spans="1:26" s="29" customFormat="1" outlineLevel="1" collapsed="1" x14ac:dyDescent="0.25">
      <c r="A237" s="27"/>
      <c r="B237" s="14" t="str">
        <f>CONCATENATE("     ","General                                           ")</f>
        <v xml:space="preserve">     General                                           </v>
      </c>
      <c r="C237" s="14"/>
      <c r="D237" s="1">
        <f>SUM(OSRRefD22_11x_0)</f>
        <v>-40</v>
      </c>
      <c r="E237" s="1"/>
      <c r="F237" s="5">
        <f t="shared" ref="F237:F239" si="84">IF(D$12=0,0,D237/D$12)</f>
        <v>-5.8807915045497823E-5</v>
      </c>
      <c r="G237" s="1"/>
      <c r="H237" s="1">
        <f>SUM(OSRRefH22_11x_0)</f>
        <v>11074.17</v>
      </c>
      <c r="I237" s="1"/>
      <c r="J237" s="5">
        <f t="shared" ref="J237:J239" si="85">IF(H$12=0,0,H237/H$12)</f>
        <v>2.9741864347209994E-3</v>
      </c>
      <c r="K237" s="1"/>
      <c r="L237" s="1">
        <f t="shared" ref="L237:L239" si="86">+D237-H237</f>
        <v>-11114.17</v>
      </c>
      <c r="M237" s="1"/>
      <c r="N237" s="5">
        <f t="shared" ref="N237:N239" si="87">IF(H237=0,0,L237/H237)</f>
        <v>-1.0036120088458096</v>
      </c>
      <c r="O237" s="14"/>
      <c r="P237" s="1">
        <f>SUM(OSRRefP22_11x_0)</f>
        <v>8379.52</v>
      </c>
      <c r="Q237" s="1"/>
      <c r="R237" s="5">
        <f t="shared" ref="R237:R239" si="88">IF(P$12=0,0,P237/P$12)</f>
        <v>1.965234713851276E-3</v>
      </c>
      <c r="S237" s="1"/>
      <c r="T237" s="1">
        <f>SUM(OSRRefT22_11x_0)</f>
        <v>35849.939999999995</v>
      </c>
      <c r="U237" s="1"/>
      <c r="V237" s="5">
        <f t="shared" ref="V237:V239" si="89">IF(T$12=0,0,T237/T$12)</f>
        <v>2.6639568381735994E-3</v>
      </c>
      <c r="W237" s="1"/>
      <c r="X237" s="1">
        <f t="shared" ref="X237:X239" si="90">+P237-T237</f>
        <v>-27470.419999999995</v>
      </c>
      <c r="Y237" s="1"/>
      <c r="Z237" s="5">
        <f t="shared" ref="Z237:Z239" si="91">IF(T237=0,0,X237/T237)</f>
        <v>-0.76626125455161143</v>
      </c>
    </row>
    <row r="238" spans="1:26" s="24" customFormat="1" hidden="1" outlineLevel="2" x14ac:dyDescent="0.25">
      <c r="A238" s="28"/>
      <c r="B238" s="11" t="str">
        <f>CONCATENATE("          ", "6269", " - ", "ENTERTAINMENT")</f>
        <v xml:space="preserve">          6269 - ENTERTAINMENT</v>
      </c>
      <c r="C238" s="11"/>
      <c r="D238" s="6"/>
      <c r="E238" s="2"/>
      <c r="F238" s="7">
        <f t="shared" si="84"/>
        <v>0</v>
      </c>
      <c r="G238" s="2"/>
      <c r="H238" s="6">
        <v>1850</v>
      </c>
      <c r="I238" s="2"/>
      <c r="J238" s="7">
        <f t="shared" si="85"/>
        <v>4.9685393164759512E-4</v>
      </c>
      <c r="K238" s="2"/>
      <c r="L238" s="6">
        <f t="shared" si="86"/>
        <v>-1850</v>
      </c>
      <c r="M238" s="2"/>
      <c r="N238" s="7">
        <f t="shared" si="87"/>
        <v>-1</v>
      </c>
      <c r="O238" s="11"/>
      <c r="P238" s="6"/>
      <c r="Q238" s="2"/>
      <c r="R238" s="7">
        <f t="shared" si="88"/>
        <v>0</v>
      </c>
      <c r="S238" s="2"/>
      <c r="T238" s="6">
        <v>5500</v>
      </c>
      <c r="U238" s="2"/>
      <c r="V238" s="7">
        <f t="shared" si="89"/>
        <v>4.0869699112341051E-4</v>
      </c>
      <c r="W238" s="2"/>
      <c r="X238" s="6">
        <f t="shared" si="90"/>
        <v>-5500</v>
      </c>
      <c r="Y238" s="2"/>
      <c r="Z238" s="7">
        <f t="shared" si="91"/>
        <v>-1</v>
      </c>
    </row>
    <row r="239" spans="1:26" s="24" customFormat="1" hidden="1" outlineLevel="2" x14ac:dyDescent="0.25">
      <c r="A239" s="28"/>
      <c r="B239" s="11" t="str">
        <f>CONCATENATE("          ", "6279", " - ", "GENERAL EXPENSE")</f>
        <v xml:space="preserve">          6279 - GENERAL EXPENSE</v>
      </c>
      <c r="C239" s="11"/>
      <c r="D239" s="6">
        <v>-40</v>
      </c>
      <c r="E239" s="2"/>
      <c r="F239" s="7">
        <f t="shared" si="84"/>
        <v>-5.8807915045497823E-5</v>
      </c>
      <c r="G239" s="2"/>
      <c r="H239" s="6">
        <v>9224.17</v>
      </c>
      <c r="I239" s="2"/>
      <c r="J239" s="7">
        <f t="shared" si="85"/>
        <v>2.4773325030734042E-3</v>
      </c>
      <c r="K239" s="2"/>
      <c r="L239" s="6">
        <f t="shared" si="86"/>
        <v>-9264.17</v>
      </c>
      <c r="M239" s="2"/>
      <c r="N239" s="7">
        <f t="shared" si="87"/>
        <v>-1.004336433521932</v>
      </c>
      <c r="O239" s="11"/>
      <c r="P239" s="6">
        <v>8379.52</v>
      </c>
      <c r="Q239" s="2"/>
      <c r="R239" s="7">
        <f t="shared" si="88"/>
        <v>1.965234713851276E-3</v>
      </c>
      <c r="S239" s="2"/>
      <c r="T239" s="6">
        <v>30349.939999999995</v>
      </c>
      <c r="U239" s="2"/>
      <c r="V239" s="7">
        <f t="shared" si="89"/>
        <v>2.255259847050189E-3</v>
      </c>
      <c r="W239" s="2"/>
      <c r="X239" s="6">
        <f t="shared" si="90"/>
        <v>-21970.419999999995</v>
      </c>
      <c r="Y239" s="2"/>
      <c r="Z239" s="7">
        <f t="shared" si="91"/>
        <v>-0.72390324330130462</v>
      </c>
    </row>
    <row r="240" spans="1:26" s="29" customFormat="1" outlineLevel="1" collapsed="1" x14ac:dyDescent="0.25">
      <c r="A240" s="27"/>
      <c r="B240" s="14" t="str">
        <f>CONCATENATE("     ","Insurance                                         ")</f>
        <v xml:space="preserve">     Insurance                                         </v>
      </c>
      <c r="C240" s="14"/>
      <c r="D240" s="1">
        <f>SUM(OSRRefD22_12x_0)</f>
        <v>14675.32</v>
      </c>
      <c r="E240" s="1"/>
      <c r="F240" s="5">
        <f t="shared" ref="F240:F256" si="92">IF(D$12=0,0,D240/D$12)</f>
        <v>2.1575624295637377E-2</v>
      </c>
      <c r="G240" s="1"/>
      <c r="H240" s="1">
        <f>SUM(OSRRefH22_12x_0)</f>
        <v>8563.32</v>
      </c>
      <c r="I240" s="1"/>
      <c r="J240" s="5">
        <f t="shared" ref="J240:J256" si="93">IF(H$12=0,0,H240/H$12)</f>
        <v>2.2998482215980998E-3</v>
      </c>
      <c r="K240" s="1"/>
      <c r="L240" s="1">
        <f t="shared" ref="L240:L256" si="94">+D240-H240</f>
        <v>6112</v>
      </c>
      <c r="M240" s="1"/>
      <c r="N240" s="5">
        <f t="shared" ref="N240:N256" si="95">IF(H240=0,0,L240/H240)</f>
        <v>0.7137418664723495</v>
      </c>
      <c r="O240" s="14"/>
      <c r="P240" s="1">
        <f>SUM(OSRRefP22_12x_0)</f>
        <v>40365.279999999999</v>
      </c>
      <c r="Q240" s="1"/>
      <c r="R240" s="5">
        <f t="shared" ref="R240:R256" si="96">IF(P$12=0,0,P240/P$12)</f>
        <v>9.4668011401997532E-3</v>
      </c>
      <c r="S240" s="1"/>
      <c r="T240" s="1">
        <f>SUM(OSRRefT22_12x_0)</f>
        <v>34253.279999999999</v>
      </c>
      <c r="U240" s="1"/>
      <c r="V240" s="5">
        <f t="shared" ref="V240:V256" si="97">IF(T$12=0,0,T240/T$12)</f>
        <v>2.5453113585650355E-3</v>
      </c>
      <c r="W240" s="1"/>
      <c r="X240" s="1">
        <f t="shared" ref="X240:X256" si="98">+P240-T240</f>
        <v>6112</v>
      </c>
      <c r="Y240" s="1"/>
      <c r="Z240" s="5">
        <f t="shared" ref="Z240:Z256" si="99">IF(T240=0,0,X240/T240)</f>
        <v>0.17843546661808737</v>
      </c>
    </row>
    <row r="241" spans="1:26" s="24" customFormat="1" hidden="1" outlineLevel="2" x14ac:dyDescent="0.25">
      <c r="A241" s="28"/>
      <c r="B241" s="11" t="str">
        <f>CONCATENATE("          ", "6314", " - ", "LIABILITY INSURANCE")</f>
        <v xml:space="preserve">          6314 - LIABILITY INSURANCE</v>
      </c>
      <c r="C241" s="11"/>
      <c r="D241" s="6">
        <v>14675.32</v>
      </c>
      <c r="E241" s="2"/>
      <c r="F241" s="7">
        <f t="shared" si="92"/>
        <v>2.1575624295637377E-2</v>
      </c>
      <c r="G241" s="2"/>
      <c r="H241" s="6">
        <v>8563.32</v>
      </c>
      <c r="I241" s="2"/>
      <c r="J241" s="7">
        <f t="shared" si="93"/>
        <v>2.2998482215980998E-3</v>
      </c>
      <c r="K241" s="2"/>
      <c r="L241" s="6">
        <f t="shared" si="94"/>
        <v>6112</v>
      </c>
      <c r="M241" s="2"/>
      <c r="N241" s="7">
        <f t="shared" si="95"/>
        <v>0.7137418664723495</v>
      </c>
      <c r="O241" s="11"/>
      <c r="P241" s="6">
        <v>40365.279999999999</v>
      </c>
      <c r="Q241" s="2"/>
      <c r="R241" s="7">
        <f t="shared" si="96"/>
        <v>9.4668011401997532E-3</v>
      </c>
      <c r="S241" s="2"/>
      <c r="T241" s="6">
        <v>34253.279999999999</v>
      </c>
      <c r="U241" s="2"/>
      <c r="V241" s="7">
        <f t="shared" si="97"/>
        <v>2.5453113585650355E-3</v>
      </c>
      <c r="W241" s="2"/>
      <c r="X241" s="6">
        <f t="shared" si="98"/>
        <v>6112</v>
      </c>
      <c r="Y241" s="2"/>
      <c r="Z241" s="7">
        <f t="shared" si="99"/>
        <v>0.17843546661808737</v>
      </c>
    </row>
    <row r="242" spans="1:26" s="29" customFormat="1" outlineLevel="1" collapsed="1" x14ac:dyDescent="0.25">
      <c r="A242" s="27"/>
      <c r="B242" s="14" t="str">
        <f>CONCATENATE("     ","Interest                                          ")</f>
        <v xml:space="preserve">     Interest                                          </v>
      </c>
      <c r="C242" s="14"/>
      <c r="D242" s="1">
        <f>SUM(OSRRefD22_13x_0)</f>
        <v>10805</v>
      </c>
      <c r="E242" s="1"/>
      <c r="F242" s="5">
        <f t="shared" si="92"/>
        <v>1.5885488051665099E-2</v>
      </c>
      <c r="G242" s="1"/>
      <c r="H242" s="1">
        <f>SUM(OSRRefH22_13x_0)</f>
        <v>11897</v>
      </c>
      <c r="I242" s="1"/>
      <c r="J242" s="5">
        <f t="shared" si="93"/>
        <v>3.1951736350332104E-3</v>
      </c>
      <c r="K242" s="1"/>
      <c r="L242" s="1">
        <f t="shared" si="94"/>
        <v>-1092</v>
      </c>
      <c r="M242" s="1"/>
      <c r="N242" s="5">
        <f t="shared" si="95"/>
        <v>-9.1787845675380342E-2</v>
      </c>
      <c r="O242" s="14"/>
      <c r="P242" s="1">
        <f>SUM(OSRRefP22_13x_0)</f>
        <v>45467</v>
      </c>
      <c r="Q242" s="1"/>
      <c r="R242" s="5">
        <f t="shared" si="96"/>
        <v>1.0663298940115419E-2</v>
      </c>
      <c r="S242" s="1"/>
      <c r="T242" s="1">
        <f>SUM(OSRRefT22_13x_0)</f>
        <v>47117</v>
      </c>
      <c r="U242" s="1"/>
      <c r="V242" s="5">
        <f t="shared" si="97"/>
        <v>3.5011956601384967E-3</v>
      </c>
      <c r="W242" s="1"/>
      <c r="X242" s="1">
        <f t="shared" si="98"/>
        <v>-1650</v>
      </c>
      <c r="Y242" s="1"/>
      <c r="Z242" s="5">
        <f t="shared" si="99"/>
        <v>-3.5019207504722288E-2</v>
      </c>
    </row>
    <row r="243" spans="1:26" s="24" customFormat="1" hidden="1" outlineLevel="2" x14ac:dyDescent="0.25">
      <c r="A243" s="28"/>
      <c r="B243" s="11" t="str">
        <f>CONCATENATE("          ", "6401", " - ", "INTEREST EXPENSE")</f>
        <v xml:space="preserve">          6401 - INTEREST EXPENSE</v>
      </c>
      <c r="C243" s="11"/>
      <c r="D243" s="6">
        <v>10805</v>
      </c>
      <c r="E243" s="2"/>
      <c r="F243" s="7">
        <f t="shared" si="92"/>
        <v>1.5885488051665099E-2</v>
      </c>
      <c r="G243" s="2"/>
      <c r="H243" s="6">
        <v>11897</v>
      </c>
      <c r="I243" s="2"/>
      <c r="J243" s="7">
        <f t="shared" si="93"/>
        <v>3.1951736350332104E-3</v>
      </c>
      <c r="K243" s="2"/>
      <c r="L243" s="6">
        <f t="shared" si="94"/>
        <v>-1092</v>
      </c>
      <c r="M243" s="2"/>
      <c r="N243" s="7">
        <f t="shared" si="95"/>
        <v>-9.1787845675380342E-2</v>
      </c>
      <c r="O243" s="11"/>
      <c r="P243" s="6">
        <v>45467</v>
      </c>
      <c r="Q243" s="2"/>
      <c r="R243" s="7">
        <f t="shared" si="96"/>
        <v>1.0663298940115419E-2</v>
      </c>
      <c r="S243" s="2"/>
      <c r="T243" s="6">
        <v>47117</v>
      </c>
      <c r="U243" s="2"/>
      <c r="V243" s="7">
        <f t="shared" si="97"/>
        <v>3.5011956601384967E-3</v>
      </c>
      <c r="W243" s="2"/>
      <c r="X243" s="6">
        <f t="shared" si="98"/>
        <v>-1650</v>
      </c>
      <c r="Y243" s="2"/>
      <c r="Z243" s="7">
        <f t="shared" si="99"/>
        <v>-3.5019207504722288E-2</v>
      </c>
    </row>
    <row r="244" spans="1:26" s="29" customFormat="1" outlineLevel="1" collapsed="1" x14ac:dyDescent="0.25">
      <c r="A244" s="27"/>
      <c r="B244" s="14" t="str">
        <f>CONCATENATE("     ","Inventory Adjustment                              ")</f>
        <v xml:space="preserve">     Inventory Adjustment                              </v>
      </c>
      <c r="C244" s="14"/>
      <c r="D244" s="1">
        <f>SUM(OSRRefD22_14x_0)</f>
        <v>3350</v>
      </c>
      <c r="E244" s="1"/>
      <c r="F244" s="5">
        <f t="shared" si="92"/>
        <v>4.9251628850604428E-3</v>
      </c>
      <c r="G244" s="1"/>
      <c r="H244" s="1">
        <f>SUM(OSRRefH22_14x_0)</f>
        <v>4250</v>
      </c>
      <c r="I244" s="1"/>
      <c r="J244" s="5">
        <f t="shared" si="93"/>
        <v>1.1414211943255564E-3</v>
      </c>
      <c r="K244" s="1"/>
      <c r="L244" s="1">
        <f t="shared" si="94"/>
        <v>-900</v>
      </c>
      <c r="M244" s="1"/>
      <c r="N244" s="5">
        <f t="shared" si="95"/>
        <v>-0.21176470588235294</v>
      </c>
      <c r="O244" s="14"/>
      <c r="P244" s="1">
        <f>SUM(OSRRefP22_14x_0)</f>
        <v>13400</v>
      </c>
      <c r="Q244" s="1"/>
      <c r="R244" s="5">
        <f t="shared" si="96"/>
        <v>3.1426794333812794E-3</v>
      </c>
      <c r="S244" s="1"/>
      <c r="T244" s="1">
        <f>SUM(OSRRefT22_14x_0)</f>
        <v>16900</v>
      </c>
      <c r="U244" s="1"/>
      <c r="V244" s="5">
        <f t="shared" si="97"/>
        <v>1.2558143909064796E-3</v>
      </c>
      <c r="W244" s="1"/>
      <c r="X244" s="1">
        <f t="shared" si="98"/>
        <v>-3500</v>
      </c>
      <c r="Y244" s="1"/>
      <c r="Z244" s="5">
        <f t="shared" si="99"/>
        <v>-0.20710059171597633</v>
      </c>
    </row>
    <row r="245" spans="1:26" s="24" customFormat="1" hidden="1" outlineLevel="2" x14ac:dyDescent="0.25">
      <c r="A245" s="28"/>
      <c r="B245" s="11" t="str">
        <f>CONCATENATE("          ", "6408", " - ", "INVENTORY ADJUSTMENT")</f>
        <v xml:space="preserve">          6408 - INVENTORY ADJUSTMENT</v>
      </c>
      <c r="C245" s="11"/>
      <c r="D245" s="6">
        <v>3350</v>
      </c>
      <c r="E245" s="2"/>
      <c r="F245" s="7">
        <f t="shared" si="92"/>
        <v>4.9251628850604428E-3</v>
      </c>
      <c r="G245" s="2"/>
      <c r="H245" s="6">
        <v>4250</v>
      </c>
      <c r="I245" s="2"/>
      <c r="J245" s="7">
        <f t="shared" si="93"/>
        <v>1.1414211943255564E-3</v>
      </c>
      <c r="K245" s="2"/>
      <c r="L245" s="6">
        <f t="shared" si="94"/>
        <v>-900</v>
      </c>
      <c r="M245" s="2"/>
      <c r="N245" s="7">
        <f t="shared" si="95"/>
        <v>-0.21176470588235294</v>
      </c>
      <c r="O245" s="11"/>
      <c r="P245" s="6">
        <v>13400</v>
      </c>
      <c r="Q245" s="2"/>
      <c r="R245" s="7">
        <f t="shared" si="96"/>
        <v>3.1426794333812794E-3</v>
      </c>
      <c r="S245" s="2"/>
      <c r="T245" s="6">
        <v>16900</v>
      </c>
      <c r="U245" s="2"/>
      <c r="V245" s="7">
        <f t="shared" si="97"/>
        <v>1.2558143909064796E-3</v>
      </c>
      <c r="W245" s="2"/>
      <c r="X245" s="6">
        <f t="shared" si="98"/>
        <v>-3500</v>
      </c>
      <c r="Y245" s="2"/>
      <c r="Z245" s="7">
        <f t="shared" si="99"/>
        <v>-0.20710059171597633</v>
      </c>
    </row>
    <row r="246" spans="1:26" s="29" customFormat="1" outlineLevel="1" collapsed="1" x14ac:dyDescent="0.25">
      <c r="A246" s="27"/>
      <c r="B246" s="14" t="str">
        <f>CONCATENATE("     ","Professional Services                             ")</f>
        <v xml:space="preserve">     Professional Services                             </v>
      </c>
      <c r="C246" s="14"/>
      <c r="D246" s="1">
        <f>SUM(OSRRefD22_15x_0)</f>
        <v>0</v>
      </c>
      <c r="E246" s="1"/>
      <c r="F246" s="5">
        <f t="shared" si="92"/>
        <v>0</v>
      </c>
      <c r="G246" s="1"/>
      <c r="H246" s="1">
        <f>SUM(OSRRefH22_15x_0)</f>
        <v>0</v>
      </c>
      <c r="I246" s="1"/>
      <c r="J246" s="5">
        <f t="shared" si="93"/>
        <v>0</v>
      </c>
      <c r="K246" s="1"/>
      <c r="L246" s="1">
        <f t="shared" si="94"/>
        <v>0</v>
      </c>
      <c r="M246" s="1"/>
      <c r="N246" s="5">
        <f t="shared" si="95"/>
        <v>0</v>
      </c>
      <c r="O246" s="14"/>
      <c r="P246" s="1">
        <f>SUM(OSRRefP22_15x_0)</f>
        <v>0</v>
      </c>
      <c r="Q246" s="1"/>
      <c r="R246" s="5">
        <f t="shared" si="96"/>
        <v>0</v>
      </c>
      <c r="S246" s="1"/>
      <c r="T246" s="1">
        <f>SUM(OSRRefT22_15x_0)</f>
        <v>6283.41</v>
      </c>
      <c r="U246" s="1"/>
      <c r="V246" s="5">
        <f t="shared" si="97"/>
        <v>4.6691104745359067E-4</v>
      </c>
      <c r="W246" s="1"/>
      <c r="X246" s="1">
        <f t="shared" si="98"/>
        <v>-6283.41</v>
      </c>
      <c r="Y246" s="1"/>
      <c r="Z246" s="5">
        <f t="shared" si="99"/>
        <v>-1</v>
      </c>
    </row>
    <row r="247" spans="1:26" s="24" customFormat="1" hidden="1" outlineLevel="2" x14ac:dyDescent="0.25">
      <c r="A247" s="28"/>
      <c r="B247" s="11" t="str">
        <f>CONCATENATE("          ", "6336", " - ", "PROFESSIONAL SERVICES")</f>
        <v xml:space="preserve">          6336 - PROFESSIONAL SERVICES</v>
      </c>
      <c r="C247" s="11"/>
      <c r="D247" s="6"/>
      <c r="E247" s="2"/>
      <c r="F247" s="7">
        <f t="shared" si="92"/>
        <v>0</v>
      </c>
      <c r="G247" s="2"/>
      <c r="H247" s="6"/>
      <c r="I247" s="2"/>
      <c r="J247" s="7">
        <f t="shared" si="93"/>
        <v>0</v>
      </c>
      <c r="K247" s="2"/>
      <c r="L247" s="6">
        <f t="shared" si="94"/>
        <v>0</v>
      </c>
      <c r="M247" s="2"/>
      <c r="N247" s="7">
        <f t="shared" si="95"/>
        <v>0</v>
      </c>
      <c r="O247" s="11"/>
      <c r="P247" s="6"/>
      <c r="Q247" s="2"/>
      <c r="R247" s="7">
        <f t="shared" si="96"/>
        <v>0</v>
      </c>
      <c r="S247" s="2"/>
      <c r="T247" s="6">
        <v>6283.41</v>
      </c>
      <c r="U247" s="2"/>
      <c r="V247" s="7">
        <f t="shared" si="97"/>
        <v>4.6691104745359067E-4</v>
      </c>
      <c r="W247" s="2"/>
      <c r="X247" s="6">
        <f t="shared" si="98"/>
        <v>-6283.41</v>
      </c>
      <c r="Y247" s="2"/>
      <c r="Z247" s="7">
        <f t="shared" si="99"/>
        <v>-1</v>
      </c>
    </row>
    <row r="248" spans="1:26" s="29" customFormat="1" outlineLevel="1" collapsed="1" x14ac:dyDescent="0.25">
      <c r="A248" s="27"/>
      <c r="B248" s="14" t="str">
        <f>CONCATENATE("     ","R/H Commissions                                   ")</f>
        <v xml:space="preserve">     R/H Commissions                                   </v>
      </c>
      <c r="C248" s="14"/>
      <c r="D248" s="1">
        <f>SUM(OSRRefD22_16x_0)</f>
        <v>12242.68</v>
      </c>
      <c r="E248" s="1"/>
      <c r="F248" s="5">
        <f t="shared" si="92"/>
        <v>1.7999162134230383E-2</v>
      </c>
      <c r="G248" s="1"/>
      <c r="H248" s="1">
        <f>SUM(OSRRefH22_16x_0)</f>
        <v>130766.15000000001</v>
      </c>
      <c r="I248" s="1"/>
      <c r="J248" s="5">
        <f t="shared" si="93"/>
        <v>3.5119824731848208E-2</v>
      </c>
      <c r="K248" s="1"/>
      <c r="L248" s="1">
        <f t="shared" si="94"/>
        <v>-118523.47</v>
      </c>
      <c r="M248" s="1"/>
      <c r="N248" s="5">
        <f t="shared" si="95"/>
        <v>-0.90637730024169094</v>
      </c>
      <c r="O248" s="14"/>
      <c r="P248" s="1">
        <f>SUM(OSRRefP22_16x_0)</f>
        <v>28720.2</v>
      </c>
      <c r="Q248" s="1"/>
      <c r="R248" s="5">
        <f t="shared" si="96"/>
        <v>6.7357001389997777E-3</v>
      </c>
      <c r="S248" s="1"/>
      <c r="T248" s="1">
        <f>SUM(OSRRefT22_16x_0)</f>
        <v>318687.43</v>
      </c>
      <c r="U248" s="1"/>
      <c r="V248" s="5">
        <f t="shared" si="97"/>
        <v>2.3681198863609546E-2</v>
      </c>
      <c r="W248" s="1"/>
      <c r="X248" s="1">
        <f t="shared" si="98"/>
        <v>-289967.23</v>
      </c>
      <c r="Y248" s="1"/>
      <c r="Z248" s="5">
        <f t="shared" si="99"/>
        <v>-0.90987972133070949</v>
      </c>
    </row>
    <row r="249" spans="1:26" s="24" customFormat="1" hidden="1" outlineLevel="2" x14ac:dyDescent="0.25">
      <c r="A249" s="28"/>
      <c r="B249" s="11" t="str">
        <f>CONCATENATE("          ", "6387", " - ", "COMMISSION DUE HOUSING")</f>
        <v xml:space="preserve">          6387 - COMMISSION DUE HOUSING</v>
      </c>
      <c r="C249" s="11"/>
      <c r="D249" s="6">
        <v>12242.68</v>
      </c>
      <c r="E249" s="2"/>
      <c r="F249" s="7">
        <f t="shared" si="92"/>
        <v>1.7999162134230383E-2</v>
      </c>
      <c r="G249" s="2"/>
      <c r="H249" s="6">
        <v>130766.15000000001</v>
      </c>
      <c r="I249" s="2"/>
      <c r="J249" s="7">
        <f t="shared" si="93"/>
        <v>3.5119824731848208E-2</v>
      </c>
      <c r="K249" s="2"/>
      <c r="L249" s="6">
        <f t="shared" si="94"/>
        <v>-118523.47</v>
      </c>
      <c r="M249" s="2"/>
      <c r="N249" s="7">
        <f t="shared" si="95"/>
        <v>-0.90637730024169094</v>
      </c>
      <c r="O249" s="11"/>
      <c r="P249" s="6">
        <v>28720.2</v>
      </c>
      <c r="Q249" s="2"/>
      <c r="R249" s="7">
        <f t="shared" si="96"/>
        <v>6.7357001389997777E-3</v>
      </c>
      <c r="S249" s="2"/>
      <c r="T249" s="6">
        <v>318687.43</v>
      </c>
      <c r="U249" s="2"/>
      <c r="V249" s="7">
        <f t="shared" si="97"/>
        <v>2.3681198863609546E-2</v>
      </c>
      <c r="W249" s="2"/>
      <c r="X249" s="6">
        <f t="shared" si="98"/>
        <v>-289967.23</v>
      </c>
      <c r="Y249" s="2"/>
      <c r="Z249" s="7">
        <f t="shared" si="99"/>
        <v>-0.90987972133070949</v>
      </c>
    </row>
    <row r="250" spans="1:26" s="29" customFormat="1" outlineLevel="1" collapsed="1" x14ac:dyDescent="0.25">
      <c r="A250" s="27"/>
      <c r="B250" s="14" t="str">
        <f>CONCATENATE("     ","Rent                                              ")</f>
        <v xml:space="preserve">     Rent                                              </v>
      </c>
      <c r="C250" s="14"/>
      <c r="D250" s="1">
        <f>SUM(OSRRefD22_17x_0)</f>
        <v>6900</v>
      </c>
      <c r="E250" s="1"/>
      <c r="F250" s="5">
        <f t="shared" si="92"/>
        <v>1.0144365345348374E-2</v>
      </c>
      <c r="G250" s="1"/>
      <c r="H250" s="1">
        <f>SUM(OSRRefH22_17x_0)</f>
        <v>9900</v>
      </c>
      <c r="I250" s="1"/>
      <c r="J250" s="5">
        <f t="shared" si="93"/>
        <v>2.6588399585465903E-3</v>
      </c>
      <c r="K250" s="1"/>
      <c r="L250" s="1">
        <f t="shared" si="94"/>
        <v>-3000</v>
      </c>
      <c r="M250" s="1"/>
      <c r="N250" s="5">
        <f t="shared" si="95"/>
        <v>-0.30303030303030304</v>
      </c>
      <c r="O250" s="14"/>
      <c r="P250" s="1">
        <f>SUM(OSRRefP22_17x_0)</f>
        <v>33150</v>
      </c>
      <c r="Q250" s="1"/>
      <c r="R250" s="5">
        <f t="shared" si="96"/>
        <v>7.7746136728798071E-3</v>
      </c>
      <c r="S250" s="1"/>
      <c r="T250" s="1">
        <f>SUM(OSRRefT22_17x_0)</f>
        <v>39600</v>
      </c>
      <c r="U250" s="1"/>
      <c r="V250" s="5">
        <f t="shared" si="97"/>
        <v>2.9426183360885556E-3</v>
      </c>
      <c r="W250" s="1"/>
      <c r="X250" s="1">
        <f t="shared" si="98"/>
        <v>-6450</v>
      </c>
      <c r="Y250" s="1"/>
      <c r="Z250" s="5">
        <f t="shared" si="99"/>
        <v>-0.16287878787878787</v>
      </c>
    </row>
    <row r="251" spans="1:26" s="24" customFormat="1" hidden="1" outlineLevel="2" x14ac:dyDescent="0.25">
      <c r="A251" s="28"/>
      <c r="B251" s="11" t="str">
        <f>CONCATENATE("          ", "6273", " - ", "RENT")</f>
        <v xml:space="preserve">          6273 - RENT</v>
      </c>
      <c r="C251" s="11"/>
      <c r="D251" s="6">
        <v>6900</v>
      </c>
      <c r="E251" s="2"/>
      <c r="F251" s="7">
        <f t="shared" si="92"/>
        <v>1.0144365345348374E-2</v>
      </c>
      <c r="G251" s="2"/>
      <c r="H251" s="6">
        <v>9900</v>
      </c>
      <c r="I251" s="2"/>
      <c r="J251" s="7">
        <f t="shared" si="93"/>
        <v>2.6588399585465903E-3</v>
      </c>
      <c r="K251" s="2"/>
      <c r="L251" s="6">
        <f t="shared" si="94"/>
        <v>-3000</v>
      </c>
      <c r="M251" s="2"/>
      <c r="N251" s="7">
        <f t="shared" si="95"/>
        <v>-0.30303030303030304</v>
      </c>
      <c r="O251" s="11"/>
      <c r="P251" s="6">
        <v>33150</v>
      </c>
      <c r="Q251" s="2"/>
      <c r="R251" s="7">
        <f t="shared" si="96"/>
        <v>7.7746136728798071E-3</v>
      </c>
      <c r="S251" s="2"/>
      <c r="T251" s="6">
        <v>39600</v>
      </c>
      <c r="U251" s="2"/>
      <c r="V251" s="7">
        <f t="shared" si="97"/>
        <v>2.9426183360885556E-3</v>
      </c>
      <c r="W251" s="2"/>
      <c r="X251" s="6">
        <f t="shared" si="98"/>
        <v>-6450</v>
      </c>
      <c r="Y251" s="2"/>
      <c r="Z251" s="7">
        <f t="shared" si="99"/>
        <v>-0.16287878787878787</v>
      </c>
    </row>
    <row r="252" spans="1:26" s="29" customFormat="1" outlineLevel="1" collapsed="1" x14ac:dyDescent="0.25">
      <c r="A252" s="27"/>
      <c r="B252" s="14" t="str">
        <f>CONCATENATE("     ","Repair and Maintenance                            ")</f>
        <v xml:space="preserve">     Repair and Maintenance                            </v>
      </c>
      <c r="C252" s="14"/>
      <c r="D252" s="1">
        <f>SUM(OSRRefD22_18x_0)</f>
        <v>133253.84</v>
      </c>
      <c r="E252" s="1"/>
      <c r="F252" s="5">
        <f t="shared" si="92"/>
        <v>0.19590951255515898</v>
      </c>
      <c r="G252" s="1"/>
      <c r="H252" s="1">
        <f>SUM(OSRRefH22_18x_0)</f>
        <v>44293.880000000005</v>
      </c>
      <c r="I252" s="1"/>
      <c r="J252" s="5">
        <f t="shared" si="93"/>
        <v>1.1895993743744207E-2</v>
      </c>
      <c r="K252" s="1"/>
      <c r="L252" s="1">
        <f t="shared" si="94"/>
        <v>88959.959999999992</v>
      </c>
      <c r="M252" s="1"/>
      <c r="N252" s="5">
        <f t="shared" si="95"/>
        <v>2.008402966730392</v>
      </c>
      <c r="O252" s="14"/>
      <c r="P252" s="1">
        <f>SUM(OSRRefP22_18x_0)</f>
        <v>241216.05</v>
      </c>
      <c r="Q252" s="1"/>
      <c r="R252" s="5">
        <f t="shared" si="96"/>
        <v>5.6571993980333607E-2</v>
      </c>
      <c r="S252" s="1"/>
      <c r="T252" s="1">
        <f>SUM(OSRRefT22_18x_0)</f>
        <v>188132.94</v>
      </c>
      <c r="U252" s="1"/>
      <c r="V252" s="5">
        <f t="shared" si="97"/>
        <v>1.397988481985475E-2</v>
      </c>
      <c r="W252" s="1"/>
      <c r="X252" s="1">
        <f t="shared" si="98"/>
        <v>53083.109999999986</v>
      </c>
      <c r="Y252" s="1"/>
      <c r="Z252" s="5">
        <f t="shared" si="99"/>
        <v>0.28215744675015436</v>
      </c>
    </row>
    <row r="253" spans="1:26" s="24" customFormat="1" hidden="1" outlineLevel="2" x14ac:dyDescent="0.25">
      <c r="A253" s="28"/>
      <c r="B253" s="11" t="str">
        <f>CONCATENATE("          ", "6371", " - ", "COMPUTER SOFTWARE MAINTENANCE")</f>
        <v xml:space="preserve">          6371 - COMPUTER SOFTWARE MAINTENANCE</v>
      </c>
      <c r="C253" s="11"/>
      <c r="D253" s="6">
        <v>7.69</v>
      </c>
      <c r="E253" s="2"/>
      <c r="F253" s="7">
        <f t="shared" si="92"/>
        <v>1.1305821667496957E-5</v>
      </c>
      <c r="G253" s="2"/>
      <c r="H253" s="6">
        <v>601</v>
      </c>
      <c r="I253" s="2"/>
      <c r="J253" s="7">
        <f t="shared" si="93"/>
        <v>1.6141038536227281E-4</v>
      </c>
      <c r="K253" s="2"/>
      <c r="L253" s="6">
        <f t="shared" si="94"/>
        <v>-593.30999999999995</v>
      </c>
      <c r="M253" s="2"/>
      <c r="N253" s="7">
        <f t="shared" si="95"/>
        <v>-0.98720465890183018</v>
      </c>
      <c r="O253" s="11"/>
      <c r="P253" s="6">
        <v>58436.47</v>
      </c>
      <c r="Q253" s="2"/>
      <c r="R253" s="7">
        <f t="shared" si="96"/>
        <v>1.3705006897641951E-2</v>
      </c>
      <c r="S253" s="2"/>
      <c r="T253" s="6">
        <v>31773.759999999998</v>
      </c>
      <c r="U253" s="2"/>
      <c r="V253" s="7">
        <f t="shared" si="97"/>
        <v>2.3610618379413411E-3</v>
      </c>
      <c r="W253" s="2"/>
      <c r="X253" s="6">
        <f t="shared" si="98"/>
        <v>26662.710000000003</v>
      </c>
      <c r="Y253" s="2"/>
      <c r="Z253" s="7">
        <f t="shared" si="99"/>
        <v>0.83914242444079656</v>
      </c>
    </row>
    <row r="254" spans="1:26" s="24" customFormat="1" hidden="1" outlineLevel="2" x14ac:dyDescent="0.25">
      <c r="A254" s="28"/>
      <c r="B254" s="11" t="str">
        <f>CONCATENATE("          ", "6372", " - ", "COMPUTER HARDWARE MAINTENANCE")</f>
        <v xml:space="preserve">          6372 - COMPUTER HARDWARE MAINTENANCE</v>
      </c>
      <c r="C254" s="11"/>
      <c r="D254" s="6">
        <v>8.11</v>
      </c>
      <c r="E254" s="2"/>
      <c r="F254" s="7">
        <f t="shared" si="92"/>
        <v>1.1923304775474683E-5</v>
      </c>
      <c r="G254" s="2"/>
      <c r="H254" s="6"/>
      <c r="I254" s="2"/>
      <c r="J254" s="7">
        <f t="shared" si="93"/>
        <v>0</v>
      </c>
      <c r="K254" s="2"/>
      <c r="L254" s="6">
        <f t="shared" si="94"/>
        <v>8.11</v>
      </c>
      <c r="M254" s="2"/>
      <c r="N254" s="7">
        <f t="shared" si="95"/>
        <v>0</v>
      </c>
      <c r="O254" s="11"/>
      <c r="P254" s="6">
        <v>0</v>
      </c>
      <c r="Q254" s="2"/>
      <c r="R254" s="7">
        <f t="shared" si="96"/>
        <v>0</v>
      </c>
      <c r="S254" s="2"/>
      <c r="T254" s="6"/>
      <c r="U254" s="2"/>
      <c r="V254" s="7">
        <f t="shared" si="97"/>
        <v>0</v>
      </c>
      <c r="W254" s="2"/>
      <c r="X254" s="6">
        <f t="shared" si="98"/>
        <v>0</v>
      </c>
      <c r="Y254" s="2"/>
      <c r="Z254" s="7">
        <f t="shared" si="99"/>
        <v>0</v>
      </c>
    </row>
    <row r="255" spans="1:26" s="24" customFormat="1" hidden="1" outlineLevel="2" x14ac:dyDescent="0.25">
      <c r="A255" s="28"/>
      <c r="B255" s="11" t="str">
        <f>CONCATENATE("          ", "6373", " - ", "MAINTENANCE CONTRACTS")</f>
        <v xml:space="preserve">          6373 - MAINTENANCE CONTRACTS</v>
      </c>
      <c r="C255" s="11"/>
      <c r="D255" s="6">
        <v>125859.86</v>
      </c>
      <c r="E255" s="2"/>
      <c r="F255" s="7">
        <f t="shared" si="92"/>
        <v>0.18503889886295624</v>
      </c>
      <c r="G255" s="2"/>
      <c r="H255" s="6">
        <v>19462.84</v>
      </c>
      <c r="I255" s="2"/>
      <c r="J255" s="7">
        <f t="shared" si="93"/>
        <v>5.2271289594746388E-3</v>
      </c>
      <c r="K255" s="2"/>
      <c r="L255" s="6">
        <f t="shared" si="94"/>
        <v>106397.02</v>
      </c>
      <c r="M255" s="2"/>
      <c r="N255" s="7">
        <f t="shared" si="95"/>
        <v>5.4666749559673722</v>
      </c>
      <c r="O255" s="11"/>
      <c r="P255" s="6">
        <v>160110.25</v>
      </c>
      <c r="Q255" s="2"/>
      <c r="R255" s="7">
        <f t="shared" si="96"/>
        <v>3.7550387294666789E-2</v>
      </c>
      <c r="S255" s="2"/>
      <c r="T255" s="6">
        <v>63357.549999999996</v>
      </c>
      <c r="U255" s="2"/>
      <c r="V255" s="7">
        <f t="shared" si="97"/>
        <v>4.7080072818092792E-3</v>
      </c>
      <c r="W255" s="2"/>
      <c r="X255" s="6">
        <f t="shared" si="98"/>
        <v>96752.700000000012</v>
      </c>
      <c r="Y255" s="2"/>
      <c r="Z255" s="7">
        <f t="shared" si="99"/>
        <v>1.5270902994197222</v>
      </c>
    </row>
    <row r="256" spans="1:26" s="24" customFormat="1" hidden="1" outlineLevel="2" x14ac:dyDescent="0.25">
      <c r="A256" s="28"/>
      <c r="B256" s="11" t="str">
        <f>CONCATENATE("          ", "6375", " - ", "OUTSIDE REPAIRS &amp; MAINTENANCE")</f>
        <v xml:space="preserve">          6375 - OUTSIDE REPAIRS &amp; MAINTENANCE</v>
      </c>
      <c r="C256" s="11"/>
      <c r="D256" s="6">
        <v>7378.18</v>
      </c>
      <c r="E256" s="2"/>
      <c r="F256" s="7">
        <f t="shared" si="92"/>
        <v>1.0847384565759779E-2</v>
      </c>
      <c r="G256" s="2"/>
      <c r="H256" s="6">
        <v>24230.04</v>
      </c>
      <c r="I256" s="2"/>
      <c r="J256" s="7">
        <f t="shared" si="93"/>
        <v>6.5074543989072954E-3</v>
      </c>
      <c r="K256" s="2"/>
      <c r="L256" s="6">
        <f t="shared" si="94"/>
        <v>-16851.86</v>
      </c>
      <c r="M256" s="2"/>
      <c r="N256" s="7">
        <f t="shared" si="95"/>
        <v>-0.69549451837471177</v>
      </c>
      <c r="O256" s="11"/>
      <c r="P256" s="6">
        <v>22669.329999999998</v>
      </c>
      <c r="Q256" s="2"/>
      <c r="R256" s="7">
        <f t="shared" si="96"/>
        <v>5.3165997880248684E-3</v>
      </c>
      <c r="S256" s="2"/>
      <c r="T256" s="6">
        <v>93001.62999999999</v>
      </c>
      <c r="U256" s="2"/>
      <c r="V256" s="7">
        <f t="shared" si="97"/>
        <v>6.9108157001041282E-3</v>
      </c>
      <c r="W256" s="2"/>
      <c r="X256" s="6">
        <f t="shared" si="98"/>
        <v>-70332.299999999988</v>
      </c>
      <c r="Y256" s="2"/>
      <c r="Z256" s="7">
        <f t="shared" si="99"/>
        <v>-0.75624803565270837</v>
      </c>
    </row>
    <row r="257" spans="1:26" s="29" customFormat="1" outlineLevel="1" collapsed="1" x14ac:dyDescent="0.25">
      <c r="A257" s="27"/>
      <c r="B257" s="14" t="str">
        <f>CONCATENATE("     ","Royalty &amp; Commissions                             ")</f>
        <v xml:space="preserve">     Royalty &amp; Commissions                             </v>
      </c>
      <c r="C257" s="14"/>
      <c r="D257" s="1">
        <f>SUM(OSRRefD22_19x_0)</f>
        <v>10995.7</v>
      </c>
      <c r="E257" s="1"/>
      <c r="F257" s="5">
        <f t="shared" ref="F257:F260" si="100">IF(D$12=0,0,D257/D$12)</f>
        <v>1.616585478664451E-2</v>
      </c>
      <c r="G257" s="1"/>
      <c r="H257" s="1">
        <f>SUM(OSRRefH22_19x_0)</f>
        <v>44711.759999999995</v>
      </c>
      <c r="I257" s="1"/>
      <c r="J257" s="5">
        <f t="shared" ref="J257:J260" si="101">IF(H$12=0,0,H257/H$12)</f>
        <v>1.2008223646964149E-2</v>
      </c>
      <c r="K257" s="1"/>
      <c r="L257" s="1">
        <f t="shared" ref="L257:L260" si="102">+D257-H257</f>
        <v>-33716.06</v>
      </c>
      <c r="M257" s="1"/>
      <c r="N257" s="5">
        <f t="shared" ref="N257:N260" si="103">IF(H257=0,0,L257/H257)</f>
        <v>-0.75407588518099045</v>
      </c>
      <c r="O257" s="14"/>
      <c r="P257" s="1">
        <f>SUM(OSRRefP22_19x_0)</f>
        <v>24302.7</v>
      </c>
      <c r="Q257" s="1"/>
      <c r="R257" s="5">
        <f t="shared" ref="R257:R260" si="104">IF(P$12=0,0,P257/P$12)</f>
        <v>5.6996713034056139E-3</v>
      </c>
      <c r="S257" s="1"/>
      <c r="T257" s="1">
        <f>SUM(OSRRefT22_19x_0)</f>
        <v>130101.41999999998</v>
      </c>
      <c r="U257" s="1"/>
      <c r="V257" s="5">
        <f t="shared" ref="V257:V260" si="105">IF(T$12=0,0,T257/T$12)</f>
        <v>9.6676470717969257E-3</v>
      </c>
      <c r="W257" s="1"/>
      <c r="X257" s="1">
        <f t="shared" ref="X257:X260" si="106">+P257-T257</f>
        <v>-105798.71999999999</v>
      </c>
      <c r="Y257" s="1"/>
      <c r="Z257" s="5">
        <f t="shared" ref="Z257:Z260" si="107">IF(T257=0,0,X257/T257)</f>
        <v>-0.81320188511393654</v>
      </c>
    </row>
    <row r="258" spans="1:26" s="24" customFormat="1" hidden="1" outlineLevel="2" x14ac:dyDescent="0.25">
      <c r="A258" s="28"/>
      <c r="B258" s="11" t="str">
        <f>CONCATENATE("          ", "6253", " - ", "ROYALTY DUE ATHLETICS-LRG")</f>
        <v xml:space="preserve">          6253 - ROYALTY DUE ATHLETICS-LRG</v>
      </c>
      <c r="C258" s="11"/>
      <c r="D258" s="6">
        <v>10489.6</v>
      </c>
      <c r="E258" s="2"/>
      <c r="F258" s="7">
        <f t="shared" si="100"/>
        <v>1.542178764153135E-2</v>
      </c>
      <c r="G258" s="2"/>
      <c r="H258" s="6"/>
      <c r="I258" s="2"/>
      <c r="J258" s="7">
        <f t="shared" si="101"/>
        <v>0</v>
      </c>
      <c r="K258" s="2"/>
      <c r="L258" s="6">
        <f t="shared" si="102"/>
        <v>10489.6</v>
      </c>
      <c r="M258" s="2"/>
      <c r="N258" s="7">
        <f t="shared" si="103"/>
        <v>0</v>
      </c>
      <c r="O258" s="11"/>
      <c r="P258" s="6">
        <v>18411.8</v>
      </c>
      <c r="Q258" s="2"/>
      <c r="R258" s="7">
        <f t="shared" si="104"/>
        <v>4.3180884471290624E-3</v>
      </c>
      <c r="S258" s="2"/>
      <c r="T258" s="6">
        <v>4366.95</v>
      </c>
      <c r="U258" s="2"/>
      <c r="V258" s="7">
        <f t="shared" si="105"/>
        <v>3.2450169552479589E-4</v>
      </c>
      <c r="W258" s="2"/>
      <c r="X258" s="6">
        <f t="shared" si="106"/>
        <v>14044.849999999999</v>
      </c>
      <c r="Y258" s="2"/>
      <c r="Z258" s="7">
        <f t="shared" si="107"/>
        <v>3.216169179862375</v>
      </c>
    </row>
    <row r="259" spans="1:26" s="24" customFormat="1" hidden="1" outlineLevel="2" x14ac:dyDescent="0.25">
      <c r="A259" s="28"/>
      <c r="B259" s="11" t="str">
        <f>CONCATENATE("          ", "6254", " - ", "ROYALTY &amp; COMMISSIONS")</f>
        <v xml:space="preserve">          6254 - ROYALTY &amp; COMMISSIONS</v>
      </c>
      <c r="C259" s="11"/>
      <c r="D259" s="6">
        <v>185.7</v>
      </c>
      <c r="E259" s="2"/>
      <c r="F259" s="7">
        <f t="shared" si="100"/>
        <v>2.7301574559872365E-4</v>
      </c>
      <c r="G259" s="2"/>
      <c r="H259" s="6">
        <v>11203.92</v>
      </c>
      <c r="I259" s="2"/>
      <c r="J259" s="7">
        <f t="shared" si="101"/>
        <v>3.0090333523595269E-3</v>
      </c>
      <c r="K259" s="2"/>
      <c r="L259" s="6">
        <f t="shared" si="102"/>
        <v>-11018.22</v>
      </c>
      <c r="M259" s="2"/>
      <c r="N259" s="7">
        <f t="shared" si="103"/>
        <v>-0.98342544395175968</v>
      </c>
      <c r="O259" s="11"/>
      <c r="P259" s="6">
        <v>185.7</v>
      </c>
      <c r="Q259" s="2"/>
      <c r="R259" s="7">
        <f t="shared" si="104"/>
        <v>4.3551908267082357E-5</v>
      </c>
      <c r="S259" s="2"/>
      <c r="T259" s="6">
        <v>52150.85</v>
      </c>
      <c r="U259" s="2"/>
      <c r="V259" s="7">
        <f t="shared" si="105"/>
        <v>3.8752537235506022E-3</v>
      </c>
      <c r="W259" s="2"/>
      <c r="X259" s="6">
        <f t="shared" si="106"/>
        <v>-51965.15</v>
      </c>
      <c r="Y259" s="2"/>
      <c r="Z259" s="7">
        <f t="shared" si="107"/>
        <v>-0.99643917596740994</v>
      </c>
    </row>
    <row r="260" spans="1:26" s="24" customFormat="1" hidden="1" outlineLevel="2" x14ac:dyDescent="0.25">
      <c r="A260" s="28"/>
      <c r="B260" s="11" t="str">
        <f>CONCATENATE("          ", "6259", " - ", "ROYALTY &amp; COMMISSIONS")</f>
        <v xml:space="preserve">          6259 - ROYALTY &amp; COMMISSIONS</v>
      </c>
      <c r="C260" s="11"/>
      <c r="D260" s="6">
        <v>320.39999999999998</v>
      </c>
      <c r="E260" s="2"/>
      <c r="F260" s="7">
        <f t="shared" si="100"/>
        <v>4.7105139951443754E-4</v>
      </c>
      <c r="G260" s="2"/>
      <c r="H260" s="6">
        <v>33507.839999999997</v>
      </c>
      <c r="I260" s="2"/>
      <c r="J260" s="7">
        <f t="shared" si="101"/>
        <v>8.9991902946046226E-3</v>
      </c>
      <c r="K260" s="2"/>
      <c r="L260" s="6">
        <f t="shared" si="102"/>
        <v>-33187.439999999995</v>
      </c>
      <c r="M260" s="2"/>
      <c r="N260" s="7">
        <f t="shared" si="103"/>
        <v>-0.99043805867522339</v>
      </c>
      <c r="O260" s="11"/>
      <c r="P260" s="6">
        <v>5705.2</v>
      </c>
      <c r="Q260" s="2"/>
      <c r="R260" s="7">
        <f t="shared" si="104"/>
        <v>1.3380309480094683E-3</v>
      </c>
      <c r="S260" s="2"/>
      <c r="T260" s="6">
        <v>73583.62</v>
      </c>
      <c r="U260" s="2"/>
      <c r="V260" s="7">
        <f t="shared" si="105"/>
        <v>5.4678916527215295E-3</v>
      </c>
      <c r="W260" s="2"/>
      <c r="X260" s="6">
        <f t="shared" si="106"/>
        <v>-67878.42</v>
      </c>
      <c r="Y260" s="2"/>
      <c r="Z260" s="7">
        <f t="shared" si="107"/>
        <v>-0.92246644022134272</v>
      </c>
    </row>
    <row r="261" spans="1:26" s="29" customFormat="1" outlineLevel="1" collapsed="1" x14ac:dyDescent="0.25">
      <c r="A261" s="27"/>
      <c r="B261" s="14" t="str">
        <f>CONCATENATE("     ","Services                                          ")</f>
        <v xml:space="preserve">     Services                                          </v>
      </c>
      <c r="C261" s="14"/>
      <c r="D261" s="1">
        <f>SUM(OSRRefD22_20x_0)</f>
        <v>22877.25</v>
      </c>
      <c r="E261" s="1"/>
      <c r="F261" s="5">
        <f t="shared" ref="F261:F266" si="108">IF(D$12=0,0,D261/D$12)</f>
        <v>3.363408436186538E-2</v>
      </c>
      <c r="G261" s="1"/>
      <c r="H261" s="1">
        <f>SUM(OSRRefH22_20x_0)</f>
        <v>49257.54</v>
      </c>
      <c r="I261" s="1"/>
      <c r="J261" s="5">
        <f t="shared" ref="J261:J266" si="109">IF(H$12=0,0,H261/H$12)</f>
        <v>1.3229082385020911E-2</v>
      </c>
      <c r="K261" s="1"/>
      <c r="L261" s="1">
        <f t="shared" ref="L261:L266" si="110">+D261-H261</f>
        <v>-26380.29</v>
      </c>
      <c r="M261" s="1"/>
      <c r="N261" s="5">
        <f t="shared" ref="N261:N266" si="111">IF(H261=0,0,L261/H261)</f>
        <v>-0.53555841400118642</v>
      </c>
      <c r="O261" s="14"/>
      <c r="P261" s="1">
        <f>SUM(OSRRefP22_20x_0)</f>
        <v>72461.569999999992</v>
      </c>
      <c r="Q261" s="1"/>
      <c r="R261" s="5">
        <f t="shared" ref="R261:R266" si="112">IF(P$12=0,0,P261/P$12)</f>
        <v>1.6994289981307305E-2</v>
      </c>
      <c r="S261" s="1"/>
      <c r="T261" s="1">
        <f>SUM(OSRRefT22_20x_0)</f>
        <v>185180.11000000004</v>
      </c>
      <c r="U261" s="1"/>
      <c r="V261" s="5">
        <f t="shared" ref="V261:V266" si="113">IF(T$12=0,0,T261/T$12)</f>
        <v>1.3760464322345855E-2</v>
      </c>
      <c r="W261" s="1"/>
      <c r="X261" s="1">
        <f t="shared" ref="X261:X266" si="114">+P261-T261</f>
        <v>-112718.54000000005</v>
      </c>
      <c r="Y261" s="1"/>
      <c r="Z261" s="5">
        <f t="shared" ref="Z261:Z266" si="115">IF(T261=0,0,X261/T261)</f>
        <v>-0.60869679794444465</v>
      </c>
    </row>
    <row r="262" spans="1:26" s="24" customFormat="1" hidden="1" outlineLevel="2" x14ac:dyDescent="0.25">
      <c r="A262" s="28"/>
      <c r="B262" s="11" t="str">
        <f>CONCATENATE("          ", "6282", " - ", "JANITORIAL/EXTERMINATOR EXPENS")</f>
        <v xml:space="preserve">          6282 - JANITORIAL/EXTERMINATOR EXPENS</v>
      </c>
      <c r="C262" s="11"/>
      <c r="D262" s="6">
        <v>7486.36</v>
      </c>
      <c r="E262" s="2"/>
      <c r="F262" s="7">
        <f t="shared" si="108"/>
        <v>1.1006430572000327E-2</v>
      </c>
      <c r="G262" s="2"/>
      <c r="H262" s="6">
        <v>3497.11</v>
      </c>
      <c r="I262" s="2"/>
      <c r="J262" s="7">
        <f t="shared" si="109"/>
        <v>9.3921775832655216E-4</v>
      </c>
      <c r="K262" s="2"/>
      <c r="L262" s="6">
        <f t="shared" si="110"/>
        <v>3989.2499999999995</v>
      </c>
      <c r="M262" s="2"/>
      <c r="N262" s="7">
        <f t="shared" si="111"/>
        <v>1.1407276293854067</v>
      </c>
      <c r="O262" s="11"/>
      <c r="P262" s="6">
        <v>10414.120000000001</v>
      </c>
      <c r="Q262" s="2"/>
      <c r="R262" s="7">
        <f t="shared" si="112"/>
        <v>2.4424060254301977E-3</v>
      </c>
      <c r="S262" s="2"/>
      <c r="T262" s="6">
        <v>15058.88</v>
      </c>
      <c r="U262" s="2"/>
      <c r="V262" s="7">
        <f t="shared" si="113"/>
        <v>1.119003444670637E-3</v>
      </c>
      <c r="W262" s="2"/>
      <c r="X262" s="6">
        <f t="shared" si="114"/>
        <v>-4644.7599999999984</v>
      </c>
      <c r="Y262" s="2"/>
      <c r="Z262" s="7">
        <f t="shared" si="115"/>
        <v>-0.30843993710023576</v>
      </c>
    </row>
    <row r="263" spans="1:26" s="24" customFormat="1" hidden="1" outlineLevel="2" x14ac:dyDescent="0.25">
      <c r="A263" s="28"/>
      <c r="B263" s="11" t="str">
        <f>CONCATENATE("          ", "6283", " - ", "PLANT SERVICE")</f>
        <v xml:space="preserve">          6283 - PLANT SERVICE</v>
      </c>
      <c r="C263" s="11"/>
      <c r="D263" s="6"/>
      <c r="E263" s="2"/>
      <c r="F263" s="7">
        <f t="shared" si="108"/>
        <v>0</v>
      </c>
      <c r="G263" s="2"/>
      <c r="H263" s="6"/>
      <c r="I263" s="2"/>
      <c r="J263" s="7">
        <f t="shared" si="109"/>
        <v>0</v>
      </c>
      <c r="K263" s="2"/>
      <c r="L263" s="6">
        <f t="shared" si="110"/>
        <v>0</v>
      </c>
      <c r="M263" s="2"/>
      <c r="N263" s="7">
        <f t="shared" si="111"/>
        <v>0</v>
      </c>
      <c r="O263" s="11"/>
      <c r="P263" s="6">
        <v>130</v>
      </c>
      <c r="Q263" s="2"/>
      <c r="R263" s="7">
        <f t="shared" si="112"/>
        <v>3.0488681070116889E-5</v>
      </c>
      <c r="S263" s="2"/>
      <c r="T263" s="6">
        <v>1141.32</v>
      </c>
      <c r="U263" s="2"/>
      <c r="V263" s="7">
        <f t="shared" si="113"/>
        <v>8.4809827256176519E-5</v>
      </c>
      <c r="W263" s="2"/>
      <c r="X263" s="6">
        <f t="shared" si="114"/>
        <v>-1011.3199999999999</v>
      </c>
      <c r="Y263" s="2"/>
      <c r="Z263" s="7">
        <f t="shared" si="115"/>
        <v>-0.88609680019626402</v>
      </c>
    </row>
    <row r="264" spans="1:26" s="24" customFormat="1" hidden="1" outlineLevel="2" x14ac:dyDescent="0.25">
      <c r="A264" s="28"/>
      <c r="B264" s="11" t="str">
        <f>CONCATENATE("          ", "6284", " - ", "TRASH REMOVAL EXPENSE")</f>
        <v xml:space="preserve">          6284 - TRASH REMOVAL EXPENSE</v>
      </c>
      <c r="C264" s="11"/>
      <c r="D264" s="6">
        <v>5526.59</v>
      </c>
      <c r="E264" s="2"/>
      <c r="F264" s="7">
        <f t="shared" si="108"/>
        <v>8.1251808802824451E-3</v>
      </c>
      <c r="G264" s="2"/>
      <c r="H264" s="6">
        <v>4570.82</v>
      </c>
      <c r="I264" s="2"/>
      <c r="J264" s="7">
        <f t="shared" si="109"/>
        <v>1.2275837231640328E-3</v>
      </c>
      <c r="K264" s="2"/>
      <c r="L264" s="6">
        <f t="shared" si="110"/>
        <v>955.77000000000044</v>
      </c>
      <c r="M264" s="2"/>
      <c r="N264" s="7">
        <f t="shared" si="111"/>
        <v>0.20910252427354403</v>
      </c>
      <c r="O264" s="11"/>
      <c r="P264" s="6">
        <v>8715.2999999999993</v>
      </c>
      <c r="Q264" s="2"/>
      <c r="R264" s="7">
        <f t="shared" si="112"/>
        <v>2.0439846317722287E-3</v>
      </c>
      <c r="S264" s="2"/>
      <c r="T264" s="6">
        <v>10271.280000000001</v>
      </c>
      <c r="U264" s="2"/>
      <c r="V264" s="7">
        <f t="shared" si="113"/>
        <v>7.6324386017928439E-4</v>
      </c>
      <c r="W264" s="2"/>
      <c r="X264" s="6">
        <f t="shared" si="114"/>
        <v>-1555.9800000000014</v>
      </c>
      <c r="Y264" s="2"/>
      <c r="Z264" s="7">
        <f t="shared" si="115"/>
        <v>-0.15148842208566032</v>
      </c>
    </row>
    <row r="265" spans="1:26" s="24" customFormat="1" hidden="1" outlineLevel="2" x14ac:dyDescent="0.25">
      <c r="A265" s="28"/>
      <c r="B265" s="11" t="str">
        <f>CONCATENATE("          ", "6285", " - ", "JANITORIAL SERVICES")</f>
        <v xml:space="preserve">          6285 - JANITORIAL SERVICES</v>
      </c>
      <c r="C265" s="11"/>
      <c r="D265" s="6">
        <v>7831.3</v>
      </c>
      <c r="E265" s="2"/>
      <c r="F265" s="7">
        <f t="shared" si="108"/>
        <v>1.1513560627395178E-2</v>
      </c>
      <c r="G265" s="2"/>
      <c r="H265" s="6">
        <v>29604.099999999995</v>
      </c>
      <c r="I265" s="2"/>
      <c r="J265" s="7">
        <f t="shared" si="109"/>
        <v>7.9507640421019286E-3</v>
      </c>
      <c r="K265" s="2"/>
      <c r="L265" s="6">
        <f t="shared" si="110"/>
        <v>-21772.799999999996</v>
      </c>
      <c r="M265" s="2"/>
      <c r="N265" s="7">
        <f t="shared" si="111"/>
        <v>-0.7354656956299972</v>
      </c>
      <c r="O265" s="11"/>
      <c r="P265" s="6">
        <v>45209.279999999999</v>
      </c>
      <c r="Q265" s="2"/>
      <c r="R265" s="7">
        <f t="shared" si="112"/>
        <v>1.0602856302535492E-2</v>
      </c>
      <c r="S265" s="2"/>
      <c r="T265" s="6">
        <v>120842.80000000002</v>
      </c>
      <c r="U265" s="2"/>
      <c r="V265" s="7">
        <f t="shared" si="113"/>
        <v>8.9796525016232875E-3</v>
      </c>
      <c r="W265" s="2"/>
      <c r="X265" s="6">
        <f t="shared" si="114"/>
        <v>-75633.520000000019</v>
      </c>
      <c r="Y265" s="2"/>
      <c r="Z265" s="7">
        <f t="shared" si="115"/>
        <v>-0.62588354457195639</v>
      </c>
    </row>
    <row r="266" spans="1:26" s="24" customFormat="1" hidden="1" outlineLevel="2" x14ac:dyDescent="0.25">
      <c r="A266" s="28"/>
      <c r="B266" s="11" t="str">
        <f>CONCATENATE("          ", "6286", " - ", "LAUNDRY EXPENSE")</f>
        <v xml:space="preserve">          6286 - LAUNDRY EXPENSE</v>
      </c>
      <c r="C266" s="11"/>
      <c r="D266" s="6">
        <v>2033</v>
      </c>
      <c r="E266" s="2"/>
      <c r="F266" s="7">
        <f t="shared" si="108"/>
        <v>2.9889122821874269E-3</v>
      </c>
      <c r="G266" s="2"/>
      <c r="H266" s="6">
        <v>11585.51</v>
      </c>
      <c r="I266" s="2"/>
      <c r="J266" s="7">
        <f t="shared" si="109"/>
        <v>3.1115168614283947E-3</v>
      </c>
      <c r="K266" s="2"/>
      <c r="L266" s="6">
        <f t="shared" si="110"/>
        <v>-9552.51</v>
      </c>
      <c r="M266" s="2"/>
      <c r="N266" s="7">
        <f t="shared" si="111"/>
        <v>-0.82452218331346661</v>
      </c>
      <c r="O266" s="11"/>
      <c r="P266" s="6">
        <v>7992.87</v>
      </c>
      <c r="Q266" s="2"/>
      <c r="R266" s="7">
        <f t="shared" si="112"/>
        <v>1.8745543404992706E-3</v>
      </c>
      <c r="S266" s="2"/>
      <c r="T266" s="6">
        <v>37865.83</v>
      </c>
      <c r="U266" s="2"/>
      <c r="V266" s="7">
        <f t="shared" si="113"/>
        <v>2.8137546886164676E-3</v>
      </c>
      <c r="W266" s="2"/>
      <c r="X266" s="6">
        <f t="shared" si="114"/>
        <v>-29872.960000000003</v>
      </c>
      <c r="Y266" s="2"/>
      <c r="Z266" s="7">
        <f t="shared" si="115"/>
        <v>-0.78891602270437489</v>
      </c>
    </row>
    <row r="267" spans="1:26" s="29" customFormat="1" outlineLevel="1" collapsed="1" x14ac:dyDescent="0.25">
      <c r="A267" s="27"/>
      <c r="B267" s="14" t="str">
        <f>CONCATENATE("     ","Subscriptions &amp; Dues                              ")</f>
        <v xml:space="preserve">     Subscriptions &amp; Dues                              </v>
      </c>
      <c r="C267" s="14"/>
      <c r="D267" s="1">
        <f>SUM(OSRRefD22_21x_0)</f>
        <v>995.99</v>
      </c>
      <c r="E267" s="1"/>
      <c r="F267" s="5">
        <f t="shared" ref="F267:F269" si="116">IF(D$12=0,0,D267/D$12)</f>
        <v>1.4643023826541343E-3</v>
      </c>
      <c r="G267" s="1"/>
      <c r="H267" s="1">
        <f>SUM(OSRRefH22_21x_0)</f>
        <v>913.37000000000012</v>
      </c>
      <c r="I267" s="1"/>
      <c r="J267" s="5">
        <f t="shared" ref="J267:J269" si="117">IF(H$12=0,0,H267/H$12)</f>
        <v>2.453035002967373E-4</v>
      </c>
      <c r="K267" s="1"/>
      <c r="L267" s="1">
        <f t="shared" ref="L267:L269" si="118">+D267-H267</f>
        <v>82.619999999999891</v>
      </c>
      <c r="M267" s="1"/>
      <c r="N267" s="5">
        <f t="shared" ref="N267:N269" si="119">IF(H267=0,0,L267/H267)</f>
        <v>9.0456222560408028E-2</v>
      </c>
      <c r="O267" s="14"/>
      <c r="P267" s="1">
        <f>SUM(OSRRefP22_21x_0)</f>
        <v>1920.4199999999998</v>
      </c>
      <c r="Q267" s="1"/>
      <c r="R267" s="5">
        <f t="shared" ref="R267:R269" si="120">IF(P$12=0,0,P267/P$12)</f>
        <v>4.5039286846672207E-4</v>
      </c>
      <c r="S267" s="1"/>
      <c r="T267" s="1">
        <f>SUM(OSRRefT22_21x_0)</f>
        <v>-555.59999999999991</v>
      </c>
      <c r="U267" s="1"/>
      <c r="V267" s="5">
        <f t="shared" ref="V267:V269" si="121">IF(T$12=0,0,T267/T$12)</f>
        <v>-4.1285826957848514E-5</v>
      </c>
      <c r="W267" s="1"/>
      <c r="X267" s="1">
        <f t="shared" ref="X267:X269" si="122">+P267-T267</f>
        <v>2476.0199999999995</v>
      </c>
      <c r="Y267" s="1"/>
      <c r="Z267" s="5">
        <f t="shared" ref="Z267:Z269" si="123">IF(T267=0,0,X267/T267)</f>
        <v>-4.4564794816414688</v>
      </c>
    </row>
    <row r="268" spans="1:26" s="24" customFormat="1" hidden="1" outlineLevel="2" x14ac:dyDescent="0.25">
      <c r="A268" s="28"/>
      <c r="B268" s="11" t="str">
        <f>CONCATENATE("          ", "6258", " - ", "MEMBERSHIP DUES")</f>
        <v xml:space="preserve">          6258 - MEMBERSHIP DUES</v>
      </c>
      <c r="C268" s="11"/>
      <c r="D268" s="6">
        <v>790.32</v>
      </c>
      <c r="E268" s="2"/>
      <c r="F268" s="7">
        <f t="shared" si="116"/>
        <v>1.1619267854689459E-3</v>
      </c>
      <c r="G268" s="2"/>
      <c r="H268" s="6">
        <v>268.55</v>
      </c>
      <c r="I268" s="2"/>
      <c r="J268" s="7">
        <f t="shared" si="117"/>
        <v>7.2124390996736049E-5</v>
      </c>
      <c r="K268" s="2"/>
      <c r="L268" s="6">
        <f t="shared" si="118"/>
        <v>521.77</v>
      </c>
      <c r="M268" s="2"/>
      <c r="N268" s="7">
        <f t="shared" si="119"/>
        <v>1.9429156581642151</v>
      </c>
      <c r="O268" s="11"/>
      <c r="P268" s="6">
        <v>1423.36</v>
      </c>
      <c r="Q268" s="2"/>
      <c r="R268" s="7">
        <f t="shared" si="120"/>
        <v>3.3381822375355057E-4</v>
      </c>
      <c r="S268" s="2"/>
      <c r="T268" s="6">
        <v>-3822.6</v>
      </c>
      <c r="U268" s="2"/>
      <c r="V268" s="7">
        <f t="shared" si="121"/>
        <v>-2.8405183968515437E-4</v>
      </c>
      <c r="W268" s="2"/>
      <c r="X268" s="6">
        <f t="shared" si="122"/>
        <v>5245.96</v>
      </c>
      <c r="Y268" s="2"/>
      <c r="Z268" s="7">
        <f t="shared" si="123"/>
        <v>-1.3723538952545389</v>
      </c>
    </row>
    <row r="269" spans="1:26" s="24" customFormat="1" hidden="1" outlineLevel="2" x14ac:dyDescent="0.25">
      <c r="A269" s="28"/>
      <c r="B269" s="11" t="str">
        <f>CONCATENATE("          ", "6275", " - ", "SUBSCRIPTIONS")</f>
        <v xml:space="preserve">          6275 - SUBSCRIPTIONS</v>
      </c>
      <c r="C269" s="11"/>
      <c r="D269" s="6">
        <v>205.67</v>
      </c>
      <c r="E269" s="2"/>
      <c r="F269" s="7">
        <f t="shared" si="116"/>
        <v>3.0237559718518842E-4</v>
      </c>
      <c r="G269" s="2"/>
      <c r="H269" s="6">
        <v>644.82000000000005</v>
      </c>
      <c r="I269" s="2"/>
      <c r="J269" s="7">
        <f t="shared" si="117"/>
        <v>1.7317910930000126E-4</v>
      </c>
      <c r="K269" s="2"/>
      <c r="L269" s="6">
        <f t="shared" si="118"/>
        <v>-439.15000000000009</v>
      </c>
      <c r="M269" s="2"/>
      <c r="N269" s="7">
        <f t="shared" si="119"/>
        <v>-0.68104277162619031</v>
      </c>
      <c r="O269" s="11"/>
      <c r="P269" s="6">
        <v>497.06</v>
      </c>
      <c r="Q269" s="2"/>
      <c r="R269" s="7">
        <f t="shared" si="120"/>
        <v>1.1657464471317155E-4</v>
      </c>
      <c r="S269" s="2"/>
      <c r="T269" s="6">
        <v>3267</v>
      </c>
      <c r="U269" s="2"/>
      <c r="V269" s="7">
        <f t="shared" si="121"/>
        <v>2.4276601272730584E-4</v>
      </c>
      <c r="W269" s="2"/>
      <c r="X269" s="6">
        <f t="shared" si="122"/>
        <v>-2769.94</v>
      </c>
      <c r="Y269" s="2"/>
      <c r="Z269" s="7">
        <f t="shared" si="123"/>
        <v>-0.84785430058157329</v>
      </c>
    </row>
    <row r="270" spans="1:26" s="29" customFormat="1" outlineLevel="1" collapsed="1" x14ac:dyDescent="0.25">
      <c r="A270" s="27"/>
      <c r="B270" s="14" t="str">
        <f>CONCATENATE("     ","Supplies                                          ")</f>
        <v xml:space="preserve">     Supplies                                          </v>
      </c>
      <c r="C270" s="14"/>
      <c r="D270" s="1">
        <f>SUM(OSRRefD22_22x_0)</f>
        <v>55339.390000000007</v>
      </c>
      <c r="E270" s="1"/>
      <c r="F270" s="5">
        <f t="shared" ref="F270:F279" si="124">IF(D$12=0,0,D270/D$12)</f>
        <v>8.1359853644741797E-2</v>
      </c>
      <c r="G270" s="1"/>
      <c r="H270" s="1">
        <f>SUM(OSRRefH22_22x_0)</f>
        <v>73017.570000000007</v>
      </c>
      <c r="I270" s="1"/>
      <c r="J270" s="5">
        <f t="shared" ref="J270:J279" si="125">IF(H$12=0,0,H270/H$12)</f>
        <v>1.9610306342623514E-2</v>
      </c>
      <c r="K270" s="1"/>
      <c r="L270" s="1">
        <f t="shared" ref="L270:L279" si="126">+D270-H270</f>
        <v>-17678.18</v>
      </c>
      <c r="M270" s="1"/>
      <c r="N270" s="5">
        <f t="shared" ref="N270:N279" si="127">IF(H270=0,0,L270/H270)</f>
        <v>-0.24210857742869282</v>
      </c>
      <c r="O270" s="14"/>
      <c r="P270" s="1">
        <f>SUM(OSRRefP22_22x_0)</f>
        <v>133459.46</v>
      </c>
      <c r="Q270" s="1"/>
      <c r="R270" s="5">
        <f t="shared" ref="R270:R279" si="128">IF(P$12=0,0,P270/P$12)</f>
        <v>3.1300022397923247E-2</v>
      </c>
      <c r="S270" s="1"/>
      <c r="T270" s="1">
        <f>SUM(OSRRefT22_22x_0)</f>
        <v>286828.20999999996</v>
      </c>
      <c r="U270" s="1"/>
      <c r="V270" s="5">
        <f t="shared" ref="V270:V279" si="129">IF(T$12=0,0,T270/T$12)</f>
        <v>2.1313786617511585E-2</v>
      </c>
      <c r="W270" s="1"/>
      <c r="X270" s="1">
        <f t="shared" ref="X270:X279" si="130">+P270-T270</f>
        <v>-153368.74999999997</v>
      </c>
      <c r="Y270" s="1"/>
      <c r="Z270" s="5">
        <f t="shared" ref="Z270:Z279" si="131">IF(T270=0,0,X270/T270)</f>
        <v>-0.53470594820502482</v>
      </c>
    </row>
    <row r="271" spans="1:26" s="24" customFormat="1" hidden="1" outlineLevel="2" x14ac:dyDescent="0.25">
      <c r="A271" s="28"/>
      <c r="B271" s="11" t="str">
        <f>CONCATENATE("          ", "6234", " - ", "EXPENDABLE SUPPLIES &amp; EQUIPMEN")</f>
        <v xml:space="preserve">          6234 - EXPENDABLE SUPPLIES &amp; EQUIPMEN</v>
      </c>
      <c r="C271" s="11"/>
      <c r="D271" s="6">
        <v>156.47</v>
      </c>
      <c r="E271" s="2"/>
      <c r="F271" s="7">
        <f t="shared" si="124"/>
        <v>2.300418616792261E-4</v>
      </c>
      <c r="G271" s="2"/>
      <c r="H271" s="6">
        <v>4076.8</v>
      </c>
      <c r="I271" s="2"/>
      <c r="J271" s="7">
        <f t="shared" si="125"/>
        <v>1.0949049235356302E-3</v>
      </c>
      <c r="K271" s="2"/>
      <c r="L271" s="6">
        <f t="shared" si="126"/>
        <v>-3920.3300000000004</v>
      </c>
      <c r="M271" s="2"/>
      <c r="N271" s="7">
        <f t="shared" si="127"/>
        <v>-0.96161940737833596</v>
      </c>
      <c r="O271" s="11"/>
      <c r="P271" s="6">
        <v>728.92</v>
      </c>
      <c r="Q271" s="2"/>
      <c r="R271" s="7">
        <f t="shared" si="128"/>
        <v>1.7095238004330462E-4</v>
      </c>
      <c r="S271" s="2"/>
      <c r="T271" s="6">
        <v>14940.5</v>
      </c>
      <c r="U271" s="2"/>
      <c r="V271" s="7">
        <f t="shared" si="129"/>
        <v>1.1102067992507846E-3</v>
      </c>
      <c r="W271" s="2"/>
      <c r="X271" s="6">
        <f t="shared" si="130"/>
        <v>-14211.58</v>
      </c>
      <c r="Y271" s="2"/>
      <c r="Z271" s="7">
        <f t="shared" si="131"/>
        <v>-0.95121180683377393</v>
      </c>
    </row>
    <row r="272" spans="1:26" s="24" customFormat="1" hidden="1" outlineLevel="2" x14ac:dyDescent="0.25">
      <c r="A272" s="28"/>
      <c r="B272" s="11" t="str">
        <f>CONCATENATE("          ", "6235", " - ", "COVID-19 EXPENSES")</f>
        <v xml:space="preserve">          6235 - COVID-19 EXPENSES</v>
      </c>
      <c r="C272" s="11"/>
      <c r="D272" s="6">
        <v>36232.67</v>
      </c>
      <c r="E272" s="2"/>
      <c r="F272" s="7">
        <f t="shared" si="124"/>
        <v>5.3269194480788935E-2</v>
      </c>
      <c r="G272" s="2"/>
      <c r="H272" s="6"/>
      <c r="I272" s="2"/>
      <c r="J272" s="7">
        <f t="shared" si="125"/>
        <v>0</v>
      </c>
      <c r="K272" s="2"/>
      <c r="L272" s="6">
        <f t="shared" si="126"/>
        <v>36232.67</v>
      </c>
      <c r="M272" s="2"/>
      <c r="N272" s="7">
        <f t="shared" si="127"/>
        <v>0</v>
      </c>
      <c r="O272" s="11"/>
      <c r="P272" s="6">
        <v>64743.689999999995</v>
      </c>
      <c r="Q272" s="2"/>
      <c r="R272" s="7">
        <f t="shared" si="128"/>
        <v>1.518422858240397E-2</v>
      </c>
      <c r="S272" s="2"/>
      <c r="T272" s="6"/>
      <c r="U272" s="2"/>
      <c r="V272" s="7">
        <f t="shared" si="129"/>
        <v>0</v>
      </c>
      <c r="W272" s="2"/>
      <c r="X272" s="6">
        <f t="shared" si="130"/>
        <v>64743.689999999995</v>
      </c>
      <c r="Y272" s="2"/>
      <c r="Z272" s="7">
        <f t="shared" si="131"/>
        <v>0</v>
      </c>
    </row>
    <row r="273" spans="1:26" s="24" customFormat="1" hidden="1" outlineLevel="2" x14ac:dyDescent="0.25">
      <c r="A273" s="28"/>
      <c r="B273" s="11" t="str">
        <f>CONCATENATE("          ", "6237", " - ", "JANITORIAL SUPPLIES")</f>
        <v xml:space="preserve">          6237 - JANITORIAL SUPPLIES</v>
      </c>
      <c r="C273" s="11"/>
      <c r="D273" s="6">
        <v>3175.55</v>
      </c>
      <c r="E273" s="2"/>
      <c r="F273" s="7">
        <f t="shared" si="124"/>
        <v>4.6686868655682655E-3</v>
      </c>
      <c r="G273" s="2"/>
      <c r="H273" s="6">
        <v>23016.94</v>
      </c>
      <c r="I273" s="2"/>
      <c r="J273" s="7">
        <f t="shared" si="125"/>
        <v>6.1816525045928642E-3</v>
      </c>
      <c r="K273" s="2"/>
      <c r="L273" s="6">
        <f t="shared" si="126"/>
        <v>-19841.39</v>
      </c>
      <c r="M273" s="2"/>
      <c r="N273" s="7">
        <f t="shared" si="127"/>
        <v>-0.86203422348930836</v>
      </c>
      <c r="O273" s="11"/>
      <c r="P273" s="6">
        <v>9726.14</v>
      </c>
      <c r="Q273" s="2"/>
      <c r="R273" s="7">
        <f t="shared" si="128"/>
        <v>2.2810552346408204E-3</v>
      </c>
      <c r="S273" s="2"/>
      <c r="T273" s="6">
        <v>60518.360000000008</v>
      </c>
      <c r="U273" s="2"/>
      <c r="V273" s="7">
        <f t="shared" si="129"/>
        <v>4.4970312072224296E-3</v>
      </c>
      <c r="W273" s="2"/>
      <c r="X273" s="6">
        <f t="shared" si="130"/>
        <v>-50792.220000000008</v>
      </c>
      <c r="Y273" s="2"/>
      <c r="Z273" s="7">
        <f t="shared" si="131"/>
        <v>-0.83928612738349162</v>
      </c>
    </row>
    <row r="274" spans="1:26" s="24" customFormat="1" hidden="1" outlineLevel="2" x14ac:dyDescent="0.25">
      <c r="A274" s="28"/>
      <c r="B274" s="11" t="str">
        <f>CONCATENATE("          ", "6239", " - ", "KITCHEN SUPPLIES")</f>
        <v xml:space="preserve">          6239 - KITCHEN SUPPLIES</v>
      </c>
      <c r="C274" s="11"/>
      <c r="D274" s="6">
        <v>1264.19</v>
      </c>
      <c r="E274" s="2"/>
      <c r="F274" s="7">
        <f t="shared" si="124"/>
        <v>1.8586094530341974E-3</v>
      </c>
      <c r="G274" s="2"/>
      <c r="H274" s="6">
        <v>13696.84</v>
      </c>
      <c r="I274" s="2"/>
      <c r="J274" s="7">
        <f t="shared" si="125"/>
        <v>3.6785561108908364E-3</v>
      </c>
      <c r="K274" s="2"/>
      <c r="L274" s="6">
        <f t="shared" si="126"/>
        <v>-12432.65</v>
      </c>
      <c r="M274" s="2"/>
      <c r="N274" s="7">
        <f t="shared" si="127"/>
        <v>-0.90770206850631241</v>
      </c>
      <c r="O274" s="11"/>
      <c r="P274" s="6">
        <v>4191.51</v>
      </c>
      <c r="Q274" s="2"/>
      <c r="R274" s="7">
        <f t="shared" si="128"/>
        <v>9.8302778147850499E-4</v>
      </c>
      <c r="S274" s="2"/>
      <c r="T274" s="6">
        <v>46871.97</v>
      </c>
      <c r="U274" s="2"/>
      <c r="V274" s="7">
        <f t="shared" si="129"/>
        <v>3.4829878376412297E-3</v>
      </c>
      <c r="W274" s="2"/>
      <c r="X274" s="6">
        <f t="shared" si="130"/>
        <v>-42680.46</v>
      </c>
      <c r="Y274" s="2"/>
      <c r="Z274" s="7">
        <f t="shared" si="131"/>
        <v>-0.91057533958995107</v>
      </c>
    </row>
    <row r="275" spans="1:26" s="24" customFormat="1" hidden="1" outlineLevel="2" x14ac:dyDescent="0.25">
      <c r="A275" s="28"/>
      <c r="B275" s="11" t="str">
        <f>CONCATENATE("          ", "6241", " - ", "OFFICE EXPENSE")</f>
        <v xml:space="preserve">          6241 - OFFICE EXPENSE</v>
      </c>
      <c r="C275" s="11"/>
      <c r="D275" s="6">
        <v>6973.77</v>
      </c>
      <c r="E275" s="2"/>
      <c r="F275" s="7">
        <f t="shared" si="124"/>
        <v>1.0252821842671034E-2</v>
      </c>
      <c r="G275" s="2"/>
      <c r="H275" s="6">
        <v>6576.85</v>
      </c>
      <c r="I275" s="2"/>
      <c r="J275" s="7">
        <f t="shared" si="125"/>
        <v>1.7663425839764791E-3</v>
      </c>
      <c r="K275" s="2"/>
      <c r="L275" s="6">
        <f t="shared" si="126"/>
        <v>396.92000000000007</v>
      </c>
      <c r="M275" s="2"/>
      <c r="N275" s="7">
        <f t="shared" si="127"/>
        <v>6.035107992427987E-2</v>
      </c>
      <c r="O275" s="11"/>
      <c r="P275" s="6">
        <v>22300.66</v>
      </c>
      <c r="Q275" s="2"/>
      <c r="R275" s="7">
        <f t="shared" si="128"/>
        <v>5.2301362337931765E-3</v>
      </c>
      <c r="S275" s="2"/>
      <c r="T275" s="6">
        <v>67766.01999999999</v>
      </c>
      <c r="U275" s="2"/>
      <c r="V275" s="7">
        <f t="shared" si="129"/>
        <v>5.035594268074337E-3</v>
      </c>
      <c r="W275" s="2"/>
      <c r="X275" s="6">
        <f t="shared" si="130"/>
        <v>-45465.359999999986</v>
      </c>
      <c r="Y275" s="2"/>
      <c r="Z275" s="7">
        <f t="shared" si="131"/>
        <v>-0.6709167810061738</v>
      </c>
    </row>
    <row r="276" spans="1:26" s="24" customFormat="1" hidden="1" outlineLevel="2" x14ac:dyDescent="0.25">
      <c r="A276" s="28"/>
      <c r="B276" s="11" t="str">
        <f>CONCATENATE("          ", "6243", " - ", "PAPER SUPPLIES")</f>
        <v xml:space="preserve">          6243 - PAPER SUPPLIES</v>
      </c>
      <c r="C276" s="11"/>
      <c r="D276" s="6">
        <v>3081.65</v>
      </c>
      <c r="E276" s="2"/>
      <c r="F276" s="7">
        <f t="shared" si="124"/>
        <v>4.5306352849989592E-3</v>
      </c>
      <c r="G276" s="2"/>
      <c r="H276" s="6">
        <v>19854.54</v>
      </c>
      <c r="I276" s="2"/>
      <c r="J276" s="7">
        <f t="shared" si="125"/>
        <v>5.3323277081375377E-3</v>
      </c>
      <c r="K276" s="2"/>
      <c r="L276" s="6">
        <f t="shared" si="126"/>
        <v>-16772.89</v>
      </c>
      <c r="M276" s="2"/>
      <c r="N276" s="7">
        <f t="shared" si="127"/>
        <v>-0.84478864783570906</v>
      </c>
      <c r="O276" s="11"/>
      <c r="P276" s="6">
        <v>9866.51</v>
      </c>
      <c r="Q276" s="2"/>
      <c r="R276" s="7">
        <f t="shared" si="128"/>
        <v>2.3139759743470694E-3</v>
      </c>
      <c r="S276" s="2"/>
      <c r="T276" s="6">
        <v>50330.239999999998</v>
      </c>
      <c r="U276" s="2"/>
      <c r="V276" s="7">
        <f t="shared" si="129"/>
        <v>3.7399668455489307E-3</v>
      </c>
      <c r="W276" s="2"/>
      <c r="X276" s="6">
        <f t="shared" si="130"/>
        <v>-40463.729999999996</v>
      </c>
      <c r="Y276" s="2"/>
      <c r="Z276" s="7">
        <f t="shared" si="131"/>
        <v>-0.80396457477651606</v>
      </c>
    </row>
    <row r="277" spans="1:26" s="24" customFormat="1" hidden="1" outlineLevel="2" x14ac:dyDescent="0.25">
      <c r="A277" s="28"/>
      <c r="B277" s="11" t="str">
        <f>CONCATENATE("          ", "6245", " - ", "PRINTING")</f>
        <v xml:space="preserve">          6245 - PRINTING</v>
      </c>
      <c r="C277" s="11"/>
      <c r="D277" s="6">
        <v>353.09</v>
      </c>
      <c r="E277" s="2"/>
      <c r="F277" s="7">
        <f t="shared" si="124"/>
        <v>5.1911216808537056E-4</v>
      </c>
      <c r="G277" s="2"/>
      <c r="H277" s="6">
        <v>100.16</v>
      </c>
      <c r="I277" s="2"/>
      <c r="J277" s="7">
        <f t="shared" si="125"/>
        <v>2.6899940429093585E-5</v>
      </c>
      <c r="K277" s="2"/>
      <c r="L277" s="6">
        <f t="shared" si="126"/>
        <v>252.92999999999998</v>
      </c>
      <c r="M277" s="2"/>
      <c r="N277" s="7">
        <f t="shared" si="127"/>
        <v>2.5252595846645365</v>
      </c>
      <c r="O277" s="11"/>
      <c r="P277" s="6">
        <v>414.55</v>
      </c>
      <c r="Q277" s="2"/>
      <c r="R277" s="7">
        <f t="shared" si="128"/>
        <v>9.7223713366284285E-5</v>
      </c>
      <c r="S277" s="2"/>
      <c r="T277" s="6">
        <v>7018.73</v>
      </c>
      <c r="U277" s="2"/>
      <c r="V277" s="7">
        <f t="shared" si="129"/>
        <v>5.2155160591047542E-4</v>
      </c>
      <c r="W277" s="2"/>
      <c r="X277" s="6">
        <f t="shared" si="130"/>
        <v>-6604.1799999999994</v>
      </c>
      <c r="Y277" s="2"/>
      <c r="Z277" s="7">
        <f t="shared" si="131"/>
        <v>-0.94093660818980074</v>
      </c>
    </row>
    <row r="278" spans="1:26" s="24" customFormat="1" hidden="1" outlineLevel="2" x14ac:dyDescent="0.25">
      <c r="A278" s="28"/>
      <c r="B278" s="11" t="str">
        <f>CONCATENATE("          ", "6247", " - ", "STORE SUPPLIES")</f>
        <v xml:space="preserve">          6247 - STORE SUPPLIES</v>
      </c>
      <c r="C278" s="11"/>
      <c r="D278" s="6">
        <v>4102</v>
      </c>
      <c r="E278" s="2"/>
      <c r="F278" s="7">
        <f t="shared" si="124"/>
        <v>6.0307516879158016E-3</v>
      </c>
      <c r="G278" s="2"/>
      <c r="H278" s="6">
        <v>5556.03</v>
      </c>
      <c r="I278" s="2"/>
      <c r="J278" s="7">
        <f t="shared" si="125"/>
        <v>1.4921812701902638E-3</v>
      </c>
      <c r="K278" s="2"/>
      <c r="L278" s="6">
        <f t="shared" si="126"/>
        <v>-1454.0299999999997</v>
      </c>
      <c r="M278" s="2"/>
      <c r="N278" s="7">
        <f t="shared" si="127"/>
        <v>-0.26170305055948218</v>
      </c>
      <c r="O278" s="11"/>
      <c r="P278" s="6">
        <v>17672.8</v>
      </c>
      <c r="Q278" s="2"/>
      <c r="R278" s="7">
        <f t="shared" si="128"/>
        <v>4.1447720216612445E-3</v>
      </c>
      <c r="S278" s="2"/>
      <c r="T278" s="6">
        <v>40354.899999999994</v>
      </c>
      <c r="U278" s="2"/>
      <c r="V278" s="7">
        <f t="shared" si="129"/>
        <v>2.9987138558338392E-3</v>
      </c>
      <c r="W278" s="2"/>
      <c r="X278" s="6">
        <f t="shared" si="130"/>
        <v>-22682.099999999995</v>
      </c>
      <c r="Y278" s="2"/>
      <c r="Z278" s="7">
        <f t="shared" si="131"/>
        <v>-0.56206557320176731</v>
      </c>
    </row>
    <row r="279" spans="1:26" s="24" customFormat="1" hidden="1" outlineLevel="2" x14ac:dyDescent="0.25">
      <c r="A279" s="28"/>
      <c r="B279" s="11" t="str">
        <f>CONCATENATE("          ", "6248", " - ", "UNIFORMS")</f>
        <v xml:space="preserve">          6248 - UNIFORMS</v>
      </c>
      <c r="C279" s="11"/>
      <c r="D279" s="6"/>
      <c r="E279" s="2"/>
      <c r="F279" s="7">
        <f t="shared" si="124"/>
        <v>0</v>
      </c>
      <c r="G279" s="2"/>
      <c r="H279" s="6">
        <v>139.41</v>
      </c>
      <c r="I279" s="2"/>
      <c r="J279" s="7">
        <f t="shared" si="125"/>
        <v>3.7441300870806076E-5</v>
      </c>
      <c r="K279" s="2"/>
      <c r="L279" s="6">
        <f t="shared" si="126"/>
        <v>-139.41</v>
      </c>
      <c r="M279" s="2"/>
      <c r="N279" s="7">
        <f t="shared" si="127"/>
        <v>-1</v>
      </c>
      <c r="O279" s="11"/>
      <c r="P279" s="6">
        <v>3814.68</v>
      </c>
      <c r="Q279" s="2"/>
      <c r="R279" s="7">
        <f t="shared" si="128"/>
        <v>8.9465047618887304E-4</v>
      </c>
      <c r="S279" s="2"/>
      <c r="T279" s="6">
        <v>-972.51</v>
      </c>
      <c r="U279" s="2"/>
      <c r="V279" s="7">
        <f t="shared" si="129"/>
        <v>-7.2265801970441444E-5</v>
      </c>
      <c r="W279" s="2"/>
      <c r="X279" s="6">
        <f t="shared" si="130"/>
        <v>4787.1899999999996</v>
      </c>
      <c r="Y279" s="2"/>
      <c r="Z279" s="7">
        <f t="shared" si="131"/>
        <v>-4.9225097942437603</v>
      </c>
    </row>
    <row r="280" spans="1:26" s="29" customFormat="1" outlineLevel="1" collapsed="1" x14ac:dyDescent="0.25">
      <c r="A280" s="27"/>
      <c r="B280" s="14" t="str">
        <f>CONCATENATE("     ","Telephone/Data Lines                              ")</f>
        <v xml:space="preserve">     Telephone/Data Lines                              </v>
      </c>
      <c r="C280" s="14"/>
      <c r="D280" s="1">
        <f>SUM(OSRRefD22_23x_0)</f>
        <v>3403.26</v>
      </c>
      <c r="E280" s="1"/>
      <c r="F280" s="5">
        <f t="shared" ref="F280:F282" si="132">IF(D$12=0,0,D280/D$12)</f>
        <v>5.0034656239435231E-3</v>
      </c>
      <c r="G280" s="1"/>
      <c r="H280" s="1">
        <f>SUM(OSRRefH22_23x_0)</f>
        <v>4613.55</v>
      </c>
      <c r="I280" s="1"/>
      <c r="J280" s="5">
        <f t="shared" ref="J280:J282" si="133">IF(H$12=0,0,H280/H$12)</f>
        <v>1.2390597061366286E-3</v>
      </c>
      <c r="K280" s="1"/>
      <c r="L280" s="1">
        <f t="shared" ref="L280:L282" si="134">+D280-H280</f>
        <v>-1210.29</v>
      </c>
      <c r="M280" s="1"/>
      <c r="N280" s="5">
        <f t="shared" ref="N280:N282" si="135">IF(H280=0,0,L280/H280)</f>
        <v>-0.26233377767662647</v>
      </c>
      <c r="O280" s="14"/>
      <c r="P280" s="1">
        <f>SUM(OSRRefP22_23x_0)</f>
        <v>21305.329999999998</v>
      </c>
      <c r="Q280" s="1"/>
      <c r="R280" s="5">
        <f t="shared" ref="R280:R282" si="136">IF(P$12=0,0,P280/P$12)</f>
        <v>4.9967031651045645E-3</v>
      </c>
      <c r="S280" s="1"/>
      <c r="T280" s="1">
        <f>SUM(OSRRefT22_23x_0)</f>
        <v>23577.52</v>
      </c>
      <c r="U280" s="1"/>
      <c r="V280" s="5">
        <f t="shared" ref="V280:V282" si="137">IF(T$12=0,0,T280/T$12)</f>
        <v>1.752011178573097E-3</v>
      </c>
      <c r="W280" s="1"/>
      <c r="X280" s="1">
        <f t="shared" ref="X280:X282" si="138">+P280-T280</f>
        <v>-2272.1900000000023</v>
      </c>
      <c r="Y280" s="1"/>
      <c r="Z280" s="5">
        <f t="shared" ref="Z280:Z282" si="139">IF(T280=0,0,X280/T280)</f>
        <v>-9.6371034782284246E-2</v>
      </c>
    </row>
    <row r="281" spans="1:26" s="24" customFormat="1" hidden="1" outlineLevel="2" x14ac:dyDescent="0.25">
      <c r="A281" s="28"/>
      <c r="B281" s="11" t="str">
        <f>CONCATENATE("          ", "6303", " - ", "DATA PHONE LINES")</f>
        <v xml:space="preserve">          6303 - DATA PHONE LINES</v>
      </c>
      <c r="C281" s="11"/>
      <c r="D281" s="6"/>
      <c r="E281" s="2"/>
      <c r="F281" s="7">
        <f t="shared" si="132"/>
        <v>0</v>
      </c>
      <c r="G281" s="2"/>
      <c r="H281" s="6">
        <v>295</v>
      </c>
      <c r="I281" s="2"/>
      <c r="J281" s="7">
        <f t="shared" si="133"/>
        <v>7.9228059370832748E-5</v>
      </c>
      <c r="K281" s="2"/>
      <c r="L281" s="6">
        <f t="shared" si="134"/>
        <v>-295</v>
      </c>
      <c r="M281" s="2"/>
      <c r="N281" s="7">
        <f t="shared" si="135"/>
        <v>-1</v>
      </c>
      <c r="O281" s="11"/>
      <c r="P281" s="6">
        <v>1180</v>
      </c>
      <c r="Q281" s="2"/>
      <c r="R281" s="7">
        <f t="shared" si="136"/>
        <v>2.7674341279029178E-4</v>
      </c>
      <c r="S281" s="2"/>
      <c r="T281" s="6">
        <v>1180</v>
      </c>
      <c r="U281" s="2"/>
      <c r="V281" s="7">
        <f t="shared" si="137"/>
        <v>8.7684081731931711E-5</v>
      </c>
      <c r="W281" s="2"/>
      <c r="X281" s="6">
        <f t="shared" si="138"/>
        <v>0</v>
      </c>
      <c r="Y281" s="2"/>
      <c r="Z281" s="7">
        <f t="shared" si="139"/>
        <v>0</v>
      </c>
    </row>
    <row r="282" spans="1:26" s="24" customFormat="1" hidden="1" outlineLevel="2" x14ac:dyDescent="0.25">
      <c r="A282" s="28"/>
      <c r="B282" s="11" t="str">
        <f>CONCATENATE("          ", "6309", " - ", "TELEPHONE")</f>
        <v xml:space="preserve">          6309 - TELEPHONE</v>
      </c>
      <c r="C282" s="11"/>
      <c r="D282" s="6">
        <v>3403.26</v>
      </c>
      <c r="E282" s="2"/>
      <c r="F282" s="7">
        <f t="shared" si="132"/>
        <v>5.0034656239435231E-3</v>
      </c>
      <c r="G282" s="2"/>
      <c r="H282" s="6">
        <v>4318.55</v>
      </c>
      <c r="I282" s="2"/>
      <c r="J282" s="7">
        <f t="shared" si="133"/>
        <v>1.1598316467657957E-3</v>
      </c>
      <c r="K282" s="2"/>
      <c r="L282" s="6">
        <f t="shared" si="134"/>
        <v>-915.29</v>
      </c>
      <c r="M282" s="2"/>
      <c r="N282" s="7">
        <f t="shared" si="135"/>
        <v>-0.21194382373713397</v>
      </c>
      <c r="O282" s="11"/>
      <c r="P282" s="6">
        <v>20125.329999999998</v>
      </c>
      <c r="Q282" s="2"/>
      <c r="R282" s="7">
        <f t="shared" si="136"/>
        <v>4.7199597523142726E-3</v>
      </c>
      <c r="S282" s="2"/>
      <c r="T282" s="6">
        <v>22397.52</v>
      </c>
      <c r="U282" s="2"/>
      <c r="V282" s="7">
        <f t="shared" si="137"/>
        <v>1.6643270968411655E-3</v>
      </c>
      <c r="W282" s="2"/>
      <c r="X282" s="6">
        <f t="shared" si="138"/>
        <v>-2272.1900000000023</v>
      </c>
      <c r="Y282" s="2"/>
      <c r="Z282" s="7">
        <f t="shared" si="139"/>
        <v>-0.10144828534587769</v>
      </c>
    </row>
    <row r="283" spans="1:26" s="29" customFormat="1" outlineLevel="1" collapsed="1" x14ac:dyDescent="0.25">
      <c r="A283" s="27"/>
      <c r="B283" s="14" t="str">
        <f>CONCATENATE("     ","Training                                          ")</f>
        <v xml:space="preserve">     Training                                          </v>
      </c>
      <c r="C283" s="14"/>
      <c r="D283" s="1">
        <f>SUM(OSRRefD22_24x_0)</f>
        <v>499</v>
      </c>
      <c r="E283" s="1"/>
      <c r="F283" s="5">
        <f t="shared" ref="F283:F288" si="140">IF(D$12=0,0,D283/D$12)</f>
        <v>7.3362874019258534E-4</v>
      </c>
      <c r="G283" s="1"/>
      <c r="H283" s="1">
        <f>SUM(OSRRefH22_24x_0)</f>
        <v>3373.47</v>
      </c>
      <c r="I283" s="1"/>
      <c r="J283" s="5">
        <f t="shared" ref="J283:J288" si="141">IF(H$12=0,0,H283/H$12)</f>
        <v>9.0601180151092585E-4</v>
      </c>
      <c r="K283" s="1"/>
      <c r="L283" s="1">
        <f t="shared" ref="L283:L288" si="142">+D283-H283</f>
        <v>-2874.47</v>
      </c>
      <c r="M283" s="1"/>
      <c r="N283" s="5">
        <f t="shared" ref="N283:N288" si="143">IF(H283=0,0,L283/H283)</f>
        <v>-0.85208109157632939</v>
      </c>
      <c r="O283" s="14"/>
      <c r="P283" s="1">
        <f>SUM(OSRRefP22_24x_0)</f>
        <v>980.63</v>
      </c>
      <c r="Q283" s="1"/>
      <c r="R283" s="5">
        <f t="shared" ref="R283:R288" si="144">IF(P$12=0,0,P283/P$12)</f>
        <v>2.2998550244452865E-4</v>
      </c>
      <c r="S283" s="1"/>
      <c r="T283" s="1">
        <f>SUM(OSRRefT22_24x_0)</f>
        <v>10856.53</v>
      </c>
      <c r="U283" s="1"/>
      <c r="V283" s="5">
        <f t="shared" ref="V283:V288" si="145">IF(T$12=0,0,T283/T$12)</f>
        <v>8.0673293546200734E-4</v>
      </c>
      <c r="W283" s="1"/>
      <c r="X283" s="1">
        <f t="shared" ref="X283:X288" si="146">+P283-T283</f>
        <v>-9875.9000000000015</v>
      </c>
      <c r="Y283" s="1"/>
      <c r="Z283" s="5">
        <f t="shared" ref="Z283:Z288" si="147">IF(T283=0,0,X283/T283)</f>
        <v>-0.90967371710850531</v>
      </c>
    </row>
    <row r="284" spans="1:26" s="24" customFormat="1" hidden="1" outlineLevel="2" x14ac:dyDescent="0.25">
      <c r="A284" s="28"/>
      <c r="B284" s="11" t="str">
        <f>CONCATENATE("          ", "6376", " - ", "TRAINING")</f>
        <v xml:space="preserve">          6376 - TRAINING</v>
      </c>
      <c r="C284" s="11"/>
      <c r="D284" s="6">
        <v>499</v>
      </c>
      <c r="E284" s="2"/>
      <c r="F284" s="7">
        <f t="shared" si="140"/>
        <v>7.3362874019258534E-4</v>
      </c>
      <c r="G284" s="2"/>
      <c r="H284" s="6">
        <v>3373.47</v>
      </c>
      <c r="I284" s="2"/>
      <c r="J284" s="7">
        <f t="shared" si="141"/>
        <v>9.0601180151092585E-4</v>
      </c>
      <c r="K284" s="2"/>
      <c r="L284" s="6">
        <f t="shared" si="142"/>
        <v>-2874.47</v>
      </c>
      <c r="M284" s="2"/>
      <c r="N284" s="7">
        <f t="shared" si="143"/>
        <v>-0.85208109157632939</v>
      </c>
      <c r="O284" s="11"/>
      <c r="P284" s="6">
        <v>980.63</v>
      </c>
      <c r="Q284" s="2"/>
      <c r="R284" s="7">
        <f t="shared" si="144"/>
        <v>2.2998550244452865E-4</v>
      </c>
      <c r="S284" s="2"/>
      <c r="T284" s="6">
        <v>10856.53</v>
      </c>
      <c r="U284" s="2"/>
      <c r="V284" s="7">
        <f t="shared" si="145"/>
        <v>8.0673293546200734E-4</v>
      </c>
      <c r="W284" s="2"/>
      <c r="X284" s="6">
        <f t="shared" si="146"/>
        <v>-9875.9000000000015</v>
      </c>
      <c r="Y284" s="2"/>
      <c r="Z284" s="7">
        <f t="shared" si="147"/>
        <v>-0.90967371710850531</v>
      </c>
    </row>
    <row r="285" spans="1:26" s="29" customFormat="1" outlineLevel="1" collapsed="1" x14ac:dyDescent="0.25">
      <c r="A285" s="27"/>
      <c r="B285" s="14" t="str">
        <f>CONCATENATE("     ","Travel                                            ")</f>
        <v xml:space="preserve">     Travel                                            </v>
      </c>
      <c r="C285" s="14"/>
      <c r="D285" s="1">
        <f>SUM(OSRRefD22_25x_0)</f>
        <v>80.959999999999994</v>
      </c>
      <c r="E285" s="1"/>
      <c r="F285" s="5">
        <f t="shared" si="140"/>
        <v>1.1902722005208758E-4</v>
      </c>
      <c r="G285" s="1"/>
      <c r="H285" s="1">
        <f>SUM(OSRRefH22_25x_0)</f>
        <v>924.51</v>
      </c>
      <c r="I285" s="1"/>
      <c r="J285" s="5">
        <f t="shared" si="141"/>
        <v>2.4829536667433417E-4</v>
      </c>
      <c r="K285" s="1"/>
      <c r="L285" s="1">
        <f t="shared" si="142"/>
        <v>-843.55</v>
      </c>
      <c r="M285" s="1"/>
      <c r="N285" s="5">
        <f t="shared" si="143"/>
        <v>-0.91242928686547464</v>
      </c>
      <c r="O285" s="14"/>
      <c r="P285" s="1">
        <f>SUM(OSRRefP22_25x_0)</f>
        <v>714.1400000000001</v>
      </c>
      <c r="Q285" s="1"/>
      <c r="R285" s="5">
        <f t="shared" si="144"/>
        <v>1.6748605153394831E-4</v>
      </c>
      <c r="S285" s="1"/>
      <c r="T285" s="1">
        <f>SUM(OSRRefT22_25x_0)</f>
        <v>4327.96</v>
      </c>
      <c r="U285" s="1"/>
      <c r="V285" s="5">
        <f t="shared" si="145"/>
        <v>3.2160440540045015E-4</v>
      </c>
      <c r="W285" s="1"/>
      <c r="X285" s="1">
        <f t="shared" si="146"/>
        <v>-3613.8199999999997</v>
      </c>
      <c r="Y285" s="1"/>
      <c r="Z285" s="5">
        <f t="shared" si="147"/>
        <v>-0.83499385391731895</v>
      </c>
    </row>
    <row r="286" spans="1:26" s="24" customFormat="1" hidden="1" outlineLevel="2" x14ac:dyDescent="0.25">
      <c r="A286" s="28"/>
      <c r="B286" s="11" t="str">
        <f>CONCATENATE("          ", "6292", " - ", "TRAVEL/CONFERENCE")</f>
        <v xml:space="preserve">          6292 - TRAVEL/CONFERENCE</v>
      </c>
      <c r="C286" s="11"/>
      <c r="D286" s="6"/>
      <c r="E286" s="2"/>
      <c r="F286" s="7">
        <f t="shared" si="140"/>
        <v>0</v>
      </c>
      <c r="G286" s="2"/>
      <c r="H286" s="6">
        <v>590.14</v>
      </c>
      <c r="I286" s="2"/>
      <c r="J286" s="7">
        <f t="shared" si="141"/>
        <v>1.5849371849865502E-4</v>
      </c>
      <c r="K286" s="2"/>
      <c r="L286" s="6">
        <f t="shared" si="142"/>
        <v>-590.14</v>
      </c>
      <c r="M286" s="2"/>
      <c r="N286" s="7">
        <f t="shared" si="143"/>
        <v>-1</v>
      </c>
      <c r="O286" s="11"/>
      <c r="P286" s="6">
        <v>0.16</v>
      </c>
      <c r="Q286" s="2"/>
      <c r="R286" s="7">
        <f t="shared" si="144"/>
        <v>3.752453054783617E-8</v>
      </c>
      <c r="S286" s="2"/>
      <c r="T286" s="6">
        <v>3166.01</v>
      </c>
      <c r="U286" s="2"/>
      <c r="V286" s="7">
        <f t="shared" si="145"/>
        <v>2.3526159288484163E-4</v>
      </c>
      <c r="W286" s="2"/>
      <c r="X286" s="6">
        <f t="shared" si="146"/>
        <v>-3165.8500000000004</v>
      </c>
      <c r="Y286" s="2"/>
      <c r="Z286" s="7">
        <f t="shared" si="147"/>
        <v>-0.99994946320447509</v>
      </c>
    </row>
    <row r="287" spans="1:26" s="24" customFormat="1" hidden="1" outlineLevel="2" x14ac:dyDescent="0.25">
      <c r="A287" s="28"/>
      <c r="B287" s="11" t="str">
        <f>CONCATENATE("          ", "6294", " - ", "TRAVEL OPERATIONAL")</f>
        <v xml:space="preserve">          6294 - TRAVEL OPERATIONAL</v>
      </c>
      <c r="C287" s="11"/>
      <c r="D287" s="6">
        <v>80.959999999999994</v>
      </c>
      <c r="E287" s="2"/>
      <c r="F287" s="7">
        <f t="shared" si="140"/>
        <v>1.1902722005208758E-4</v>
      </c>
      <c r="G287" s="2"/>
      <c r="H287" s="6">
        <v>334.37</v>
      </c>
      <c r="I287" s="2"/>
      <c r="J287" s="7">
        <f t="shared" si="141"/>
        <v>8.9801648175679135E-5</v>
      </c>
      <c r="K287" s="2"/>
      <c r="L287" s="6">
        <f t="shared" si="142"/>
        <v>-253.41000000000003</v>
      </c>
      <c r="M287" s="2"/>
      <c r="N287" s="7">
        <f t="shared" si="143"/>
        <v>-0.75787301492358772</v>
      </c>
      <c r="O287" s="11"/>
      <c r="P287" s="6">
        <v>321.88</v>
      </c>
      <c r="Q287" s="2"/>
      <c r="R287" s="7">
        <f t="shared" si="144"/>
        <v>7.548997432960942E-5</v>
      </c>
      <c r="S287" s="2"/>
      <c r="T287" s="6">
        <v>481.96</v>
      </c>
      <c r="U287" s="2"/>
      <c r="V287" s="7">
        <f t="shared" si="145"/>
        <v>3.5813745789425256E-5</v>
      </c>
      <c r="W287" s="2"/>
      <c r="X287" s="6">
        <f t="shared" si="146"/>
        <v>-160.07999999999998</v>
      </c>
      <c r="Y287" s="2"/>
      <c r="Z287" s="7">
        <f t="shared" si="147"/>
        <v>-0.33214374636899324</v>
      </c>
    </row>
    <row r="288" spans="1:26" s="24" customFormat="1" hidden="1" outlineLevel="2" x14ac:dyDescent="0.25">
      <c r="A288" s="28"/>
      <c r="B288" s="11" t="str">
        <f>CONCATENATE("          ", "6298", " - ", "VEHICLE MILEAGE")</f>
        <v xml:space="preserve">          6298 - VEHICLE MILEAGE</v>
      </c>
      <c r="C288" s="11"/>
      <c r="D288" s="6"/>
      <c r="E288" s="2"/>
      <c r="F288" s="7">
        <f t="shared" si="140"/>
        <v>0</v>
      </c>
      <c r="G288" s="2"/>
      <c r="H288" s="6"/>
      <c r="I288" s="2"/>
      <c r="J288" s="7">
        <f t="shared" si="141"/>
        <v>0</v>
      </c>
      <c r="K288" s="2"/>
      <c r="L288" s="6">
        <f t="shared" si="142"/>
        <v>0</v>
      </c>
      <c r="M288" s="2"/>
      <c r="N288" s="7">
        <f t="shared" si="143"/>
        <v>0</v>
      </c>
      <c r="O288" s="11"/>
      <c r="P288" s="6">
        <v>392.1</v>
      </c>
      <c r="Q288" s="2"/>
      <c r="R288" s="7">
        <f t="shared" si="144"/>
        <v>9.1958552673791026E-5</v>
      </c>
      <c r="S288" s="2"/>
      <c r="T288" s="6">
        <v>679.99</v>
      </c>
      <c r="U288" s="2"/>
      <c r="V288" s="7">
        <f t="shared" si="145"/>
        <v>5.0529066726183257E-5</v>
      </c>
      <c r="W288" s="2"/>
      <c r="X288" s="6">
        <f t="shared" si="146"/>
        <v>-287.89</v>
      </c>
      <c r="Y288" s="2"/>
      <c r="Z288" s="7">
        <f t="shared" si="147"/>
        <v>-0.42337387314519331</v>
      </c>
    </row>
    <row r="289" spans="1:26" s="29" customFormat="1" outlineLevel="1" collapsed="1" x14ac:dyDescent="0.25">
      <c r="A289" s="27"/>
      <c r="B289" s="14" t="str">
        <f>CONCATENATE("     ","Utilities                                         ")</f>
        <v xml:space="preserve">     Utilities                                         </v>
      </c>
      <c r="C289" s="14"/>
      <c r="D289" s="1">
        <f>SUM(OSRRefD22_26x_0)</f>
        <v>-6138.95</v>
      </c>
      <c r="E289" s="1"/>
      <c r="F289" s="5">
        <f t="shared" ref="F289:F290" si="148">IF(D$12=0,0,D289/D$12)</f>
        <v>-9.025471251713971E-3</v>
      </c>
      <c r="G289" s="1"/>
      <c r="H289" s="1">
        <f>SUM(OSRRefH22_26x_0)</f>
        <v>20332.86</v>
      </c>
      <c r="I289" s="1"/>
      <c r="J289" s="5">
        <f t="shared" ref="J289:J290" si="149">IF(H$12=0,0,H289/H$12)</f>
        <v>5.460789963589255E-3</v>
      </c>
      <c r="K289" s="1"/>
      <c r="L289" s="1">
        <f t="shared" ref="L289:L290" si="150">+D289-H289</f>
        <v>-26471.81</v>
      </c>
      <c r="M289" s="1"/>
      <c r="N289" s="5">
        <f t="shared" ref="N289:N290" si="151">IF(H289=0,0,L289/H289)</f>
        <v>-1.3019226021327055</v>
      </c>
      <c r="O289" s="14"/>
      <c r="P289" s="1">
        <f>SUM(OSRRefP22_26x_0)</f>
        <v>19393.43</v>
      </c>
      <c r="Q289" s="1"/>
      <c r="R289" s="5">
        <f t="shared" ref="R289:R290" si="152">IF(P$12=0,0,P289/P$12)</f>
        <v>4.5483084778895153E-3</v>
      </c>
      <c r="S289" s="1"/>
      <c r="T289" s="1">
        <f>SUM(OSRRefT22_26x_0)</f>
        <v>63683.78</v>
      </c>
      <c r="U289" s="1"/>
      <c r="V289" s="5">
        <f t="shared" ref="V289:V290" si="153">IF(T$12=0,0,T289/T$12)</f>
        <v>4.7322489580664054E-3</v>
      </c>
      <c r="W289" s="1"/>
      <c r="X289" s="1">
        <f t="shared" ref="X289:X290" si="154">+P289-T289</f>
        <v>-44290.35</v>
      </c>
      <c r="Y289" s="1"/>
      <c r="Z289" s="5">
        <f t="shared" ref="Z289:Z290" si="155">IF(T289=0,0,X289/T289)</f>
        <v>-0.69547300741256246</v>
      </c>
    </row>
    <row r="290" spans="1:26" s="24" customFormat="1" hidden="1" outlineLevel="2" x14ac:dyDescent="0.25">
      <c r="A290" s="28"/>
      <c r="B290" s="11" t="str">
        <f>CONCATENATE("          ", "6274", " - ", "UTILITIES")</f>
        <v xml:space="preserve">          6274 - UTILITIES</v>
      </c>
      <c r="C290" s="11"/>
      <c r="D290" s="6">
        <v>-6138.95</v>
      </c>
      <c r="E290" s="2"/>
      <c r="F290" s="7">
        <f t="shared" si="148"/>
        <v>-9.025471251713971E-3</v>
      </c>
      <c r="G290" s="2"/>
      <c r="H290" s="6">
        <v>20332.86</v>
      </c>
      <c r="I290" s="2"/>
      <c r="J290" s="7">
        <f t="shared" si="149"/>
        <v>5.460789963589255E-3</v>
      </c>
      <c r="K290" s="2"/>
      <c r="L290" s="6">
        <f t="shared" si="150"/>
        <v>-26471.81</v>
      </c>
      <c r="M290" s="2"/>
      <c r="N290" s="7">
        <f t="shared" si="151"/>
        <v>-1.3019226021327055</v>
      </c>
      <c r="O290" s="11"/>
      <c r="P290" s="6">
        <v>19393.43</v>
      </c>
      <c r="Q290" s="2"/>
      <c r="R290" s="7">
        <f t="shared" si="152"/>
        <v>4.5483084778895153E-3</v>
      </c>
      <c r="S290" s="2"/>
      <c r="T290" s="6">
        <v>63683.78</v>
      </c>
      <c r="U290" s="2"/>
      <c r="V290" s="7">
        <f t="shared" si="153"/>
        <v>4.7322489580664054E-3</v>
      </c>
      <c r="W290" s="2"/>
      <c r="X290" s="6">
        <f t="shared" si="154"/>
        <v>-44290.35</v>
      </c>
      <c r="Y290" s="2"/>
      <c r="Z290" s="7">
        <f t="shared" si="155"/>
        <v>-0.69547300741256246</v>
      </c>
    </row>
    <row r="291" spans="1:26" s="57" customFormat="1" x14ac:dyDescent="0.25">
      <c r="A291" s="37"/>
      <c r="B291" s="37"/>
      <c r="C291" s="37"/>
      <c r="D291" s="1"/>
      <c r="E291" s="1"/>
      <c r="F291" s="5"/>
      <c r="G291" s="1"/>
      <c r="H291" s="1"/>
      <c r="I291" s="1"/>
      <c r="J291" s="5"/>
      <c r="K291" s="1"/>
      <c r="L291" s="1"/>
      <c r="M291" s="1"/>
      <c r="N291" s="5"/>
      <c r="O291" s="37"/>
      <c r="P291" s="1"/>
      <c r="Q291" s="1"/>
      <c r="R291" s="5"/>
      <c r="S291" s="1"/>
      <c r="T291" s="1"/>
      <c r="U291" s="1"/>
      <c r="V291" s="5"/>
      <c r="W291" s="1"/>
      <c r="X291" s="1"/>
      <c r="Y291" s="1"/>
      <c r="Z291" s="5"/>
    </row>
    <row r="292" spans="1:26" s="23" customFormat="1" collapsed="1" x14ac:dyDescent="0.25">
      <c r="A292" s="10"/>
      <c r="B292" s="26" t="s">
        <v>0</v>
      </c>
      <c r="C292" s="10"/>
      <c r="D292" s="4">
        <f>SUM(OSRRefD25x_0)</f>
        <v>32628.180000000004</v>
      </c>
      <c r="E292" s="4"/>
      <c r="F292" s="12">
        <f t="shared" ref="F292:F303" si="156">IF(D$12=0,0,D292/D$12)</f>
        <v>4.7969880938230285E-2</v>
      </c>
      <c r="G292" s="4"/>
      <c r="H292" s="4">
        <f>SUM(OSRRefH25x_0)</f>
        <v>265656.75999999995</v>
      </c>
      <c r="I292" s="4"/>
      <c r="J292" s="12">
        <f t="shared" ref="J292:J303" si="157">IF(H$12=0,0,H292/H$12)</f>
        <v>7.1347354418790032E-2</v>
      </c>
      <c r="K292" s="4"/>
      <c r="L292" s="4">
        <f t="shared" ref="L292:L303" si="158">+D292-H292</f>
        <v>-233028.57999999996</v>
      </c>
      <c r="M292" s="4"/>
      <c r="N292" s="12">
        <f t="shared" ref="N292:N303" si="159">IF(H292=0,0,L292/H292)</f>
        <v>-0.87717918414724327</v>
      </c>
      <c r="O292" s="10"/>
      <c r="P292" s="4">
        <f>SUM(OSRRefP25x_0)</f>
        <v>458171.02000000008</v>
      </c>
      <c r="Q292" s="4"/>
      <c r="R292" s="12">
        <f t="shared" ref="R292:R303" si="160">IF(P$12=0,0,P292/P$12)</f>
        <v>0.10745407772577038</v>
      </c>
      <c r="S292" s="4"/>
      <c r="T292" s="4">
        <f>SUM(OSRRefT25x_0)</f>
        <v>822058.06</v>
      </c>
      <c r="U292" s="4"/>
      <c r="V292" s="12">
        <f t="shared" ref="V292:V303" si="161">IF(T$12=0,0,T292/T$12)</f>
        <v>6.1085937391045106E-2</v>
      </c>
      <c r="W292" s="4"/>
      <c r="X292" s="4">
        <f t="shared" ref="X292:X303" si="162">+P292-T292</f>
        <v>-363887.04</v>
      </c>
      <c r="Y292" s="4"/>
      <c r="Z292" s="12">
        <f t="shared" ref="Z292:Z303" si="163">IF(T292=0,0,X292/T292)</f>
        <v>-0.44265369772057211</v>
      </c>
    </row>
    <row r="293" spans="1:26" s="24" customFormat="1" hidden="1" outlineLevel="1" x14ac:dyDescent="0.25">
      <c r="A293" s="44"/>
      <c r="B293" s="11" t="str">
        <f>CONCATENATE("          ", "4098", " - ", "TAXABLE SALES-GRAD RENTALS")</f>
        <v xml:space="preserve">          4098 - TAXABLE SALES-GRAD RENTALS</v>
      </c>
      <c r="C293" s="11"/>
      <c r="D293" s="2">
        <f>0</f>
        <v>0</v>
      </c>
      <c r="E293" s="2"/>
      <c r="F293" s="19">
        <f t="shared" si="156"/>
        <v>0</v>
      </c>
      <c r="G293" s="2"/>
      <c r="H293" s="2">
        <f>0</f>
        <v>0</v>
      </c>
      <c r="I293" s="2"/>
      <c r="J293" s="19">
        <f t="shared" si="157"/>
        <v>0</v>
      </c>
      <c r="K293" s="2"/>
      <c r="L293" s="2">
        <f t="shared" si="158"/>
        <v>0</v>
      </c>
      <c r="M293" s="2"/>
      <c r="N293" s="19">
        <f t="shared" si="159"/>
        <v>0</v>
      </c>
      <c r="O293" s="11"/>
      <c r="P293" s="2">
        <f>0</f>
        <v>0</v>
      </c>
      <c r="Q293" s="2"/>
      <c r="R293" s="19">
        <f t="shared" si="160"/>
        <v>0</v>
      </c>
      <c r="S293" s="2"/>
      <c r="T293" s="2">
        <f>--1626.85</f>
        <v>1626.85</v>
      </c>
      <c r="U293" s="2"/>
      <c r="V293" s="19">
        <f t="shared" si="161"/>
        <v>1.2088885454711279E-4</v>
      </c>
      <c r="W293" s="2"/>
      <c r="X293" s="2">
        <f t="shared" si="162"/>
        <v>-1626.85</v>
      </c>
      <c r="Y293" s="2"/>
      <c r="Z293" s="19">
        <f t="shared" si="163"/>
        <v>-1</v>
      </c>
    </row>
    <row r="294" spans="1:26" s="24" customFormat="1" hidden="1" outlineLevel="1" x14ac:dyDescent="0.25">
      <c r="A294" s="44"/>
      <c r="B294" s="11" t="str">
        <f>CONCATENATE("          ", "4187", " - ", "NON-TAXABLE SALES-COMPUTER REP")</f>
        <v xml:space="preserve">          4187 - NON-TAXABLE SALES-COMPUTER REP</v>
      </c>
      <c r="C294" s="11"/>
      <c r="D294" s="2">
        <f>--792.83</f>
        <v>792.83</v>
      </c>
      <c r="E294" s="2"/>
      <c r="F294" s="19">
        <f t="shared" si="156"/>
        <v>1.165616982138051E-3</v>
      </c>
      <c r="G294" s="2"/>
      <c r="H294" s="2">
        <f>--4407.89</f>
        <v>4407.8900000000003</v>
      </c>
      <c r="I294" s="2"/>
      <c r="J294" s="19">
        <f t="shared" si="157"/>
        <v>1.183825663118983E-3</v>
      </c>
      <c r="K294" s="2"/>
      <c r="L294" s="2">
        <f t="shared" si="158"/>
        <v>-3615.0600000000004</v>
      </c>
      <c r="M294" s="2"/>
      <c r="N294" s="19">
        <f t="shared" si="159"/>
        <v>-0.82013389626329158</v>
      </c>
      <c r="O294" s="11"/>
      <c r="P294" s="2">
        <f>--937.96</f>
        <v>937.96</v>
      </c>
      <c r="Q294" s="2"/>
      <c r="R294" s="19">
        <f t="shared" si="160"/>
        <v>2.199781792040526E-4</v>
      </c>
      <c r="S294" s="2"/>
      <c r="T294" s="2">
        <f>--11782.69</f>
        <v>11782.69</v>
      </c>
      <c r="U294" s="2"/>
      <c r="V294" s="19">
        <f t="shared" si="161"/>
        <v>8.7555453642543604E-4</v>
      </c>
      <c r="W294" s="2"/>
      <c r="X294" s="2">
        <f t="shared" si="162"/>
        <v>-10844.73</v>
      </c>
      <c r="Y294" s="2"/>
      <c r="Z294" s="19">
        <f t="shared" si="163"/>
        <v>-0.92039508804865433</v>
      </c>
    </row>
    <row r="295" spans="1:26" s="24" customFormat="1" hidden="1" outlineLevel="1" x14ac:dyDescent="0.25">
      <c r="A295" s="44"/>
      <c r="B295" s="11" t="str">
        <f>CONCATENATE("          ", "4197", " - ", "NON-TAXABLE SALES-RETURNED CHE")</f>
        <v xml:space="preserve">          4197 - NON-TAXABLE SALES-RETURNED CHE</v>
      </c>
      <c r="C295" s="11"/>
      <c r="D295" s="2">
        <f t="shared" ref="D295:D297" si="164">0</f>
        <v>0</v>
      </c>
      <c r="E295" s="2"/>
      <c r="F295" s="19">
        <f t="shared" si="156"/>
        <v>0</v>
      </c>
      <c r="G295" s="2"/>
      <c r="H295" s="2">
        <f t="shared" ref="H295:H296" si="165">0</f>
        <v>0</v>
      </c>
      <c r="I295" s="2"/>
      <c r="J295" s="19">
        <f t="shared" si="157"/>
        <v>0</v>
      </c>
      <c r="K295" s="2"/>
      <c r="L295" s="2">
        <f t="shared" si="158"/>
        <v>0</v>
      </c>
      <c r="M295" s="2"/>
      <c r="N295" s="19">
        <f t="shared" si="159"/>
        <v>0</v>
      </c>
      <c r="O295" s="11"/>
      <c r="P295" s="2">
        <f t="shared" ref="P295:P297" si="166">0</f>
        <v>0</v>
      </c>
      <c r="Q295" s="2"/>
      <c r="R295" s="19">
        <f t="shared" si="160"/>
        <v>0</v>
      </c>
      <c r="S295" s="2"/>
      <c r="T295" s="2">
        <f>--30</f>
        <v>30</v>
      </c>
      <c r="U295" s="2"/>
      <c r="V295" s="19">
        <f t="shared" si="161"/>
        <v>2.2292563152186027E-6</v>
      </c>
      <c r="W295" s="2"/>
      <c r="X295" s="2">
        <f t="shared" si="162"/>
        <v>-30</v>
      </c>
      <c r="Y295" s="2"/>
      <c r="Z295" s="19">
        <f t="shared" si="163"/>
        <v>-1</v>
      </c>
    </row>
    <row r="296" spans="1:26" s="24" customFormat="1" hidden="1" outlineLevel="1" x14ac:dyDescent="0.25">
      <c r="A296" s="44"/>
      <c r="B296" s="11" t="str">
        <f>CONCATENATE("          ", "4198", " - ", "NON-TAXABLE SALES-GRAD RENTALS")</f>
        <v xml:space="preserve">          4198 - NON-TAXABLE SALES-GRAD RENTALS</v>
      </c>
      <c r="C296" s="11"/>
      <c r="D296" s="2">
        <f t="shared" si="164"/>
        <v>0</v>
      </c>
      <c r="E296" s="2"/>
      <c r="F296" s="19">
        <f t="shared" si="156"/>
        <v>0</v>
      </c>
      <c r="G296" s="2"/>
      <c r="H296" s="2">
        <f t="shared" si="165"/>
        <v>0</v>
      </c>
      <c r="I296" s="2"/>
      <c r="J296" s="19">
        <f t="shared" si="157"/>
        <v>0</v>
      </c>
      <c r="K296" s="2"/>
      <c r="L296" s="2">
        <f t="shared" si="158"/>
        <v>0</v>
      </c>
      <c r="M296" s="2"/>
      <c r="N296" s="19">
        <f t="shared" si="159"/>
        <v>0</v>
      </c>
      <c r="O296" s="11"/>
      <c r="P296" s="2">
        <f t="shared" si="166"/>
        <v>0</v>
      </c>
      <c r="Q296" s="2"/>
      <c r="R296" s="19">
        <f t="shared" si="160"/>
        <v>0</v>
      </c>
      <c r="S296" s="2"/>
      <c r="T296" s="2">
        <f>--495</f>
        <v>495</v>
      </c>
      <c r="U296" s="2"/>
      <c r="V296" s="19">
        <f t="shared" si="161"/>
        <v>3.6782729201106949E-5</v>
      </c>
      <c r="W296" s="2"/>
      <c r="X296" s="2">
        <f t="shared" si="162"/>
        <v>-495</v>
      </c>
      <c r="Y296" s="2"/>
      <c r="Z296" s="19">
        <f t="shared" si="163"/>
        <v>-1</v>
      </c>
    </row>
    <row r="297" spans="1:26" s="24" customFormat="1" hidden="1" outlineLevel="1" x14ac:dyDescent="0.25">
      <c r="A297" s="44"/>
      <c r="B297" s="11" t="str">
        <f>CONCATENATE("          ", "4387", " - ", "SALES RETURN NON TAXABLE-COMPU")</f>
        <v xml:space="preserve">          4387 - SALES RETURN NON TAXABLE-COMPU</v>
      </c>
      <c r="C297" s="11"/>
      <c r="D297" s="2">
        <f t="shared" si="164"/>
        <v>0</v>
      </c>
      <c r="E297" s="2"/>
      <c r="F297" s="19">
        <f t="shared" si="156"/>
        <v>0</v>
      </c>
      <c r="G297" s="2"/>
      <c r="H297" s="2">
        <f>-350.05</f>
        <v>-350.05</v>
      </c>
      <c r="I297" s="2"/>
      <c r="J297" s="19">
        <f t="shared" si="157"/>
        <v>-9.4012820958508484E-5</v>
      </c>
      <c r="K297" s="2"/>
      <c r="L297" s="2">
        <f t="shared" si="158"/>
        <v>350.05</v>
      </c>
      <c r="M297" s="2"/>
      <c r="N297" s="19">
        <f t="shared" si="159"/>
        <v>-1</v>
      </c>
      <c r="O297" s="11"/>
      <c r="P297" s="2">
        <f t="shared" si="166"/>
        <v>0</v>
      </c>
      <c r="Q297" s="2"/>
      <c r="R297" s="19">
        <f t="shared" si="160"/>
        <v>0</v>
      </c>
      <c r="S297" s="2"/>
      <c r="T297" s="2">
        <f>-6790.75</f>
        <v>-6790.75</v>
      </c>
      <c r="U297" s="2"/>
      <c r="V297" s="19">
        <f t="shared" si="161"/>
        <v>-5.0461074408569091E-4</v>
      </c>
      <c r="W297" s="2"/>
      <c r="X297" s="2">
        <f t="shared" si="162"/>
        <v>6790.75</v>
      </c>
      <c r="Y297" s="2"/>
      <c r="Z297" s="19">
        <f t="shared" si="163"/>
        <v>-1</v>
      </c>
    </row>
    <row r="298" spans="1:26" s="24" customFormat="1" hidden="1" outlineLevel="1" x14ac:dyDescent="0.25">
      <c r="A298" s="44"/>
      <c r="B298" s="11" t="str">
        <f>CONCATENATE("          ", "9150", " - ", "MISC. INCOME")</f>
        <v xml:space="preserve">          9150 - MISC. INCOME</v>
      </c>
      <c r="C298" s="11"/>
      <c r="D298" s="2">
        <f>--31235.08</f>
        <v>31235.08</v>
      </c>
      <c r="E298" s="2"/>
      <c r="F298" s="19">
        <f t="shared" si="156"/>
        <v>4.5921748276983206E-2</v>
      </c>
      <c r="G298" s="2"/>
      <c r="H298" s="2">
        <f>--123314.63</f>
        <v>123314.63</v>
      </c>
      <c r="I298" s="2"/>
      <c r="J298" s="19">
        <f t="shared" si="157"/>
        <v>3.3118572294685671E-2</v>
      </c>
      <c r="K298" s="2"/>
      <c r="L298" s="2">
        <f t="shared" si="158"/>
        <v>-92079.55</v>
      </c>
      <c r="M298" s="2"/>
      <c r="N298" s="19">
        <f t="shared" si="159"/>
        <v>-0.74670418262618155</v>
      </c>
      <c r="O298" s="11"/>
      <c r="P298" s="2">
        <f>--143779.32</f>
        <v>143779.32</v>
      </c>
      <c r="Q298" s="2"/>
      <c r="R298" s="19">
        <f t="shared" si="160"/>
        <v>3.3720321784294453E-2</v>
      </c>
      <c r="S298" s="2"/>
      <c r="T298" s="2">
        <f>--335491.4</f>
        <v>335491.40000000002</v>
      </c>
      <c r="U298" s="2"/>
      <c r="V298" s="19">
        <f t="shared" si="161"/>
        <v>2.4929877405051013E-2</v>
      </c>
      <c r="W298" s="2"/>
      <c r="X298" s="2">
        <f t="shared" si="162"/>
        <v>-191712.08000000002</v>
      </c>
      <c r="Y298" s="2"/>
      <c r="Z298" s="19">
        <f t="shared" si="163"/>
        <v>-0.57143664487375834</v>
      </c>
    </row>
    <row r="299" spans="1:26" s="24" customFormat="1" hidden="1" outlineLevel="1" x14ac:dyDescent="0.25">
      <c r="A299" s="44"/>
      <c r="B299" s="11" t="str">
        <f>CONCATENATE("          ", "9151", " - ", "MISC. INCOME")</f>
        <v xml:space="preserve">          9151 - MISC. INCOME</v>
      </c>
      <c r="C299" s="11"/>
      <c r="D299" s="2">
        <f>0</f>
        <v>0</v>
      </c>
      <c r="E299" s="2"/>
      <c r="F299" s="19">
        <f t="shared" si="156"/>
        <v>0</v>
      </c>
      <c r="G299" s="2"/>
      <c r="H299" s="2">
        <f>--4030.76</f>
        <v>4030.76</v>
      </c>
      <c r="I299" s="2"/>
      <c r="J299" s="19">
        <f t="shared" si="157"/>
        <v>1.0825399748799248E-3</v>
      </c>
      <c r="K299" s="2"/>
      <c r="L299" s="2">
        <f t="shared" si="158"/>
        <v>-4030.76</v>
      </c>
      <c r="M299" s="2"/>
      <c r="N299" s="19">
        <f t="shared" si="159"/>
        <v>-1</v>
      </c>
      <c r="O299" s="11"/>
      <c r="P299" s="2">
        <f>--147285.39</f>
        <v>147285.39000000001</v>
      </c>
      <c r="Q299" s="2"/>
      <c r="R299" s="19">
        <f t="shared" si="160"/>
        <v>3.4542594476906031E-2</v>
      </c>
      <c r="S299" s="2"/>
      <c r="T299" s="2">
        <f>--87224.27</f>
        <v>87224.27</v>
      </c>
      <c r="U299" s="2"/>
      <c r="V299" s="19">
        <f t="shared" si="161"/>
        <v>6.4815084912610843E-3</v>
      </c>
      <c r="W299" s="2"/>
      <c r="X299" s="2">
        <f t="shared" si="162"/>
        <v>60061.12000000001</v>
      </c>
      <c r="Y299" s="2"/>
      <c r="Z299" s="19">
        <f t="shared" si="163"/>
        <v>0.68858266168349713</v>
      </c>
    </row>
    <row r="300" spans="1:26" s="24" customFormat="1" hidden="1" outlineLevel="1" x14ac:dyDescent="0.25">
      <c r="A300" s="44"/>
      <c r="B300" s="11" t="str">
        <f>CONCATENATE("          ", "9152", " - ", "MISC. INCOME")</f>
        <v xml:space="preserve">          9152 - MISC. INCOME</v>
      </c>
      <c r="C300" s="11"/>
      <c r="D300" s="2">
        <f>--262.08</f>
        <v>262.08</v>
      </c>
      <c r="E300" s="2"/>
      <c r="F300" s="19">
        <f t="shared" si="156"/>
        <v>3.8530945937810171E-4</v>
      </c>
      <c r="G300" s="2"/>
      <c r="H300" s="2">
        <f>--53.08</f>
        <v>53.08</v>
      </c>
      <c r="I300" s="2"/>
      <c r="J300" s="19">
        <f t="shared" si="157"/>
        <v>1.4255679292894243E-5</v>
      </c>
      <c r="K300" s="2"/>
      <c r="L300" s="2">
        <f t="shared" si="158"/>
        <v>209</v>
      </c>
      <c r="M300" s="2"/>
      <c r="N300" s="19">
        <f t="shared" si="159"/>
        <v>3.9374529012810853</v>
      </c>
      <c r="O300" s="11"/>
      <c r="P300" s="2">
        <f>--2351.02</f>
        <v>2351.02</v>
      </c>
      <c r="Q300" s="2"/>
      <c r="R300" s="19">
        <f t="shared" si="160"/>
        <v>5.5138076130358622E-4</v>
      </c>
      <c r="S300" s="2"/>
      <c r="T300" s="2">
        <f>--694.1</f>
        <v>694.1</v>
      </c>
      <c r="U300" s="2"/>
      <c r="V300" s="19">
        <f t="shared" si="161"/>
        <v>5.1577560279774409E-5</v>
      </c>
      <c r="W300" s="2"/>
      <c r="X300" s="2">
        <f t="shared" si="162"/>
        <v>1656.92</v>
      </c>
      <c r="Y300" s="2"/>
      <c r="Z300" s="19">
        <f t="shared" si="163"/>
        <v>2.3871488258176057</v>
      </c>
    </row>
    <row r="301" spans="1:26" s="24" customFormat="1" hidden="1" outlineLevel="1" x14ac:dyDescent="0.25">
      <c r="A301" s="44"/>
      <c r="B301" s="11" t="str">
        <f>CONCATENATE("          ", "9160", " - ", "MISC. INCOME")</f>
        <v xml:space="preserve">          9160 - MISC. INCOME</v>
      </c>
      <c r="C301" s="11"/>
      <c r="D301" s="2">
        <f>--338.19</f>
        <v>338.19</v>
      </c>
      <c r="E301" s="2"/>
      <c r="F301" s="19">
        <f t="shared" si="156"/>
        <v>4.9720621973092273E-4</v>
      </c>
      <c r="G301" s="2"/>
      <c r="H301" s="2">
        <f>--65384.61</f>
        <v>65384.61</v>
      </c>
      <c r="I301" s="2"/>
      <c r="J301" s="19">
        <f t="shared" si="157"/>
        <v>1.7560324620402523E-2</v>
      </c>
      <c r="K301" s="2"/>
      <c r="L301" s="2">
        <f t="shared" si="158"/>
        <v>-65046.42</v>
      </c>
      <c r="M301" s="2"/>
      <c r="N301" s="19">
        <f t="shared" si="159"/>
        <v>-0.99482768192698556</v>
      </c>
      <c r="O301" s="11"/>
      <c r="P301" s="2">
        <f>--2328.25</f>
        <v>2328.25</v>
      </c>
      <c r="Q301" s="2"/>
      <c r="R301" s="19">
        <f t="shared" si="160"/>
        <v>5.4604055154999732E-4</v>
      </c>
      <c r="S301" s="2"/>
      <c r="T301" s="2">
        <f>--117527.88</f>
        <v>117527.88</v>
      </c>
      <c r="U301" s="2"/>
      <c r="V301" s="19">
        <f t="shared" si="161"/>
        <v>8.733325623475138E-3</v>
      </c>
      <c r="W301" s="2"/>
      <c r="X301" s="2">
        <f t="shared" si="162"/>
        <v>-115199.63</v>
      </c>
      <c r="Y301" s="2"/>
      <c r="Z301" s="19">
        <f t="shared" si="163"/>
        <v>-0.98018980687816371</v>
      </c>
    </row>
    <row r="302" spans="1:26" s="24" customFormat="1" hidden="1" outlineLevel="1" x14ac:dyDescent="0.25">
      <c r="A302" s="44"/>
      <c r="B302" s="11" t="str">
        <f>CONCATENATE("          ", "9163", " - ", "MISC. INCOME")</f>
        <v xml:space="preserve">          9163 - MISC. INCOME</v>
      </c>
      <c r="C302" s="11"/>
      <c r="D302" s="2">
        <f t="shared" ref="D302:D303" si="167">0</f>
        <v>0</v>
      </c>
      <c r="E302" s="2"/>
      <c r="F302" s="19">
        <f t="shared" si="156"/>
        <v>0</v>
      </c>
      <c r="G302" s="2"/>
      <c r="H302" s="2">
        <f>--61106.55</f>
        <v>61106.55</v>
      </c>
      <c r="I302" s="2"/>
      <c r="J302" s="19">
        <f t="shared" si="157"/>
        <v>1.6411367360497489E-2</v>
      </c>
      <c r="K302" s="2"/>
      <c r="L302" s="2">
        <f t="shared" si="158"/>
        <v>-61106.55</v>
      </c>
      <c r="M302" s="2"/>
      <c r="N302" s="19">
        <f t="shared" si="159"/>
        <v>-1</v>
      </c>
      <c r="O302" s="11"/>
      <c r="P302" s="2">
        <f>--160663.9</f>
        <v>160663.9</v>
      </c>
      <c r="Q302" s="2"/>
      <c r="R302" s="19">
        <f t="shared" si="160"/>
        <v>3.7680233896778097E-2</v>
      </c>
      <c r="S302" s="2"/>
      <c r="T302" s="2">
        <f>--61106.55</f>
        <v>61106.55</v>
      </c>
      <c r="U302" s="2"/>
      <c r="V302" s="19">
        <f t="shared" si="161"/>
        <v>4.5407387496240442E-3</v>
      </c>
      <c r="W302" s="2"/>
      <c r="X302" s="2">
        <f t="shared" si="162"/>
        <v>99557.349999999991</v>
      </c>
      <c r="Y302" s="2"/>
      <c r="Z302" s="19">
        <f t="shared" si="163"/>
        <v>1.6292418734161884</v>
      </c>
    </row>
    <row r="303" spans="1:26" s="24" customFormat="1" hidden="1" outlineLevel="1" x14ac:dyDescent="0.25">
      <c r="A303" s="44"/>
      <c r="B303" s="11" t="str">
        <f>CONCATENATE("          ", "9165", " - ", "OTHER INCOME")</f>
        <v xml:space="preserve">          9165 - OTHER INCOME</v>
      </c>
      <c r="C303" s="11"/>
      <c r="D303" s="2">
        <f t="shared" si="167"/>
        <v>0</v>
      </c>
      <c r="E303" s="2"/>
      <c r="F303" s="19">
        <f t="shared" si="156"/>
        <v>0</v>
      </c>
      <c r="G303" s="2"/>
      <c r="H303" s="2">
        <f>--7709.29</f>
        <v>7709.29</v>
      </c>
      <c r="I303" s="2"/>
      <c r="J303" s="19">
        <f t="shared" si="157"/>
        <v>2.0704816468710753E-3</v>
      </c>
      <c r="K303" s="2"/>
      <c r="L303" s="2">
        <f t="shared" si="158"/>
        <v>-7709.29</v>
      </c>
      <c r="M303" s="2"/>
      <c r="N303" s="19">
        <f t="shared" si="159"/>
        <v>-1</v>
      </c>
      <c r="O303" s="11"/>
      <c r="P303" s="2">
        <f>--825.18</f>
        <v>825.18</v>
      </c>
      <c r="Q303" s="2"/>
      <c r="R303" s="19">
        <f t="shared" si="160"/>
        <v>1.9352807573414657E-4</v>
      </c>
      <c r="S303" s="2"/>
      <c r="T303" s="2">
        <f>--212870.07</f>
        <v>212870.07</v>
      </c>
      <c r="U303" s="2"/>
      <c r="V303" s="19">
        <f t="shared" si="161"/>
        <v>1.5818064928950867E-2</v>
      </c>
      <c r="W303" s="2"/>
      <c r="X303" s="2">
        <f t="shared" si="162"/>
        <v>-212044.89</v>
      </c>
      <c r="Y303" s="2"/>
      <c r="Z303" s="19">
        <f t="shared" si="163"/>
        <v>-0.99612355085898174</v>
      </c>
    </row>
    <row r="304" spans="1:26" x14ac:dyDescent="0.25">
      <c r="A304" s="9"/>
      <c r="B304" s="10"/>
      <c r="C304" s="10"/>
      <c r="D304" s="3"/>
      <c r="E304" s="3"/>
      <c r="F304" s="8"/>
      <c r="G304" s="3"/>
      <c r="H304" s="3"/>
      <c r="I304" s="3"/>
      <c r="J304" s="8"/>
      <c r="K304" s="3"/>
      <c r="L304" s="3"/>
      <c r="M304" s="3"/>
      <c r="N304" s="8"/>
      <c r="O304" s="10"/>
      <c r="P304" s="3"/>
      <c r="Q304" s="3"/>
      <c r="R304" s="8"/>
      <c r="S304" s="3"/>
      <c r="T304" s="3"/>
      <c r="U304" s="3"/>
      <c r="V304" s="8"/>
      <c r="W304" s="3"/>
      <c r="X304" s="3"/>
      <c r="Y304" s="3"/>
      <c r="Z304" s="8"/>
    </row>
    <row r="305" spans="1:26" s="23" customFormat="1" x14ac:dyDescent="0.25">
      <c r="A305" s="10"/>
      <c r="B305" s="25" t="s">
        <v>3</v>
      </c>
      <c r="C305" s="25"/>
      <c r="D305" s="20">
        <f>+D192-D194+D292</f>
        <v>-535067.68999999959</v>
      </c>
      <c r="E305" s="13"/>
      <c r="F305" s="21">
        <f>IF(D$12=0,0,D305/D$12)</f>
        <v>-0.78665538142776847</v>
      </c>
      <c r="G305" s="13"/>
      <c r="H305" s="20">
        <f>+H192-H194+H292</f>
        <v>885358.03999999864</v>
      </c>
      <c r="I305" s="13"/>
      <c r="J305" s="21">
        <f>IF(H$12=0,0,H305/H$12)</f>
        <v>0.2377803368053017</v>
      </c>
      <c r="K305" s="15"/>
      <c r="L305" s="20">
        <f>+D305-H305</f>
        <v>-1420425.7299999981</v>
      </c>
      <c r="M305" s="15"/>
      <c r="N305" s="21">
        <f>IF(H305=0,0,L305/H305)</f>
        <v>-1.6043517603341584</v>
      </c>
      <c r="O305" s="26"/>
      <c r="P305" s="20">
        <f>+P192-P194+P292</f>
        <v>-1008190.3800000041</v>
      </c>
      <c r="Q305" s="13"/>
      <c r="R305" s="21">
        <f>IF(P$12=0,0,P305/P$12)</f>
        <v>-0.23644919195215444</v>
      </c>
      <c r="S305" s="13"/>
      <c r="T305" s="20">
        <f>+T192-T194+T292</f>
        <v>1886971.7199999965</v>
      </c>
      <c r="U305" s="13"/>
      <c r="V305" s="21">
        <f>IF(T$12=0,0,T305/T$12)</f>
        <v>0.14021812078163004</v>
      </c>
      <c r="W305" s="15"/>
      <c r="X305" s="20">
        <f>+P305-T305</f>
        <v>-2895162.1000000006</v>
      </c>
      <c r="Y305" s="15"/>
      <c r="Z305" s="21">
        <f>IF(T305=0,0,X305/T305)</f>
        <v>-1.5342901376391618</v>
      </c>
    </row>
    <row r="306" spans="1:26" x14ac:dyDescent="0.25">
      <c r="A306" s="9"/>
      <c r="B306" s="10"/>
      <c r="C306" s="9"/>
      <c r="D306" s="3"/>
      <c r="E306" s="3"/>
      <c r="F306" s="8"/>
      <c r="G306" s="3"/>
      <c r="H306" s="3"/>
      <c r="I306" s="3"/>
      <c r="J306" s="8"/>
      <c r="K306" s="3"/>
      <c r="L306" s="3"/>
      <c r="M306" s="3"/>
      <c r="N306" s="8"/>
      <c r="P306" s="3"/>
      <c r="Q306" s="3"/>
      <c r="R306" s="8"/>
      <c r="S306" s="3"/>
      <c r="T306" s="3"/>
      <c r="U306" s="3"/>
      <c r="V306" s="8"/>
      <c r="W306" s="3"/>
      <c r="X306" s="3"/>
      <c r="Y306" s="3"/>
      <c r="Z306" s="8"/>
    </row>
    <row r="307" spans="1:26" s="23" customFormat="1" x14ac:dyDescent="0.25">
      <c r="A307" s="51"/>
      <c r="B307" s="10" t="s">
        <v>13</v>
      </c>
      <c r="C307" s="10"/>
      <c r="D307" s="4">
        <v>259749.94999999998</v>
      </c>
      <c r="E307" s="4"/>
      <c r="F307" s="12">
        <f>IF(D$12=0,0,D307/D$12)</f>
        <v>0.38188382481680766</v>
      </c>
      <c r="G307" s="4"/>
      <c r="H307" s="4">
        <v>309098.70999999996</v>
      </c>
      <c r="I307" s="4"/>
      <c r="J307" s="12">
        <f>IF(H$12=0,0,H307/H$12)</f>
        <v>8.3014545584162061E-2</v>
      </c>
      <c r="K307" s="4"/>
      <c r="L307" s="4">
        <f>+D307-H307</f>
        <v>-49348.75999999998</v>
      </c>
      <c r="M307" s="4"/>
      <c r="N307" s="12">
        <f>IF(H307=0,0,L307/H307)</f>
        <v>-0.15965372356293556</v>
      </c>
      <c r="O307" s="10"/>
      <c r="P307" s="4">
        <v>923647.69</v>
      </c>
      <c r="Q307" s="4"/>
      <c r="R307" s="12">
        <f>IF(P$12=0,0,P307/P$12)</f>
        <v>0.2166215372427707</v>
      </c>
      <c r="S307" s="4"/>
      <c r="T307" s="4">
        <v>1354656.51</v>
      </c>
      <c r="U307" s="4"/>
      <c r="V307" s="12">
        <f>IF(T$12=0,0,T307/T$12)</f>
        <v>0.10066255266231641</v>
      </c>
      <c r="W307" s="4"/>
      <c r="X307" s="4">
        <f>+P307-T307</f>
        <v>-431008.82000000007</v>
      </c>
      <c r="Y307" s="4"/>
      <c r="Z307" s="12">
        <f>IF(T307=0,0,X307/T307)</f>
        <v>-0.31816834512536324</v>
      </c>
    </row>
    <row r="308" spans="1:26" x14ac:dyDescent="0.25">
      <c r="A308" s="9"/>
      <c r="B308" s="10"/>
      <c r="C308" s="10"/>
      <c r="D308" s="3"/>
      <c r="E308" s="3"/>
      <c r="F308" s="8"/>
      <c r="G308" s="3"/>
      <c r="H308" s="3"/>
      <c r="I308" s="3"/>
      <c r="J308" s="8"/>
      <c r="K308" s="3"/>
      <c r="L308" s="3"/>
      <c r="M308" s="3"/>
      <c r="N308" s="8"/>
      <c r="O308" s="10"/>
      <c r="P308" s="3"/>
      <c r="Q308" s="3"/>
      <c r="R308" s="8"/>
      <c r="S308" s="3"/>
      <c r="T308" s="3"/>
      <c r="U308" s="3"/>
      <c r="V308" s="8"/>
      <c r="W308" s="3"/>
      <c r="X308" s="3"/>
      <c r="Y308" s="3"/>
      <c r="Z308" s="8"/>
    </row>
    <row r="309" spans="1:26" s="23" customFormat="1" ht="15.75" thickBot="1" x14ac:dyDescent="0.3">
      <c r="A309" s="10"/>
      <c r="B309" s="25" t="s">
        <v>4</v>
      </c>
      <c r="C309" s="25"/>
      <c r="D309" s="30">
        <f>+D305-D307</f>
        <v>-794817.63999999955</v>
      </c>
      <c r="E309" s="13"/>
      <c r="F309" s="33">
        <f>IF(D$12=0,0,D309/D$12)</f>
        <v>-1.1685392062445761</v>
      </c>
      <c r="G309" s="13"/>
      <c r="H309" s="30">
        <f>+H305-H307</f>
        <v>576259.32999999868</v>
      </c>
      <c r="I309" s="13"/>
      <c r="J309" s="33">
        <f>IF(H$12=0,0,H309/H$12)</f>
        <v>0.15476579122113965</v>
      </c>
      <c r="K309" s="15"/>
      <c r="L309" s="30">
        <f>D309-H309</f>
        <v>-1371076.9699999983</v>
      </c>
      <c r="M309" s="15"/>
      <c r="N309" s="33">
        <f>IF(H309=0,0,L309/H309)</f>
        <v>-2.3792707529785271</v>
      </c>
      <c r="O309" s="26"/>
      <c r="P309" s="30">
        <f>+P305-P307</f>
        <v>-1931838.070000004</v>
      </c>
      <c r="Q309" s="13"/>
      <c r="R309" s="33">
        <f>IF(P$12=0,0,P309/P$12)</f>
        <v>-0.45307072919492514</v>
      </c>
      <c r="S309" s="13"/>
      <c r="T309" s="30">
        <f>+T305-T307</f>
        <v>532315.20999999647</v>
      </c>
      <c r="U309" s="13"/>
      <c r="V309" s="33">
        <f>IF(T$12=0,0,T309/T$12)</f>
        <v>3.9555568119313628E-2</v>
      </c>
      <c r="W309" s="15"/>
      <c r="X309" s="30">
        <f>P309-T309</f>
        <v>-2464153.2800000003</v>
      </c>
      <c r="Y309" s="15"/>
      <c r="Z309" s="33">
        <f>IF(T309=0,0,X309/T309)</f>
        <v>-4.6291243115146319</v>
      </c>
    </row>
    <row r="310" spans="1:26" ht="15.75" thickTop="1" x14ac:dyDescent="0.25">
      <c r="A310" s="9"/>
      <c r="B310" s="9"/>
      <c r="C310" s="9"/>
      <c r="D310" s="3"/>
      <c r="E310" s="3"/>
      <c r="F310" s="8"/>
      <c r="G310" s="3"/>
      <c r="H310" s="3"/>
      <c r="I310" s="3"/>
      <c r="J310" s="8"/>
      <c r="K310" s="3"/>
      <c r="L310" s="3"/>
      <c r="M310" s="3"/>
      <c r="N310" s="8"/>
      <c r="P310" s="3"/>
      <c r="Q310" s="3"/>
      <c r="R310" s="8"/>
      <c r="S310" s="3"/>
      <c r="T310" s="3"/>
      <c r="U310" s="3"/>
      <c r="V310" s="8"/>
      <c r="W310" s="3"/>
      <c r="X310" s="3"/>
      <c r="Y310" s="3"/>
      <c r="Z310" s="8"/>
    </row>
    <row r="311" spans="1:26" s="23" customFormat="1" x14ac:dyDescent="0.25">
      <c r="A311" s="51"/>
      <c r="B311" s="10" t="s">
        <v>2</v>
      </c>
      <c r="C311" s="10"/>
      <c r="D311" s="4">
        <f>-139066.28</f>
        <v>-139066.28</v>
      </c>
      <c r="E311" s="4"/>
      <c r="F311" s="12">
        <f t="shared" ref="F311:F312" si="168">IF(D$12=0,0,D311/D$12)</f>
        <v>-0.20445494949833531</v>
      </c>
      <c r="G311" s="4"/>
      <c r="H311" s="4">
        <f>--215833.16</f>
        <v>215833.16</v>
      </c>
      <c r="I311" s="4"/>
      <c r="J311" s="12">
        <f t="shared" ref="J311:J312" si="169">IF(H$12=0,0,H311/H$12)</f>
        <v>5.7966245473472684E-2</v>
      </c>
      <c r="K311" s="4"/>
      <c r="L311" s="4">
        <f t="shared" ref="L311:L312" si="170">+D311-H311</f>
        <v>-354899.44</v>
      </c>
      <c r="M311" s="4"/>
      <c r="N311" s="12">
        <f t="shared" ref="N311:N312" si="171">IF(H311=0,0,L311/H311)</f>
        <v>-1.64432305026716</v>
      </c>
      <c r="O311" s="10"/>
      <c r="P311" s="4">
        <f>--580692.78</f>
        <v>580692.78</v>
      </c>
      <c r="Q311" s="4"/>
      <c r="R311" s="12">
        <f t="shared" ref="R311:R312" si="172">IF(P$12=0,0,P311/P$12)</f>
        <v>0.13618889976261195</v>
      </c>
      <c r="S311" s="4"/>
      <c r="T311" s="4">
        <f>--118303.25</f>
        <v>118303.25</v>
      </c>
      <c r="U311" s="4"/>
      <c r="V311" s="12">
        <f t="shared" ref="V311:V312" si="173">IF(T$12=0,0,T311/T$12)</f>
        <v>8.7909422391128384E-3</v>
      </c>
      <c r="W311" s="4"/>
      <c r="X311" s="4">
        <f t="shared" ref="X311:X312" si="174">+P311-T311</f>
        <v>462389.53</v>
      </c>
      <c r="Y311" s="4"/>
      <c r="Z311" s="12">
        <f t="shared" ref="Z311:Z312" si="175">IF(T311=0,0,X311/T311)</f>
        <v>3.9085107974632991</v>
      </c>
    </row>
    <row r="312" spans="1:26" s="23" customFormat="1" x14ac:dyDescent="0.25">
      <c r="A312" s="51"/>
      <c r="B312" s="10" t="s">
        <v>1</v>
      </c>
      <c r="C312" s="10"/>
      <c r="D312" s="4">
        <f>--10141.14</f>
        <v>10141.14</v>
      </c>
      <c r="E312" s="4"/>
      <c r="F312" s="12">
        <f t="shared" si="168"/>
        <v>1.4909482489612493E-2</v>
      </c>
      <c r="G312" s="4"/>
      <c r="H312" s="4">
        <f>--13441.85</f>
        <v>13441.85</v>
      </c>
      <c r="I312" s="4"/>
      <c r="J312" s="12">
        <f t="shared" si="169"/>
        <v>3.6100735249282308E-3</v>
      </c>
      <c r="K312" s="4"/>
      <c r="L312" s="4">
        <f t="shared" si="170"/>
        <v>-3300.7100000000009</v>
      </c>
      <c r="M312" s="4"/>
      <c r="N312" s="12">
        <f t="shared" si="171"/>
        <v>-0.24555474134884714</v>
      </c>
      <c r="O312" s="10"/>
      <c r="P312" s="4">
        <f>-23119.82</f>
        <v>-23119.82</v>
      </c>
      <c r="Q312" s="4"/>
      <c r="R312" s="12">
        <f t="shared" si="172"/>
        <v>-5.4222524490654608E-3</v>
      </c>
      <c r="S312" s="4"/>
      <c r="T312" s="4">
        <f>--65213.01</f>
        <v>65213.01</v>
      </c>
      <c r="U312" s="4"/>
      <c r="V312" s="12">
        <f t="shared" si="173"/>
        <v>4.8458838125637971E-3</v>
      </c>
      <c r="W312" s="4"/>
      <c r="X312" s="4">
        <f t="shared" si="174"/>
        <v>-88332.83</v>
      </c>
      <c r="Y312" s="4"/>
      <c r="Z312" s="12">
        <f t="shared" si="175"/>
        <v>-1.3545277238391542</v>
      </c>
    </row>
    <row r="313" spans="1:26" x14ac:dyDescent="0.25">
      <c r="A313" s="9"/>
      <c r="B313" s="9"/>
      <c r="C313" s="9"/>
      <c r="D313" s="3"/>
      <c r="E313" s="3"/>
      <c r="F313" s="8"/>
      <c r="G313" s="3"/>
      <c r="H313" s="3"/>
      <c r="I313" s="3"/>
      <c r="J313" s="8"/>
      <c r="K313" s="3"/>
      <c r="L313" s="3"/>
      <c r="M313" s="3"/>
      <c r="N313" s="8"/>
      <c r="P313" s="3"/>
      <c r="Q313" s="3"/>
      <c r="R313" s="8"/>
      <c r="S313" s="3"/>
      <c r="T313" s="3"/>
      <c r="U313" s="3"/>
      <c r="V313" s="8"/>
      <c r="W313" s="3"/>
      <c r="X313" s="3"/>
      <c r="Y313" s="3"/>
      <c r="Z313" s="8"/>
    </row>
    <row r="314" spans="1:26" s="23" customFormat="1" ht="15.75" thickBot="1" x14ac:dyDescent="0.3">
      <c r="A314" s="10"/>
      <c r="B314" s="25" t="s">
        <v>5</v>
      </c>
      <c r="C314" s="25"/>
      <c r="D314" s="34">
        <f>SUM(D309:D313)</f>
        <v>-923742.77999999956</v>
      </c>
      <c r="E314" s="13"/>
      <c r="F314" s="35">
        <f>IF(D$12=0,0,D314/D$12)</f>
        <v>-1.358084673253299</v>
      </c>
      <c r="G314" s="13"/>
      <c r="H314" s="34">
        <f>SUM(H309:H313)</f>
        <v>805534.33999999869</v>
      </c>
      <c r="I314" s="13"/>
      <c r="J314" s="35">
        <f>IF(H$12=0,0,H314/H$12)</f>
        <v>0.21634211021954056</v>
      </c>
      <c r="K314" s="15"/>
      <c r="L314" s="34">
        <f>+D314-H314</f>
        <v>-1729277.1199999982</v>
      </c>
      <c r="M314" s="15"/>
      <c r="N314" s="35">
        <f>IF(H314=0,0,L314/H314)</f>
        <v>-2.1467453764913373</v>
      </c>
      <c r="O314" s="26"/>
      <c r="P314" s="34">
        <f>SUM(P309:P313)</f>
        <v>-1374265.1100000041</v>
      </c>
      <c r="Q314" s="13"/>
      <c r="R314" s="35">
        <f>IF(P$12=0,0,P314/P$12)</f>
        <v>-0.32230408188137871</v>
      </c>
      <c r="S314" s="13"/>
      <c r="T314" s="34">
        <f>SUM(T309:T313)</f>
        <v>715831.46999999648</v>
      </c>
      <c r="U314" s="13"/>
      <c r="V314" s="35">
        <f>IF(T$12=0,0,T314/T$12)</f>
        <v>5.3192394170990268E-2</v>
      </c>
      <c r="W314" s="15"/>
      <c r="X314" s="34">
        <f>+P314-T314</f>
        <v>-2090096.5800000005</v>
      </c>
      <c r="Y314" s="15"/>
      <c r="Z314" s="35">
        <f>IF(T314=0,0,X314/T314)</f>
        <v>-2.9198165596156462</v>
      </c>
    </row>
    <row r="315" spans="1:26" ht="15.75" thickTop="1" x14ac:dyDescent="0.25">
      <c r="A315" s="9"/>
      <c r="C315" s="9"/>
      <c r="D315" s="18"/>
      <c r="E315" s="18"/>
      <c r="G315" s="18"/>
      <c r="H315" s="18"/>
      <c r="I315" s="18"/>
      <c r="J315" s="43"/>
      <c r="K315" s="18"/>
      <c r="L315" s="18"/>
      <c r="M315" s="18"/>
      <c r="P315" s="18"/>
      <c r="Q315" s="18"/>
      <c r="R315" s="43"/>
      <c r="S315" s="18"/>
      <c r="T315" s="18"/>
      <c r="U315" s="18"/>
      <c r="V315" s="43"/>
      <c r="W315" s="18"/>
      <c r="X315" s="18"/>
    </row>
    <row r="316" spans="1:26" x14ac:dyDescent="0.25">
      <c r="A316" s="9"/>
      <c r="B316" s="56">
        <v>44151.571705868053</v>
      </c>
      <c r="D316" s="18"/>
      <c r="E316" s="18"/>
      <c r="G316" s="18"/>
      <c r="H316" s="18"/>
      <c r="I316" s="18"/>
      <c r="J316" s="43"/>
      <c r="K316" s="18"/>
      <c r="L316" s="18"/>
      <c r="M316" s="18"/>
      <c r="P316" s="18"/>
      <c r="Q316" s="18"/>
      <c r="R316" s="43"/>
      <c r="S316" s="18"/>
      <c r="T316" s="18"/>
      <c r="U316" s="18"/>
      <c r="V316" s="43"/>
      <c r="W316" s="18"/>
      <c r="X316" s="18"/>
    </row>
    <row r="317" spans="1:26" x14ac:dyDescent="0.25">
      <c r="A317" s="9"/>
      <c r="B317" s="62" t="s">
        <v>313</v>
      </c>
      <c r="D317" s="18"/>
      <c r="E317" s="18"/>
      <c r="G317" s="18"/>
      <c r="H317" s="18"/>
      <c r="I317" s="18"/>
      <c r="J317" s="43"/>
      <c r="K317" s="18"/>
      <c r="L317" s="18"/>
      <c r="M317" s="18"/>
      <c r="P317" s="18"/>
      <c r="Q317" s="18"/>
      <c r="R317" s="43"/>
      <c r="S317" s="18"/>
      <c r="T317" s="18"/>
      <c r="U317" s="18"/>
      <c r="V317" s="43"/>
      <c r="W317" s="18"/>
      <c r="X317" s="18"/>
    </row>
    <row r="318" spans="1:26" x14ac:dyDescent="0.25">
      <c r="A318" s="9"/>
      <c r="B318" s="54"/>
      <c r="D318" s="18"/>
      <c r="E318" s="18"/>
      <c r="G318" s="18"/>
      <c r="H318" s="18"/>
      <c r="I318" s="18"/>
      <c r="J318" s="43"/>
      <c r="K318" s="18"/>
      <c r="L318" s="18"/>
      <c r="M318" s="18"/>
      <c r="P318" s="18"/>
      <c r="Q318" s="18"/>
      <c r="R318" s="43"/>
      <c r="S318" s="18"/>
      <c r="T318" s="18"/>
      <c r="U318" s="18"/>
      <c r="V318" s="43"/>
      <c r="W318" s="18"/>
      <c r="X318" s="18"/>
    </row>
    <row r="319" spans="1:26" x14ac:dyDescent="0.25">
      <c r="D319" s="18"/>
      <c r="E319" s="18"/>
      <c r="G319" s="18"/>
      <c r="H319" s="18"/>
      <c r="I319" s="18"/>
      <c r="J319" s="43"/>
      <c r="K319" s="18"/>
      <c r="L319" s="18"/>
      <c r="M319" s="18"/>
      <c r="P319" s="18"/>
      <c r="Q319" s="18"/>
      <c r="R319" s="43"/>
      <c r="S319" s="18"/>
      <c r="T319" s="18"/>
      <c r="U319" s="18"/>
      <c r="V319" s="43"/>
      <c r="W319" s="18"/>
      <c r="X319" s="18"/>
    </row>
  </sheetData>
  <pageMargins left="0.25" right="0.25" top="0.75" bottom="0.75" header="0.3" footer="0.3"/>
  <pageSetup scale="55" fitToWidth="2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312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61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50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50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2"/>
      <c r="F10" s="31" t="s">
        <v>14</v>
      </c>
      <c r="G10" s="32"/>
      <c r="H10" s="49" t="s">
        <v>306</v>
      </c>
      <c r="I10" s="32"/>
      <c r="J10" s="31" t="s">
        <v>14</v>
      </c>
      <c r="K10" s="10"/>
      <c r="L10" s="42" t="s">
        <v>11</v>
      </c>
      <c r="M10" s="10"/>
      <c r="N10" s="31" t="s">
        <v>15</v>
      </c>
      <c r="O10" s="10"/>
      <c r="P10" s="59" t="s">
        <v>10</v>
      </c>
      <c r="Q10" s="32"/>
      <c r="R10" s="31" t="s">
        <v>14</v>
      </c>
      <c r="S10" s="32"/>
      <c r="T10" s="49" t="s">
        <v>306</v>
      </c>
      <c r="U10" s="32"/>
      <c r="V10" s="31" t="s">
        <v>14</v>
      </c>
      <c r="W10" s="10"/>
      <c r="X10" s="42" t="s">
        <v>11</v>
      </c>
      <c r="Y10" s="10"/>
      <c r="Z10" s="31" t="s">
        <v>15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6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2" t="e">
        <f ca="1">SUM(_xll.OneStop.ReportPlayer.OSRFunctions.OSRRef(D22))</f>
        <v>#NAME?</v>
      </c>
      <c r="E20" s="22"/>
      <c r="F20" s="36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6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6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6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7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6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0" t="e">
        <f ca="1">+D27-D29</f>
        <v>#NAME?</v>
      </c>
      <c r="E31" s="13"/>
      <c r="F31" s="33" t="e">
        <f ca="1">IF(D$12=0,0,D31/D$12)</f>
        <v>#NAME?</v>
      </c>
      <c r="G31" s="13"/>
      <c r="H31" s="30" t="e">
        <f ca="1">+H27-H29</f>
        <v>#NAME?</v>
      </c>
      <c r="I31" s="13"/>
      <c r="J31" s="33" t="e">
        <f ca="1">IF(H$12=0,0,H31/H$12)</f>
        <v>#NAME?</v>
      </c>
      <c r="K31" s="15"/>
      <c r="L31" s="30" t="e">
        <f ca="1">D31-H31</f>
        <v>#NAME?</v>
      </c>
      <c r="M31" s="15"/>
      <c r="N31" s="33" t="e">
        <f ca="1">IF(H31=0,0,L31/H31)</f>
        <v>#NAME?</v>
      </c>
      <c r="O31" s="26"/>
      <c r="P31" s="30" t="e">
        <f ca="1">+P27-P29</f>
        <v>#NAME?</v>
      </c>
      <c r="Q31" s="13"/>
      <c r="R31" s="33" t="e">
        <f ca="1">IF(P$12=0,0,P31/P$12)</f>
        <v>#NAME?</v>
      </c>
      <c r="S31" s="13"/>
      <c r="T31" s="30" t="e">
        <f ca="1">+T27-T29</f>
        <v>#NAME?</v>
      </c>
      <c r="U31" s="13"/>
      <c r="V31" s="33" t="e">
        <f ca="1">IF(T$12=0,0,T31/T$12)</f>
        <v>#NAME?</v>
      </c>
      <c r="W31" s="15"/>
      <c r="X31" s="30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4" t="e">
        <f ca="1">SUM(D31:D35)</f>
        <v>#NAME?</v>
      </c>
      <c r="E36" s="13"/>
      <c r="F36" s="35" t="e">
        <f ca="1">IF(D$12=0,0,D36/D$12)</f>
        <v>#NAME?</v>
      </c>
      <c r="G36" s="13"/>
      <c r="H36" s="34" t="e">
        <f ca="1">SUM(H31:H35)</f>
        <v>#NAME?</v>
      </c>
      <c r="I36" s="13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6"/>
      <c r="P36" s="34" t="e">
        <f ca="1">SUM(P31:P35)</f>
        <v>#NAME?</v>
      </c>
      <c r="Q36" s="13"/>
      <c r="R36" s="35" t="e">
        <f ca="1">IF(P$12=0,0,P36/P$12)</f>
        <v>#NAME?</v>
      </c>
      <c r="S36" s="13"/>
      <c r="T36" s="34" t="e">
        <f ca="1">SUM(T31:T35)</f>
        <v>#NAME?</v>
      </c>
      <c r="U36" s="13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299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61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50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50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2"/>
      <c r="F10" s="31" t="s">
        <v>14</v>
      </c>
      <c r="G10" s="32"/>
      <c r="H10" s="49" t="s">
        <v>306</v>
      </c>
      <c r="I10" s="32"/>
      <c r="J10" s="31" t="s">
        <v>14</v>
      </c>
      <c r="K10" s="10"/>
      <c r="L10" s="42" t="s">
        <v>11</v>
      </c>
      <c r="M10" s="10"/>
      <c r="N10" s="31" t="s">
        <v>15</v>
      </c>
      <c r="O10" s="10"/>
      <c r="P10" s="59" t="s">
        <v>10</v>
      </c>
      <c r="Q10" s="32"/>
      <c r="R10" s="31" t="s">
        <v>14</v>
      </c>
      <c r="S10" s="32"/>
      <c r="T10" s="49" t="s">
        <v>306</v>
      </c>
      <c r="U10" s="32"/>
      <c r="V10" s="31" t="s">
        <v>14</v>
      </c>
      <c r="W10" s="10"/>
      <c r="X10" s="42" t="s">
        <v>11</v>
      </c>
      <c r="Y10" s="10"/>
      <c r="Z10" s="31" t="s">
        <v>15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6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2" t="e">
        <f ca="1">SUM(_xll.OneStop.ReportPlayer.OSRFunctions.OSRRef(D22))</f>
        <v>#NAME?</v>
      </c>
      <c r="E20" s="22"/>
      <c r="F20" s="36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6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6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6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7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6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0" t="e">
        <f ca="1">+D27-D29</f>
        <v>#NAME?</v>
      </c>
      <c r="E31" s="13"/>
      <c r="F31" s="33" t="e">
        <f ca="1">IF(D$12=0,0,D31/D$12)</f>
        <v>#NAME?</v>
      </c>
      <c r="G31" s="13"/>
      <c r="H31" s="30" t="e">
        <f ca="1">+H27-H29</f>
        <v>#NAME?</v>
      </c>
      <c r="I31" s="13"/>
      <c r="J31" s="33" t="e">
        <f ca="1">IF(H$12=0,0,H31/H$12)</f>
        <v>#NAME?</v>
      </c>
      <c r="K31" s="15"/>
      <c r="L31" s="30" t="e">
        <f ca="1">D31-H31</f>
        <v>#NAME?</v>
      </c>
      <c r="M31" s="15"/>
      <c r="N31" s="33" t="e">
        <f ca="1">IF(H31=0,0,L31/H31)</f>
        <v>#NAME?</v>
      </c>
      <c r="O31" s="26"/>
      <c r="P31" s="30" t="e">
        <f ca="1">+P27-P29</f>
        <v>#NAME?</v>
      </c>
      <c r="Q31" s="13"/>
      <c r="R31" s="33" t="e">
        <f ca="1">IF(P$12=0,0,P31/P$12)</f>
        <v>#NAME?</v>
      </c>
      <c r="S31" s="13"/>
      <c r="T31" s="30" t="e">
        <f ca="1">+T27-T29</f>
        <v>#NAME?</v>
      </c>
      <c r="U31" s="13"/>
      <c r="V31" s="33" t="e">
        <f ca="1">IF(T$12=0,0,T31/T$12)</f>
        <v>#NAME?</v>
      </c>
      <c r="W31" s="15"/>
      <c r="X31" s="30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4" t="e">
        <f ca="1">SUM(D31:D35)</f>
        <v>#NAME?</v>
      </c>
      <c r="E36" s="13"/>
      <c r="F36" s="35" t="e">
        <f ca="1">IF(D$12=0,0,D36/D$12)</f>
        <v>#NAME?</v>
      </c>
      <c r="G36" s="13"/>
      <c r="H36" s="34" t="e">
        <f ca="1">SUM(H31:H35)</f>
        <v>#NAME?</v>
      </c>
      <c r="I36" s="13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6"/>
      <c r="P36" s="34" t="e">
        <f ca="1">SUM(P31:P35)</f>
        <v>#NAME?</v>
      </c>
      <c r="Q36" s="13"/>
      <c r="R36" s="35" t="e">
        <f ca="1">IF(P$12=0,0,P36/P$12)</f>
        <v>#NAME?</v>
      </c>
      <c r="S36" s="13"/>
      <c r="T36" s="34" t="e">
        <f ca="1">SUM(T31:T35)</f>
        <v>#NAME?</v>
      </c>
      <c r="U36" s="13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299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61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50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50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2"/>
      <c r="F10" s="31" t="s">
        <v>14</v>
      </c>
      <c r="G10" s="32"/>
      <c r="H10" s="49" t="s">
        <v>306</v>
      </c>
      <c r="I10" s="32"/>
      <c r="J10" s="31" t="s">
        <v>14</v>
      </c>
      <c r="K10" s="10"/>
      <c r="L10" s="42" t="s">
        <v>11</v>
      </c>
      <c r="M10" s="10"/>
      <c r="N10" s="31" t="s">
        <v>15</v>
      </c>
      <c r="O10" s="10"/>
      <c r="P10" s="59" t="s">
        <v>10</v>
      </c>
      <c r="Q10" s="32"/>
      <c r="R10" s="31" t="s">
        <v>14</v>
      </c>
      <c r="S10" s="32"/>
      <c r="T10" s="49" t="s">
        <v>306</v>
      </c>
      <c r="U10" s="32"/>
      <c r="V10" s="31" t="s">
        <v>14</v>
      </c>
      <c r="W10" s="10"/>
      <c r="X10" s="42" t="s">
        <v>11</v>
      </c>
      <c r="Y10" s="10"/>
      <c r="Z10" s="31" t="s">
        <v>15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6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2" t="e">
        <f ca="1">SUM(_xll.OneStop.ReportPlayer.OSRFunctions.OSRRef(D22))</f>
        <v>#NAME?</v>
      </c>
      <c r="E20" s="22"/>
      <c r="F20" s="36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6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6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6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7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6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0" t="e">
        <f ca="1">+D27-D29</f>
        <v>#NAME?</v>
      </c>
      <c r="E31" s="13"/>
      <c r="F31" s="33" t="e">
        <f ca="1">IF(D$12=0,0,D31/D$12)</f>
        <v>#NAME?</v>
      </c>
      <c r="G31" s="13"/>
      <c r="H31" s="30" t="e">
        <f ca="1">+H27-H29</f>
        <v>#NAME?</v>
      </c>
      <c r="I31" s="13"/>
      <c r="J31" s="33" t="e">
        <f ca="1">IF(H$12=0,0,H31/H$12)</f>
        <v>#NAME?</v>
      </c>
      <c r="K31" s="15"/>
      <c r="L31" s="30" t="e">
        <f ca="1">D31-H31</f>
        <v>#NAME?</v>
      </c>
      <c r="M31" s="15"/>
      <c r="N31" s="33" t="e">
        <f ca="1">IF(H31=0,0,L31/H31)</f>
        <v>#NAME?</v>
      </c>
      <c r="O31" s="26"/>
      <c r="P31" s="30" t="e">
        <f ca="1">+P27-P29</f>
        <v>#NAME?</v>
      </c>
      <c r="Q31" s="13"/>
      <c r="R31" s="33" t="e">
        <f ca="1">IF(P$12=0,0,P31/P$12)</f>
        <v>#NAME?</v>
      </c>
      <c r="S31" s="13"/>
      <c r="T31" s="30" t="e">
        <f ca="1">+T27-T29</f>
        <v>#NAME?</v>
      </c>
      <c r="U31" s="13"/>
      <c r="V31" s="33" t="e">
        <f ca="1">IF(T$12=0,0,T31/T$12)</f>
        <v>#NAME?</v>
      </c>
      <c r="W31" s="15"/>
      <c r="X31" s="30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4" t="e">
        <f ca="1">SUM(D31:D35)</f>
        <v>#NAME?</v>
      </c>
      <c r="E36" s="13"/>
      <c r="F36" s="35" t="e">
        <f ca="1">IF(D$12=0,0,D36/D$12)</f>
        <v>#NAME?</v>
      </c>
      <c r="G36" s="13"/>
      <c r="H36" s="34" t="e">
        <f ca="1">SUM(H31:H35)</f>
        <v>#NAME?</v>
      </c>
      <c r="I36" s="13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6"/>
      <c r="P36" s="34" t="e">
        <f ca="1">SUM(P31:P35)</f>
        <v>#NAME?</v>
      </c>
      <c r="Q36" s="13"/>
      <c r="R36" s="35" t="e">
        <f ca="1">IF(P$12=0,0,P36/P$12)</f>
        <v>#NAME?</v>
      </c>
      <c r="S36" s="13"/>
      <c r="T36" s="34" t="e">
        <f ca="1">SUM(T31:T35)</f>
        <v>#NAME?</v>
      </c>
      <c r="U36" s="13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300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61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50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50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2"/>
      <c r="F10" s="31" t="s">
        <v>14</v>
      </c>
      <c r="G10" s="32"/>
      <c r="H10" s="49" t="s">
        <v>306</v>
      </c>
      <c r="I10" s="32"/>
      <c r="J10" s="31" t="s">
        <v>14</v>
      </c>
      <c r="K10" s="10"/>
      <c r="L10" s="42" t="s">
        <v>11</v>
      </c>
      <c r="M10" s="10"/>
      <c r="N10" s="31" t="s">
        <v>15</v>
      </c>
      <c r="O10" s="10"/>
      <c r="P10" s="59" t="s">
        <v>10</v>
      </c>
      <c r="Q10" s="32"/>
      <c r="R10" s="31" t="s">
        <v>14</v>
      </c>
      <c r="S10" s="32"/>
      <c r="T10" s="49" t="s">
        <v>306</v>
      </c>
      <c r="U10" s="32"/>
      <c r="V10" s="31" t="s">
        <v>14</v>
      </c>
      <c r="W10" s="10"/>
      <c r="X10" s="42" t="s">
        <v>11</v>
      </c>
      <c r="Y10" s="10"/>
      <c r="Z10" s="31" t="s">
        <v>15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6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2" t="e">
        <f ca="1">SUM(_xll.OneStop.ReportPlayer.OSRFunctions.OSRRef(D22))</f>
        <v>#NAME?</v>
      </c>
      <c r="E20" s="22"/>
      <c r="F20" s="36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6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6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6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7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6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0" t="e">
        <f ca="1">+D27-D29</f>
        <v>#NAME?</v>
      </c>
      <c r="E31" s="13"/>
      <c r="F31" s="33" t="e">
        <f ca="1">IF(D$12=0,0,D31/D$12)</f>
        <v>#NAME?</v>
      </c>
      <c r="G31" s="13"/>
      <c r="H31" s="30" t="e">
        <f ca="1">+H27-H29</f>
        <v>#NAME?</v>
      </c>
      <c r="I31" s="13"/>
      <c r="J31" s="33" t="e">
        <f ca="1">IF(H$12=0,0,H31/H$12)</f>
        <v>#NAME?</v>
      </c>
      <c r="K31" s="15"/>
      <c r="L31" s="30" t="e">
        <f ca="1">D31-H31</f>
        <v>#NAME?</v>
      </c>
      <c r="M31" s="15"/>
      <c r="N31" s="33" t="e">
        <f ca="1">IF(H31=0,0,L31/H31)</f>
        <v>#NAME?</v>
      </c>
      <c r="O31" s="26"/>
      <c r="P31" s="30" t="e">
        <f ca="1">+P27-P29</f>
        <v>#NAME?</v>
      </c>
      <c r="Q31" s="13"/>
      <c r="R31" s="33" t="e">
        <f ca="1">IF(P$12=0,0,P31/P$12)</f>
        <v>#NAME?</v>
      </c>
      <c r="S31" s="13"/>
      <c r="T31" s="30" t="e">
        <f ca="1">+T27-T29</f>
        <v>#NAME?</v>
      </c>
      <c r="U31" s="13"/>
      <c r="V31" s="33" t="e">
        <f ca="1">IF(T$12=0,0,T31/T$12)</f>
        <v>#NAME?</v>
      </c>
      <c r="W31" s="15"/>
      <c r="X31" s="30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4" t="e">
        <f ca="1">SUM(D31:D35)</f>
        <v>#NAME?</v>
      </c>
      <c r="E36" s="13"/>
      <c r="F36" s="35" t="e">
        <f ca="1">IF(D$12=0,0,D36/D$12)</f>
        <v>#NAME?</v>
      </c>
      <c r="G36" s="13"/>
      <c r="H36" s="34" t="e">
        <f ca="1">SUM(H31:H35)</f>
        <v>#NAME?</v>
      </c>
      <c r="I36" s="13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6"/>
      <c r="P36" s="34" t="e">
        <f ca="1">SUM(P31:P35)</f>
        <v>#NAME?</v>
      </c>
      <c r="Q36" s="13"/>
      <c r="R36" s="35" t="e">
        <f ca="1">IF(P$12=0,0,P36/P$12)</f>
        <v>#NAME?</v>
      </c>
      <c r="S36" s="13"/>
      <c r="T36" s="34" t="e">
        <f ca="1">SUM(T31:T35)</f>
        <v>#NAME?</v>
      </c>
      <c r="U36" s="13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300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61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50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50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2"/>
      <c r="F10" s="31" t="s">
        <v>14</v>
      </c>
      <c r="G10" s="32"/>
      <c r="H10" s="49" t="s">
        <v>306</v>
      </c>
      <c r="I10" s="32"/>
      <c r="J10" s="31" t="s">
        <v>14</v>
      </c>
      <c r="K10" s="10"/>
      <c r="L10" s="42" t="s">
        <v>11</v>
      </c>
      <c r="M10" s="10"/>
      <c r="N10" s="31" t="s">
        <v>15</v>
      </c>
      <c r="O10" s="10"/>
      <c r="P10" s="59" t="s">
        <v>10</v>
      </c>
      <c r="Q10" s="32"/>
      <c r="R10" s="31" t="s">
        <v>14</v>
      </c>
      <c r="S10" s="32"/>
      <c r="T10" s="49" t="s">
        <v>306</v>
      </c>
      <c r="U10" s="32"/>
      <c r="V10" s="31" t="s">
        <v>14</v>
      </c>
      <c r="W10" s="10"/>
      <c r="X10" s="42" t="s">
        <v>11</v>
      </c>
      <c r="Y10" s="10"/>
      <c r="Z10" s="31" t="s">
        <v>15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6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2" t="e">
        <f ca="1">SUM(_xll.OneStop.ReportPlayer.OSRFunctions.OSRRef(D22))</f>
        <v>#NAME?</v>
      </c>
      <c r="E20" s="22"/>
      <c r="F20" s="36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6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6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6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7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6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0" t="e">
        <f ca="1">+D27-D29</f>
        <v>#NAME?</v>
      </c>
      <c r="E31" s="13"/>
      <c r="F31" s="33" t="e">
        <f ca="1">IF(D$12=0,0,D31/D$12)</f>
        <v>#NAME?</v>
      </c>
      <c r="G31" s="13"/>
      <c r="H31" s="30" t="e">
        <f ca="1">+H27-H29</f>
        <v>#NAME?</v>
      </c>
      <c r="I31" s="13"/>
      <c r="J31" s="33" t="e">
        <f ca="1">IF(H$12=0,0,H31/H$12)</f>
        <v>#NAME?</v>
      </c>
      <c r="K31" s="15"/>
      <c r="L31" s="30" t="e">
        <f ca="1">D31-H31</f>
        <v>#NAME?</v>
      </c>
      <c r="M31" s="15"/>
      <c r="N31" s="33" t="e">
        <f ca="1">IF(H31=0,0,L31/H31)</f>
        <v>#NAME?</v>
      </c>
      <c r="O31" s="26"/>
      <c r="P31" s="30" t="e">
        <f ca="1">+P27-P29</f>
        <v>#NAME?</v>
      </c>
      <c r="Q31" s="13"/>
      <c r="R31" s="33" t="e">
        <f ca="1">IF(P$12=0,0,P31/P$12)</f>
        <v>#NAME?</v>
      </c>
      <c r="S31" s="13"/>
      <c r="T31" s="30" t="e">
        <f ca="1">+T27-T29</f>
        <v>#NAME?</v>
      </c>
      <c r="U31" s="13"/>
      <c r="V31" s="33" t="e">
        <f ca="1">IF(T$12=0,0,T31/T$12)</f>
        <v>#NAME?</v>
      </c>
      <c r="W31" s="15"/>
      <c r="X31" s="30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4" t="e">
        <f ca="1">SUM(D31:D35)</f>
        <v>#NAME?</v>
      </c>
      <c r="E36" s="13"/>
      <c r="F36" s="35" t="e">
        <f ca="1">IF(D$12=0,0,D36/D$12)</f>
        <v>#NAME?</v>
      </c>
      <c r="G36" s="13"/>
      <c r="H36" s="34" t="e">
        <f ca="1">SUM(H31:H35)</f>
        <v>#NAME?</v>
      </c>
      <c r="I36" s="13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6"/>
      <c r="P36" s="34" t="e">
        <f ca="1">SUM(P31:P35)</f>
        <v>#NAME?</v>
      </c>
      <c r="Q36" s="13"/>
      <c r="R36" s="35" t="e">
        <f ca="1">IF(P$12=0,0,P36/P$12)</f>
        <v>#NAME?</v>
      </c>
      <c r="S36" s="13"/>
      <c r="T36" s="34" t="e">
        <f ca="1">SUM(T31:T35)</f>
        <v>#NAME?</v>
      </c>
      <c r="U36" s="13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296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61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50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50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2"/>
      <c r="F10" s="31" t="s">
        <v>14</v>
      </c>
      <c r="G10" s="32"/>
      <c r="H10" s="49" t="s">
        <v>306</v>
      </c>
      <c r="I10" s="32"/>
      <c r="J10" s="31" t="s">
        <v>14</v>
      </c>
      <c r="K10" s="10"/>
      <c r="L10" s="42" t="s">
        <v>11</v>
      </c>
      <c r="M10" s="10"/>
      <c r="N10" s="31" t="s">
        <v>15</v>
      </c>
      <c r="O10" s="10"/>
      <c r="P10" s="59" t="s">
        <v>10</v>
      </c>
      <c r="Q10" s="32"/>
      <c r="R10" s="31" t="s">
        <v>14</v>
      </c>
      <c r="S10" s="32"/>
      <c r="T10" s="49" t="s">
        <v>306</v>
      </c>
      <c r="U10" s="32"/>
      <c r="V10" s="31" t="s">
        <v>14</v>
      </c>
      <c r="W10" s="10"/>
      <c r="X10" s="42" t="s">
        <v>11</v>
      </c>
      <c r="Y10" s="10"/>
      <c r="Z10" s="31" t="s">
        <v>15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6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2" t="e">
        <f ca="1">SUM(_xll.OneStop.ReportPlayer.OSRFunctions.OSRRef(D22))</f>
        <v>#NAME?</v>
      </c>
      <c r="E20" s="22"/>
      <c r="F20" s="36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6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6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6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7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6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0" t="e">
        <f ca="1">+D27-D29</f>
        <v>#NAME?</v>
      </c>
      <c r="E31" s="13"/>
      <c r="F31" s="33" t="e">
        <f ca="1">IF(D$12=0,0,D31/D$12)</f>
        <v>#NAME?</v>
      </c>
      <c r="G31" s="13"/>
      <c r="H31" s="30" t="e">
        <f ca="1">+H27-H29</f>
        <v>#NAME?</v>
      </c>
      <c r="I31" s="13"/>
      <c r="J31" s="33" t="e">
        <f ca="1">IF(H$12=0,0,H31/H$12)</f>
        <v>#NAME?</v>
      </c>
      <c r="K31" s="15"/>
      <c r="L31" s="30" t="e">
        <f ca="1">D31-H31</f>
        <v>#NAME?</v>
      </c>
      <c r="M31" s="15"/>
      <c r="N31" s="33" t="e">
        <f ca="1">IF(H31=0,0,L31/H31)</f>
        <v>#NAME?</v>
      </c>
      <c r="O31" s="26"/>
      <c r="P31" s="30" t="e">
        <f ca="1">+P27-P29</f>
        <v>#NAME?</v>
      </c>
      <c r="Q31" s="13"/>
      <c r="R31" s="33" t="e">
        <f ca="1">IF(P$12=0,0,P31/P$12)</f>
        <v>#NAME?</v>
      </c>
      <c r="S31" s="13"/>
      <c r="T31" s="30" t="e">
        <f ca="1">+T27-T29</f>
        <v>#NAME?</v>
      </c>
      <c r="U31" s="13"/>
      <c r="V31" s="33" t="e">
        <f ca="1">IF(T$12=0,0,T31/T$12)</f>
        <v>#NAME?</v>
      </c>
      <c r="W31" s="15"/>
      <c r="X31" s="30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4" t="e">
        <f ca="1">SUM(D31:D35)</f>
        <v>#NAME?</v>
      </c>
      <c r="E36" s="13"/>
      <c r="F36" s="35" t="e">
        <f ca="1">IF(D$12=0,0,D36/D$12)</f>
        <v>#NAME?</v>
      </c>
      <c r="G36" s="13"/>
      <c r="H36" s="34" t="e">
        <f ca="1">SUM(H31:H35)</f>
        <v>#NAME?</v>
      </c>
      <c r="I36" s="13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6"/>
      <c r="P36" s="34" t="e">
        <f ca="1">SUM(P31:P35)</f>
        <v>#NAME?</v>
      </c>
      <c r="Q36" s="13"/>
      <c r="R36" s="35" t="e">
        <f ca="1">IF(P$12=0,0,P36/P$12)</f>
        <v>#NAME?</v>
      </c>
      <c r="S36" s="13"/>
      <c r="T36" s="34" t="e">
        <f ca="1">SUM(T31:T35)</f>
        <v>#NAME?</v>
      </c>
      <c r="U36" s="13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296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61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50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50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2"/>
      <c r="F10" s="31" t="s">
        <v>14</v>
      </c>
      <c r="G10" s="32"/>
      <c r="H10" s="49" t="s">
        <v>306</v>
      </c>
      <c r="I10" s="32"/>
      <c r="J10" s="31" t="s">
        <v>14</v>
      </c>
      <c r="K10" s="10"/>
      <c r="L10" s="42" t="s">
        <v>11</v>
      </c>
      <c r="M10" s="10"/>
      <c r="N10" s="31" t="s">
        <v>15</v>
      </c>
      <c r="O10" s="10"/>
      <c r="P10" s="59" t="s">
        <v>10</v>
      </c>
      <c r="Q10" s="32"/>
      <c r="R10" s="31" t="s">
        <v>14</v>
      </c>
      <c r="S10" s="32"/>
      <c r="T10" s="49" t="s">
        <v>306</v>
      </c>
      <c r="U10" s="32"/>
      <c r="V10" s="31" t="s">
        <v>14</v>
      </c>
      <c r="W10" s="10"/>
      <c r="X10" s="42" t="s">
        <v>11</v>
      </c>
      <c r="Y10" s="10"/>
      <c r="Z10" s="31" t="s">
        <v>15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6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2" t="e">
        <f ca="1">SUM(_xll.OneStop.ReportPlayer.OSRFunctions.OSRRef(D22))</f>
        <v>#NAME?</v>
      </c>
      <c r="E20" s="22"/>
      <c r="F20" s="36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6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6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6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7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6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0" t="e">
        <f ca="1">+D27-D29</f>
        <v>#NAME?</v>
      </c>
      <c r="E31" s="13"/>
      <c r="F31" s="33" t="e">
        <f ca="1">IF(D$12=0,0,D31/D$12)</f>
        <v>#NAME?</v>
      </c>
      <c r="G31" s="13"/>
      <c r="H31" s="30" t="e">
        <f ca="1">+H27-H29</f>
        <v>#NAME?</v>
      </c>
      <c r="I31" s="13"/>
      <c r="J31" s="33" t="e">
        <f ca="1">IF(H$12=0,0,H31/H$12)</f>
        <v>#NAME?</v>
      </c>
      <c r="K31" s="15"/>
      <c r="L31" s="30" t="e">
        <f ca="1">D31-H31</f>
        <v>#NAME?</v>
      </c>
      <c r="M31" s="15"/>
      <c r="N31" s="33" t="e">
        <f ca="1">IF(H31=0,0,L31/H31)</f>
        <v>#NAME?</v>
      </c>
      <c r="O31" s="26"/>
      <c r="P31" s="30" t="e">
        <f ca="1">+P27-P29</f>
        <v>#NAME?</v>
      </c>
      <c r="Q31" s="13"/>
      <c r="R31" s="33" t="e">
        <f ca="1">IF(P$12=0,0,P31/P$12)</f>
        <v>#NAME?</v>
      </c>
      <c r="S31" s="13"/>
      <c r="T31" s="30" t="e">
        <f ca="1">+T27-T29</f>
        <v>#NAME?</v>
      </c>
      <c r="U31" s="13"/>
      <c r="V31" s="33" t="e">
        <f ca="1">IF(T$12=0,0,T31/T$12)</f>
        <v>#NAME?</v>
      </c>
      <c r="W31" s="15"/>
      <c r="X31" s="30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4" t="e">
        <f ca="1">SUM(D31:D35)</f>
        <v>#NAME?</v>
      </c>
      <c r="E36" s="13"/>
      <c r="F36" s="35" t="e">
        <f ca="1">IF(D$12=0,0,D36/D$12)</f>
        <v>#NAME?</v>
      </c>
      <c r="G36" s="13"/>
      <c r="H36" s="34" t="e">
        <f ca="1">SUM(H31:H35)</f>
        <v>#NAME?</v>
      </c>
      <c r="I36" s="13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6"/>
      <c r="P36" s="34" t="e">
        <f ca="1">SUM(P31:P35)</f>
        <v>#NAME?</v>
      </c>
      <c r="Q36" s="13"/>
      <c r="R36" s="35" t="e">
        <f ca="1">IF(P$12=0,0,P36/P$12)</f>
        <v>#NAME?</v>
      </c>
      <c r="S36" s="13"/>
      <c r="T36" s="34" t="e">
        <f ca="1">SUM(T31:T35)</f>
        <v>#NAME?</v>
      </c>
      <c r="U36" s="13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310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61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50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50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2"/>
      <c r="F10" s="31" t="s">
        <v>14</v>
      </c>
      <c r="G10" s="32"/>
      <c r="H10" s="49" t="s">
        <v>306</v>
      </c>
      <c r="I10" s="32"/>
      <c r="J10" s="31" t="s">
        <v>14</v>
      </c>
      <c r="K10" s="10"/>
      <c r="L10" s="42" t="s">
        <v>11</v>
      </c>
      <c r="M10" s="10"/>
      <c r="N10" s="31" t="s">
        <v>15</v>
      </c>
      <c r="O10" s="10"/>
      <c r="P10" s="59" t="s">
        <v>10</v>
      </c>
      <c r="Q10" s="32"/>
      <c r="R10" s="31" t="s">
        <v>14</v>
      </c>
      <c r="S10" s="32"/>
      <c r="T10" s="49" t="s">
        <v>306</v>
      </c>
      <c r="U10" s="32"/>
      <c r="V10" s="31" t="s">
        <v>14</v>
      </c>
      <c r="W10" s="10"/>
      <c r="X10" s="42" t="s">
        <v>11</v>
      </c>
      <c r="Y10" s="10"/>
      <c r="Z10" s="31" t="s">
        <v>15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6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2" t="e">
        <f ca="1">SUM(_xll.OneStop.ReportPlayer.OSRFunctions.OSRRef(D22))</f>
        <v>#NAME?</v>
      </c>
      <c r="E20" s="22"/>
      <c r="F20" s="36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6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6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6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7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6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0" t="e">
        <f ca="1">+D27-D29</f>
        <v>#NAME?</v>
      </c>
      <c r="E31" s="13"/>
      <c r="F31" s="33" t="e">
        <f ca="1">IF(D$12=0,0,D31/D$12)</f>
        <v>#NAME?</v>
      </c>
      <c r="G31" s="13"/>
      <c r="H31" s="30" t="e">
        <f ca="1">+H27-H29</f>
        <v>#NAME?</v>
      </c>
      <c r="I31" s="13"/>
      <c r="J31" s="33" t="e">
        <f ca="1">IF(H$12=0,0,H31/H$12)</f>
        <v>#NAME?</v>
      </c>
      <c r="K31" s="15"/>
      <c r="L31" s="30" t="e">
        <f ca="1">D31-H31</f>
        <v>#NAME?</v>
      </c>
      <c r="M31" s="15"/>
      <c r="N31" s="33" t="e">
        <f ca="1">IF(H31=0,0,L31/H31)</f>
        <v>#NAME?</v>
      </c>
      <c r="O31" s="26"/>
      <c r="P31" s="30" t="e">
        <f ca="1">+P27-P29</f>
        <v>#NAME?</v>
      </c>
      <c r="Q31" s="13"/>
      <c r="R31" s="33" t="e">
        <f ca="1">IF(P$12=0,0,P31/P$12)</f>
        <v>#NAME?</v>
      </c>
      <c r="S31" s="13"/>
      <c r="T31" s="30" t="e">
        <f ca="1">+T27-T29</f>
        <v>#NAME?</v>
      </c>
      <c r="U31" s="13"/>
      <c r="V31" s="33" t="e">
        <f ca="1">IF(T$12=0,0,T31/T$12)</f>
        <v>#NAME?</v>
      </c>
      <c r="W31" s="15"/>
      <c r="X31" s="30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4" t="e">
        <f ca="1">SUM(D31:D35)</f>
        <v>#NAME?</v>
      </c>
      <c r="E36" s="13"/>
      <c r="F36" s="35" t="e">
        <f ca="1">IF(D$12=0,0,D36/D$12)</f>
        <v>#NAME?</v>
      </c>
      <c r="G36" s="13"/>
      <c r="H36" s="34" t="e">
        <f ca="1">SUM(H31:H35)</f>
        <v>#NAME?</v>
      </c>
      <c r="I36" s="13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6"/>
      <c r="P36" s="34" t="e">
        <f ca="1">SUM(P31:P35)</f>
        <v>#NAME?</v>
      </c>
      <c r="Q36" s="13"/>
      <c r="R36" s="35" t="e">
        <f ca="1">IF(P$12=0,0,P36/P$12)</f>
        <v>#NAME?</v>
      </c>
      <c r="S36" s="13"/>
      <c r="T36" s="34" t="e">
        <f ca="1">SUM(T31:T35)</f>
        <v>#NAME?</v>
      </c>
      <c r="U36" s="13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310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61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50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50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2"/>
      <c r="F10" s="31" t="s">
        <v>14</v>
      </c>
      <c r="G10" s="32"/>
      <c r="H10" s="49" t="s">
        <v>306</v>
      </c>
      <c r="I10" s="32"/>
      <c r="J10" s="31" t="s">
        <v>14</v>
      </c>
      <c r="K10" s="10"/>
      <c r="L10" s="42" t="s">
        <v>11</v>
      </c>
      <c r="M10" s="10"/>
      <c r="N10" s="31" t="s">
        <v>15</v>
      </c>
      <c r="O10" s="10"/>
      <c r="P10" s="59" t="s">
        <v>10</v>
      </c>
      <c r="Q10" s="32"/>
      <c r="R10" s="31" t="s">
        <v>14</v>
      </c>
      <c r="S10" s="32"/>
      <c r="T10" s="49" t="s">
        <v>306</v>
      </c>
      <c r="U10" s="32"/>
      <c r="V10" s="31" t="s">
        <v>14</v>
      </c>
      <c r="W10" s="10"/>
      <c r="X10" s="42" t="s">
        <v>11</v>
      </c>
      <c r="Y10" s="10"/>
      <c r="Z10" s="31" t="s">
        <v>15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6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2" t="e">
        <f ca="1">SUM(_xll.OneStop.ReportPlayer.OSRFunctions.OSRRef(D22))</f>
        <v>#NAME?</v>
      </c>
      <c r="E20" s="22"/>
      <c r="F20" s="36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6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6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6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7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6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0" t="e">
        <f ca="1">+D27-D29</f>
        <v>#NAME?</v>
      </c>
      <c r="E31" s="13"/>
      <c r="F31" s="33" t="e">
        <f ca="1">IF(D$12=0,0,D31/D$12)</f>
        <v>#NAME?</v>
      </c>
      <c r="G31" s="13"/>
      <c r="H31" s="30" t="e">
        <f ca="1">+H27-H29</f>
        <v>#NAME?</v>
      </c>
      <c r="I31" s="13"/>
      <c r="J31" s="33" t="e">
        <f ca="1">IF(H$12=0,0,H31/H$12)</f>
        <v>#NAME?</v>
      </c>
      <c r="K31" s="15"/>
      <c r="L31" s="30" t="e">
        <f ca="1">D31-H31</f>
        <v>#NAME?</v>
      </c>
      <c r="M31" s="15"/>
      <c r="N31" s="33" t="e">
        <f ca="1">IF(H31=0,0,L31/H31)</f>
        <v>#NAME?</v>
      </c>
      <c r="O31" s="26"/>
      <c r="P31" s="30" t="e">
        <f ca="1">+P27-P29</f>
        <v>#NAME?</v>
      </c>
      <c r="Q31" s="13"/>
      <c r="R31" s="33" t="e">
        <f ca="1">IF(P$12=0,0,P31/P$12)</f>
        <v>#NAME?</v>
      </c>
      <c r="S31" s="13"/>
      <c r="T31" s="30" t="e">
        <f ca="1">+T27-T29</f>
        <v>#NAME?</v>
      </c>
      <c r="U31" s="13"/>
      <c r="V31" s="33" t="e">
        <f ca="1">IF(T$12=0,0,T31/T$12)</f>
        <v>#NAME?</v>
      </c>
      <c r="W31" s="15"/>
      <c r="X31" s="30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4" t="e">
        <f ca="1">SUM(D31:D35)</f>
        <v>#NAME?</v>
      </c>
      <c r="E36" s="13"/>
      <c r="F36" s="35" t="e">
        <f ca="1">IF(D$12=0,0,D36/D$12)</f>
        <v>#NAME?</v>
      </c>
      <c r="G36" s="13"/>
      <c r="H36" s="34" t="e">
        <f ca="1">SUM(H31:H35)</f>
        <v>#NAME?</v>
      </c>
      <c r="I36" s="13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6"/>
      <c r="P36" s="34" t="e">
        <f ca="1">SUM(P31:P35)</f>
        <v>#NAME?</v>
      </c>
      <c r="Q36" s="13"/>
      <c r="R36" s="35" t="e">
        <f ca="1">IF(P$12=0,0,P36/P$12)</f>
        <v>#NAME?</v>
      </c>
      <c r="S36" s="13"/>
      <c r="T36" s="34" t="e">
        <f ca="1">SUM(T31:T35)</f>
        <v>#NAME?</v>
      </c>
      <c r="U36" s="13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",RIGHT(202104,2),", ",2021)</f>
        <v>Period 04,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44135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","100", " - ", "Corporate")</f>
        <v>Department 100 - Corporate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61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50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50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2"/>
      <c r="F10" s="31" t="s">
        <v>14</v>
      </c>
      <c r="G10" s="32"/>
      <c r="H10" s="49" t="s">
        <v>306</v>
      </c>
      <c r="I10" s="32"/>
      <c r="J10" s="31" t="s">
        <v>14</v>
      </c>
      <c r="K10" s="10"/>
      <c r="L10" s="42" t="s">
        <v>11</v>
      </c>
      <c r="M10" s="10"/>
      <c r="N10" s="31" t="s">
        <v>15</v>
      </c>
      <c r="O10" s="10"/>
      <c r="P10" s="59" t="s">
        <v>10</v>
      </c>
      <c r="Q10" s="32"/>
      <c r="R10" s="31" t="s">
        <v>14</v>
      </c>
      <c r="S10" s="32"/>
      <c r="T10" s="49" t="s">
        <v>306</v>
      </c>
      <c r="U10" s="32"/>
      <c r="V10" s="31" t="s">
        <v>14</v>
      </c>
      <c r="W10" s="10"/>
      <c r="X10" s="42" t="s">
        <v>11</v>
      </c>
      <c r="Y10" s="10"/>
      <c r="Z10" s="31" t="s">
        <v>15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6</v>
      </c>
      <c r="C16" s="25"/>
      <c r="D16" s="20">
        <f>D12-D14</f>
        <v>0</v>
      </c>
      <c r="E16" s="13"/>
      <c r="F16" s="21">
        <f>IF(D$12=0,0,D16/D$12)</f>
        <v>0</v>
      </c>
      <c r="G16" s="13"/>
      <c r="H16" s="20">
        <f>H12-H14</f>
        <v>0</v>
      </c>
      <c r="I16" s="13"/>
      <c r="J16" s="21">
        <f>IF(H$12=0,0,H16/H$12)</f>
        <v>0</v>
      </c>
      <c r="K16" s="15"/>
      <c r="L16" s="20">
        <f>+D16-H16</f>
        <v>0</v>
      </c>
      <c r="M16" s="15"/>
      <c r="N16" s="21">
        <f>IF(H16=0,0,L16/H16)</f>
        <v>0</v>
      </c>
      <c r="O16" s="26"/>
      <c r="P16" s="20">
        <f>P12-P14</f>
        <v>0</v>
      </c>
      <c r="Q16" s="13"/>
      <c r="R16" s="21">
        <f>IF(P$12=0,0,P16/P$12)</f>
        <v>0</v>
      </c>
      <c r="S16" s="13"/>
      <c r="T16" s="20">
        <f>T12-T14</f>
        <v>0</v>
      </c>
      <c r="U16" s="13"/>
      <c r="V16" s="21">
        <f>IF(T$12=0,0,T16/T$12)</f>
        <v>0</v>
      </c>
      <c r="W16" s="15"/>
      <c r="X16" s="20">
        <f>+P16-T16</f>
        <v>0</v>
      </c>
      <c r="Y16" s="15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9</v>
      </c>
      <c r="C18" s="10"/>
      <c r="D18" s="22">
        <f>SUM(0)</f>
        <v>0</v>
      </c>
      <c r="E18" s="22"/>
      <c r="F18" s="36">
        <f>IF(D$12=0,0,D18/D$12)</f>
        <v>0</v>
      </c>
      <c r="G18" s="22"/>
      <c r="H18" s="22">
        <f>SUM(0)</f>
        <v>0</v>
      </c>
      <c r="I18" s="22"/>
      <c r="J18" s="36">
        <f>IF(H$12=0,0,H18/H$12)</f>
        <v>0</v>
      </c>
      <c r="K18" s="4"/>
      <c r="L18" s="22">
        <f>+D18-H18</f>
        <v>0</v>
      </c>
      <c r="M18" s="4"/>
      <c r="N18" s="36">
        <f>IF(H18=0,0,L18/H18)</f>
        <v>0</v>
      </c>
      <c r="O18" s="10"/>
      <c r="P18" s="22">
        <f>SUM(0)</f>
        <v>0</v>
      </c>
      <c r="Q18" s="22"/>
      <c r="R18" s="36">
        <f>IF(P$12=0,0,P18/P$12)</f>
        <v>0</v>
      </c>
      <c r="S18" s="22"/>
      <c r="T18" s="22">
        <f>SUM(0)</f>
        <v>0</v>
      </c>
      <c r="U18" s="22"/>
      <c r="V18" s="36">
        <f>IF(T$12=0,0,T18/T$12)</f>
        <v>0</v>
      </c>
      <c r="W18" s="4"/>
      <c r="X18" s="22">
        <f>+P18-T18</f>
        <v>0</v>
      </c>
      <c r="Y18" s="4"/>
      <c r="Z18" s="36">
        <f>IF(T18=0,0,X18/T18)</f>
        <v>0</v>
      </c>
    </row>
    <row r="19" spans="1:26" s="57" customFormat="1" x14ac:dyDescent="0.25">
      <c r="A19" s="37"/>
      <c r="B19" s="37"/>
      <c r="C19" s="37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5" t="s">
        <v>3</v>
      </c>
      <c r="C22" s="25"/>
      <c r="D22" s="20">
        <f>+D16-D18+D20</f>
        <v>0</v>
      </c>
      <c r="E22" s="13"/>
      <c r="F22" s="21">
        <f>IF(D$12=0,0,D22/D$12)</f>
        <v>0</v>
      </c>
      <c r="G22" s="13"/>
      <c r="H22" s="20">
        <f>+H16-H18+H20</f>
        <v>0</v>
      </c>
      <c r="I22" s="13"/>
      <c r="J22" s="21">
        <f>IF(H$12=0,0,H22/H$12)</f>
        <v>0</v>
      </c>
      <c r="K22" s="15"/>
      <c r="L22" s="20">
        <f>+D22-H22</f>
        <v>0</v>
      </c>
      <c r="M22" s="15"/>
      <c r="N22" s="21">
        <f>IF(H22=0,0,L22/H22)</f>
        <v>0</v>
      </c>
      <c r="O22" s="26"/>
      <c r="P22" s="20">
        <f>+P16-P18+P20</f>
        <v>0</v>
      </c>
      <c r="Q22" s="13"/>
      <c r="R22" s="21">
        <f>IF(P$12=0,0,P22/P$12)</f>
        <v>0</v>
      </c>
      <c r="S22" s="13"/>
      <c r="T22" s="20">
        <f>+T16-T18+T20</f>
        <v>0</v>
      </c>
      <c r="U22" s="13"/>
      <c r="V22" s="21">
        <f>IF(T$12=0,0,T22/T$12)</f>
        <v>0</v>
      </c>
      <c r="W22" s="15"/>
      <c r="X22" s="20">
        <f>+P22-T22</f>
        <v>0</v>
      </c>
      <c r="Y22" s="15"/>
      <c r="Z22" s="21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1"/>
      <c r="B24" s="10" t="s">
        <v>13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5" t="s">
        <v>4</v>
      </c>
      <c r="C26" s="25"/>
      <c r="D26" s="30">
        <f>+D22-D24</f>
        <v>0</v>
      </c>
      <c r="E26" s="13"/>
      <c r="F26" s="33">
        <f>IF(D$12=0,0,D26/D$12)</f>
        <v>0</v>
      </c>
      <c r="G26" s="13"/>
      <c r="H26" s="30">
        <f>+H22-H24</f>
        <v>0</v>
      </c>
      <c r="I26" s="13"/>
      <c r="J26" s="33">
        <f>IF(H$12=0,0,H26/H$12)</f>
        <v>0</v>
      </c>
      <c r="K26" s="15"/>
      <c r="L26" s="30">
        <f>D26-H26</f>
        <v>0</v>
      </c>
      <c r="M26" s="15"/>
      <c r="N26" s="33">
        <f>IF(H26=0,0,L26/H26)</f>
        <v>0</v>
      </c>
      <c r="O26" s="26"/>
      <c r="P26" s="30">
        <f>+P22-P24</f>
        <v>0</v>
      </c>
      <c r="Q26" s="13"/>
      <c r="R26" s="33">
        <f>IF(P$12=0,0,P26/P$12)</f>
        <v>0</v>
      </c>
      <c r="S26" s="13"/>
      <c r="T26" s="30">
        <f>+T22-T24</f>
        <v>0</v>
      </c>
      <c r="U26" s="13"/>
      <c r="V26" s="33">
        <f>IF(T$12=0,0,T26/T$12)</f>
        <v>0</v>
      </c>
      <c r="W26" s="15"/>
      <c r="X26" s="30">
        <f>P26-T26</f>
        <v>0</v>
      </c>
      <c r="Y26" s="15"/>
      <c r="Z26" s="33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51"/>
      <c r="B28" s="10" t="s">
        <v>2</v>
      </c>
      <c r="C28" s="10"/>
      <c r="D28" s="4">
        <f>-139066.28</f>
        <v>-139066.28</v>
      </c>
      <c r="E28" s="4"/>
      <c r="F28" s="12">
        <f t="shared" ref="F28:F29" si="0">IF(D$12=0,0,D28/D$12)</f>
        <v>0</v>
      </c>
      <c r="G28" s="4"/>
      <c r="H28" s="4">
        <f>--215833.16</f>
        <v>215833.16</v>
      </c>
      <c r="I28" s="4"/>
      <c r="J28" s="12">
        <f t="shared" ref="J28:J29" si="1">IF(H$12=0,0,H28/H$12)</f>
        <v>0</v>
      </c>
      <c r="K28" s="4"/>
      <c r="L28" s="4">
        <f t="shared" ref="L28:L29" si="2">+D28-H28</f>
        <v>-354899.44</v>
      </c>
      <c r="M28" s="4"/>
      <c r="N28" s="12">
        <f t="shared" ref="N28:N29" si="3">IF(H28=0,0,L28/H28)</f>
        <v>-1.64432305026716</v>
      </c>
      <c r="O28" s="10"/>
      <c r="P28" s="4">
        <f>--580692.78</f>
        <v>580692.78</v>
      </c>
      <c r="Q28" s="4"/>
      <c r="R28" s="12">
        <f t="shared" ref="R28:R29" si="4">IF(P$12=0,0,P28/P$12)</f>
        <v>0</v>
      </c>
      <c r="S28" s="4"/>
      <c r="T28" s="4">
        <f>--118303.25</f>
        <v>118303.25</v>
      </c>
      <c r="U28" s="4"/>
      <c r="V28" s="12">
        <f t="shared" ref="V28:V29" si="5">IF(T$12=0,0,T28/T$12)</f>
        <v>0</v>
      </c>
      <c r="W28" s="4"/>
      <c r="X28" s="4">
        <f t="shared" ref="X28:X29" si="6">+P28-T28</f>
        <v>462389.53</v>
      </c>
      <c r="Y28" s="4"/>
      <c r="Z28" s="12">
        <f t="shared" ref="Z28:Z29" si="7">IF(T28=0,0,X28/T28)</f>
        <v>3.9085107974632991</v>
      </c>
    </row>
    <row r="29" spans="1:26" s="23" customFormat="1" x14ac:dyDescent="0.25">
      <c r="A29" s="51"/>
      <c r="B29" s="10" t="s">
        <v>1</v>
      </c>
      <c r="C29" s="10"/>
      <c r="D29" s="4">
        <f>--10141.14</f>
        <v>10141.14</v>
      </c>
      <c r="E29" s="4"/>
      <c r="F29" s="12">
        <f t="shared" si="0"/>
        <v>0</v>
      </c>
      <c r="G29" s="4"/>
      <c r="H29" s="4">
        <f>--13441.85</f>
        <v>13441.85</v>
      </c>
      <c r="I29" s="4"/>
      <c r="J29" s="12">
        <f t="shared" si="1"/>
        <v>0</v>
      </c>
      <c r="K29" s="4"/>
      <c r="L29" s="4">
        <f t="shared" si="2"/>
        <v>-3300.7100000000009</v>
      </c>
      <c r="M29" s="4"/>
      <c r="N29" s="12">
        <f t="shared" si="3"/>
        <v>-0.24555474134884714</v>
      </c>
      <c r="O29" s="10"/>
      <c r="P29" s="4">
        <f>-23119.82</f>
        <v>-23119.82</v>
      </c>
      <c r="Q29" s="4"/>
      <c r="R29" s="12">
        <f t="shared" si="4"/>
        <v>0</v>
      </c>
      <c r="S29" s="4"/>
      <c r="T29" s="4">
        <f>--65213.01</f>
        <v>65213.01</v>
      </c>
      <c r="U29" s="4"/>
      <c r="V29" s="12">
        <f t="shared" si="5"/>
        <v>0</v>
      </c>
      <c r="W29" s="4"/>
      <c r="X29" s="4">
        <f t="shared" si="6"/>
        <v>-88332.83</v>
      </c>
      <c r="Y29" s="4"/>
      <c r="Z29" s="12">
        <f t="shared" si="7"/>
        <v>-1.3545277238391542</v>
      </c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5</v>
      </c>
      <c r="C31" s="25"/>
      <c r="D31" s="34">
        <f>SUM(D26:D30)</f>
        <v>-128925.14</v>
      </c>
      <c r="E31" s="13"/>
      <c r="F31" s="35">
        <f>IF(D$12=0,0,D31/D$12)</f>
        <v>0</v>
      </c>
      <c r="G31" s="13"/>
      <c r="H31" s="34">
        <f>SUM(H26:H30)</f>
        <v>229275.01</v>
      </c>
      <c r="I31" s="13"/>
      <c r="J31" s="35">
        <f>IF(H$12=0,0,H31/H$12)</f>
        <v>0</v>
      </c>
      <c r="K31" s="15"/>
      <c r="L31" s="34">
        <f>+D31-H31</f>
        <v>-358200.15</v>
      </c>
      <c r="M31" s="15"/>
      <c r="N31" s="35">
        <f>IF(H31=0,0,L31/H31)</f>
        <v>-1.56231658216916</v>
      </c>
      <c r="O31" s="26"/>
      <c r="P31" s="34">
        <f>SUM(P26:P30)</f>
        <v>557572.96000000008</v>
      </c>
      <c r="Q31" s="13"/>
      <c r="R31" s="35">
        <f>IF(P$12=0,0,P31/P$12)</f>
        <v>0</v>
      </c>
      <c r="S31" s="13"/>
      <c r="T31" s="34">
        <f>SUM(T26:T30)</f>
        <v>183516.26</v>
      </c>
      <c r="U31" s="13"/>
      <c r="V31" s="35">
        <f>IF(T$12=0,0,T31/T$12)</f>
        <v>0</v>
      </c>
      <c r="W31" s="15"/>
      <c r="X31" s="34">
        <f>+P31-T31</f>
        <v>374056.70000000007</v>
      </c>
      <c r="Y31" s="15"/>
      <c r="Z31" s="35">
        <f>IF(T31=0,0,X31/T31)</f>
        <v>2.0382755184744941</v>
      </c>
    </row>
    <row r="32" spans="1:26" ht="15.75" thickTop="1" x14ac:dyDescent="0.25">
      <c r="A32" s="9"/>
      <c r="C32" s="9"/>
      <c r="D32" s="18"/>
      <c r="E32" s="18"/>
      <c r="G32" s="18"/>
      <c r="H32" s="18"/>
      <c r="I32" s="18"/>
      <c r="J32" s="43"/>
      <c r="K32" s="18"/>
      <c r="L32" s="18"/>
      <c r="M32" s="18"/>
      <c r="P32" s="18"/>
      <c r="Q32" s="18"/>
      <c r="R32" s="43"/>
      <c r="S32" s="18"/>
      <c r="T32" s="18"/>
      <c r="U32" s="18"/>
      <c r="V32" s="43"/>
      <c r="W32" s="18"/>
      <c r="X32" s="18"/>
    </row>
    <row r="33" spans="1:24" x14ac:dyDescent="0.25">
      <c r="A33" s="9"/>
      <c r="B33" s="56">
        <v>44151.572119791665</v>
      </c>
      <c r="D33" s="18"/>
      <c r="E33" s="18"/>
      <c r="G33" s="18"/>
      <c r="H33" s="18"/>
      <c r="I33" s="18"/>
      <c r="J33" s="43"/>
      <c r="K33" s="18"/>
      <c r="L33" s="18"/>
      <c r="M33" s="18"/>
      <c r="P33" s="18"/>
      <c r="Q33" s="18"/>
      <c r="R33" s="43"/>
      <c r="S33" s="18"/>
      <c r="T33" s="18"/>
      <c r="U33" s="18"/>
      <c r="V33" s="43"/>
      <c r="W33" s="18"/>
      <c r="X33" s="18"/>
    </row>
    <row r="34" spans="1:24" x14ac:dyDescent="0.25">
      <c r="A34" s="9"/>
      <c r="B34" s="62" t="s">
        <v>313</v>
      </c>
      <c r="D34" s="18"/>
      <c r="E34" s="18"/>
      <c r="G34" s="18"/>
      <c r="H34" s="18"/>
      <c r="I34" s="18"/>
      <c r="J34" s="43"/>
      <c r="K34" s="18"/>
      <c r="L34" s="18"/>
      <c r="M34" s="18"/>
      <c r="P34" s="18"/>
      <c r="Q34" s="18"/>
      <c r="R34" s="43"/>
      <c r="S34" s="18"/>
      <c r="T34" s="18"/>
      <c r="U34" s="18"/>
      <c r="V34" s="43"/>
      <c r="W34" s="18"/>
      <c r="X34" s="18"/>
    </row>
    <row r="35" spans="1:24" x14ac:dyDescent="0.25">
      <c r="A35" s="9"/>
      <c r="B35" s="54"/>
      <c r="D35" s="18"/>
      <c r="E35" s="18"/>
      <c r="G35" s="18"/>
      <c r="H35" s="18"/>
      <c r="I35" s="18"/>
      <c r="J35" s="43"/>
      <c r="K35" s="18"/>
      <c r="L35" s="18"/>
      <c r="M35" s="18"/>
      <c r="P35" s="18"/>
      <c r="Q35" s="18"/>
      <c r="R35" s="43"/>
      <c r="S35" s="18"/>
      <c r="T35" s="18"/>
      <c r="U35" s="18"/>
      <c r="V35" s="43"/>
      <c r="W35" s="18"/>
      <c r="X35" s="18"/>
    </row>
    <row r="36" spans="1:24" x14ac:dyDescent="0.25"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</sheetData>
  <pageMargins left="0.25" right="0.25" top="0.75" bottom="0.75" header="0.3" footer="0.3"/>
  <pageSetup scale="55" fitToWidth="2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295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61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50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50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2"/>
      <c r="F10" s="31" t="s">
        <v>14</v>
      </c>
      <c r="G10" s="32"/>
      <c r="H10" s="49" t="s">
        <v>306</v>
      </c>
      <c r="I10" s="32"/>
      <c r="J10" s="31" t="s">
        <v>14</v>
      </c>
      <c r="K10" s="10"/>
      <c r="L10" s="42" t="s">
        <v>11</v>
      </c>
      <c r="M10" s="10"/>
      <c r="N10" s="31" t="s">
        <v>15</v>
      </c>
      <c r="O10" s="10"/>
      <c r="P10" s="59" t="s">
        <v>10</v>
      </c>
      <c r="Q10" s="32"/>
      <c r="R10" s="31" t="s">
        <v>14</v>
      </c>
      <c r="S10" s="32"/>
      <c r="T10" s="49" t="s">
        <v>306</v>
      </c>
      <c r="U10" s="32"/>
      <c r="V10" s="31" t="s">
        <v>14</v>
      </c>
      <c r="W10" s="10"/>
      <c r="X10" s="42" t="s">
        <v>11</v>
      </c>
      <c r="Y10" s="10"/>
      <c r="Z10" s="31" t="s">
        <v>15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6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2" t="e">
        <f ca="1">SUM(_xll.OneStop.ReportPlayer.OSRFunctions.OSRRef(D22))</f>
        <v>#NAME?</v>
      </c>
      <c r="E20" s="22"/>
      <c r="F20" s="36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6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6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6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7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6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0" t="e">
        <f ca="1">+D27-D29</f>
        <v>#NAME?</v>
      </c>
      <c r="E31" s="13"/>
      <c r="F31" s="33" t="e">
        <f ca="1">IF(D$12=0,0,D31/D$12)</f>
        <v>#NAME?</v>
      </c>
      <c r="G31" s="13"/>
      <c r="H31" s="30" t="e">
        <f ca="1">+H27-H29</f>
        <v>#NAME?</v>
      </c>
      <c r="I31" s="13"/>
      <c r="J31" s="33" t="e">
        <f ca="1">IF(H$12=0,0,H31/H$12)</f>
        <v>#NAME?</v>
      </c>
      <c r="K31" s="15"/>
      <c r="L31" s="30" t="e">
        <f ca="1">D31-H31</f>
        <v>#NAME?</v>
      </c>
      <c r="M31" s="15"/>
      <c r="N31" s="33" t="e">
        <f ca="1">IF(H31=0,0,L31/H31)</f>
        <v>#NAME?</v>
      </c>
      <c r="O31" s="26"/>
      <c r="P31" s="30" t="e">
        <f ca="1">+P27-P29</f>
        <v>#NAME?</v>
      </c>
      <c r="Q31" s="13"/>
      <c r="R31" s="33" t="e">
        <f ca="1">IF(P$12=0,0,P31/P$12)</f>
        <v>#NAME?</v>
      </c>
      <c r="S31" s="13"/>
      <c r="T31" s="30" t="e">
        <f ca="1">+T27-T29</f>
        <v>#NAME?</v>
      </c>
      <c r="U31" s="13"/>
      <c r="V31" s="33" t="e">
        <f ca="1">IF(T$12=0,0,T31/T$12)</f>
        <v>#NAME?</v>
      </c>
      <c r="W31" s="15"/>
      <c r="X31" s="30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4" t="e">
        <f ca="1">SUM(D31:D35)</f>
        <v>#NAME?</v>
      </c>
      <c r="E36" s="13"/>
      <c r="F36" s="35" t="e">
        <f ca="1">IF(D$12=0,0,D36/D$12)</f>
        <v>#NAME?</v>
      </c>
      <c r="G36" s="13"/>
      <c r="H36" s="34" t="e">
        <f ca="1">SUM(H31:H35)</f>
        <v>#NAME?</v>
      </c>
      <c r="I36" s="13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6"/>
      <c r="P36" s="34" t="e">
        <f ca="1">SUM(P31:P35)</f>
        <v>#NAME?</v>
      </c>
      <c r="Q36" s="13"/>
      <c r="R36" s="35" t="e">
        <f ca="1">IF(P$12=0,0,P36/P$12)</f>
        <v>#NAME?</v>
      </c>
      <c r="S36" s="13"/>
      <c r="T36" s="34" t="e">
        <f ca="1">SUM(T31:T35)</f>
        <v>#NAME?</v>
      </c>
      <c r="U36" s="13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0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",RIGHT(202104,2),", ",2021)</f>
        <v>Period 04,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44135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298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61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50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50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2"/>
      <c r="F10" s="31" t="s">
        <v>14</v>
      </c>
      <c r="G10" s="32"/>
      <c r="H10" s="49" t="s">
        <v>306</v>
      </c>
      <c r="I10" s="32"/>
      <c r="J10" s="31" t="s">
        <v>14</v>
      </c>
      <c r="K10" s="10"/>
      <c r="L10" s="42" t="s">
        <v>11</v>
      </c>
      <c r="M10" s="10"/>
      <c r="N10" s="31" t="s">
        <v>15</v>
      </c>
      <c r="O10" s="10"/>
      <c r="P10" s="59" t="s">
        <v>10</v>
      </c>
      <c r="Q10" s="32"/>
      <c r="R10" s="31" t="s">
        <v>14</v>
      </c>
      <c r="S10" s="32"/>
      <c r="T10" s="49" t="s">
        <v>306</v>
      </c>
      <c r="U10" s="32"/>
      <c r="V10" s="31" t="s">
        <v>14</v>
      </c>
      <c r="W10" s="10"/>
      <c r="X10" s="42" t="s">
        <v>11</v>
      </c>
      <c r="Y10" s="10"/>
      <c r="Z10" s="31" t="s">
        <v>15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6</v>
      </c>
      <c r="C16" s="25"/>
      <c r="D16" s="20">
        <f>D12-D14</f>
        <v>0</v>
      </c>
      <c r="E16" s="13"/>
      <c r="F16" s="21">
        <f>IF(D$12=0,0,D16/D$12)</f>
        <v>0</v>
      </c>
      <c r="G16" s="13"/>
      <c r="H16" s="20">
        <f>H12-H14</f>
        <v>0</v>
      </c>
      <c r="I16" s="13"/>
      <c r="J16" s="21">
        <f>IF(H$12=0,0,H16/H$12)</f>
        <v>0</v>
      </c>
      <c r="K16" s="15"/>
      <c r="L16" s="20">
        <f>+D16-H16</f>
        <v>0</v>
      </c>
      <c r="M16" s="15"/>
      <c r="N16" s="21">
        <f>IF(H16=0,0,L16/H16)</f>
        <v>0</v>
      </c>
      <c r="O16" s="26"/>
      <c r="P16" s="20">
        <f>P12-P14</f>
        <v>0</v>
      </c>
      <c r="Q16" s="13"/>
      <c r="R16" s="21">
        <f>IF(P$12=0,0,P16/P$12)</f>
        <v>0</v>
      </c>
      <c r="S16" s="13"/>
      <c r="T16" s="20">
        <f>T12-T14</f>
        <v>0</v>
      </c>
      <c r="U16" s="13"/>
      <c r="V16" s="21">
        <f>IF(T$12=0,0,T16/T$12)</f>
        <v>0</v>
      </c>
      <c r="W16" s="15"/>
      <c r="X16" s="20">
        <f>+P16-T16</f>
        <v>0</v>
      </c>
      <c r="Y16" s="15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9</v>
      </c>
      <c r="C18" s="10"/>
      <c r="D18" s="22">
        <f>SUM(OSRRefD22x_0)</f>
        <v>259749.95</v>
      </c>
      <c r="E18" s="22"/>
      <c r="F18" s="36">
        <f t="shared" ref="F18:F30" si="0">IF(D$12=0,0,D18/D$12)</f>
        <v>0</v>
      </c>
      <c r="G18" s="22"/>
      <c r="H18" s="22">
        <f>SUM(OSRRefH22x_0)</f>
        <v>309098.71000000008</v>
      </c>
      <c r="I18" s="22"/>
      <c r="J18" s="36">
        <f t="shared" ref="J18:J30" si="1">IF(H$12=0,0,H18/H$12)</f>
        <v>0</v>
      </c>
      <c r="K18" s="4"/>
      <c r="L18" s="22">
        <f t="shared" ref="L18:L30" si="2">+D18-H18</f>
        <v>-49348.760000000068</v>
      </c>
      <c r="M18" s="4"/>
      <c r="N18" s="36">
        <f t="shared" ref="N18:N30" si="3">IF(H18=0,0,L18/H18)</f>
        <v>-0.15965372356293578</v>
      </c>
      <c r="O18" s="10"/>
      <c r="P18" s="22">
        <f>SUM(OSRRefP22x_0)</f>
        <v>923647.69000000029</v>
      </c>
      <c r="Q18" s="22"/>
      <c r="R18" s="36">
        <f t="shared" ref="R18:R30" si="4">IF(P$12=0,0,P18/P$12)</f>
        <v>0</v>
      </c>
      <c r="S18" s="22"/>
      <c r="T18" s="22">
        <f>SUM(OSRRefT22x_0)</f>
        <v>1354656.5099999995</v>
      </c>
      <c r="U18" s="22"/>
      <c r="V18" s="36">
        <f t="shared" ref="V18:V30" si="5">IF(T$12=0,0,T18/T$12)</f>
        <v>0</v>
      </c>
      <c r="W18" s="4"/>
      <c r="X18" s="22">
        <f t="shared" ref="X18:X30" si="6">+P18-T18</f>
        <v>-431008.81999999925</v>
      </c>
      <c r="Y18" s="4"/>
      <c r="Z18" s="36">
        <f t="shared" ref="Z18:Z30" si="7">IF(T18=0,0,X18/T18)</f>
        <v>-0.31816834512536274</v>
      </c>
    </row>
    <row r="19" spans="1:26" s="29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93001.400000000009</v>
      </c>
      <c r="E19" s="1"/>
      <c r="F19" s="5">
        <f t="shared" si="0"/>
        <v>0</v>
      </c>
      <c r="G19" s="1"/>
      <c r="H19" s="1">
        <f>SUM(OSRRefH22_0x_0)</f>
        <v>105845.59</v>
      </c>
      <c r="I19" s="1"/>
      <c r="J19" s="5">
        <f t="shared" si="1"/>
        <v>0</v>
      </c>
      <c r="K19" s="1"/>
      <c r="L19" s="1">
        <f t="shared" si="2"/>
        <v>-12844.189999999988</v>
      </c>
      <c r="M19" s="1"/>
      <c r="N19" s="5">
        <f t="shared" si="3"/>
        <v>-0.12134837171770678</v>
      </c>
      <c r="O19" s="14"/>
      <c r="P19" s="1">
        <f>SUM(OSRRefP22_0x_0)</f>
        <v>339578.91</v>
      </c>
      <c r="Q19" s="1"/>
      <c r="R19" s="5">
        <f t="shared" si="4"/>
        <v>0</v>
      </c>
      <c r="S19" s="1"/>
      <c r="T19" s="1">
        <f>SUM(OSRRefT22_0x_0)</f>
        <v>393129</v>
      </c>
      <c r="U19" s="1"/>
      <c r="V19" s="5">
        <f t="shared" si="5"/>
        <v>0</v>
      </c>
      <c r="W19" s="1"/>
      <c r="X19" s="1">
        <f t="shared" si="6"/>
        <v>-53550.090000000026</v>
      </c>
      <c r="Y19" s="1"/>
      <c r="Z19" s="5">
        <f t="shared" si="7"/>
        <v>-0.13621505917904816</v>
      </c>
    </row>
    <row r="20" spans="1:26" s="24" customFormat="1" hidden="1" outlineLevel="2" x14ac:dyDescent="0.25">
      <c r="A20" s="28"/>
      <c r="B20" s="11" t="str">
        <f>CONCATENATE("          ", "6111", " - ", "F.I.C.A.")</f>
        <v xml:space="preserve">          6111 - F.I.C.A.</v>
      </c>
      <c r="C20" s="11"/>
      <c r="D20" s="6">
        <v>13501.48</v>
      </c>
      <c r="E20" s="2"/>
      <c r="F20" s="7">
        <f t="shared" si="0"/>
        <v>0</v>
      </c>
      <c r="G20" s="2"/>
      <c r="H20" s="6">
        <v>18234.75</v>
      </c>
      <c r="I20" s="2"/>
      <c r="J20" s="7">
        <f t="shared" si="1"/>
        <v>0</v>
      </c>
      <c r="K20" s="2"/>
      <c r="L20" s="6">
        <f t="shared" si="2"/>
        <v>-4733.2700000000004</v>
      </c>
      <c r="M20" s="2"/>
      <c r="N20" s="7">
        <f t="shared" si="3"/>
        <v>-0.25957416471297934</v>
      </c>
      <c r="O20" s="11"/>
      <c r="P20" s="6">
        <v>35476.550000000003</v>
      </c>
      <c r="Q20" s="2"/>
      <c r="R20" s="7">
        <f t="shared" si="4"/>
        <v>0</v>
      </c>
      <c r="S20" s="2"/>
      <c r="T20" s="6">
        <v>45125.66</v>
      </c>
      <c r="U20" s="2"/>
      <c r="V20" s="7">
        <f t="shared" si="5"/>
        <v>0</v>
      </c>
      <c r="W20" s="2"/>
      <c r="X20" s="6">
        <f t="shared" si="6"/>
        <v>-9649.11</v>
      </c>
      <c r="Y20" s="2"/>
      <c r="Z20" s="7">
        <f t="shared" si="7"/>
        <v>-0.21382756507051642</v>
      </c>
    </row>
    <row r="21" spans="1:26" s="24" customFormat="1" hidden="1" outlineLevel="2" x14ac:dyDescent="0.25">
      <c r="A21" s="28"/>
      <c r="B21" s="11" t="str">
        <f>CONCATENATE("          ", "6112", " - ", "COMPENSATION INSURANCE")</f>
        <v xml:space="preserve">          6112 - COMPENSATION INSURANCE</v>
      </c>
      <c r="C21" s="11"/>
      <c r="D21" s="6">
        <v>593.14</v>
      </c>
      <c r="E21" s="2"/>
      <c r="F21" s="7">
        <f t="shared" si="0"/>
        <v>0</v>
      </c>
      <c r="G21" s="2"/>
      <c r="H21" s="6">
        <v>206.18</v>
      </c>
      <c r="I21" s="2"/>
      <c r="J21" s="7">
        <f t="shared" si="1"/>
        <v>0</v>
      </c>
      <c r="K21" s="2"/>
      <c r="L21" s="6">
        <f t="shared" si="2"/>
        <v>386.96</v>
      </c>
      <c r="M21" s="2"/>
      <c r="N21" s="7">
        <f t="shared" si="3"/>
        <v>1.8768066737801918</v>
      </c>
      <c r="O21" s="11"/>
      <c r="P21" s="6">
        <v>2381.84</v>
      </c>
      <c r="Q21" s="2"/>
      <c r="R21" s="7">
        <f t="shared" si="4"/>
        <v>0</v>
      </c>
      <c r="S21" s="2"/>
      <c r="T21" s="6">
        <v>2308.4699999999998</v>
      </c>
      <c r="U21" s="2"/>
      <c r="V21" s="7">
        <f t="shared" si="5"/>
        <v>0</v>
      </c>
      <c r="W21" s="2"/>
      <c r="X21" s="6">
        <f t="shared" si="6"/>
        <v>73.370000000000346</v>
      </c>
      <c r="Y21" s="2"/>
      <c r="Z21" s="7">
        <f t="shared" si="7"/>
        <v>3.1782955810558663E-2</v>
      </c>
    </row>
    <row r="22" spans="1:26" s="24" customFormat="1" hidden="1" outlineLevel="2" x14ac:dyDescent="0.25">
      <c r="A22" s="28"/>
      <c r="B22" s="11" t="str">
        <f>CONCATENATE("          ", "6113", " - ", "GROUP INSURANCE")</f>
        <v xml:space="preserve">          6113 - GROUP INSURANCE</v>
      </c>
      <c r="C22" s="11"/>
      <c r="D22" s="6">
        <v>23374.05</v>
      </c>
      <c r="E22" s="2"/>
      <c r="F22" s="7">
        <f t="shared" si="0"/>
        <v>0</v>
      </c>
      <c r="G22" s="2"/>
      <c r="H22" s="6">
        <v>22318.02</v>
      </c>
      <c r="I22" s="2"/>
      <c r="J22" s="7">
        <f t="shared" si="1"/>
        <v>0</v>
      </c>
      <c r="K22" s="2"/>
      <c r="L22" s="6">
        <f t="shared" si="2"/>
        <v>1056.0299999999988</v>
      </c>
      <c r="M22" s="2"/>
      <c r="N22" s="7">
        <f t="shared" si="3"/>
        <v>4.7317369551599951E-2</v>
      </c>
      <c r="O22" s="11"/>
      <c r="P22" s="6">
        <v>91351.84</v>
      </c>
      <c r="Q22" s="2"/>
      <c r="R22" s="7">
        <f t="shared" si="4"/>
        <v>0</v>
      </c>
      <c r="S22" s="2"/>
      <c r="T22" s="6">
        <v>90678.55</v>
      </c>
      <c r="U22" s="2"/>
      <c r="V22" s="7">
        <f t="shared" si="5"/>
        <v>0</v>
      </c>
      <c r="W22" s="2"/>
      <c r="X22" s="6">
        <f t="shared" si="6"/>
        <v>673.2899999999936</v>
      </c>
      <c r="Y22" s="2"/>
      <c r="Z22" s="7">
        <f t="shared" si="7"/>
        <v>7.4250194781455324E-3</v>
      </c>
    </row>
    <row r="23" spans="1:26" s="24" customFormat="1" hidden="1" outlineLevel="2" x14ac:dyDescent="0.25">
      <c r="A23" s="28"/>
      <c r="B23" s="11" t="str">
        <f>CONCATENATE("          ", "6114", " - ", "STATE UNEMPLOYMENT INSURANCE")</f>
        <v xml:space="preserve">          6114 - STATE UNEMPLOYMENT INSURANCE</v>
      </c>
      <c r="C23" s="11"/>
      <c r="D23" s="6">
        <v>252.63</v>
      </c>
      <c r="E23" s="2"/>
      <c r="F23" s="7">
        <f t="shared" si="0"/>
        <v>0</v>
      </c>
      <c r="G23" s="2"/>
      <c r="H23" s="6">
        <v>805.49</v>
      </c>
      <c r="I23" s="2"/>
      <c r="J23" s="7">
        <f t="shared" si="1"/>
        <v>0</v>
      </c>
      <c r="K23" s="2"/>
      <c r="L23" s="6">
        <f t="shared" si="2"/>
        <v>-552.86</v>
      </c>
      <c r="M23" s="2"/>
      <c r="N23" s="7">
        <f t="shared" si="3"/>
        <v>-0.68636482141305288</v>
      </c>
      <c r="O23" s="11"/>
      <c r="P23" s="6">
        <v>1015.97</v>
      </c>
      <c r="Q23" s="2"/>
      <c r="R23" s="7">
        <f t="shared" si="4"/>
        <v>0</v>
      </c>
      <c r="S23" s="2"/>
      <c r="T23" s="6">
        <v>1787.77</v>
      </c>
      <c r="U23" s="2"/>
      <c r="V23" s="7">
        <f t="shared" si="5"/>
        <v>0</v>
      </c>
      <c r="W23" s="2"/>
      <c r="X23" s="6">
        <f t="shared" si="6"/>
        <v>-771.8</v>
      </c>
      <c r="Y23" s="2"/>
      <c r="Z23" s="7">
        <f t="shared" si="7"/>
        <v>-0.43171101428036041</v>
      </c>
    </row>
    <row r="24" spans="1:26" s="24" customFormat="1" hidden="1" outlineLevel="2" x14ac:dyDescent="0.25">
      <c r="A24" s="28"/>
      <c r="B24" s="11" t="str">
        <f>CONCATENATE("          ", "6115", " - ", "P.E.R.S.")</f>
        <v xml:space="preserve">          6115 - P.E.R.S.</v>
      </c>
      <c r="C24" s="11"/>
      <c r="D24" s="6">
        <v>7443.75</v>
      </c>
      <c r="E24" s="2"/>
      <c r="F24" s="7">
        <f t="shared" si="0"/>
        <v>0</v>
      </c>
      <c r="G24" s="2"/>
      <c r="H24" s="6">
        <v>15463.6</v>
      </c>
      <c r="I24" s="2"/>
      <c r="J24" s="7">
        <f t="shared" si="1"/>
        <v>0</v>
      </c>
      <c r="K24" s="2"/>
      <c r="L24" s="6">
        <f t="shared" si="2"/>
        <v>-8019.85</v>
      </c>
      <c r="M24" s="2"/>
      <c r="N24" s="7">
        <f t="shared" si="3"/>
        <v>-0.5186276158203782</v>
      </c>
      <c r="O24" s="11"/>
      <c r="P24" s="6">
        <v>33496.89</v>
      </c>
      <c r="Q24" s="2"/>
      <c r="R24" s="7">
        <f t="shared" si="4"/>
        <v>0</v>
      </c>
      <c r="S24" s="2"/>
      <c r="T24" s="6">
        <v>39941.870000000003</v>
      </c>
      <c r="U24" s="2"/>
      <c r="V24" s="7">
        <f t="shared" si="5"/>
        <v>0</v>
      </c>
      <c r="W24" s="2"/>
      <c r="X24" s="6">
        <f t="shared" si="6"/>
        <v>-6444.9800000000032</v>
      </c>
      <c r="Y24" s="2"/>
      <c r="Z24" s="7">
        <f t="shared" si="7"/>
        <v>-0.16135899495942485</v>
      </c>
    </row>
    <row r="25" spans="1:26" s="24" customFormat="1" hidden="1" outlineLevel="2" x14ac:dyDescent="0.25">
      <c r="A25" s="28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/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1971.94</v>
      </c>
      <c r="U25" s="2"/>
      <c r="V25" s="7">
        <f t="shared" si="5"/>
        <v>0</v>
      </c>
      <c r="W25" s="2"/>
      <c r="X25" s="6">
        <f t="shared" si="6"/>
        <v>-1971.94</v>
      </c>
      <c r="Y25" s="2"/>
      <c r="Z25" s="7">
        <f t="shared" si="7"/>
        <v>-1</v>
      </c>
    </row>
    <row r="26" spans="1:26" s="24" customFormat="1" hidden="1" outlineLevel="2" x14ac:dyDescent="0.25">
      <c r="A26" s="28"/>
      <c r="B26" s="11" t="str">
        <f>CONCATENATE("          ", "6117", " - ", "RETIREMENT STAFF HOURLY")</f>
        <v xml:space="preserve">          6117 - RETIREMENT STAFF HOURLY</v>
      </c>
      <c r="C26" s="11"/>
      <c r="D26" s="6">
        <v>753.23</v>
      </c>
      <c r="E26" s="2"/>
      <c r="F26" s="7">
        <f t="shared" si="0"/>
        <v>0</v>
      </c>
      <c r="G26" s="2"/>
      <c r="H26" s="6">
        <v>858.87</v>
      </c>
      <c r="I26" s="2"/>
      <c r="J26" s="7">
        <f t="shared" si="1"/>
        <v>0</v>
      </c>
      <c r="K26" s="2"/>
      <c r="L26" s="6">
        <f t="shared" si="2"/>
        <v>-105.63999999999999</v>
      </c>
      <c r="M26" s="2"/>
      <c r="N26" s="7">
        <f t="shared" si="3"/>
        <v>-0.12299882403623363</v>
      </c>
      <c r="O26" s="11"/>
      <c r="P26" s="6">
        <v>3417.52</v>
      </c>
      <c r="Q26" s="2"/>
      <c r="R26" s="7">
        <f t="shared" si="4"/>
        <v>0</v>
      </c>
      <c r="S26" s="2"/>
      <c r="T26" s="6">
        <v>3493.74</v>
      </c>
      <c r="U26" s="2"/>
      <c r="V26" s="7">
        <f t="shared" si="5"/>
        <v>0</v>
      </c>
      <c r="W26" s="2"/>
      <c r="X26" s="6">
        <f t="shared" si="6"/>
        <v>-76.2199999999998</v>
      </c>
      <c r="Y26" s="2"/>
      <c r="Z26" s="7">
        <f t="shared" si="7"/>
        <v>-2.1816162622290098E-2</v>
      </c>
    </row>
    <row r="27" spans="1:26" s="24" customFormat="1" hidden="1" outlineLevel="2" x14ac:dyDescent="0.25">
      <c r="A27" s="28"/>
      <c r="B27" s="11" t="str">
        <f>CONCATENATE("          ", "6118", " - ", "VACATION")</f>
        <v xml:space="preserve">          6118 - VACATION</v>
      </c>
      <c r="C27" s="11"/>
      <c r="D27" s="6">
        <v>9367.15</v>
      </c>
      <c r="E27" s="2"/>
      <c r="F27" s="7">
        <f t="shared" si="0"/>
        <v>0</v>
      </c>
      <c r="G27" s="2"/>
      <c r="H27" s="6">
        <v>10007.4</v>
      </c>
      <c r="I27" s="2"/>
      <c r="J27" s="7">
        <f t="shared" si="1"/>
        <v>0</v>
      </c>
      <c r="K27" s="2"/>
      <c r="L27" s="6">
        <f t="shared" si="2"/>
        <v>-640.25</v>
      </c>
      <c r="M27" s="2"/>
      <c r="N27" s="7">
        <f t="shared" si="3"/>
        <v>-6.397765653416472E-2</v>
      </c>
      <c r="O27" s="11"/>
      <c r="P27" s="6">
        <v>27986.240000000002</v>
      </c>
      <c r="Q27" s="2"/>
      <c r="R27" s="7">
        <f t="shared" si="4"/>
        <v>0</v>
      </c>
      <c r="S27" s="2"/>
      <c r="T27" s="6">
        <v>41393.15</v>
      </c>
      <c r="U27" s="2"/>
      <c r="V27" s="7">
        <f t="shared" si="5"/>
        <v>0</v>
      </c>
      <c r="W27" s="2"/>
      <c r="X27" s="6">
        <f t="shared" si="6"/>
        <v>-13406.91</v>
      </c>
      <c r="Y27" s="2"/>
      <c r="Z27" s="7">
        <f t="shared" si="7"/>
        <v>-0.32389199662262957</v>
      </c>
    </row>
    <row r="28" spans="1:26" s="24" customFormat="1" hidden="1" outlineLevel="2" x14ac:dyDescent="0.25">
      <c r="A28" s="28"/>
      <c r="B28" s="11" t="str">
        <f>CONCATENATE("          ", "6119", " - ", "SICK LEAVE")</f>
        <v xml:space="preserve">          6119 - SICK LEAVE</v>
      </c>
      <c r="C28" s="11"/>
      <c r="D28" s="6">
        <v>6237.75</v>
      </c>
      <c r="E28" s="2"/>
      <c r="F28" s="7">
        <f t="shared" si="0"/>
        <v>0</v>
      </c>
      <c r="G28" s="2"/>
      <c r="H28" s="6">
        <v>6337.59</v>
      </c>
      <c r="I28" s="2"/>
      <c r="J28" s="7">
        <f t="shared" si="1"/>
        <v>0</v>
      </c>
      <c r="K28" s="2"/>
      <c r="L28" s="6">
        <f t="shared" si="2"/>
        <v>-99.840000000000146</v>
      </c>
      <c r="M28" s="2"/>
      <c r="N28" s="7">
        <f t="shared" si="3"/>
        <v>-1.5753622433764276E-2</v>
      </c>
      <c r="O28" s="11"/>
      <c r="P28" s="6">
        <v>18713.25</v>
      </c>
      <c r="Q28" s="2"/>
      <c r="R28" s="7">
        <f t="shared" si="4"/>
        <v>0</v>
      </c>
      <c r="S28" s="2"/>
      <c r="T28" s="6">
        <v>39326.18</v>
      </c>
      <c r="U28" s="2"/>
      <c r="V28" s="7">
        <f t="shared" si="5"/>
        <v>0</v>
      </c>
      <c r="W28" s="2"/>
      <c r="X28" s="6">
        <f t="shared" si="6"/>
        <v>-20612.93</v>
      </c>
      <c r="Y28" s="2"/>
      <c r="Z28" s="7">
        <f t="shared" si="7"/>
        <v>-0.52415286712312259</v>
      </c>
    </row>
    <row r="29" spans="1:26" s="24" customFormat="1" hidden="1" outlineLevel="2" x14ac:dyDescent="0.25">
      <c r="A29" s="28"/>
      <c r="B29" s="11" t="str">
        <f>CONCATENATE("          ", "6120", " - ", "RETIREES HEALTH INSURANCE")</f>
        <v xml:space="preserve">          6120 - RETIREES HEALTH INSURANCE</v>
      </c>
      <c r="C29" s="11"/>
      <c r="D29" s="6">
        <v>30642.670000000002</v>
      </c>
      <c r="E29" s="2"/>
      <c r="F29" s="7">
        <f t="shared" si="0"/>
        <v>0</v>
      </c>
      <c r="G29" s="2"/>
      <c r="H29" s="6">
        <v>29109.38</v>
      </c>
      <c r="I29" s="2"/>
      <c r="J29" s="7">
        <f t="shared" si="1"/>
        <v>0</v>
      </c>
      <c r="K29" s="2"/>
      <c r="L29" s="6">
        <f t="shared" si="2"/>
        <v>1533.2900000000009</v>
      </c>
      <c r="M29" s="2"/>
      <c r="N29" s="7">
        <f t="shared" si="3"/>
        <v>5.2673399433447253E-2</v>
      </c>
      <c r="O29" s="11"/>
      <c r="P29" s="6">
        <v>122405.68000000001</v>
      </c>
      <c r="Q29" s="2"/>
      <c r="R29" s="7">
        <f t="shared" si="4"/>
        <v>0</v>
      </c>
      <c r="S29" s="2"/>
      <c r="T29" s="6">
        <v>117406.01999999999</v>
      </c>
      <c r="U29" s="2"/>
      <c r="V29" s="7">
        <f t="shared" si="5"/>
        <v>0</v>
      </c>
      <c r="W29" s="2"/>
      <c r="X29" s="6">
        <f t="shared" si="6"/>
        <v>4999.660000000018</v>
      </c>
      <c r="Y29" s="2"/>
      <c r="Z29" s="7">
        <f t="shared" si="7"/>
        <v>4.2584358110427545E-2</v>
      </c>
    </row>
    <row r="30" spans="1:26" s="24" customFormat="1" hidden="1" outlineLevel="2" x14ac:dyDescent="0.25">
      <c r="A30" s="28"/>
      <c r="B30" s="11" t="str">
        <f>CONCATENATE("          ", "6156", " - ", "EMPLOYEE MEALS")</f>
        <v xml:space="preserve">          6156 - EMPLOYEE MEALS</v>
      </c>
      <c r="C30" s="11"/>
      <c r="D30" s="6">
        <v>835.55</v>
      </c>
      <c r="E30" s="2"/>
      <c r="F30" s="7">
        <f t="shared" si="0"/>
        <v>0</v>
      </c>
      <c r="G30" s="2"/>
      <c r="H30" s="6">
        <v>2504.31</v>
      </c>
      <c r="I30" s="2"/>
      <c r="J30" s="7">
        <f t="shared" si="1"/>
        <v>0</v>
      </c>
      <c r="K30" s="2"/>
      <c r="L30" s="6">
        <f t="shared" si="2"/>
        <v>-1668.76</v>
      </c>
      <c r="M30" s="2"/>
      <c r="N30" s="7">
        <f t="shared" si="3"/>
        <v>-0.66635520362894374</v>
      </c>
      <c r="O30" s="11"/>
      <c r="P30" s="6">
        <v>3333.13</v>
      </c>
      <c r="Q30" s="2"/>
      <c r="R30" s="7">
        <f t="shared" si="4"/>
        <v>0</v>
      </c>
      <c r="S30" s="2"/>
      <c r="T30" s="6">
        <v>9695.65</v>
      </c>
      <c r="U30" s="2"/>
      <c r="V30" s="7">
        <f t="shared" si="5"/>
        <v>0</v>
      </c>
      <c r="W30" s="2"/>
      <c r="X30" s="6">
        <f t="shared" si="6"/>
        <v>-6362.5199999999995</v>
      </c>
      <c r="Y30" s="2"/>
      <c r="Z30" s="7">
        <f t="shared" si="7"/>
        <v>-0.65622418300990648</v>
      </c>
    </row>
    <row r="31" spans="1:26" s="29" customFormat="1" outlineLevel="1" collapsed="1" x14ac:dyDescent="0.25">
      <c r="A31" s="27"/>
      <c r="B31" s="14" t="str">
        <f>CONCATENATE("     ","*Payroll                                          ")</f>
        <v xml:space="preserve">     *Payroll                                          </v>
      </c>
      <c r="C31" s="14"/>
      <c r="D31" s="1">
        <f>SUM(OSRRefD22_1x_0)</f>
        <v>73755.100000000006</v>
      </c>
      <c r="E31" s="1"/>
      <c r="F31" s="5">
        <f t="shared" ref="F31:F38" si="8">IF(D$12=0,0,D31/D$12)</f>
        <v>0</v>
      </c>
      <c r="G31" s="1"/>
      <c r="H31" s="1">
        <f>SUM(OSRRefH22_1x_0)</f>
        <v>76517.570000000007</v>
      </c>
      <c r="I31" s="1"/>
      <c r="J31" s="5">
        <f t="shared" ref="J31:J38" si="9">IF(H$12=0,0,H31/H$12)</f>
        <v>0</v>
      </c>
      <c r="K31" s="1"/>
      <c r="L31" s="1">
        <f t="shared" ref="L31:L38" si="10">+D31-H31</f>
        <v>-2762.4700000000012</v>
      </c>
      <c r="M31" s="1"/>
      <c r="N31" s="5">
        <f t="shared" ref="N31:N38" si="11">IF(H31=0,0,L31/H31)</f>
        <v>-3.6102427194172539E-2</v>
      </c>
      <c r="O31" s="14"/>
      <c r="P31" s="1">
        <f>SUM(OSRRefP22_1x_0)</f>
        <v>371552.3</v>
      </c>
      <c r="Q31" s="1"/>
      <c r="R31" s="5">
        <f t="shared" ref="R31:R38" si="12">IF(P$12=0,0,P31/P$12)</f>
        <v>0</v>
      </c>
      <c r="S31" s="1"/>
      <c r="T31" s="1">
        <f>SUM(OSRRefT22_1x_0)</f>
        <v>437271.31</v>
      </c>
      <c r="U31" s="1"/>
      <c r="V31" s="5">
        <f t="shared" ref="V31:V38" si="13">IF(T$12=0,0,T31/T$12)</f>
        <v>0</v>
      </c>
      <c r="W31" s="1"/>
      <c r="X31" s="1">
        <f t="shared" ref="X31:X38" si="14">+P31-T31</f>
        <v>-65719.010000000009</v>
      </c>
      <c r="Y31" s="1"/>
      <c r="Z31" s="5">
        <f t="shared" ref="Z31:Z38" si="15">IF(T31=0,0,X31/T31)</f>
        <v>-0.15029344138768219</v>
      </c>
    </row>
    <row r="32" spans="1:26" s="24" customFormat="1" hidden="1" outlineLevel="2" x14ac:dyDescent="0.25">
      <c r="A32" s="28"/>
      <c r="B32" s="11" t="str">
        <f>CONCATENATE("          ", "6001", " - ", "ADMINISTRATIVE SALARIES")</f>
        <v xml:space="preserve">          6001 - ADMINISTRATIVE SALARIES</v>
      </c>
      <c r="C32" s="11"/>
      <c r="D32" s="6">
        <v>29168.98</v>
      </c>
      <c r="E32" s="2"/>
      <c r="F32" s="7">
        <f t="shared" si="8"/>
        <v>0</v>
      </c>
      <c r="G32" s="2"/>
      <c r="H32" s="6">
        <v>20133.73</v>
      </c>
      <c r="I32" s="2"/>
      <c r="J32" s="7">
        <f t="shared" si="9"/>
        <v>0</v>
      </c>
      <c r="K32" s="2"/>
      <c r="L32" s="6">
        <f t="shared" si="10"/>
        <v>9035.25</v>
      </c>
      <c r="M32" s="2"/>
      <c r="N32" s="7">
        <f t="shared" si="11"/>
        <v>0.44876185386413747</v>
      </c>
      <c r="O32" s="11"/>
      <c r="P32" s="6">
        <v>101274.51</v>
      </c>
      <c r="Q32" s="2"/>
      <c r="R32" s="7">
        <f t="shared" si="12"/>
        <v>0</v>
      </c>
      <c r="S32" s="2"/>
      <c r="T32" s="6">
        <v>103657.22</v>
      </c>
      <c r="U32" s="2"/>
      <c r="V32" s="7">
        <f t="shared" si="13"/>
        <v>0</v>
      </c>
      <c r="W32" s="2"/>
      <c r="X32" s="6">
        <f t="shared" si="14"/>
        <v>-2382.7100000000064</v>
      </c>
      <c r="Y32" s="2"/>
      <c r="Z32" s="7">
        <f t="shared" si="15"/>
        <v>-2.2986435484185341E-2</v>
      </c>
    </row>
    <row r="33" spans="1:26" s="24" customFormat="1" hidden="1" outlineLevel="2" x14ac:dyDescent="0.25">
      <c r="A33" s="28"/>
      <c r="B33" s="11" t="str">
        <f>CONCATENATE("          ", "6002", " - ", "STAFF SALARIES")</f>
        <v xml:space="preserve">          6002 - STAFF SALARIES</v>
      </c>
      <c r="C33" s="11"/>
      <c r="D33" s="6">
        <v>57855.56</v>
      </c>
      <c r="E33" s="2"/>
      <c r="F33" s="7">
        <f t="shared" si="8"/>
        <v>0</v>
      </c>
      <c r="G33" s="2"/>
      <c r="H33" s="6">
        <v>54561.100000000006</v>
      </c>
      <c r="I33" s="2"/>
      <c r="J33" s="7">
        <f t="shared" si="9"/>
        <v>0</v>
      </c>
      <c r="K33" s="2"/>
      <c r="L33" s="6">
        <f t="shared" si="10"/>
        <v>3294.4599999999919</v>
      </c>
      <c r="M33" s="2"/>
      <c r="N33" s="7">
        <f t="shared" si="11"/>
        <v>6.0381114017129263E-2</v>
      </c>
      <c r="O33" s="11"/>
      <c r="P33" s="6">
        <v>202419.05000000002</v>
      </c>
      <c r="Q33" s="2"/>
      <c r="R33" s="7">
        <f t="shared" si="12"/>
        <v>0</v>
      </c>
      <c r="S33" s="2"/>
      <c r="T33" s="6">
        <v>192941.93000000002</v>
      </c>
      <c r="U33" s="2"/>
      <c r="V33" s="7">
        <f t="shared" si="13"/>
        <v>0</v>
      </c>
      <c r="W33" s="2"/>
      <c r="X33" s="6">
        <f t="shared" si="14"/>
        <v>9477.1199999999953</v>
      </c>
      <c r="Y33" s="2"/>
      <c r="Z33" s="7">
        <f t="shared" si="15"/>
        <v>4.9119027678431508E-2</v>
      </c>
    </row>
    <row r="34" spans="1:26" s="24" customFormat="1" hidden="1" outlineLevel="2" x14ac:dyDescent="0.25">
      <c r="A34" s="28"/>
      <c r="B34" s="11" t="str">
        <f>CONCATENATE("          ", "6004", " - ", "STAFF HOURLY")</f>
        <v xml:space="preserve">          6004 - STAFF HOURLY</v>
      </c>
      <c r="C34" s="11"/>
      <c r="D34" s="6">
        <v>26834.42</v>
      </c>
      <c r="E34" s="2"/>
      <c r="F34" s="7">
        <f t="shared" si="8"/>
        <v>0</v>
      </c>
      <c r="G34" s="2"/>
      <c r="H34" s="6">
        <v>32181.660000000003</v>
      </c>
      <c r="I34" s="2"/>
      <c r="J34" s="7">
        <f t="shared" si="9"/>
        <v>0</v>
      </c>
      <c r="K34" s="2"/>
      <c r="L34" s="6">
        <f t="shared" si="10"/>
        <v>-5347.2400000000052</v>
      </c>
      <c r="M34" s="2"/>
      <c r="N34" s="7">
        <f t="shared" si="11"/>
        <v>-0.16615799185001659</v>
      </c>
      <c r="O34" s="11"/>
      <c r="P34" s="6">
        <v>80083.3</v>
      </c>
      <c r="Q34" s="2"/>
      <c r="R34" s="7">
        <f t="shared" si="12"/>
        <v>0</v>
      </c>
      <c r="S34" s="2"/>
      <c r="T34" s="6">
        <v>93733.47</v>
      </c>
      <c r="U34" s="2"/>
      <c r="V34" s="7">
        <f t="shared" si="13"/>
        <v>0</v>
      </c>
      <c r="W34" s="2"/>
      <c r="X34" s="6">
        <f t="shared" si="14"/>
        <v>-13650.169999999998</v>
      </c>
      <c r="Y34" s="2"/>
      <c r="Z34" s="7">
        <f t="shared" si="15"/>
        <v>-0.14562749037243577</v>
      </c>
    </row>
    <row r="35" spans="1:26" s="24" customFormat="1" hidden="1" outlineLevel="2" x14ac:dyDescent="0.25">
      <c r="A35" s="28"/>
      <c r="B35" s="11" t="str">
        <f>CONCATENATE("          ", "6005", " - ", "TEMPORARY WAGES-HOURLY")</f>
        <v xml:space="preserve">          6005 - TEMPORARY WAGES-HOURLY</v>
      </c>
      <c r="C35" s="11"/>
      <c r="D35" s="6">
        <v>8940.7999999999993</v>
      </c>
      <c r="E35" s="2"/>
      <c r="F35" s="7">
        <f t="shared" si="8"/>
        <v>0</v>
      </c>
      <c r="G35" s="2"/>
      <c r="H35" s="6">
        <v>15310.32</v>
      </c>
      <c r="I35" s="2"/>
      <c r="J35" s="7">
        <f t="shared" si="9"/>
        <v>0</v>
      </c>
      <c r="K35" s="2"/>
      <c r="L35" s="6">
        <f t="shared" si="10"/>
        <v>-6369.52</v>
      </c>
      <c r="M35" s="2"/>
      <c r="N35" s="7">
        <f t="shared" si="11"/>
        <v>-0.41602788184701567</v>
      </c>
      <c r="O35" s="11"/>
      <c r="P35" s="6">
        <v>26655.489999999998</v>
      </c>
      <c r="Q35" s="2"/>
      <c r="R35" s="7">
        <f t="shared" si="12"/>
        <v>0</v>
      </c>
      <c r="S35" s="2"/>
      <c r="T35" s="6">
        <v>43109.5</v>
      </c>
      <c r="U35" s="2"/>
      <c r="V35" s="7">
        <f t="shared" si="13"/>
        <v>0</v>
      </c>
      <c r="W35" s="2"/>
      <c r="X35" s="6">
        <f t="shared" si="14"/>
        <v>-16454.010000000002</v>
      </c>
      <c r="Y35" s="2"/>
      <c r="Z35" s="7">
        <f t="shared" si="15"/>
        <v>-0.3816794442060335</v>
      </c>
    </row>
    <row r="36" spans="1:26" s="24" customFormat="1" hidden="1" outlineLevel="2" x14ac:dyDescent="0.25">
      <c r="A36" s="28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8"/>
        <v>0</v>
      </c>
      <c r="G36" s="2"/>
      <c r="H36" s="6"/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/>
      <c r="Q36" s="2"/>
      <c r="R36" s="7">
        <f t="shared" si="12"/>
        <v>0</v>
      </c>
      <c r="S36" s="2"/>
      <c r="T36" s="6">
        <v>2361.4299999999998</v>
      </c>
      <c r="U36" s="2"/>
      <c r="V36" s="7">
        <f t="shared" si="13"/>
        <v>0</v>
      </c>
      <c r="W36" s="2"/>
      <c r="X36" s="6">
        <f t="shared" si="14"/>
        <v>-2361.4299999999998</v>
      </c>
      <c r="Y36" s="2"/>
      <c r="Z36" s="7">
        <f t="shared" si="15"/>
        <v>-1</v>
      </c>
    </row>
    <row r="37" spans="1:26" s="24" customFormat="1" hidden="1" outlineLevel="2" x14ac:dyDescent="0.25">
      <c r="A37" s="28"/>
      <c r="B37" s="11" t="str">
        <f>CONCATENATE("          ", "6007", " - ", "STUDENT HOURLY")</f>
        <v xml:space="preserve">          6007 - STUDENT HOURLY</v>
      </c>
      <c r="C37" s="11"/>
      <c r="D37" s="6">
        <v>-50796.29</v>
      </c>
      <c r="E37" s="2"/>
      <c r="F37" s="7">
        <f t="shared" si="8"/>
        <v>0</v>
      </c>
      <c r="G37" s="2"/>
      <c r="H37" s="6">
        <v>-48050.12</v>
      </c>
      <c r="I37" s="2"/>
      <c r="J37" s="7">
        <f t="shared" si="9"/>
        <v>0</v>
      </c>
      <c r="K37" s="2"/>
      <c r="L37" s="6">
        <f t="shared" si="10"/>
        <v>-2746.1699999999983</v>
      </c>
      <c r="M37" s="2"/>
      <c r="N37" s="7">
        <f t="shared" si="11"/>
        <v>5.7152198579316721E-2</v>
      </c>
      <c r="O37" s="11"/>
      <c r="P37" s="6">
        <v>-44841.009999999995</v>
      </c>
      <c r="Q37" s="2"/>
      <c r="R37" s="7">
        <f t="shared" si="12"/>
        <v>0</v>
      </c>
      <c r="S37" s="2"/>
      <c r="T37" s="6">
        <v>-5890.69</v>
      </c>
      <c r="U37" s="2"/>
      <c r="V37" s="7">
        <f t="shared" si="13"/>
        <v>0</v>
      </c>
      <c r="W37" s="2"/>
      <c r="X37" s="6">
        <f t="shared" si="14"/>
        <v>-38950.319999999992</v>
      </c>
      <c r="Y37" s="2"/>
      <c r="Z37" s="7">
        <f t="shared" si="15"/>
        <v>6.6121829531005698</v>
      </c>
    </row>
    <row r="38" spans="1:26" s="24" customFormat="1" hidden="1" outlineLevel="2" x14ac:dyDescent="0.25">
      <c r="A38" s="28"/>
      <c r="B38" s="11" t="str">
        <f>CONCATENATE("          ", "6008", " - ", "STUDENT HOURLY-FICA EXEMPT")</f>
        <v xml:space="preserve">          6008 - STUDENT HOURLY-FICA EXEMPT</v>
      </c>
      <c r="C38" s="11"/>
      <c r="D38" s="6">
        <v>1751.63</v>
      </c>
      <c r="E38" s="2"/>
      <c r="F38" s="7">
        <f t="shared" si="8"/>
        <v>0</v>
      </c>
      <c r="G38" s="2"/>
      <c r="H38" s="6">
        <v>2380.88</v>
      </c>
      <c r="I38" s="2"/>
      <c r="J38" s="7">
        <f t="shared" si="9"/>
        <v>0</v>
      </c>
      <c r="K38" s="2"/>
      <c r="L38" s="6">
        <f t="shared" si="10"/>
        <v>-629.25</v>
      </c>
      <c r="M38" s="2"/>
      <c r="N38" s="7">
        <f t="shared" si="11"/>
        <v>-0.26429303450824904</v>
      </c>
      <c r="O38" s="11"/>
      <c r="P38" s="6">
        <v>5960.96</v>
      </c>
      <c r="Q38" s="2"/>
      <c r="R38" s="7">
        <f t="shared" si="12"/>
        <v>0</v>
      </c>
      <c r="S38" s="2"/>
      <c r="T38" s="6">
        <v>7358.45</v>
      </c>
      <c r="U38" s="2"/>
      <c r="V38" s="7">
        <f t="shared" si="13"/>
        <v>0</v>
      </c>
      <c r="W38" s="2"/>
      <c r="X38" s="6">
        <f t="shared" si="14"/>
        <v>-1397.4899999999998</v>
      </c>
      <c r="Y38" s="2"/>
      <c r="Z38" s="7">
        <f t="shared" si="15"/>
        <v>-0.1899163546670834</v>
      </c>
    </row>
    <row r="39" spans="1:26" s="29" customFormat="1" outlineLevel="1" collapsed="1" x14ac:dyDescent="0.25">
      <c r="A39" s="27"/>
      <c r="B39" s="14" t="str">
        <f>CONCATENATE("     ","Advertising/Promo                                 ")</f>
        <v xml:space="preserve">     Advertising/Promo                                 </v>
      </c>
      <c r="C39" s="14"/>
      <c r="D39" s="1">
        <f>SUM(OSRRefD22_2x_0)</f>
        <v>173.21</v>
      </c>
      <c r="E39" s="1"/>
      <c r="F39" s="5">
        <f t="shared" ref="F39:F55" si="16">IF(D$12=0,0,D39/D$12)</f>
        <v>0</v>
      </c>
      <c r="G39" s="1"/>
      <c r="H39" s="1">
        <f>SUM(OSRRefH22_2x_0)</f>
        <v>-9892.4500000000007</v>
      </c>
      <c r="I39" s="1"/>
      <c r="J39" s="5">
        <f t="shared" ref="J39:J55" si="17">IF(H$12=0,0,H39/H$12)</f>
        <v>0</v>
      </c>
      <c r="K39" s="1"/>
      <c r="L39" s="1">
        <f t="shared" ref="L39:L55" si="18">+D39-H39</f>
        <v>10065.66</v>
      </c>
      <c r="M39" s="1"/>
      <c r="N39" s="5">
        <f t="shared" ref="N39:N55" si="19">IF(H39=0,0,L39/H39)</f>
        <v>-1.0175093126576327</v>
      </c>
      <c r="O39" s="14"/>
      <c r="P39" s="1">
        <f>SUM(OSRRefP22_2x_0)</f>
        <v>586.42999999999995</v>
      </c>
      <c r="Q39" s="1"/>
      <c r="R39" s="5">
        <f t="shared" ref="R39:R55" si="20">IF(P$12=0,0,P39/P$12)</f>
        <v>0</v>
      </c>
      <c r="S39" s="1"/>
      <c r="T39" s="1">
        <f>SUM(OSRRefT22_2x_0)</f>
        <v>-12296.77</v>
      </c>
      <c r="U39" s="1"/>
      <c r="V39" s="5">
        <f t="shared" ref="V39:V55" si="21">IF(T$12=0,0,T39/T$12)</f>
        <v>0</v>
      </c>
      <c r="W39" s="1"/>
      <c r="X39" s="1">
        <f t="shared" ref="X39:X55" si="22">+P39-T39</f>
        <v>12883.2</v>
      </c>
      <c r="Y39" s="1"/>
      <c r="Z39" s="5">
        <f t="shared" ref="Z39:Z55" si="23">IF(T39=0,0,X39/T39)</f>
        <v>-1.0476897591806629</v>
      </c>
    </row>
    <row r="40" spans="1:26" s="24" customFormat="1" hidden="1" outlineLevel="2" x14ac:dyDescent="0.25">
      <c r="A40" s="28"/>
      <c r="B40" s="11" t="str">
        <f>CONCATENATE("          ", "6362", " - ", "ADVERTISING EXPENSE")</f>
        <v xml:space="preserve">          6362 - ADVERTISING EXPENSE</v>
      </c>
      <c r="C40" s="11"/>
      <c r="D40" s="6">
        <v>173.21</v>
      </c>
      <c r="E40" s="2"/>
      <c r="F40" s="7">
        <f t="shared" si="16"/>
        <v>0</v>
      </c>
      <c r="G40" s="2"/>
      <c r="H40" s="6">
        <v>-9892.4500000000007</v>
      </c>
      <c r="I40" s="2"/>
      <c r="J40" s="7">
        <f t="shared" si="17"/>
        <v>0</v>
      </c>
      <c r="K40" s="2"/>
      <c r="L40" s="6">
        <f t="shared" si="18"/>
        <v>10065.66</v>
      </c>
      <c r="M40" s="2"/>
      <c r="N40" s="7">
        <f t="shared" si="19"/>
        <v>-1.0175093126576327</v>
      </c>
      <c r="O40" s="11"/>
      <c r="P40" s="6">
        <v>586.42999999999995</v>
      </c>
      <c r="Q40" s="2"/>
      <c r="R40" s="7">
        <f t="shared" si="20"/>
        <v>0</v>
      </c>
      <c r="S40" s="2"/>
      <c r="T40" s="6">
        <v>-12296.77</v>
      </c>
      <c r="U40" s="2"/>
      <c r="V40" s="7">
        <f t="shared" si="21"/>
        <v>0</v>
      </c>
      <c r="W40" s="2"/>
      <c r="X40" s="6">
        <f t="shared" si="22"/>
        <v>12883.2</v>
      </c>
      <c r="Y40" s="2"/>
      <c r="Z40" s="7">
        <f t="shared" si="23"/>
        <v>-1.0476897591806629</v>
      </c>
    </row>
    <row r="41" spans="1:26" s="29" customFormat="1" outlineLevel="1" collapsed="1" x14ac:dyDescent="0.25">
      <c r="A41" s="27"/>
      <c r="B41" s="14" t="str">
        <f>CONCATENATE("     ","Bank/card Fees                                    ")</f>
        <v xml:space="preserve">     Bank/card Fees                                    </v>
      </c>
      <c r="C41" s="14"/>
      <c r="D41" s="1">
        <f>SUM(OSRRefD22_3x_0)</f>
        <v>1972.94</v>
      </c>
      <c r="E41" s="1"/>
      <c r="F41" s="5">
        <f t="shared" si="16"/>
        <v>0</v>
      </c>
      <c r="G41" s="1"/>
      <c r="H41" s="1">
        <f>SUM(OSRRefH22_3x_0)</f>
        <v>14323.04</v>
      </c>
      <c r="I41" s="1"/>
      <c r="J41" s="5">
        <f t="shared" si="17"/>
        <v>0</v>
      </c>
      <c r="K41" s="1"/>
      <c r="L41" s="1">
        <f t="shared" si="18"/>
        <v>-12350.1</v>
      </c>
      <c r="M41" s="1"/>
      <c r="N41" s="5">
        <f t="shared" si="19"/>
        <v>-0.86225410248103751</v>
      </c>
      <c r="O41" s="14"/>
      <c r="P41" s="1">
        <f>SUM(OSRRefP22_3x_0)</f>
        <v>2910.92</v>
      </c>
      <c r="Q41" s="1"/>
      <c r="R41" s="5">
        <f t="shared" si="20"/>
        <v>0</v>
      </c>
      <c r="S41" s="1"/>
      <c r="T41" s="1">
        <f>SUM(OSRRefT22_3x_0)</f>
        <v>20926.16</v>
      </c>
      <c r="U41" s="1"/>
      <c r="V41" s="5">
        <f t="shared" si="21"/>
        <v>0</v>
      </c>
      <c r="W41" s="1"/>
      <c r="X41" s="1">
        <f t="shared" si="22"/>
        <v>-18015.239999999998</v>
      </c>
      <c r="Y41" s="1"/>
      <c r="Z41" s="5">
        <f t="shared" si="23"/>
        <v>-0.86089564449473754</v>
      </c>
    </row>
    <row r="42" spans="1:26" s="24" customFormat="1" hidden="1" outlineLevel="2" x14ac:dyDescent="0.25">
      <c r="A42" s="28"/>
      <c r="B42" s="11" t="str">
        <f>CONCATENATE("          ", "6381", " - ", "BANK/CREDIT CARD FEES")</f>
        <v xml:space="preserve">          6381 - BANK/CREDIT CARD FEES</v>
      </c>
      <c r="C42" s="11"/>
      <c r="D42" s="6">
        <v>1972.94</v>
      </c>
      <c r="E42" s="2"/>
      <c r="F42" s="7">
        <f t="shared" si="16"/>
        <v>0</v>
      </c>
      <c r="G42" s="2"/>
      <c r="H42" s="6">
        <v>14323.04</v>
      </c>
      <c r="I42" s="2"/>
      <c r="J42" s="7">
        <f t="shared" si="17"/>
        <v>0</v>
      </c>
      <c r="K42" s="2"/>
      <c r="L42" s="6">
        <f t="shared" si="18"/>
        <v>-12350.1</v>
      </c>
      <c r="M42" s="2"/>
      <c r="N42" s="7">
        <f t="shared" si="19"/>
        <v>-0.86225410248103751</v>
      </c>
      <c r="O42" s="11"/>
      <c r="P42" s="6">
        <v>2910.92</v>
      </c>
      <c r="Q42" s="2"/>
      <c r="R42" s="7">
        <f t="shared" si="20"/>
        <v>0</v>
      </c>
      <c r="S42" s="2"/>
      <c r="T42" s="6">
        <v>20926.16</v>
      </c>
      <c r="U42" s="2"/>
      <c r="V42" s="7">
        <f t="shared" si="21"/>
        <v>0</v>
      </c>
      <c r="W42" s="2"/>
      <c r="X42" s="6">
        <f t="shared" si="22"/>
        <v>-18015.239999999998</v>
      </c>
      <c r="Y42" s="2"/>
      <c r="Z42" s="7">
        <f t="shared" si="23"/>
        <v>-0.86089564449473754</v>
      </c>
    </row>
    <row r="43" spans="1:26" s="29" customFormat="1" outlineLevel="1" collapsed="1" x14ac:dyDescent="0.25">
      <c r="A43" s="27"/>
      <c r="B43" s="14" t="str">
        <f>CONCATENATE("     ","Board                                             ")</f>
        <v xml:space="preserve">     Board                                             </v>
      </c>
      <c r="C43" s="14"/>
      <c r="D43" s="1">
        <f>SUM(OSRRefD22_4x_0)</f>
        <v>550.16999999999996</v>
      </c>
      <c r="E43" s="1"/>
      <c r="F43" s="5">
        <f t="shared" si="16"/>
        <v>0</v>
      </c>
      <c r="G43" s="1"/>
      <c r="H43" s="1">
        <f>SUM(OSRRefH22_4x_0)</f>
        <v>3404.44</v>
      </c>
      <c r="I43" s="1"/>
      <c r="J43" s="5">
        <f t="shared" si="17"/>
        <v>0</v>
      </c>
      <c r="K43" s="1"/>
      <c r="L43" s="1">
        <f t="shared" si="18"/>
        <v>-2854.27</v>
      </c>
      <c r="M43" s="1"/>
      <c r="N43" s="5">
        <f t="shared" si="19"/>
        <v>-0.83839632949912468</v>
      </c>
      <c r="O43" s="14"/>
      <c r="P43" s="1">
        <f>SUM(OSRRefP22_4x_0)</f>
        <v>6521.01</v>
      </c>
      <c r="Q43" s="1"/>
      <c r="R43" s="5">
        <f t="shared" si="20"/>
        <v>0</v>
      </c>
      <c r="S43" s="1"/>
      <c r="T43" s="1">
        <f>SUM(OSRRefT22_4x_0)</f>
        <v>11846.23</v>
      </c>
      <c r="U43" s="1"/>
      <c r="V43" s="5">
        <f t="shared" si="21"/>
        <v>0</v>
      </c>
      <c r="W43" s="1"/>
      <c r="X43" s="1">
        <f t="shared" si="22"/>
        <v>-5325.2199999999993</v>
      </c>
      <c r="Y43" s="1"/>
      <c r="Z43" s="5">
        <f t="shared" si="23"/>
        <v>-0.44952866861440305</v>
      </c>
    </row>
    <row r="44" spans="1:26" s="24" customFormat="1" hidden="1" outlineLevel="2" x14ac:dyDescent="0.25">
      <c r="A44" s="28"/>
      <c r="B44" s="11" t="str">
        <f>CONCATENATE("          ", "6397", " - ", "BOARD EXPENSES")</f>
        <v xml:space="preserve">          6397 - BOARD EXPENSES</v>
      </c>
      <c r="C44" s="11"/>
      <c r="D44" s="6">
        <v>550.16999999999996</v>
      </c>
      <c r="E44" s="2"/>
      <c r="F44" s="7">
        <f t="shared" si="16"/>
        <v>0</v>
      </c>
      <c r="G44" s="2"/>
      <c r="H44" s="6">
        <v>3404.44</v>
      </c>
      <c r="I44" s="2"/>
      <c r="J44" s="7">
        <f t="shared" si="17"/>
        <v>0</v>
      </c>
      <c r="K44" s="2"/>
      <c r="L44" s="6">
        <f t="shared" si="18"/>
        <v>-2854.27</v>
      </c>
      <c r="M44" s="2"/>
      <c r="N44" s="7">
        <f t="shared" si="19"/>
        <v>-0.83839632949912468</v>
      </c>
      <c r="O44" s="11"/>
      <c r="P44" s="6">
        <v>6521.01</v>
      </c>
      <c r="Q44" s="2"/>
      <c r="R44" s="7">
        <f t="shared" si="20"/>
        <v>0</v>
      </c>
      <c r="S44" s="2"/>
      <c r="T44" s="6">
        <v>11846.23</v>
      </c>
      <c r="U44" s="2"/>
      <c r="V44" s="7">
        <f t="shared" si="21"/>
        <v>0</v>
      </c>
      <c r="W44" s="2"/>
      <c r="X44" s="6">
        <f t="shared" si="22"/>
        <v>-5325.2199999999993</v>
      </c>
      <c r="Y44" s="2"/>
      <c r="Z44" s="7">
        <f t="shared" si="23"/>
        <v>-0.44952866861440305</v>
      </c>
    </row>
    <row r="45" spans="1:26" s="29" customFormat="1" outlineLevel="1" collapsed="1" x14ac:dyDescent="0.25">
      <c r="A45" s="27"/>
      <c r="B45" s="14" t="str">
        <f>CONCATENATE("     ","Depreciation                                      ")</f>
        <v xml:space="preserve">     Depreciation                                      </v>
      </c>
      <c r="C45" s="14"/>
      <c r="D45" s="1">
        <f>SUM(OSRRefD22_5x_0)</f>
        <v>7222.15</v>
      </c>
      <c r="E45" s="1"/>
      <c r="F45" s="5">
        <f t="shared" si="16"/>
        <v>0</v>
      </c>
      <c r="G45" s="1"/>
      <c r="H45" s="1">
        <f>SUM(OSRRefH22_5x_0)</f>
        <v>8599.93</v>
      </c>
      <c r="I45" s="1"/>
      <c r="J45" s="5">
        <f t="shared" si="17"/>
        <v>0</v>
      </c>
      <c r="K45" s="1"/>
      <c r="L45" s="1">
        <f t="shared" si="18"/>
        <v>-1377.7800000000007</v>
      </c>
      <c r="M45" s="1"/>
      <c r="N45" s="5">
        <f t="shared" si="19"/>
        <v>-0.16020828076507607</v>
      </c>
      <c r="O45" s="14"/>
      <c r="P45" s="1">
        <f>SUM(OSRRefP22_5x_0)</f>
        <v>30043.619999999995</v>
      </c>
      <c r="Q45" s="1"/>
      <c r="R45" s="5">
        <f t="shared" si="20"/>
        <v>0</v>
      </c>
      <c r="S45" s="1"/>
      <c r="T45" s="1">
        <f>SUM(OSRRefT22_5x_0)</f>
        <v>34399.72</v>
      </c>
      <c r="U45" s="1"/>
      <c r="V45" s="5">
        <f t="shared" si="21"/>
        <v>0</v>
      </c>
      <c r="W45" s="1"/>
      <c r="X45" s="1">
        <f t="shared" si="22"/>
        <v>-4356.1000000000058</v>
      </c>
      <c r="Y45" s="1"/>
      <c r="Z45" s="5">
        <f t="shared" si="23"/>
        <v>-0.12663184467780569</v>
      </c>
    </row>
    <row r="46" spans="1:26" s="24" customFormat="1" hidden="1" outlineLevel="2" x14ac:dyDescent="0.25">
      <c r="A46" s="28"/>
      <c r="B46" s="11" t="str">
        <f>CONCATENATE("          ", "6322", " - ", "EQUIPMENT DEPRECIATION EXPENSE")</f>
        <v xml:space="preserve">          6322 - EQUIPMENT DEPRECIATION EXPENSE</v>
      </c>
      <c r="C46" s="11"/>
      <c r="D46" s="6">
        <v>7222.15</v>
      </c>
      <c r="E46" s="2"/>
      <c r="F46" s="7">
        <f t="shared" si="16"/>
        <v>0</v>
      </c>
      <c r="G46" s="2"/>
      <c r="H46" s="6">
        <v>8599.93</v>
      </c>
      <c r="I46" s="2"/>
      <c r="J46" s="7">
        <f t="shared" si="17"/>
        <v>0</v>
      </c>
      <c r="K46" s="2"/>
      <c r="L46" s="6">
        <f t="shared" si="18"/>
        <v>-1377.7800000000007</v>
      </c>
      <c r="M46" s="2"/>
      <c r="N46" s="7">
        <f t="shared" si="19"/>
        <v>-0.16020828076507607</v>
      </c>
      <c r="O46" s="11"/>
      <c r="P46" s="6">
        <v>30043.619999999995</v>
      </c>
      <c r="Q46" s="2"/>
      <c r="R46" s="7">
        <f t="shared" si="20"/>
        <v>0</v>
      </c>
      <c r="S46" s="2"/>
      <c r="T46" s="6">
        <v>34399.72</v>
      </c>
      <c r="U46" s="2"/>
      <c r="V46" s="7">
        <f t="shared" si="21"/>
        <v>0</v>
      </c>
      <c r="W46" s="2"/>
      <c r="X46" s="6">
        <f t="shared" si="22"/>
        <v>-4356.1000000000058</v>
      </c>
      <c r="Y46" s="2"/>
      <c r="Z46" s="7">
        <f t="shared" si="23"/>
        <v>-0.12663184467780569</v>
      </c>
    </row>
    <row r="47" spans="1:26" s="29" customFormat="1" outlineLevel="1" collapsed="1" x14ac:dyDescent="0.25">
      <c r="A47" s="27"/>
      <c r="B47" s="14" t="str">
        <f>CONCATENATE("     ","Donations                                         ")</f>
        <v xml:space="preserve">     Donations                                         </v>
      </c>
      <c r="C47" s="14"/>
      <c r="D47" s="1">
        <f>SUM(OSRRefD22_6x_0)</f>
        <v>25000</v>
      </c>
      <c r="E47" s="1"/>
      <c r="F47" s="5">
        <f t="shared" si="16"/>
        <v>0</v>
      </c>
      <c r="G47" s="1"/>
      <c r="H47" s="1">
        <f>SUM(OSRRefH22_6x_0)</f>
        <v>5133.6499999999996</v>
      </c>
      <c r="I47" s="1"/>
      <c r="J47" s="5">
        <f t="shared" si="17"/>
        <v>0</v>
      </c>
      <c r="K47" s="1"/>
      <c r="L47" s="1">
        <f t="shared" si="18"/>
        <v>19866.349999999999</v>
      </c>
      <c r="M47" s="1"/>
      <c r="N47" s="5">
        <f t="shared" si="19"/>
        <v>3.8698294585723607</v>
      </c>
      <c r="O47" s="14"/>
      <c r="P47" s="1">
        <f>SUM(OSRRefP22_6x_0)</f>
        <v>25000</v>
      </c>
      <c r="Q47" s="1"/>
      <c r="R47" s="5">
        <f t="shared" si="20"/>
        <v>0</v>
      </c>
      <c r="S47" s="1"/>
      <c r="T47" s="1">
        <f>SUM(OSRRefT22_6x_0)</f>
        <v>144377.25</v>
      </c>
      <c r="U47" s="1"/>
      <c r="V47" s="5">
        <f t="shared" si="21"/>
        <v>0</v>
      </c>
      <c r="W47" s="1"/>
      <c r="X47" s="1">
        <f t="shared" si="22"/>
        <v>-119377.25</v>
      </c>
      <c r="Y47" s="1"/>
      <c r="Z47" s="5">
        <f t="shared" si="23"/>
        <v>-0.82684252539787262</v>
      </c>
    </row>
    <row r="48" spans="1:26" s="24" customFormat="1" hidden="1" outlineLevel="2" x14ac:dyDescent="0.25">
      <c r="A48" s="28"/>
      <c r="B48" s="11" t="str">
        <f>CONCATENATE("          ", "6399", " - ", "DONATION-ON CAMPUS")</f>
        <v xml:space="preserve">          6399 - DONATION-ON CAMPUS</v>
      </c>
      <c r="C48" s="11"/>
      <c r="D48" s="6">
        <v>25000</v>
      </c>
      <c r="E48" s="2"/>
      <c r="F48" s="7">
        <f t="shared" si="16"/>
        <v>0</v>
      </c>
      <c r="G48" s="2"/>
      <c r="H48" s="6">
        <v>5133.6499999999996</v>
      </c>
      <c r="I48" s="2"/>
      <c r="J48" s="7">
        <f t="shared" si="17"/>
        <v>0</v>
      </c>
      <c r="K48" s="2"/>
      <c r="L48" s="6">
        <f t="shared" si="18"/>
        <v>19866.349999999999</v>
      </c>
      <c r="M48" s="2"/>
      <c r="N48" s="7">
        <f t="shared" si="19"/>
        <v>3.8698294585723607</v>
      </c>
      <c r="O48" s="11"/>
      <c r="P48" s="6">
        <v>25000</v>
      </c>
      <c r="Q48" s="2"/>
      <c r="R48" s="7">
        <f t="shared" si="20"/>
        <v>0</v>
      </c>
      <c r="S48" s="2"/>
      <c r="T48" s="6">
        <v>144377.25</v>
      </c>
      <c r="U48" s="2"/>
      <c r="V48" s="7">
        <f t="shared" si="21"/>
        <v>0</v>
      </c>
      <c r="W48" s="2"/>
      <c r="X48" s="6">
        <f t="shared" si="22"/>
        <v>-119377.25</v>
      </c>
      <c r="Y48" s="2"/>
      <c r="Z48" s="7">
        <f t="shared" si="23"/>
        <v>-0.82684252539787262</v>
      </c>
    </row>
    <row r="49" spans="1:26" s="29" customFormat="1" outlineLevel="1" collapsed="1" x14ac:dyDescent="0.25">
      <c r="A49" s="27"/>
      <c r="B49" s="14" t="str">
        <f>CONCATENATE("     ","Employees' Appreciation                           ")</f>
        <v xml:space="preserve">     Employees' Appreciation                           </v>
      </c>
      <c r="C49" s="14"/>
      <c r="D49" s="1">
        <f>SUM(OSRRefD22_7x_0)</f>
        <v>0</v>
      </c>
      <c r="E49" s="1"/>
      <c r="F49" s="5">
        <f t="shared" si="16"/>
        <v>0</v>
      </c>
      <c r="G49" s="1"/>
      <c r="H49" s="1">
        <f>SUM(OSRRefH22_7x_0)</f>
        <v>264</v>
      </c>
      <c r="I49" s="1"/>
      <c r="J49" s="5">
        <f t="shared" si="17"/>
        <v>0</v>
      </c>
      <c r="K49" s="1"/>
      <c r="L49" s="1">
        <f t="shared" si="18"/>
        <v>-264</v>
      </c>
      <c r="M49" s="1"/>
      <c r="N49" s="5">
        <f t="shared" si="19"/>
        <v>-1</v>
      </c>
      <c r="O49" s="14"/>
      <c r="P49" s="1">
        <f>SUM(OSRRefP22_7x_0)</f>
        <v>81.56</v>
      </c>
      <c r="Q49" s="1"/>
      <c r="R49" s="5">
        <f t="shared" si="20"/>
        <v>0</v>
      </c>
      <c r="S49" s="1"/>
      <c r="T49" s="1">
        <f>SUM(OSRRefT22_7x_0)</f>
        <v>11829.12</v>
      </c>
      <c r="U49" s="1"/>
      <c r="V49" s="5">
        <f t="shared" si="21"/>
        <v>0</v>
      </c>
      <c r="W49" s="1"/>
      <c r="X49" s="1">
        <f t="shared" si="22"/>
        <v>-11747.560000000001</v>
      </c>
      <c r="Y49" s="1"/>
      <c r="Z49" s="5">
        <f t="shared" si="23"/>
        <v>-0.9931051506790024</v>
      </c>
    </row>
    <row r="50" spans="1:26" s="24" customFormat="1" hidden="1" outlineLevel="2" x14ac:dyDescent="0.25">
      <c r="A50" s="28"/>
      <c r="B50" s="11" t="str">
        <f>CONCATENATE("          ", "6277", " - ", "EMPLOYEE APPRECIATION")</f>
        <v xml:space="preserve">          6277 - EMPLOYEE APPRECIATION</v>
      </c>
      <c r="C50" s="11"/>
      <c r="D50" s="6"/>
      <c r="E50" s="2"/>
      <c r="F50" s="7">
        <f t="shared" si="16"/>
        <v>0</v>
      </c>
      <c r="G50" s="2"/>
      <c r="H50" s="6">
        <v>264</v>
      </c>
      <c r="I50" s="2"/>
      <c r="J50" s="7">
        <f t="shared" si="17"/>
        <v>0</v>
      </c>
      <c r="K50" s="2"/>
      <c r="L50" s="6">
        <f t="shared" si="18"/>
        <v>-264</v>
      </c>
      <c r="M50" s="2"/>
      <c r="N50" s="7">
        <f t="shared" si="19"/>
        <v>-1</v>
      </c>
      <c r="O50" s="11"/>
      <c r="P50" s="6">
        <v>81.56</v>
      </c>
      <c r="Q50" s="2"/>
      <c r="R50" s="7">
        <f t="shared" si="20"/>
        <v>0</v>
      </c>
      <c r="S50" s="2"/>
      <c r="T50" s="6">
        <v>11829.12</v>
      </c>
      <c r="U50" s="2"/>
      <c r="V50" s="7">
        <f t="shared" si="21"/>
        <v>0</v>
      </c>
      <c r="W50" s="2"/>
      <c r="X50" s="6">
        <f t="shared" si="22"/>
        <v>-11747.560000000001</v>
      </c>
      <c r="Y50" s="2"/>
      <c r="Z50" s="7">
        <f t="shared" si="23"/>
        <v>-0.9931051506790024</v>
      </c>
    </row>
    <row r="51" spans="1:26" s="29" customFormat="1" outlineLevel="1" collapsed="1" x14ac:dyDescent="0.25">
      <c r="A51" s="27"/>
      <c r="B51" s="14" t="str">
        <f>CONCATENATE("     ","Equipment Rental                                  ")</f>
        <v xml:space="preserve">     Equipment Rental                                  </v>
      </c>
      <c r="C51" s="14"/>
      <c r="D51" s="1">
        <f>SUM(OSRRefD22_8x_0)</f>
        <v>208.97</v>
      </c>
      <c r="E51" s="1"/>
      <c r="F51" s="5">
        <f t="shared" si="16"/>
        <v>0</v>
      </c>
      <c r="G51" s="1"/>
      <c r="H51" s="1">
        <f>SUM(OSRRefH22_8x_0)</f>
        <v>417.96</v>
      </c>
      <c r="I51" s="1"/>
      <c r="J51" s="5">
        <f t="shared" si="17"/>
        <v>0</v>
      </c>
      <c r="K51" s="1"/>
      <c r="L51" s="1">
        <f t="shared" si="18"/>
        <v>-208.98999999999998</v>
      </c>
      <c r="M51" s="1"/>
      <c r="N51" s="5">
        <f t="shared" si="19"/>
        <v>-0.50002392573452004</v>
      </c>
      <c r="O51" s="14"/>
      <c r="P51" s="1">
        <f>SUM(OSRRefP22_8x_0)</f>
        <v>835.88</v>
      </c>
      <c r="Q51" s="1"/>
      <c r="R51" s="5">
        <f t="shared" si="20"/>
        <v>0</v>
      </c>
      <c r="S51" s="1"/>
      <c r="T51" s="1">
        <f>SUM(OSRRefT22_8x_0)</f>
        <v>1318.68</v>
      </c>
      <c r="U51" s="1"/>
      <c r="V51" s="5">
        <f t="shared" si="21"/>
        <v>0</v>
      </c>
      <c r="W51" s="1"/>
      <c r="X51" s="1">
        <f t="shared" si="22"/>
        <v>-482.80000000000007</v>
      </c>
      <c r="Y51" s="1"/>
      <c r="Z51" s="5">
        <f t="shared" si="23"/>
        <v>-0.36612369945703283</v>
      </c>
    </row>
    <row r="52" spans="1:26" s="24" customFormat="1" hidden="1" outlineLevel="2" x14ac:dyDescent="0.25">
      <c r="A52" s="28"/>
      <c r="B52" s="11" t="str">
        <f>CONCATENATE("          ", "6351", " - ", "EQUIPMENT RENTAL")</f>
        <v xml:space="preserve">          6351 - EQUIPMENT RENTAL</v>
      </c>
      <c r="C52" s="11"/>
      <c r="D52" s="6">
        <v>208.97</v>
      </c>
      <c r="E52" s="2"/>
      <c r="F52" s="7">
        <f t="shared" si="16"/>
        <v>0</v>
      </c>
      <c r="G52" s="2"/>
      <c r="H52" s="6">
        <v>417.96</v>
      </c>
      <c r="I52" s="2"/>
      <c r="J52" s="7">
        <f t="shared" si="17"/>
        <v>0</v>
      </c>
      <c r="K52" s="2"/>
      <c r="L52" s="6">
        <f t="shared" si="18"/>
        <v>-208.98999999999998</v>
      </c>
      <c r="M52" s="2"/>
      <c r="N52" s="7">
        <f t="shared" si="19"/>
        <v>-0.50002392573452004</v>
      </c>
      <c r="O52" s="11"/>
      <c r="P52" s="6">
        <v>835.88</v>
      </c>
      <c r="Q52" s="2"/>
      <c r="R52" s="7">
        <f t="shared" si="20"/>
        <v>0</v>
      </c>
      <c r="S52" s="2"/>
      <c r="T52" s="6">
        <v>1318.68</v>
      </c>
      <c r="U52" s="2"/>
      <c r="V52" s="7">
        <f t="shared" si="21"/>
        <v>0</v>
      </c>
      <c r="W52" s="2"/>
      <c r="X52" s="6">
        <f t="shared" si="22"/>
        <v>-482.80000000000007</v>
      </c>
      <c r="Y52" s="2"/>
      <c r="Z52" s="7">
        <f t="shared" si="23"/>
        <v>-0.36612369945703283</v>
      </c>
    </row>
    <row r="53" spans="1:26" s="29" customFormat="1" outlineLevel="1" collapsed="1" x14ac:dyDescent="0.25">
      <c r="A53" s="27"/>
      <c r="B53" s="14" t="str">
        <f>CONCATENATE("     ","Freight out/Postage                               ")</f>
        <v xml:space="preserve">     Freight out/Postage                               </v>
      </c>
      <c r="C53" s="14"/>
      <c r="D53" s="1">
        <f>SUM(OSRRefD22_9x_0)</f>
        <v>198.03</v>
      </c>
      <c r="E53" s="1"/>
      <c r="F53" s="5">
        <f t="shared" si="16"/>
        <v>0</v>
      </c>
      <c r="G53" s="1"/>
      <c r="H53" s="1">
        <f>SUM(OSRRefH22_9x_0)</f>
        <v>174.4</v>
      </c>
      <c r="I53" s="1"/>
      <c r="J53" s="5">
        <f t="shared" si="17"/>
        <v>0</v>
      </c>
      <c r="K53" s="1"/>
      <c r="L53" s="1">
        <f t="shared" si="18"/>
        <v>23.629999999999995</v>
      </c>
      <c r="M53" s="1"/>
      <c r="N53" s="5">
        <f t="shared" si="19"/>
        <v>0.13549311926605501</v>
      </c>
      <c r="O53" s="14"/>
      <c r="P53" s="1">
        <f>SUM(OSRRefP22_9x_0)</f>
        <v>596.96999999999991</v>
      </c>
      <c r="Q53" s="1"/>
      <c r="R53" s="5">
        <f t="shared" si="20"/>
        <v>0</v>
      </c>
      <c r="S53" s="1"/>
      <c r="T53" s="1">
        <f>SUM(OSRRefT22_9x_0)</f>
        <v>785.5</v>
      </c>
      <c r="U53" s="1"/>
      <c r="V53" s="5">
        <f t="shared" si="21"/>
        <v>0</v>
      </c>
      <c r="W53" s="1"/>
      <c r="X53" s="1">
        <f t="shared" si="22"/>
        <v>-188.53000000000009</v>
      </c>
      <c r="Y53" s="1"/>
      <c r="Z53" s="5">
        <f t="shared" si="23"/>
        <v>-0.24001273074474869</v>
      </c>
    </row>
    <row r="54" spans="1:26" s="24" customFormat="1" hidden="1" outlineLevel="2" x14ac:dyDescent="0.25">
      <c r="A54" s="28"/>
      <c r="B54" s="11" t="str">
        <f>CONCATENATE("          ", "6305", " - ", "FREIGHT OUT")</f>
        <v xml:space="preserve">          6305 - FREIGHT OUT</v>
      </c>
      <c r="C54" s="11"/>
      <c r="D54" s="6"/>
      <c r="E54" s="2"/>
      <c r="F54" s="7">
        <f t="shared" si="16"/>
        <v>0</v>
      </c>
      <c r="G54" s="2"/>
      <c r="H54" s="6"/>
      <c r="I54" s="2"/>
      <c r="J54" s="7">
        <f t="shared" si="17"/>
        <v>0</v>
      </c>
      <c r="K54" s="2"/>
      <c r="L54" s="6">
        <f t="shared" si="18"/>
        <v>0</v>
      </c>
      <c r="M54" s="2"/>
      <c r="N54" s="7">
        <f t="shared" si="19"/>
        <v>0</v>
      </c>
      <c r="O54" s="11"/>
      <c r="P54" s="6">
        <v>5.41</v>
      </c>
      <c r="Q54" s="2"/>
      <c r="R54" s="7">
        <f t="shared" si="20"/>
        <v>0</v>
      </c>
      <c r="S54" s="2"/>
      <c r="T54" s="6"/>
      <c r="U54" s="2"/>
      <c r="V54" s="7">
        <f t="shared" si="21"/>
        <v>0</v>
      </c>
      <c r="W54" s="2"/>
      <c r="X54" s="6">
        <f t="shared" si="22"/>
        <v>5.41</v>
      </c>
      <c r="Y54" s="2"/>
      <c r="Z54" s="7">
        <f t="shared" si="23"/>
        <v>0</v>
      </c>
    </row>
    <row r="55" spans="1:26" s="24" customFormat="1" hidden="1" outlineLevel="2" x14ac:dyDescent="0.25">
      <c r="A55" s="28"/>
      <c r="B55" s="11" t="str">
        <f>CONCATENATE("          ", "6307", " - ", "POSTAGE")</f>
        <v xml:space="preserve">          6307 - POSTAGE</v>
      </c>
      <c r="C55" s="11"/>
      <c r="D55" s="6">
        <v>198.03</v>
      </c>
      <c r="E55" s="2"/>
      <c r="F55" s="7">
        <f t="shared" si="16"/>
        <v>0</v>
      </c>
      <c r="G55" s="2"/>
      <c r="H55" s="6">
        <v>174.4</v>
      </c>
      <c r="I55" s="2"/>
      <c r="J55" s="7">
        <f t="shared" si="17"/>
        <v>0</v>
      </c>
      <c r="K55" s="2"/>
      <c r="L55" s="6">
        <f t="shared" si="18"/>
        <v>23.629999999999995</v>
      </c>
      <c r="M55" s="2"/>
      <c r="N55" s="7">
        <f t="shared" si="19"/>
        <v>0.13549311926605501</v>
      </c>
      <c r="O55" s="11"/>
      <c r="P55" s="6">
        <v>591.55999999999995</v>
      </c>
      <c r="Q55" s="2"/>
      <c r="R55" s="7">
        <f t="shared" si="20"/>
        <v>0</v>
      </c>
      <c r="S55" s="2"/>
      <c r="T55" s="6">
        <v>785.5</v>
      </c>
      <c r="U55" s="2"/>
      <c r="V55" s="7">
        <f t="shared" si="21"/>
        <v>0</v>
      </c>
      <c r="W55" s="2"/>
      <c r="X55" s="6">
        <f t="shared" si="22"/>
        <v>-193.94000000000005</v>
      </c>
      <c r="Y55" s="2"/>
      <c r="Z55" s="7">
        <f t="shared" si="23"/>
        <v>-0.2469000636537238</v>
      </c>
    </row>
    <row r="56" spans="1:26" s="29" customFormat="1" outlineLevel="1" collapsed="1" x14ac:dyDescent="0.25">
      <c r="A56" s="27"/>
      <c r="B56" s="14" t="str">
        <f>CONCATENATE("     ","General                                           ")</f>
        <v xml:space="preserve">     General                                           </v>
      </c>
      <c r="C56" s="14"/>
      <c r="D56" s="1">
        <f>SUM(OSRRefD22_10x_0)</f>
        <v>0</v>
      </c>
      <c r="E56" s="1"/>
      <c r="F56" s="5">
        <f t="shared" ref="F56:F64" si="24">IF(D$12=0,0,D56/D$12)</f>
        <v>0</v>
      </c>
      <c r="G56" s="1"/>
      <c r="H56" s="1">
        <f>SUM(OSRRefH22_10x_0)</f>
        <v>6146.46</v>
      </c>
      <c r="I56" s="1"/>
      <c r="J56" s="5">
        <f t="shared" ref="J56:J64" si="25">IF(H$12=0,0,H56/H$12)</f>
        <v>0</v>
      </c>
      <c r="K56" s="1"/>
      <c r="L56" s="1">
        <f t="shared" ref="L56:L64" si="26">+D56-H56</f>
        <v>-6146.46</v>
      </c>
      <c r="M56" s="1"/>
      <c r="N56" s="5">
        <f t="shared" ref="N56:N64" si="27">IF(H56=0,0,L56/H56)</f>
        <v>-1</v>
      </c>
      <c r="O56" s="14"/>
      <c r="P56" s="1">
        <f>SUM(OSRRefP22_10x_0)</f>
        <v>166.54</v>
      </c>
      <c r="Q56" s="1"/>
      <c r="R56" s="5">
        <f t="shared" ref="R56:R64" si="28">IF(P$12=0,0,P56/P$12)</f>
        <v>0</v>
      </c>
      <c r="S56" s="1"/>
      <c r="T56" s="1">
        <f>SUM(OSRRefT22_10x_0)</f>
        <v>12580.14</v>
      </c>
      <c r="U56" s="1"/>
      <c r="V56" s="5">
        <f t="shared" ref="V56:V64" si="29">IF(T$12=0,0,T56/T$12)</f>
        <v>0</v>
      </c>
      <c r="W56" s="1"/>
      <c r="X56" s="1">
        <f t="shared" ref="X56:X64" si="30">+P56-T56</f>
        <v>-12413.599999999999</v>
      </c>
      <c r="Y56" s="1"/>
      <c r="Z56" s="5">
        <f t="shared" ref="Z56:Z64" si="31">IF(T56=0,0,X56/T56)</f>
        <v>-0.98676167355848177</v>
      </c>
    </row>
    <row r="57" spans="1:26" s="24" customFormat="1" hidden="1" outlineLevel="2" x14ac:dyDescent="0.25">
      <c r="A57" s="28"/>
      <c r="B57" s="11" t="str">
        <f>CONCATENATE("          ", "6279", " - ", "GENERAL EXPENSE")</f>
        <v xml:space="preserve">          6279 - GENERAL EXPENSE</v>
      </c>
      <c r="C57" s="11"/>
      <c r="D57" s="6"/>
      <c r="E57" s="2"/>
      <c r="F57" s="7">
        <f t="shared" si="24"/>
        <v>0</v>
      </c>
      <c r="G57" s="2"/>
      <c r="H57" s="6">
        <v>6146.46</v>
      </c>
      <c r="I57" s="2"/>
      <c r="J57" s="7">
        <f t="shared" si="25"/>
        <v>0</v>
      </c>
      <c r="K57" s="2"/>
      <c r="L57" s="6">
        <f t="shared" si="26"/>
        <v>-6146.46</v>
      </c>
      <c r="M57" s="2"/>
      <c r="N57" s="7">
        <f t="shared" si="27"/>
        <v>-1</v>
      </c>
      <c r="O57" s="11"/>
      <c r="P57" s="6">
        <v>166.54</v>
      </c>
      <c r="Q57" s="2"/>
      <c r="R57" s="7">
        <f t="shared" si="28"/>
        <v>0</v>
      </c>
      <c r="S57" s="2"/>
      <c r="T57" s="6">
        <v>12580.14</v>
      </c>
      <c r="U57" s="2"/>
      <c r="V57" s="7">
        <f t="shared" si="29"/>
        <v>0</v>
      </c>
      <c r="W57" s="2"/>
      <c r="X57" s="6">
        <f t="shared" si="30"/>
        <v>-12413.599999999999</v>
      </c>
      <c r="Y57" s="2"/>
      <c r="Z57" s="7">
        <f t="shared" si="31"/>
        <v>-0.98676167355848177</v>
      </c>
    </row>
    <row r="58" spans="1:26" s="29" customFormat="1" outlineLevel="1" collapsed="1" x14ac:dyDescent="0.25">
      <c r="A58" s="27"/>
      <c r="B58" s="14" t="str">
        <f>CONCATENATE("     ","Insurance                                         ")</f>
        <v xml:space="preserve">     Insurance                                         </v>
      </c>
      <c r="C58" s="14"/>
      <c r="D58" s="1">
        <f>SUM(OSRRefD22_11x_0)</f>
        <v>393.67</v>
      </c>
      <c r="E58" s="1"/>
      <c r="F58" s="5">
        <f t="shared" si="24"/>
        <v>0</v>
      </c>
      <c r="G58" s="1"/>
      <c r="H58" s="1">
        <f>SUM(OSRRefH22_11x_0)</f>
        <v>393.67</v>
      </c>
      <c r="I58" s="1"/>
      <c r="J58" s="5">
        <f t="shared" si="25"/>
        <v>0</v>
      </c>
      <c r="K58" s="1"/>
      <c r="L58" s="1">
        <f t="shared" si="26"/>
        <v>0</v>
      </c>
      <c r="M58" s="1"/>
      <c r="N58" s="5">
        <f t="shared" si="27"/>
        <v>0</v>
      </c>
      <c r="O58" s="14"/>
      <c r="P58" s="1">
        <f>SUM(OSRRefP22_11x_0)</f>
        <v>1574.68</v>
      </c>
      <c r="Q58" s="1"/>
      <c r="R58" s="5">
        <f t="shared" si="28"/>
        <v>0</v>
      </c>
      <c r="S58" s="1"/>
      <c r="T58" s="1">
        <f>SUM(OSRRefT22_11x_0)</f>
        <v>1574.68</v>
      </c>
      <c r="U58" s="1"/>
      <c r="V58" s="5">
        <f t="shared" si="29"/>
        <v>0</v>
      </c>
      <c r="W58" s="1"/>
      <c r="X58" s="1">
        <f t="shared" si="30"/>
        <v>0</v>
      </c>
      <c r="Y58" s="1"/>
      <c r="Z58" s="5">
        <f t="shared" si="31"/>
        <v>0</v>
      </c>
    </row>
    <row r="59" spans="1:26" s="24" customFormat="1" hidden="1" outlineLevel="2" x14ac:dyDescent="0.25">
      <c r="A59" s="28"/>
      <c r="B59" s="11" t="str">
        <f>CONCATENATE("          ", "6314", " - ", "LIABILITY INSURANCE")</f>
        <v xml:space="preserve">          6314 - LIABILITY INSURANCE</v>
      </c>
      <c r="C59" s="11"/>
      <c r="D59" s="6">
        <v>393.67</v>
      </c>
      <c r="E59" s="2"/>
      <c r="F59" s="7">
        <f t="shared" si="24"/>
        <v>0</v>
      </c>
      <c r="G59" s="2"/>
      <c r="H59" s="6">
        <v>393.67</v>
      </c>
      <c r="I59" s="2"/>
      <c r="J59" s="7">
        <f t="shared" si="25"/>
        <v>0</v>
      </c>
      <c r="K59" s="2"/>
      <c r="L59" s="6">
        <f t="shared" si="26"/>
        <v>0</v>
      </c>
      <c r="M59" s="2"/>
      <c r="N59" s="7">
        <f t="shared" si="27"/>
        <v>0</v>
      </c>
      <c r="O59" s="11"/>
      <c r="P59" s="6">
        <v>1574.68</v>
      </c>
      <c r="Q59" s="2"/>
      <c r="R59" s="7">
        <f t="shared" si="28"/>
        <v>0</v>
      </c>
      <c r="S59" s="2"/>
      <c r="T59" s="6">
        <v>1574.68</v>
      </c>
      <c r="U59" s="2"/>
      <c r="V59" s="7">
        <f t="shared" si="29"/>
        <v>0</v>
      </c>
      <c r="W59" s="2"/>
      <c r="X59" s="6">
        <f t="shared" si="30"/>
        <v>0</v>
      </c>
      <c r="Y59" s="2"/>
      <c r="Z59" s="7">
        <f t="shared" si="31"/>
        <v>0</v>
      </c>
    </row>
    <row r="60" spans="1:26" s="29" customFormat="1" outlineLevel="1" collapsed="1" x14ac:dyDescent="0.25">
      <c r="A60" s="27"/>
      <c r="B60" s="14" t="str">
        <f>CONCATENATE("     ","Professional Services                             ")</f>
        <v xml:space="preserve">     Professional Services                             </v>
      </c>
      <c r="C60" s="14"/>
      <c r="D60" s="1">
        <f>SUM(OSRRefD22_12x_0)</f>
        <v>29955.7</v>
      </c>
      <c r="E60" s="1"/>
      <c r="F60" s="5">
        <f t="shared" si="24"/>
        <v>0</v>
      </c>
      <c r="G60" s="1"/>
      <c r="H60" s="1">
        <f>SUM(OSRRefH22_12x_0)</f>
        <v>53550</v>
      </c>
      <c r="I60" s="1"/>
      <c r="J60" s="5">
        <f t="shared" si="25"/>
        <v>0</v>
      </c>
      <c r="K60" s="1"/>
      <c r="L60" s="1">
        <f t="shared" si="26"/>
        <v>-23594.3</v>
      </c>
      <c r="M60" s="1"/>
      <c r="N60" s="5">
        <f t="shared" si="27"/>
        <v>-0.44060317460317461</v>
      </c>
      <c r="O60" s="14"/>
      <c r="P60" s="1">
        <f>SUM(OSRRefP22_12x_0)</f>
        <v>53772.71</v>
      </c>
      <c r="Q60" s="1"/>
      <c r="R60" s="5">
        <f t="shared" si="28"/>
        <v>0</v>
      </c>
      <c r="S60" s="1"/>
      <c r="T60" s="1">
        <f>SUM(OSRRefT22_12x_0)</f>
        <v>124610.91999999998</v>
      </c>
      <c r="U60" s="1"/>
      <c r="V60" s="5">
        <f t="shared" si="29"/>
        <v>0</v>
      </c>
      <c r="W60" s="1"/>
      <c r="X60" s="1">
        <f t="shared" si="30"/>
        <v>-70838.209999999992</v>
      </c>
      <c r="Y60" s="1"/>
      <c r="Z60" s="5">
        <f t="shared" si="31"/>
        <v>-0.56847513845496045</v>
      </c>
    </row>
    <row r="61" spans="1:26" s="24" customFormat="1" hidden="1" outlineLevel="2" x14ac:dyDescent="0.25">
      <c r="A61" s="28"/>
      <c r="B61" s="11" t="str">
        <f>CONCATENATE("          ", "6331", " - ", "INDIRECT COSTS-AUXILIARY ORGAN")</f>
        <v xml:space="preserve">          6331 - INDIRECT COSTS-AUXILIARY ORGAN</v>
      </c>
      <c r="C61" s="11"/>
      <c r="D61" s="6">
        <v>26585.75</v>
      </c>
      <c r="E61" s="2"/>
      <c r="F61" s="7">
        <f t="shared" si="24"/>
        <v>0</v>
      </c>
      <c r="G61" s="2"/>
      <c r="H61" s="6">
        <v>26712</v>
      </c>
      <c r="I61" s="2"/>
      <c r="J61" s="7">
        <f t="shared" si="25"/>
        <v>0</v>
      </c>
      <c r="K61" s="2"/>
      <c r="L61" s="6">
        <f t="shared" si="26"/>
        <v>-126.25</v>
      </c>
      <c r="M61" s="2"/>
      <c r="N61" s="7">
        <f t="shared" si="27"/>
        <v>-4.7263402216232405E-3</v>
      </c>
      <c r="O61" s="11"/>
      <c r="P61" s="6">
        <v>46671.5</v>
      </c>
      <c r="Q61" s="2"/>
      <c r="R61" s="7">
        <f t="shared" si="28"/>
        <v>0</v>
      </c>
      <c r="S61" s="2"/>
      <c r="T61" s="6">
        <v>50199</v>
      </c>
      <c r="U61" s="2"/>
      <c r="V61" s="7">
        <f t="shared" si="29"/>
        <v>0</v>
      </c>
      <c r="W61" s="2"/>
      <c r="X61" s="6">
        <f t="shared" si="30"/>
        <v>-3527.5</v>
      </c>
      <c r="Y61" s="2"/>
      <c r="Z61" s="7">
        <f t="shared" si="31"/>
        <v>-7.0270324110042026E-2</v>
      </c>
    </row>
    <row r="62" spans="1:26" s="24" customFormat="1" hidden="1" outlineLevel="2" x14ac:dyDescent="0.25">
      <c r="A62" s="28"/>
      <c r="B62" s="11" t="str">
        <f>CONCATENATE("          ", "6332", " - ", "CONSULTANT FEES")</f>
        <v xml:space="preserve">          6332 - CONSULTANT FEES</v>
      </c>
      <c r="C62" s="11"/>
      <c r="D62" s="6"/>
      <c r="E62" s="2"/>
      <c r="F62" s="7">
        <f t="shared" si="24"/>
        <v>0</v>
      </c>
      <c r="G62" s="2"/>
      <c r="H62" s="6"/>
      <c r="I62" s="2"/>
      <c r="J62" s="7">
        <f t="shared" si="25"/>
        <v>0</v>
      </c>
      <c r="K62" s="2"/>
      <c r="L62" s="6">
        <f t="shared" si="26"/>
        <v>0</v>
      </c>
      <c r="M62" s="2"/>
      <c r="N62" s="7">
        <f t="shared" si="27"/>
        <v>0</v>
      </c>
      <c r="O62" s="11"/>
      <c r="P62" s="6"/>
      <c r="Q62" s="2"/>
      <c r="R62" s="7">
        <f t="shared" si="28"/>
        <v>0</v>
      </c>
      <c r="S62" s="2"/>
      <c r="T62" s="6">
        <v>15144.74</v>
      </c>
      <c r="U62" s="2"/>
      <c r="V62" s="7">
        <f t="shared" si="29"/>
        <v>0</v>
      </c>
      <c r="W62" s="2"/>
      <c r="X62" s="6">
        <f t="shared" si="30"/>
        <v>-15144.74</v>
      </c>
      <c r="Y62" s="2"/>
      <c r="Z62" s="7">
        <f t="shared" si="31"/>
        <v>-1</v>
      </c>
    </row>
    <row r="63" spans="1:26" s="24" customFormat="1" hidden="1" outlineLevel="2" x14ac:dyDescent="0.25">
      <c r="A63" s="28"/>
      <c r="B63" s="11" t="str">
        <f>CONCATENATE("          ", "6334", " - ", "LEGAL COUNCIL EXPENSE")</f>
        <v xml:space="preserve">          6334 - LEGAL COUNCIL EXPENSE</v>
      </c>
      <c r="C63" s="11"/>
      <c r="D63" s="6">
        <v>1665</v>
      </c>
      <c r="E63" s="2"/>
      <c r="F63" s="7">
        <f t="shared" si="24"/>
        <v>0</v>
      </c>
      <c r="G63" s="2"/>
      <c r="H63" s="6">
        <v>19285</v>
      </c>
      <c r="I63" s="2"/>
      <c r="J63" s="7">
        <f t="shared" si="25"/>
        <v>0</v>
      </c>
      <c r="K63" s="2"/>
      <c r="L63" s="6">
        <f t="shared" si="26"/>
        <v>-17620</v>
      </c>
      <c r="M63" s="2"/>
      <c r="N63" s="7">
        <f t="shared" si="27"/>
        <v>-0.91366346901737105</v>
      </c>
      <c r="O63" s="11"/>
      <c r="P63" s="6">
        <v>2815</v>
      </c>
      <c r="Q63" s="2"/>
      <c r="R63" s="7">
        <f t="shared" si="28"/>
        <v>0</v>
      </c>
      <c r="S63" s="2"/>
      <c r="T63" s="6">
        <v>37885</v>
      </c>
      <c r="U63" s="2"/>
      <c r="V63" s="7">
        <f t="shared" si="29"/>
        <v>0</v>
      </c>
      <c r="W63" s="2"/>
      <c r="X63" s="6">
        <f t="shared" si="30"/>
        <v>-35070</v>
      </c>
      <c r="Y63" s="2"/>
      <c r="Z63" s="7">
        <f t="shared" si="31"/>
        <v>-0.9256961858255246</v>
      </c>
    </row>
    <row r="64" spans="1:26" s="24" customFormat="1" hidden="1" outlineLevel="2" x14ac:dyDescent="0.25">
      <c r="A64" s="28"/>
      <c r="B64" s="11" t="str">
        <f>CONCATENATE("          ", "6336", " - ", "PROFESSIONAL SERVICES")</f>
        <v xml:space="preserve">          6336 - PROFESSIONAL SERVICES</v>
      </c>
      <c r="C64" s="11"/>
      <c r="D64" s="6">
        <v>1704.95</v>
      </c>
      <c r="E64" s="2"/>
      <c r="F64" s="7">
        <f t="shared" si="24"/>
        <v>0</v>
      </c>
      <c r="G64" s="2"/>
      <c r="H64" s="6">
        <v>7553</v>
      </c>
      <c r="I64" s="2"/>
      <c r="J64" s="7">
        <f t="shared" si="25"/>
        <v>0</v>
      </c>
      <c r="K64" s="2"/>
      <c r="L64" s="6">
        <f t="shared" si="26"/>
        <v>-5848.05</v>
      </c>
      <c r="M64" s="2"/>
      <c r="N64" s="7">
        <f t="shared" si="27"/>
        <v>-0.77426850258175561</v>
      </c>
      <c r="O64" s="11"/>
      <c r="P64" s="6">
        <v>4286.21</v>
      </c>
      <c r="Q64" s="2"/>
      <c r="R64" s="7">
        <f t="shared" si="28"/>
        <v>0</v>
      </c>
      <c r="S64" s="2"/>
      <c r="T64" s="6">
        <v>21382.18</v>
      </c>
      <c r="U64" s="2"/>
      <c r="V64" s="7">
        <f t="shared" si="29"/>
        <v>0</v>
      </c>
      <c r="W64" s="2"/>
      <c r="X64" s="6">
        <f t="shared" si="30"/>
        <v>-17095.97</v>
      </c>
      <c r="Y64" s="2"/>
      <c r="Z64" s="7">
        <f t="shared" si="31"/>
        <v>-0.7995428903881644</v>
      </c>
    </row>
    <row r="65" spans="1:26" s="29" customFormat="1" outlineLevel="1" collapsed="1" x14ac:dyDescent="0.25">
      <c r="A65" s="27"/>
      <c r="B65" s="14" t="str">
        <f>CONCATENATE("     ","Repair and Maintenance                            ")</f>
        <v xml:space="preserve">     Repair and Maintenance                            </v>
      </c>
      <c r="C65" s="14"/>
      <c r="D65" s="1">
        <f>SUM(OSRRefD22_13x_0)</f>
        <v>23159.67</v>
      </c>
      <c r="E65" s="1"/>
      <c r="F65" s="5">
        <f t="shared" ref="F65:F68" si="32">IF(D$12=0,0,D65/D$12)</f>
        <v>0</v>
      </c>
      <c r="G65" s="1"/>
      <c r="H65" s="1">
        <f>SUM(OSRRefH22_13x_0)</f>
        <v>28015.309999999998</v>
      </c>
      <c r="I65" s="1"/>
      <c r="J65" s="5">
        <f t="shared" ref="J65:J68" si="33">IF(H$12=0,0,H65/H$12)</f>
        <v>0</v>
      </c>
      <c r="K65" s="1"/>
      <c r="L65" s="1">
        <f t="shared" ref="L65:L68" si="34">+D65-H65</f>
        <v>-4855.6399999999994</v>
      </c>
      <c r="M65" s="1"/>
      <c r="N65" s="5">
        <f t="shared" ref="N65:N68" si="35">IF(H65=0,0,L65/H65)</f>
        <v>-0.17332094486907337</v>
      </c>
      <c r="O65" s="14"/>
      <c r="P65" s="1">
        <f>SUM(OSRRefP22_13x_0)</f>
        <v>79562.13</v>
      </c>
      <c r="Q65" s="1"/>
      <c r="R65" s="5">
        <f t="shared" ref="R65:R68" si="36">IF(P$12=0,0,P65/P$12)</f>
        <v>0</v>
      </c>
      <c r="S65" s="1"/>
      <c r="T65" s="1">
        <f>SUM(OSRRefT22_13x_0)</f>
        <v>102699.33</v>
      </c>
      <c r="U65" s="1"/>
      <c r="V65" s="5">
        <f t="shared" ref="V65:V68" si="37">IF(T$12=0,0,T65/T$12)</f>
        <v>0</v>
      </c>
      <c r="W65" s="1"/>
      <c r="X65" s="1">
        <f t="shared" ref="X65:X68" si="38">+P65-T65</f>
        <v>-23137.199999999997</v>
      </c>
      <c r="Y65" s="1"/>
      <c r="Z65" s="5">
        <f t="shared" ref="Z65:Z68" si="39">IF(T65=0,0,X65/T65)</f>
        <v>-0.22529066158464711</v>
      </c>
    </row>
    <row r="66" spans="1:26" s="24" customFormat="1" hidden="1" outlineLevel="2" x14ac:dyDescent="0.25">
      <c r="A66" s="28"/>
      <c r="B66" s="11" t="str">
        <f>CONCATENATE("          ", "6371", " - ", "COMPUTER SOFTWARE MAINTENANCE")</f>
        <v xml:space="preserve">          6371 - COMPUTER SOFTWARE MAINTENANCE</v>
      </c>
      <c r="C66" s="11"/>
      <c r="D66" s="6">
        <v>6844.26</v>
      </c>
      <c r="E66" s="2"/>
      <c r="F66" s="7">
        <f t="shared" si="32"/>
        <v>0</v>
      </c>
      <c r="G66" s="2"/>
      <c r="H66" s="6">
        <v>13398.08</v>
      </c>
      <c r="I66" s="2"/>
      <c r="J66" s="7">
        <f t="shared" si="33"/>
        <v>0</v>
      </c>
      <c r="K66" s="2"/>
      <c r="L66" s="6">
        <f t="shared" si="34"/>
        <v>-6553.82</v>
      </c>
      <c r="M66" s="2"/>
      <c r="N66" s="7">
        <f t="shared" si="35"/>
        <v>-0.48916113353555135</v>
      </c>
      <c r="O66" s="11"/>
      <c r="P66" s="6">
        <v>18985.27</v>
      </c>
      <c r="Q66" s="2"/>
      <c r="R66" s="7">
        <f t="shared" si="36"/>
        <v>0</v>
      </c>
      <c r="S66" s="2"/>
      <c r="T66" s="6">
        <v>44903.19</v>
      </c>
      <c r="U66" s="2"/>
      <c r="V66" s="7">
        <f t="shared" si="37"/>
        <v>0</v>
      </c>
      <c r="W66" s="2"/>
      <c r="X66" s="6">
        <f t="shared" si="38"/>
        <v>-25917.920000000002</v>
      </c>
      <c r="Y66" s="2"/>
      <c r="Z66" s="7">
        <f t="shared" si="39"/>
        <v>-0.5771955177349315</v>
      </c>
    </row>
    <row r="67" spans="1:26" s="24" customFormat="1" hidden="1" outlineLevel="2" x14ac:dyDescent="0.25">
      <c r="A67" s="28"/>
      <c r="B67" s="11" t="str">
        <f>CONCATENATE("          ", "6373", " - ", "MAINTENANCE CONTRACTS")</f>
        <v xml:space="preserve">          6373 - MAINTENANCE CONTRACTS</v>
      </c>
      <c r="C67" s="11"/>
      <c r="D67" s="6">
        <v>15449.409999999998</v>
      </c>
      <c r="E67" s="2"/>
      <c r="F67" s="7">
        <f t="shared" si="32"/>
        <v>0</v>
      </c>
      <c r="G67" s="2"/>
      <c r="H67" s="6">
        <v>13500.7</v>
      </c>
      <c r="I67" s="2"/>
      <c r="J67" s="7">
        <f t="shared" si="33"/>
        <v>0</v>
      </c>
      <c r="K67" s="2"/>
      <c r="L67" s="6">
        <f t="shared" si="34"/>
        <v>1948.7099999999973</v>
      </c>
      <c r="M67" s="2"/>
      <c r="N67" s="7">
        <f t="shared" si="35"/>
        <v>0.14434140451976543</v>
      </c>
      <c r="O67" s="11"/>
      <c r="P67" s="6">
        <v>58891.67</v>
      </c>
      <c r="Q67" s="2"/>
      <c r="R67" s="7">
        <f t="shared" si="36"/>
        <v>0</v>
      </c>
      <c r="S67" s="2"/>
      <c r="T67" s="6">
        <v>56506.5</v>
      </c>
      <c r="U67" s="2"/>
      <c r="V67" s="7">
        <f t="shared" si="37"/>
        <v>0</v>
      </c>
      <c r="W67" s="2"/>
      <c r="X67" s="6">
        <f t="shared" si="38"/>
        <v>2385.1699999999983</v>
      </c>
      <c r="Y67" s="2"/>
      <c r="Z67" s="7">
        <f t="shared" si="39"/>
        <v>4.2210542150018106E-2</v>
      </c>
    </row>
    <row r="68" spans="1:26" s="24" customFormat="1" hidden="1" outlineLevel="2" x14ac:dyDescent="0.25">
      <c r="A68" s="28"/>
      <c r="B68" s="11" t="str">
        <f>CONCATENATE("          ", "6375", " - ", "OUTSIDE REPAIRS &amp; MAINTENANCE")</f>
        <v xml:space="preserve">          6375 - OUTSIDE REPAIRS &amp; MAINTENANCE</v>
      </c>
      <c r="C68" s="11"/>
      <c r="D68" s="6">
        <v>866</v>
      </c>
      <c r="E68" s="2"/>
      <c r="F68" s="7">
        <f t="shared" si="32"/>
        <v>0</v>
      </c>
      <c r="G68" s="2"/>
      <c r="H68" s="6">
        <v>1116.53</v>
      </c>
      <c r="I68" s="2"/>
      <c r="J68" s="7">
        <f t="shared" si="33"/>
        <v>0</v>
      </c>
      <c r="K68" s="2"/>
      <c r="L68" s="6">
        <f t="shared" si="34"/>
        <v>-250.52999999999997</v>
      </c>
      <c r="M68" s="2"/>
      <c r="N68" s="7">
        <f t="shared" si="35"/>
        <v>-0.22438268564212335</v>
      </c>
      <c r="O68" s="11"/>
      <c r="P68" s="6">
        <v>1685.19</v>
      </c>
      <c r="Q68" s="2"/>
      <c r="R68" s="7">
        <f t="shared" si="36"/>
        <v>0</v>
      </c>
      <c r="S68" s="2"/>
      <c r="T68" s="6">
        <v>1289.6400000000001</v>
      </c>
      <c r="U68" s="2"/>
      <c r="V68" s="7">
        <f t="shared" si="37"/>
        <v>0</v>
      </c>
      <c r="W68" s="2"/>
      <c r="X68" s="6">
        <f t="shared" si="38"/>
        <v>395.54999999999995</v>
      </c>
      <c r="Y68" s="2"/>
      <c r="Z68" s="7">
        <f t="shared" si="39"/>
        <v>0.30671350144226289</v>
      </c>
    </row>
    <row r="69" spans="1:26" s="29" customFormat="1" outlineLevel="1" collapsed="1" x14ac:dyDescent="0.25">
      <c r="A69" s="27"/>
      <c r="B69" s="14" t="str">
        <f>CONCATENATE("     ","Services                                          ")</f>
        <v xml:space="preserve">     Services                                          </v>
      </c>
      <c r="C69" s="14"/>
      <c r="D69" s="1">
        <f>SUM(OSRRefD22_14x_0)</f>
        <v>1024.96</v>
      </c>
      <c r="E69" s="1"/>
      <c r="F69" s="5">
        <f t="shared" ref="F69:F71" si="40">IF(D$12=0,0,D69/D$12)</f>
        <v>0</v>
      </c>
      <c r="G69" s="1"/>
      <c r="H69" s="1">
        <f>SUM(OSRRefH22_14x_0)</f>
        <v>3467.0200000000004</v>
      </c>
      <c r="I69" s="1"/>
      <c r="J69" s="5">
        <f t="shared" ref="J69:J71" si="41">IF(H$12=0,0,H69/H$12)</f>
        <v>0</v>
      </c>
      <c r="K69" s="1"/>
      <c r="L69" s="1">
        <f t="shared" ref="L69:L71" si="42">+D69-H69</f>
        <v>-2442.0600000000004</v>
      </c>
      <c r="M69" s="1"/>
      <c r="N69" s="5">
        <f t="shared" ref="N69:N71" si="43">IF(H69=0,0,L69/H69)</f>
        <v>-0.70436859320107759</v>
      </c>
      <c r="O69" s="14"/>
      <c r="P69" s="1">
        <f>SUM(OSRRefP22_14x_0)</f>
        <v>2049.92</v>
      </c>
      <c r="Q69" s="1"/>
      <c r="R69" s="5">
        <f t="shared" ref="R69:R71" si="44">IF(P$12=0,0,P69/P$12)</f>
        <v>0</v>
      </c>
      <c r="S69" s="1"/>
      <c r="T69" s="1">
        <f>SUM(OSRRefT22_14x_0)</f>
        <v>7206.8499999999995</v>
      </c>
      <c r="U69" s="1"/>
      <c r="V69" s="5">
        <f t="shared" ref="V69:V71" si="45">IF(T$12=0,0,T69/T$12)</f>
        <v>0</v>
      </c>
      <c r="W69" s="1"/>
      <c r="X69" s="1">
        <f t="shared" ref="X69:X71" si="46">+P69-T69</f>
        <v>-5156.9299999999994</v>
      </c>
      <c r="Y69" s="1"/>
      <c r="Z69" s="5">
        <f t="shared" ref="Z69:Z71" si="47">IF(T69=0,0,X69/T69)</f>
        <v>-0.7155595024178385</v>
      </c>
    </row>
    <row r="70" spans="1:26" s="24" customFormat="1" hidden="1" outlineLevel="2" x14ac:dyDescent="0.25">
      <c r="A70" s="28"/>
      <c r="B70" s="11" t="str">
        <f>CONCATENATE("          ", "6281", " - ", "STORAGE FEE")</f>
        <v xml:space="preserve">          6281 - STORAGE FEE</v>
      </c>
      <c r="C70" s="11"/>
      <c r="D70" s="6">
        <v>1024.96</v>
      </c>
      <c r="E70" s="2"/>
      <c r="F70" s="7">
        <f t="shared" si="40"/>
        <v>0</v>
      </c>
      <c r="G70" s="2"/>
      <c r="H70" s="6">
        <v>3453.76</v>
      </c>
      <c r="I70" s="2"/>
      <c r="J70" s="7">
        <f t="shared" si="41"/>
        <v>0</v>
      </c>
      <c r="K70" s="2"/>
      <c r="L70" s="6">
        <f t="shared" si="42"/>
        <v>-2428.8000000000002</v>
      </c>
      <c r="M70" s="2"/>
      <c r="N70" s="7">
        <f t="shared" si="43"/>
        <v>-0.70323357731863245</v>
      </c>
      <c r="O70" s="11"/>
      <c r="P70" s="6">
        <v>2049.92</v>
      </c>
      <c r="Q70" s="2"/>
      <c r="R70" s="7">
        <f t="shared" si="44"/>
        <v>0</v>
      </c>
      <c r="S70" s="2"/>
      <c r="T70" s="6">
        <v>7167.07</v>
      </c>
      <c r="U70" s="2"/>
      <c r="V70" s="7">
        <f t="shared" si="45"/>
        <v>0</v>
      </c>
      <c r="W70" s="2"/>
      <c r="X70" s="6">
        <f t="shared" si="46"/>
        <v>-5117.1499999999996</v>
      </c>
      <c r="Y70" s="2"/>
      <c r="Z70" s="7">
        <f t="shared" si="47"/>
        <v>-0.71398074806022538</v>
      </c>
    </row>
    <row r="71" spans="1:26" s="24" customFormat="1" hidden="1" outlineLevel="2" x14ac:dyDescent="0.25">
      <c r="A71" s="28"/>
      <c r="B71" s="11" t="str">
        <f>CONCATENATE("          ", "6286", " - ", "LAUNDRY EXPENSE")</f>
        <v xml:space="preserve">          6286 - LAUNDRY EXPENSE</v>
      </c>
      <c r="C71" s="11"/>
      <c r="D71" s="6"/>
      <c r="E71" s="2"/>
      <c r="F71" s="7">
        <f t="shared" si="40"/>
        <v>0</v>
      </c>
      <c r="G71" s="2"/>
      <c r="H71" s="6">
        <v>13.26</v>
      </c>
      <c r="I71" s="2"/>
      <c r="J71" s="7">
        <f t="shared" si="41"/>
        <v>0</v>
      </c>
      <c r="K71" s="2"/>
      <c r="L71" s="6">
        <f t="shared" si="42"/>
        <v>-13.26</v>
      </c>
      <c r="M71" s="2"/>
      <c r="N71" s="7">
        <f t="shared" si="43"/>
        <v>-1</v>
      </c>
      <c r="O71" s="11"/>
      <c r="P71" s="6"/>
      <c r="Q71" s="2"/>
      <c r="R71" s="7">
        <f t="shared" si="44"/>
        <v>0</v>
      </c>
      <c r="S71" s="2"/>
      <c r="T71" s="6">
        <v>39.78</v>
      </c>
      <c r="U71" s="2"/>
      <c r="V71" s="7">
        <f t="shared" si="45"/>
        <v>0</v>
      </c>
      <c r="W71" s="2"/>
      <c r="X71" s="6">
        <f t="shared" si="46"/>
        <v>-39.78</v>
      </c>
      <c r="Y71" s="2"/>
      <c r="Z71" s="7">
        <f t="shared" si="47"/>
        <v>-1</v>
      </c>
    </row>
    <row r="72" spans="1:26" s="29" customFormat="1" outlineLevel="1" collapsed="1" x14ac:dyDescent="0.25">
      <c r="A72" s="27"/>
      <c r="B72" s="14" t="str">
        <f>CONCATENATE("     ","Subscriptions &amp; Dues                              ")</f>
        <v xml:space="preserve">     Subscriptions &amp; Dues                              </v>
      </c>
      <c r="C72" s="14"/>
      <c r="D72" s="1">
        <f>SUM(OSRRefD22_15x_0)</f>
        <v>534.99</v>
      </c>
      <c r="E72" s="1"/>
      <c r="F72" s="5">
        <f t="shared" ref="F72:F79" si="48">IF(D$12=0,0,D72/D$12)</f>
        <v>0</v>
      </c>
      <c r="G72" s="1"/>
      <c r="H72" s="1">
        <f>SUM(OSRRefH22_15x_0)</f>
        <v>0</v>
      </c>
      <c r="I72" s="1"/>
      <c r="J72" s="5">
        <f t="shared" ref="J72:J79" si="49">IF(H$12=0,0,H72/H$12)</f>
        <v>0</v>
      </c>
      <c r="K72" s="1"/>
      <c r="L72" s="1">
        <f t="shared" ref="L72:L79" si="50">+D72-H72</f>
        <v>534.99</v>
      </c>
      <c r="M72" s="1"/>
      <c r="N72" s="5">
        <f t="shared" ref="N72:N79" si="51">IF(H72=0,0,L72/H72)</f>
        <v>0</v>
      </c>
      <c r="O72" s="14"/>
      <c r="P72" s="1">
        <f>SUM(OSRRefP22_15x_0)</f>
        <v>2259.9899999999998</v>
      </c>
      <c r="Q72" s="1"/>
      <c r="R72" s="5">
        <f t="shared" ref="R72:R79" si="52">IF(P$12=0,0,P72/P$12)</f>
        <v>0</v>
      </c>
      <c r="S72" s="1"/>
      <c r="T72" s="1">
        <f>SUM(OSRRefT22_15x_0)</f>
        <v>1626</v>
      </c>
      <c r="U72" s="1"/>
      <c r="V72" s="5">
        <f t="shared" ref="V72:V79" si="53">IF(T$12=0,0,T72/T$12)</f>
        <v>0</v>
      </c>
      <c r="W72" s="1"/>
      <c r="X72" s="1">
        <f t="shared" ref="X72:X79" si="54">+P72-T72</f>
        <v>633.98999999999978</v>
      </c>
      <c r="Y72" s="1"/>
      <c r="Z72" s="5">
        <f t="shared" ref="Z72:Z79" si="55">IF(T72=0,0,X72/T72)</f>
        <v>0.38990774907749065</v>
      </c>
    </row>
    <row r="73" spans="1:26" s="24" customFormat="1" hidden="1" outlineLevel="2" x14ac:dyDescent="0.25">
      <c r="A73" s="28"/>
      <c r="B73" s="11" t="str">
        <f>CONCATENATE("          ", "6258", " - ", "MEMBERSHIP DUES")</f>
        <v xml:space="preserve">          6258 - MEMBERSHIP DUES</v>
      </c>
      <c r="C73" s="11"/>
      <c r="D73" s="6">
        <v>534.99</v>
      </c>
      <c r="E73" s="2"/>
      <c r="F73" s="7">
        <f t="shared" si="48"/>
        <v>0</v>
      </c>
      <c r="G73" s="2"/>
      <c r="H73" s="6"/>
      <c r="I73" s="2"/>
      <c r="J73" s="7">
        <f t="shared" si="49"/>
        <v>0</v>
      </c>
      <c r="K73" s="2"/>
      <c r="L73" s="6">
        <f t="shared" si="50"/>
        <v>534.99</v>
      </c>
      <c r="M73" s="2"/>
      <c r="N73" s="7">
        <f t="shared" si="51"/>
        <v>0</v>
      </c>
      <c r="O73" s="11"/>
      <c r="P73" s="6">
        <v>2259.9899999999998</v>
      </c>
      <c r="Q73" s="2"/>
      <c r="R73" s="7">
        <f t="shared" si="52"/>
        <v>0</v>
      </c>
      <c r="S73" s="2"/>
      <c r="T73" s="6">
        <v>1626</v>
      </c>
      <c r="U73" s="2"/>
      <c r="V73" s="7">
        <f t="shared" si="53"/>
        <v>0</v>
      </c>
      <c r="W73" s="2"/>
      <c r="X73" s="6">
        <f t="shared" si="54"/>
        <v>633.98999999999978</v>
      </c>
      <c r="Y73" s="2"/>
      <c r="Z73" s="7">
        <f t="shared" si="55"/>
        <v>0.38990774907749065</v>
      </c>
    </row>
    <row r="74" spans="1:26" s="29" customFormat="1" outlineLevel="1" collapsed="1" x14ac:dyDescent="0.25">
      <c r="A74" s="27"/>
      <c r="B74" s="14" t="str">
        <f>CONCATENATE("     ","Supplies                                          ")</f>
        <v xml:space="preserve">     Supplies                                          </v>
      </c>
      <c r="C74" s="14"/>
      <c r="D74" s="1">
        <f>SUM(OSRRefD22_16x_0)</f>
        <v>482.82</v>
      </c>
      <c r="E74" s="1"/>
      <c r="F74" s="5">
        <f t="shared" si="48"/>
        <v>0</v>
      </c>
      <c r="G74" s="1"/>
      <c r="H74" s="1">
        <f>SUM(OSRRefH22_16x_0)</f>
        <v>7765.2800000000007</v>
      </c>
      <c r="I74" s="1"/>
      <c r="J74" s="5">
        <f t="shared" si="49"/>
        <v>0</v>
      </c>
      <c r="K74" s="1"/>
      <c r="L74" s="1">
        <f t="shared" si="50"/>
        <v>-7282.4600000000009</v>
      </c>
      <c r="M74" s="1"/>
      <c r="N74" s="5">
        <f t="shared" si="51"/>
        <v>-0.93782323367605547</v>
      </c>
      <c r="O74" s="14"/>
      <c r="P74" s="1">
        <f>SUM(OSRRefP22_16x_0)</f>
        <v>-1961.7000000000003</v>
      </c>
      <c r="Q74" s="1"/>
      <c r="R74" s="5">
        <f t="shared" si="52"/>
        <v>0</v>
      </c>
      <c r="S74" s="1"/>
      <c r="T74" s="1">
        <f>SUM(OSRRefT22_16x_0)</f>
        <v>35889.479999999996</v>
      </c>
      <c r="U74" s="1"/>
      <c r="V74" s="5">
        <f t="shared" si="53"/>
        <v>0</v>
      </c>
      <c r="W74" s="1"/>
      <c r="X74" s="1">
        <f t="shared" si="54"/>
        <v>-37851.179999999993</v>
      </c>
      <c r="Y74" s="1"/>
      <c r="Z74" s="5">
        <f t="shared" si="55"/>
        <v>-1.0546594712433839</v>
      </c>
    </row>
    <row r="75" spans="1:26" s="24" customFormat="1" hidden="1" outlineLevel="2" x14ac:dyDescent="0.25">
      <c r="A75" s="28"/>
      <c r="B75" s="11" t="str">
        <f>CONCATENATE("          ", "6234", " - ", "EXPENDABLE SUPPLIES &amp; EQUIPMEN")</f>
        <v xml:space="preserve">          6234 - EXPENDABLE SUPPLIES &amp; EQUIPMEN</v>
      </c>
      <c r="C75" s="11"/>
      <c r="D75" s="6"/>
      <c r="E75" s="2"/>
      <c r="F75" s="7">
        <f t="shared" si="48"/>
        <v>0</v>
      </c>
      <c r="G75" s="2"/>
      <c r="H75" s="6">
        <v>133.56</v>
      </c>
      <c r="I75" s="2"/>
      <c r="J75" s="7">
        <f t="shared" si="49"/>
        <v>0</v>
      </c>
      <c r="K75" s="2"/>
      <c r="L75" s="6">
        <f t="shared" si="50"/>
        <v>-133.56</v>
      </c>
      <c r="M75" s="2"/>
      <c r="N75" s="7">
        <f t="shared" si="51"/>
        <v>-1</v>
      </c>
      <c r="O75" s="11"/>
      <c r="P75" s="6"/>
      <c r="Q75" s="2"/>
      <c r="R75" s="7">
        <f t="shared" si="52"/>
        <v>0</v>
      </c>
      <c r="S75" s="2"/>
      <c r="T75" s="6">
        <v>910.52</v>
      </c>
      <c r="U75" s="2"/>
      <c r="V75" s="7">
        <f t="shared" si="53"/>
        <v>0</v>
      </c>
      <c r="W75" s="2"/>
      <c r="X75" s="6">
        <f t="shared" si="54"/>
        <v>-910.52</v>
      </c>
      <c r="Y75" s="2"/>
      <c r="Z75" s="7">
        <f t="shared" si="55"/>
        <v>-1</v>
      </c>
    </row>
    <row r="76" spans="1:26" s="24" customFormat="1" hidden="1" outlineLevel="2" x14ac:dyDescent="0.25">
      <c r="A76" s="28"/>
      <c r="B76" s="11" t="str">
        <f>CONCATENATE("          ", "6235", " - ", "COVID-19 EXPENSES")</f>
        <v xml:space="preserve">          6235 - COVID-19 EXPENSES</v>
      </c>
      <c r="C76" s="11"/>
      <c r="D76" s="6"/>
      <c r="E76" s="2"/>
      <c r="F76" s="7">
        <f t="shared" si="48"/>
        <v>0</v>
      </c>
      <c r="G76" s="2"/>
      <c r="H76" s="6"/>
      <c r="I76" s="2"/>
      <c r="J76" s="7">
        <f t="shared" si="49"/>
        <v>0</v>
      </c>
      <c r="K76" s="2"/>
      <c r="L76" s="6">
        <f t="shared" si="50"/>
        <v>0</v>
      </c>
      <c r="M76" s="2"/>
      <c r="N76" s="7">
        <f t="shared" si="51"/>
        <v>0</v>
      </c>
      <c r="O76" s="11"/>
      <c r="P76" s="6">
        <v>744.18</v>
      </c>
      <c r="Q76" s="2"/>
      <c r="R76" s="7">
        <f t="shared" si="52"/>
        <v>0</v>
      </c>
      <c r="S76" s="2"/>
      <c r="T76" s="6"/>
      <c r="U76" s="2"/>
      <c r="V76" s="7">
        <f t="shared" si="53"/>
        <v>0</v>
      </c>
      <c r="W76" s="2"/>
      <c r="X76" s="6">
        <f t="shared" si="54"/>
        <v>744.18</v>
      </c>
      <c r="Y76" s="2"/>
      <c r="Z76" s="7">
        <f t="shared" si="55"/>
        <v>0</v>
      </c>
    </row>
    <row r="77" spans="1:26" s="24" customFormat="1" hidden="1" outlineLevel="2" x14ac:dyDescent="0.25">
      <c r="A77" s="28"/>
      <c r="B77" s="11" t="str">
        <f>CONCATENATE("          ", "6241", " - ", "OFFICE EXPENSE")</f>
        <v xml:space="preserve">          6241 - OFFICE EXPENSE</v>
      </c>
      <c r="C77" s="11"/>
      <c r="D77" s="6">
        <v>457.82</v>
      </c>
      <c r="E77" s="2"/>
      <c r="F77" s="7">
        <f t="shared" si="48"/>
        <v>0</v>
      </c>
      <c r="G77" s="2"/>
      <c r="H77" s="6">
        <v>7292.21</v>
      </c>
      <c r="I77" s="2"/>
      <c r="J77" s="7">
        <f t="shared" si="49"/>
        <v>0</v>
      </c>
      <c r="K77" s="2"/>
      <c r="L77" s="6">
        <f t="shared" si="50"/>
        <v>-6834.39</v>
      </c>
      <c r="M77" s="2"/>
      <c r="N77" s="7">
        <f t="shared" si="51"/>
        <v>-0.93721793530356368</v>
      </c>
      <c r="O77" s="11"/>
      <c r="P77" s="6">
        <v>-2928.59</v>
      </c>
      <c r="Q77" s="2"/>
      <c r="R77" s="7">
        <f t="shared" si="52"/>
        <v>0</v>
      </c>
      <c r="S77" s="2"/>
      <c r="T77" s="6">
        <v>30627.929999999997</v>
      </c>
      <c r="U77" s="2"/>
      <c r="V77" s="7">
        <f t="shared" si="53"/>
        <v>0</v>
      </c>
      <c r="W77" s="2"/>
      <c r="X77" s="6">
        <f t="shared" si="54"/>
        <v>-33556.519999999997</v>
      </c>
      <c r="Y77" s="2"/>
      <c r="Z77" s="7">
        <f t="shared" si="55"/>
        <v>-1.0956182804388022</v>
      </c>
    </row>
    <row r="78" spans="1:26" s="24" customFormat="1" hidden="1" outlineLevel="2" x14ac:dyDescent="0.25">
      <c r="A78" s="28"/>
      <c r="B78" s="11" t="str">
        <f>CONCATENATE("          ", "6244", " - ", "SAFETY SUPPLY EXPENSE")</f>
        <v xml:space="preserve">          6244 - SAFETY SUPPLY EXPENSE</v>
      </c>
      <c r="C78" s="11"/>
      <c r="D78" s="6">
        <v>25</v>
      </c>
      <c r="E78" s="2"/>
      <c r="F78" s="7">
        <f t="shared" si="48"/>
        <v>0</v>
      </c>
      <c r="G78" s="2"/>
      <c r="H78" s="6">
        <v>175</v>
      </c>
      <c r="I78" s="2"/>
      <c r="J78" s="7">
        <f t="shared" si="49"/>
        <v>0</v>
      </c>
      <c r="K78" s="2"/>
      <c r="L78" s="6">
        <f t="shared" si="50"/>
        <v>-150</v>
      </c>
      <c r="M78" s="2"/>
      <c r="N78" s="7">
        <f t="shared" si="51"/>
        <v>-0.8571428571428571</v>
      </c>
      <c r="O78" s="11"/>
      <c r="P78" s="6">
        <v>222.71</v>
      </c>
      <c r="Q78" s="2"/>
      <c r="R78" s="7">
        <f t="shared" si="52"/>
        <v>0</v>
      </c>
      <c r="S78" s="2"/>
      <c r="T78" s="6">
        <v>1407.33</v>
      </c>
      <c r="U78" s="2"/>
      <c r="V78" s="7">
        <f t="shared" si="53"/>
        <v>0</v>
      </c>
      <c r="W78" s="2"/>
      <c r="X78" s="6">
        <f t="shared" si="54"/>
        <v>-1184.6199999999999</v>
      </c>
      <c r="Y78" s="2"/>
      <c r="Z78" s="7">
        <f t="shared" si="55"/>
        <v>-0.8417499804594516</v>
      </c>
    </row>
    <row r="79" spans="1:26" s="24" customFormat="1" hidden="1" outlineLevel="2" x14ac:dyDescent="0.25">
      <c r="A79" s="28"/>
      <c r="B79" s="11" t="str">
        <f>CONCATENATE("          ", "6245", " - ", "PRINTING")</f>
        <v xml:space="preserve">          6245 - PRINTING</v>
      </c>
      <c r="C79" s="11"/>
      <c r="D79" s="6"/>
      <c r="E79" s="2"/>
      <c r="F79" s="7">
        <f t="shared" si="48"/>
        <v>0</v>
      </c>
      <c r="G79" s="2"/>
      <c r="H79" s="6">
        <v>164.51</v>
      </c>
      <c r="I79" s="2"/>
      <c r="J79" s="7">
        <f t="shared" si="49"/>
        <v>0</v>
      </c>
      <c r="K79" s="2"/>
      <c r="L79" s="6">
        <f t="shared" si="50"/>
        <v>-164.51</v>
      </c>
      <c r="M79" s="2"/>
      <c r="N79" s="7">
        <f t="shared" si="51"/>
        <v>-1</v>
      </c>
      <c r="O79" s="11"/>
      <c r="P79" s="6"/>
      <c r="Q79" s="2"/>
      <c r="R79" s="7">
        <f t="shared" si="52"/>
        <v>0</v>
      </c>
      <c r="S79" s="2"/>
      <c r="T79" s="6">
        <v>2943.7</v>
      </c>
      <c r="U79" s="2"/>
      <c r="V79" s="7">
        <f t="shared" si="53"/>
        <v>0</v>
      </c>
      <c r="W79" s="2"/>
      <c r="X79" s="6">
        <f t="shared" si="54"/>
        <v>-2943.7</v>
      </c>
      <c r="Y79" s="2"/>
      <c r="Z79" s="7">
        <f t="shared" si="55"/>
        <v>-1</v>
      </c>
    </row>
    <row r="80" spans="1:26" s="29" customFormat="1" outlineLevel="1" collapsed="1" x14ac:dyDescent="0.25">
      <c r="A80" s="27"/>
      <c r="B80" s="14" t="str">
        <f>CONCATENATE("     ","Telephone/Data Lines                              ")</f>
        <v xml:space="preserve">     Telephone/Data Lines                              </v>
      </c>
      <c r="C80" s="14"/>
      <c r="D80" s="1">
        <f>SUM(OSRRefD22_17x_0)</f>
        <v>1888.1</v>
      </c>
      <c r="E80" s="1"/>
      <c r="F80" s="5">
        <f t="shared" ref="F80:F82" si="56">IF(D$12=0,0,D80/D$12)</f>
        <v>0</v>
      </c>
      <c r="G80" s="1"/>
      <c r="H80" s="1">
        <f>SUM(OSRRefH22_17x_0)</f>
        <v>2429.0299999999997</v>
      </c>
      <c r="I80" s="1"/>
      <c r="J80" s="5">
        <f t="shared" ref="J80:J82" si="57">IF(H$12=0,0,H80/H$12)</f>
        <v>0</v>
      </c>
      <c r="K80" s="1"/>
      <c r="L80" s="1">
        <f t="shared" ref="L80:L82" si="58">+D80-H80</f>
        <v>-540.92999999999984</v>
      </c>
      <c r="M80" s="1"/>
      <c r="N80" s="5">
        <f t="shared" ref="N80:N82" si="59">IF(H80=0,0,L80/H80)</f>
        <v>-0.22269383251750693</v>
      </c>
      <c r="O80" s="14"/>
      <c r="P80" s="1">
        <f>SUM(OSRRefP22_17x_0)</f>
        <v>8168.2</v>
      </c>
      <c r="Q80" s="1"/>
      <c r="R80" s="5">
        <f t="shared" ref="R80:R82" si="60">IF(P$12=0,0,P80/P$12)</f>
        <v>0</v>
      </c>
      <c r="S80" s="1"/>
      <c r="T80" s="1">
        <f>SUM(OSRRefT22_17x_0)</f>
        <v>11706.8</v>
      </c>
      <c r="U80" s="1"/>
      <c r="V80" s="5">
        <f t="shared" ref="V80:V82" si="61">IF(T$12=0,0,T80/T$12)</f>
        <v>0</v>
      </c>
      <c r="W80" s="1"/>
      <c r="X80" s="1">
        <f t="shared" ref="X80:X82" si="62">+P80-T80</f>
        <v>-3538.5999999999995</v>
      </c>
      <c r="Y80" s="1"/>
      <c r="Z80" s="5">
        <f t="shared" ref="Z80:Z82" si="63">IF(T80=0,0,X80/T80)</f>
        <v>-0.30226876687053678</v>
      </c>
    </row>
    <row r="81" spans="1:26" s="24" customFormat="1" hidden="1" outlineLevel="2" x14ac:dyDescent="0.25">
      <c r="A81" s="28"/>
      <c r="B81" s="11" t="str">
        <f>CONCATENATE("          ", "6303", " - ", "DATA PHONE LINES")</f>
        <v xml:space="preserve">          6303 - DATA PHONE LINES</v>
      </c>
      <c r="C81" s="11"/>
      <c r="D81" s="6">
        <v>143.97999999999999</v>
      </c>
      <c r="E81" s="2"/>
      <c r="F81" s="7">
        <f t="shared" si="56"/>
        <v>0</v>
      </c>
      <c r="G81" s="2"/>
      <c r="H81" s="6">
        <v>232.79</v>
      </c>
      <c r="I81" s="2"/>
      <c r="J81" s="7">
        <f t="shared" si="57"/>
        <v>0</v>
      </c>
      <c r="K81" s="2"/>
      <c r="L81" s="6">
        <f t="shared" si="58"/>
        <v>-88.81</v>
      </c>
      <c r="M81" s="2"/>
      <c r="N81" s="7">
        <f t="shared" si="59"/>
        <v>-0.38150264186605959</v>
      </c>
      <c r="O81" s="11"/>
      <c r="P81" s="6">
        <v>380.95</v>
      </c>
      <c r="Q81" s="2"/>
      <c r="R81" s="7">
        <f t="shared" si="60"/>
        <v>0</v>
      </c>
      <c r="S81" s="2"/>
      <c r="T81" s="6">
        <v>740.41</v>
      </c>
      <c r="U81" s="2"/>
      <c r="V81" s="7">
        <f t="shared" si="61"/>
        <v>0</v>
      </c>
      <c r="W81" s="2"/>
      <c r="X81" s="6">
        <f t="shared" si="62"/>
        <v>-359.46</v>
      </c>
      <c r="Y81" s="2"/>
      <c r="Z81" s="7">
        <f t="shared" si="63"/>
        <v>-0.48548777028943424</v>
      </c>
    </row>
    <row r="82" spans="1:26" s="24" customFormat="1" hidden="1" outlineLevel="2" x14ac:dyDescent="0.25">
      <c r="A82" s="28"/>
      <c r="B82" s="11" t="str">
        <f>CONCATENATE("          ", "6309", " - ", "TELEPHONE")</f>
        <v xml:space="preserve">          6309 - TELEPHONE</v>
      </c>
      <c r="C82" s="11"/>
      <c r="D82" s="6">
        <v>1744.12</v>
      </c>
      <c r="E82" s="2"/>
      <c r="F82" s="7">
        <f t="shared" si="56"/>
        <v>0</v>
      </c>
      <c r="G82" s="2"/>
      <c r="H82" s="6">
        <v>2196.2399999999998</v>
      </c>
      <c r="I82" s="2"/>
      <c r="J82" s="7">
        <f t="shared" si="57"/>
        <v>0</v>
      </c>
      <c r="K82" s="2"/>
      <c r="L82" s="6">
        <f t="shared" si="58"/>
        <v>-452.11999999999989</v>
      </c>
      <c r="M82" s="2"/>
      <c r="N82" s="7">
        <f t="shared" si="59"/>
        <v>-0.20586092594616251</v>
      </c>
      <c r="O82" s="11"/>
      <c r="P82" s="6">
        <v>7787.25</v>
      </c>
      <c r="Q82" s="2"/>
      <c r="R82" s="7">
        <f t="shared" si="60"/>
        <v>0</v>
      </c>
      <c r="S82" s="2"/>
      <c r="T82" s="6">
        <v>10966.39</v>
      </c>
      <c r="U82" s="2"/>
      <c r="V82" s="7">
        <f t="shared" si="61"/>
        <v>0</v>
      </c>
      <c r="W82" s="2"/>
      <c r="X82" s="6">
        <f t="shared" si="62"/>
        <v>-3179.1399999999994</v>
      </c>
      <c r="Y82" s="2"/>
      <c r="Z82" s="7">
        <f t="shared" si="63"/>
        <v>-0.28989849895909225</v>
      </c>
    </row>
    <row r="83" spans="1:26" s="29" customFormat="1" outlineLevel="1" collapsed="1" x14ac:dyDescent="0.25">
      <c r="A83" s="27"/>
      <c r="B83" s="14" t="str">
        <f>CONCATENATE("     ","Training                                          ")</f>
        <v xml:space="preserve">     Training                                          </v>
      </c>
      <c r="C83" s="14"/>
      <c r="D83" s="1">
        <f>SUM(OSRRefD22_18x_0)</f>
        <v>199</v>
      </c>
      <c r="E83" s="1"/>
      <c r="F83" s="5">
        <f t="shared" ref="F83:F87" si="64">IF(D$12=0,0,D83/D$12)</f>
        <v>0</v>
      </c>
      <c r="G83" s="1"/>
      <c r="H83" s="1">
        <f>SUM(OSRRefH22_18x_0)</f>
        <v>2086.75</v>
      </c>
      <c r="I83" s="1"/>
      <c r="J83" s="5">
        <f t="shared" ref="J83:J87" si="65">IF(H$12=0,0,H83/H$12)</f>
        <v>0</v>
      </c>
      <c r="K83" s="1"/>
      <c r="L83" s="1">
        <f t="shared" ref="L83:L87" si="66">+D83-H83</f>
        <v>-1887.75</v>
      </c>
      <c r="M83" s="1"/>
      <c r="N83" s="5">
        <f t="shared" ref="N83:N87" si="67">IF(H83=0,0,L83/H83)</f>
        <v>-0.90463639631005155</v>
      </c>
      <c r="O83" s="14"/>
      <c r="P83" s="1">
        <f>SUM(OSRRefP22_18x_0)</f>
        <v>301</v>
      </c>
      <c r="Q83" s="1"/>
      <c r="R83" s="5">
        <f t="shared" ref="R83:R87" si="68">IF(P$12=0,0,P83/P$12)</f>
        <v>0</v>
      </c>
      <c r="S83" s="1"/>
      <c r="T83" s="1">
        <f>SUM(OSRRefT22_18x_0)</f>
        <v>7548.73</v>
      </c>
      <c r="U83" s="1"/>
      <c r="V83" s="5">
        <f t="shared" ref="V83:V87" si="69">IF(T$12=0,0,T83/T$12)</f>
        <v>0</v>
      </c>
      <c r="W83" s="1"/>
      <c r="X83" s="1">
        <f t="shared" ref="X83:X87" si="70">+P83-T83</f>
        <v>-7247.73</v>
      </c>
      <c r="Y83" s="1"/>
      <c r="Z83" s="5">
        <f t="shared" ref="Z83:Z87" si="71">IF(T83=0,0,X83/T83)</f>
        <v>-0.96012574300577713</v>
      </c>
    </row>
    <row r="84" spans="1:26" s="24" customFormat="1" hidden="1" outlineLevel="2" x14ac:dyDescent="0.25">
      <c r="A84" s="28"/>
      <c r="B84" s="11" t="str">
        <f>CONCATENATE("          ", "6376", " - ", "TRAINING")</f>
        <v xml:space="preserve">          6376 - TRAINING</v>
      </c>
      <c r="C84" s="11"/>
      <c r="D84" s="6">
        <v>199</v>
      </c>
      <c r="E84" s="2"/>
      <c r="F84" s="7">
        <f t="shared" si="64"/>
        <v>0</v>
      </c>
      <c r="G84" s="2"/>
      <c r="H84" s="6">
        <v>2086.75</v>
      </c>
      <c r="I84" s="2"/>
      <c r="J84" s="7">
        <f t="shared" si="65"/>
        <v>0</v>
      </c>
      <c r="K84" s="2"/>
      <c r="L84" s="6">
        <f t="shared" si="66"/>
        <v>-1887.75</v>
      </c>
      <c r="M84" s="2"/>
      <c r="N84" s="7">
        <f t="shared" si="67"/>
        <v>-0.90463639631005155</v>
      </c>
      <c r="O84" s="11"/>
      <c r="P84" s="6">
        <v>301</v>
      </c>
      <c r="Q84" s="2"/>
      <c r="R84" s="7">
        <f t="shared" si="68"/>
        <v>0</v>
      </c>
      <c r="S84" s="2"/>
      <c r="T84" s="6">
        <v>7548.73</v>
      </c>
      <c r="U84" s="2"/>
      <c r="V84" s="7">
        <f t="shared" si="69"/>
        <v>0</v>
      </c>
      <c r="W84" s="2"/>
      <c r="X84" s="6">
        <f t="shared" si="70"/>
        <v>-7247.73</v>
      </c>
      <c r="Y84" s="2"/>
      <c r="Z84" s="7">
        <f t="shared" si="71"/>
        <v>-0.96012574300577713</v>
      </c>
    </row>
    <row r="85" spans="1:26" s="29" customFormat="1" outlineLevel="1" collapsed="1" x14ac:dyDescent="0.25">
      <c r="A85" s="27"/>
      <c r="B85" s="14" t="str">
        <f>CONCATENATE("     ","Travel                                            ")</f>
        <v xml:space="preserve">     Travel                                            </v>
      </c>
      <c r="C85" s="14"/>
      <c r="D85" s="1">
        <f>SUM(OSRRefD22_19x_0)</f>
        <v>29.07</v>
      </c>
      <c r="E85" s="1"/>
      <c r="F85" s="5">
        <f t="shared" si="64"/>
        <v>0</v>
      </c>
      <c r="G85" s="1"/>
      <c r="H85" s="1">
        <f>SUM(OSRRefH22_19x_0)</f>
        <v>457.06</v>
      </c>
      <c r="I85" s="1"/>
      <c r="J85" s="5">
        <f t="shared" si="65"/>
        <v>0</v>
      </c>
      <c r="K85" s="1"/>
      <c r="L85" s="1">
        <f t="shared" si="66"/>
        <v>-427.99</v>
      </c>
      <c r="M85" s="1"/>
      <c r="N85" s="5">
        <f t="shared" si="67"/>
        <v>-0.93639784710978868</v>
      </c>
      <c r="O85" s="14"/>
      <c r="P85" s="1">
        <f>SUM(OSRRefP22_19x_0)</f>
        <v>46.62</v>
      </c>
      <c r="Q85" s="1"/>
      <c r="R85" s="5">
        <f t="shared" si="68"/>
        <v>0</v>
      </c>
      <c r="S85" s="1"/>
      <c r="T85" s="1">
        <f>SUM(OSRRefT22_19x_0)</f>
        <v>5627.3799999999992</v>
      </c>
      <c r="U85" s="1"/>
      <c r="V85" s="5">
        <f t="shared" si="69"/>
        <v>0</v>
      </c>
      <c r="W85" s="1"/>
      <c r="X85" s="1">
        <f t="shared" si="70"/>
        <v>-5580.7599999999993</v>
      </c>
      <c r="Y85" s="1"/>
      <c r="Z85" s="5">
        <f t="shared" si="71"/>
        <v>-0.99171550526177366</v>
      </c>
    </row>
    <row r="86" spans="1:26" s="24" customFormat="1" hidden="1" outlineLevel="2" x14ac:dyDescent="0.25">
      <c r="A86" s="28"/>
      <c r="B86" s="11" t="str">
        <f>CONCATENATE("          ", "6292", " - ", "TRAVEL/CONFERENCE")</f>
        <v xml:space="preserve">          6292 - TRAVEL/CONFERENCE</v>
      </c>
      <c r="C86" s="11"/>
      <c r="D86" s="6"/>
      <c r="E86" s="2"/>
      <c r="F86" s="7">
        <f t="shared" si="64"/>
        <v>0</v>
      </c>
      <c r="G86" s="2"/>
      <c r="H86" s="6">
        <v>457.06</v>
      </c>
      <c r="I86" s="2"/>
      <c r="J86" s="7">
        <f t="shared" si="65"/>
        <v>0</v>
      </c>
      <c r="K86" s="2"/>
      <c r="L86" s="6">
        <f t="shared" si="66"/>
        <v>-457.06</v>
      </c>
      <c r="M86" s="2"/>
      <c r="N86" s="7">
        <f t="shared" si="67"/>
        <v>-1</v>
      </c>
      <c r="O86" s="11"/>
      <c r="P86" s="6"/>
      <c r="Q86" s="2"/>
      <c r="R86" s="7">
        <f t="shared" si="68"/>
        <v>0</v>
      </c>
      <c r="S86" s="2"/>
      <c r="T86" s="6">
        <v>5603.48</v>
      </c>
      <c r="U86" s="2"/>
      <c r="V86" s="7">
        <f t="shared" si="69"/>
        <v>0</v>
      </c>
      <c r="W86" s="2"/>
      <c r="X86" s="6">
        <f t="shared" si="70"/>
        <v>-5603.48</v>
      </c>
      <c r="Y86" s="2"/>
      <c r="Z86" s="7">
        <f t="shared" si="71"/>
        <v>-1</v>
      </c>
    </row>
    <row r="87" spans="1:26" s="24" customFormat="1" hidden="1" outlineLevel="2" x14ac:dyDescent="0.25">
      <c r="A87" s="28"/>
      <c r="B87" s="11" t="str">
        <f>CONCATENATE("          ", "6294", " - ", "TRAVEL OPERATIONAL")</f>
        <v xml:space="preserve">          6294 - TRAVEL OPERATIONAL</v>
      </c>
      <c r="C87" s="11"/>
      <c r="D87" s="6">
        <v>29.07</v>
      </c>
      <c r="E87" s="2"/>
      <c r="F87" s="7">
        <f t="shared" si="64"/>
        <v>0</v>
      </c>
      <c r="G87" s="2"/>
      <c r="H87" s="6"/>
      <c r="I87" s="2"/>
      <c r="J87" s="7">
        <f t="shared" si="65"/>
        <v>0</v>
      </c>
      <c r="K87" s="2"/>
      <c r="L87" s="6">
        <f t="shared" si="66"/>
        <v>29.07</v>
      </c>
      <c r="M87" s="2"/>
      <c r="N87" s="7">
        <f t="shared" si="67"/>
        <v>0</v>
      </c>
      <c r="O87" s="11"/>
      <c r="P87" s="6">
        <v>46.62</v>
      </c>
      <c r="Q87" s="2"/>
      <c r="R87" s="7">
        <f t="shared" si="68"/>
        <v>0</v>
      </c>
      <c r="S87" s="2"/>
      <c r="T87" s="6">
        <v>23.9</v>
      </c>
      <c r="U87" s="2"/>
      <c r="V87" s="7">
        <f t="shared" si="69"/>
        <v>0</v>
      </c>
      <c r="W87" s="2"/>
      <c r="X87" s="6">
        <f t="shared" si="70"/>
        <v>22.72</v>
      </c>
      <c r="Y87" s="2"/>
      <c r="Z87" s="7">
        <f t="shared" si="71"/>
        <v>0.9506276150627615</v>
      </c>
    </row>
    <row r="88" spans="1:26" s="57" customFormat="1" x14ac:dyDescent="0.25">
      <c r="A88" s="37"/>
      <c r="B88" s="37"/>
      <c r="C88" s="37"/>
      <c r="D88" s="1"/>
      <c r="E88" s="1"/>
      <c r="F88" s="5"/>
      <c r="G88" s="1"/>
      <c r="H88" s="1"/>
      <c r="I88" s="1"/>
      <c r="J88" s="5"/>
      <c r="K88" s="1"/>
      <c r="L88" s="1"/>
      <c r="M88" s="1"/>
      <c r="N88" s="5"/>
      <c r="O88" s="37"/>
      <c r="P88" s="1"/>
      <c r="Q88" s="1"/>
      <c r="R88" s="5"/>
      <c r="S88" s="1"/>
      <c r="T88" s="1"/>
      <c r="U88" s="1"/>
      <c r="V88" s="5"/>
      <c r="W88" s="1"/>
      <c r="X88" s="1"/>
      <c r="Y88" s="1"/>
      <c r="Z88" s="5"/>
    </row>
    <row r="89" spans="1:26" s="23" customFormat="1" x14ac:dyDescent="0.25">
      <c r="A89" s="10"/>
      <c r="B89" s="26" t="s">
        <v>0</v>
      </c>
      <c r="C89" s="10"/>
      <c r="D89" s="4">
        <f>SUM(0)</f>
        <v>0</v>
      </c>
      <c r="E89" s="4"/>
      <c r="F89" s="12">
        <f>IF(D$12=0,0,D89/D$12)</f>
        <v>0</v>
      </c>
      <c r="G89" s="4"/>
      <c r="H89" s="4">
        <f>SUM(0)</f>
        <v>0</v>
      </c>
      <c r="I89" s="4"/>
      <c r="J89" s="12">
        <f>IF(H$12=0,0,H89/H$12)</f>
        <v>0</v>
      </c>
      <c r="K89" s="4"/>
      <c r="L89" s="4">
        <f>+D89-H89</f>
        <v>0</v>
      </c>
      <c r="M89" s="4"/>
      <c r="N89" s="12">
        <f>IF(H89=0,0,L89/H89)</f>
        <v>0</v>
      </c>
      <c r="O89" s="10"/>
      <c r="P89" s="4">
        <f>SUM(0)</f>
        <v>0</v>
      </c>
      <c r="Q89" s="4"/>
      <c r="R89" s="12">
        <f>IF(P$12=0,0,P89/P$12)</f>
        <v>0</v>
      </c>
      <c r="S89" s="4"/>
      <c r="T89" s="4">
        <f>SUM(0)</f>
        <v>0</v>
      </c>
      <c r="U89" s="4"/>
      <c r="V89" s="12">
        <f>IF(T$12=0,0,T89/T$12)</f>
        <v>0</v>
      </c>
      <c r="W89" s="4"/>
      <c r="X89" s="4">
        <f>+P89-T89</f>
        <v>0</v>
      </c>
      <c r="Y89" s="4"/>
      <c r="Z89" s="12">
        <f>IF(T89=0,0,X89/T89)</f>
        <v>0</v>
      </c>
    </row>
    <row r="90" spans="1:26" x14ac:dyDescent="0.25">
      <c r="A90" s="9"/>
      <c r="B90" s="10"/>
      <c r="C90" s="10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O90" s="10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x14ac:dyDescent="0.25">
      <c r="A91" s="10"/>
      <c r="B91" s="25" t="s">
        <v>3</v>
      </c>
      <c r="C91" s="25"/>
      <c r="D91" s="20">
        <f>+D16-D18+D89</f>
        <v>-259749.95</v>
      </c>
      <c r="E91" s="13"/>
      <c r="F91" s="21">
        <f>IF(D$12=0,0,D91/D$12)</f>
        <v>0</v>
      </c>
      <c r="G91" s="13"/>
      <c r="H91" s="20">
        <f>+H16-H18+H89</f>
        <v>-309098.71000000008</v>
      </c>
      <c r="I91" s="13"/>
      <c r="J91" s="21">
        <f>IF(H$12=0,0,H91/H$12)</f>
        <v>0</v>
      </c>
      <c r="K91" s="15"/>
      <c r="L91" s="20">
        <f>+D91-H91</f>
        <v>49348.760000000068</v>
      </c>
      <c r="M91" s="15"/>
      <c r="N91" s="21">
        <f>IF(H91=0,0,L91/H91)</f>
        <v>-0.15965372356293578</v>
      </c>
      <c r="O91" s="26"/>
      <c r="P91" s="20">
        <f>+P16-P18+P89</f>
        <v>-923647.69000000029</v>
      </c>
      <c r="Q91" s="13"/>
      <c r="R91" s="21">
        <f>IF(P$12=0,0,P91/P$12)</f>
        <v>0</v>
      </c>
      <c r="S91" s="13"/>
      <c r="T91" s="20">
        <f>+T16-T18+T89</f>
        <v>-1354656.5099999995</v>
      </c>
      <c r="U91" s="13"/>
      <c r="V91" s="21">
        <f>IF(T$12=0,0,T91/T$12)</f>
        <v>0</v>
      </c>
      <c r="W91" s="15"/>
      <c r="X91" s="20">
        <f>+P91-T91</f>
        <v>431008.81999999925</v>
      </c>
      <c r="Y91" s="15"/>
      <c r="Z91" s="21">
        <f>IF(T91=0,0,X91/T91)</f>
        <v>-0.31816834512536274</v>
      </c>
    </row>
    <row r="92" spans="1:26" x14ac:dyDescent="0.25">
      <c r="A92" s="9"/>
      <c r="B92" s="10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x14ac:dyDescent="0.25">
      <c r="A93" s="51"/>
      <c r="B93" s="10" t="s">
        <v>13</v>
      </c>
      <c r="C93" s="10"/>
      <c r="D93" s="4"/>
      <c r="E93" s="4"/>
      <c r="F93" s="12">
        <f>IF(D$12=0,0,D93/D$12)</f>
        <v>0</v>
      </c>
      <c r="G93" s="4"/>
      <c r="H93" s="4"/>
      <c r="I93" s="4"/>
      <c r="J93" s="12">
        <f>IF(H$12=0,0,H93/H$12)</f>
        <v>0</v>
      </c>
      <c r="K93" s="4"/>
      <c r="L93" s="4">
        <f>+D93-H93</f>
        <v>0</v>
      </c>
      <c r="M93" s="4"/>
      <c r="N93" s="12">
        <f>IF(H93=0,0,L93/H93)</f>
        <v>0</v>
      </c>
      <c r="O93" s="10"/>
      <c r="P93" s="4"/>
      <c r="Q93" s="4"/>
      <c r="R93" s="12">
        <f>IF(P$12=0,0,P93/P$12)</f>
        <v>0</v>
      </c>
      <c r="S93" s="4"/>
      <c r="T93" s="4"/>
      <c r="U93" s="4"/>
      <c r="V93" s="12">
        <f>IF(T$12=0,0,T93/T$12)</f>
        <v>0</v>
      </c>
      <c r="W93" s="4"/>
      <c r="X93" s="4">
        <f>+P93-T93</f>
        <v>0</v>
      </c>
      <c r="Y93" s="4"/>
      <c r="Z93" s="12">
        <f>IF(T93=0,0,X93/T93)</f>
        <v>0</v>
      </c>
    </row>
    <row r="94" spans="1:26" x14ac:dyDescent="0.25">
      <c r="A94" s="9"/>
      <c r="B94" s="10"/>
      <c r="C94" s="10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O94" s="10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ht="15.75" thickBot="1" x14ac:dyDescent="0.3">
      <c r="A95" s="10"/>
      <c r="B95" s="25" t="s">
        <v>4</v>
      </c>
      <c r="C95" s="25"/>
      <c r="D95" s="30">
        <f>+D91-D93</f>
        <v>-259749.95</v>
      </c>
      <c r="E95" s="13"/>
      <c r="F95" s="33">
        <f>IF(D$12=0,0,D95/D$12)</f>
        <v>0</v>
      </c>
      <c r="G95" s="13"/>
      <c r="H95" s="30">
        <f>+H91-H93</f>
        <v>-309098.71000000008</v>
      </c>
      <c r="I95" s="13"/>
      <c r="J95" s="33">
        <f>IF(H$12=0,0,H95/H$12)</f>
        <v>0</v>
      </c>
      <c r="K95" s="15"/>
      <c r="L95" s="30">
        <f>D95-H95</f>
        <v>49348.760000000068</v>
      </c>
      <c r="M95" s="15"/>
      <c r="N95" s="33">
        <f>IF(H95=0,0,L95/H95)</f>
        <v>-0.15965372356293578</v>
      </c>
      <c r="O95" s="26"/>
      <c r="P95" s="30">
        <f>+P91-P93</f>
        <v>-923647.69000000029</v>
      </c>
      <c r="Q95" s="13"/>
      <c r="R95" s="33">
        <f>IF(P$12=0,0,P95/P$12)</f>
        <v>0</v>
      </c>
      <c r="S95" s="13"/>
      <c r="T95" s="30">
        <f>+T91-T93</f>
        <v>-1354656.5099999995</v>
      </c>
      <c r="U95" s="13"/>
      <c r="V95" s="33">
        <f>IF(T$12=0,0,T95/T$12)</f>
        <v>0</v>
      </c>
      <c r="W95" s="15"/>
      <c r="X95" s="30">
        <f>P95-T95</f>
        <v>431008.81999999925</v>
      </c>
      <c r="Y95" s="15"/>
      <c r="Z95" s="33">
        <f>IF(T95=0,0,X95/T95)</f>
        <v>-0.31816834512536274</v>
      </c>
    </row>
    <row r="96" spans="1:26" ht="15.75" thickTop="1" x14ac:dyDescent="0.25">
      <c r="A96" s="9"/>
      <c r="B96" s="9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x14ac:dyDescent="0.2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ht="15.75" thickBot="1" x14ac:dyDescent="0.3">
      <c r="A98" s="10"/>
      <c r="B98" s="25" t="s">
        <v>5</v>
      </c>
      <c r="C98" s="25"/>
      <c r="D98" s="34">
        <f>SUM(D95:D97)</f>
        <v>-259749.95</v>
      </c>
      <c r="E98" s="13"/>
      <c r="F98" s="35">
        <f>IF(D$12=0,0,D98/D$12)</f>
        <v>0</v>
      </c>
      <c r="G98" s="13"/>
      <c r="H98" s="34">
        <f>SUM(H95:H97)</f>
        <v>-309098.71000000008</v>
      </c>
      <c r="I98" s="13"/>
      <c r="J98" s="35">
        <f>IF(H$12=0,0,H98/H$12)</f>
        <v>0</v>
      </c>
      <c r="K98" s="15"/>
      <c r="L98" s="34">
        <f>+D98-H98</f>
        <v>49348.760000000068</v>
      </c>
      <c r="M98" s="15"/>
      <c r="N98" s="35">
        <f>IF(H98=0,0,L98/H98)</f>
        <v>-0.15965372356293578</v>
      </c>
      <c r="O98" s="26"/>
      <c r="P98" s="34">
        <f>SUM(P95:P97)</f>
        <v>-923647.69000000029</v>
      </c>
      <c r="Q98" s="13"/>
      <c r="R98" s="35">
        <f>IF(P$12=0,0,P98/P$12)</f>
        <v>0</v>
      </c>
      <c r="S98" s="13"/>
      <c r="T98" s="34">
        <f>SUM(T95:T97)</f>
        <v>-1354656.5099999995</v>
      </c>
      <c r="U98" s="13"/>
      <c r="V98" s="35">
        <f>IF(T$12=0,0,T98/T$12)</f>
        <v>0</v>
      </c>
      <c r="W98" s="15"/>
      <c r="X98" s="34">
        <f>+P98-T98</f>
        <v>431008.81999999925</v>
      </c>
      <c r="Y98" s="15"/>
      <c r="Z98" s="35">
        <f>IF(T98=0,0,X98/T98)</f>
        <v>-0.31816834512536274</v>
      </c>
    </row>
    <row r="99" spans="1:26" ht="15.75" thickTop="1" x14ac:dyDescent="0.25">
      <c r="A99" s="9"/>
      <c r="C99" s="9"/>
      <c r="D99" s="18"/>
      <c r="E99" s="18"/>
      <c r="G99" s="18"/>
      <c r="H99" s="18"/>
      <c r="I99" s="18"/>
      <c r="J99" s="43"/>
      <c r="K99" s="18"/>
      <c r="L99" s="18"/>
      <c r="M99" s="18"/>
      <c r="P99" s="18"/>
      <c r="Q99" s="18"/>
      <c r="R99" s="43"/>
      <c r="S99" s="18"/>
      <c r="T99" s="18"/>
      <c r="U99" s="18"/>
      <c r="V99" s="43"/>
      <c r="W99" s="18"/>
      <c r="X99" s="18"/>
    </row>
    <row r="100" spans="1:26" x14ac:dyDescent="0.25">
      <c r="A100" s="9"/>
      <c r="B100" s="56">
        <v>44151.571789155096</v>
      </c>
      <c r="D100" s="18"/>
      <c r="E100" s="18"/>
      <c r="G100" s="18"/>
      <c r="H100" s="18"/>
      <c r="I100" s="18"/>
      <c r="J100" s="43"/>
      <c r="K100" s="18"/>
      <c r="L100" s="18"/>
      <c r="M100" s="18"/>
      <c r="P100" s="18"/>
      <c r="Q100" s="18"/>
      <c r="R100" s="43"/>
      <c r="S100" s="18"/>
      <c r="T100" s="18"/>
      <c r="U100" s="18"/>
      <c r="V100" s="43"/>
      <c r="W100" s="18"/>
      <c r="X100" s="18"/>
    </row>
    <row r="101" spans="1:26" x14ac:dyDescent="0.25">
      <c r="A101" s="9"/>
      <c r="B101" s="62" t="s">
        <v>313</v>
      </c>
      <c r="D101" s="18"/>
      <c r="E101" s="18"/>
      <c r="G101" s="18"/>
      <c r="H101" s="18"/>
      <c r="I101" s="18"/>
      <c r="J101" s="43"/>
      <c r="K101" s="18"/>
      <c r="L101" s="18"/>
      <c r="M101" s="18"/>
      <c r="P101" s="18"/>
      <c r="Q101" s="18"/>
      <c r="R101" s="43"/>
      <c r="S101" s="18"/>
      <c r="T101" s="18"/>
      <c r="U101" s="18"/>
      <c r="V101" s="43"/>
      <c r="W101" s="18"/>
      <c r="X101" s="18"/>
    </row>
    <row r="102" spans="1:26" x14ac:dyDescent="0.25">
      <c r="A102" s="9"/>
      <c r="B102" s="54"/>
      <c r="D102" s="18"/>
      <c r="E102" s="18"/>
      <c r="G102" s="18"/>
      <c r="H102" s="18"/>
      <c r="I102" s="18"/>
      <c r="J102" s="43"/>
      <c r="K102" s="18"/>
      <c r="L102" s="18"/>
      <c r="M102" s="18"/>
      <c r="P102" s="18"/>
      <c r="Q102" s="18"/>
      <c r="R102" s="43"/>
      <c r="S102" s="18"/>
      <c r="T102" s="18"/>
      <c r="U102" s="18"/>
      <c r="V102" s="43"/>
      <c r="W102" s="18"/>
      <c r="X102" s="18"/>
    </row>
    <row r="103" spans="1:26" x14ac:dyDescent="0.25">
      <c r="D103" s="18"/>
      <c r="E103" s="18"/>
      <c r="G103" s="18"/>
      <c r="H103" s="18"/>
      <c r="I103" s="18"/>
      <c r="J103" s="43"/>
      <c r="K103" s="18"/>
      <c r="L103" s="18"/>
      <c r="M103" s="18"/>
      <c r="P103" s="18"/>
      <c r="Q103" s="18"/>
      <c r="R103" s="43"/>
      <c r="S103" s="18"/>
      <c r="T103" s="18"/>
      <c r="U103" s="18"/>
      <c r="V103" s="43"/>
      <c r="W103" s="18"/>
      <c r="X103" s="18"/>
    </row>
  </sheetData>
  <pageMargins left="0.25" right="0.25" top="0.75" bottom="0.75" header="0.3" footer="0.3"/>
  <pageSetup scale="55" fitToWidth="2" orientation="landscape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",RIGHT(202104,2),", ",2021)</f>
        <v>Period 04,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44135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","200", " - ", "Corporate Expense")</f>
        <v>Department 200 - Corporate Expense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61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50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50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2"/>
      <c r="F10" s="31" t="s">
        <v>14</v>
      </c>
      <c r="G10" s="32"/>
      <c r="H10" s="49" t="s">
        <v>306</v>
      </c>
      <c r="I10" s="32"/>
      <c r="J10" s="31" t="s">
        <v>14</v>
      </c>
      <c r="K10" s="10"/>
      <c r="L10" s="42" t="s">
        <v>11</v>
      </c>
      <c r="M10" s="10"/>
      <c r="N10" s="31" t="s">
        <v>15</v>
      </c>
      <c r="O10" s="10"/>
      <c r="P10" s="59" t="s">
        <v>10</v>
      </c>
      <c r="Q10" s="32"/>
      <c r="R10" s="31" t="s">
        <v>14</v>
      </c>
      <c r="S10" s="32"/>
      <c r="T10" s="49" t="s">
        <v>306</v>
      </c>
      <c r="U10" s="32"/>
      <c r="V10" s="31" t="s">
        <v>14</v>
      </c>
      <c r="W10" s="10"/>
      <c r="X10" s="42" t="s">
        <v>11</v>
      </c>
      <c r="Y10" s="10"/>
      <c r="Z10" s="31" t="s">
        <v>15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6</v>
      </c>
      <c r="C16" s="25"/>
      <c r="D16" s="20">
        <f>D12-D14</f>
        <v>0</v>
      </c>
      <c r="E16" s="13"/>
      <c r="F16" s="21">
        <f>IF(D$12=0,0,D16/D$12)</f>
        <v>0</v>
      </c>
      <c r="G16" s="13"/>
      <c r="H16" s="20">
        <f>H12-H14</f>
        <v>0</v>
      </c>
      <c r="I16" s="13"/>
      <c r="J16" s="21">
        <f>IF(H$12=0,0,H16/H$12)</f>
        <v>0</v>
      </c>
      <c r="K16" s="15"/>
      <c r="L16" s="20">
        <f>+D16-H16</f>
        <v>0</v>
      </c>
      <c r="M16" s="15"/>
      <c r="N16" s="21">
        <f>IF(H16=0,0,L16/H16)</f>
        <v>0</v>
      </c>
      <c r="O16" s="26"/>
      <c r="P16" s="20">
        <f>P12-P14</f>
        <v>0</v>
      </c>
      <c r="Q16" s="13"/>
      <c r="R16" s="21">
        <f>IF(P$12=0,0,P16/P$12)</f>
        <v>0</v>
      </c>
      <c r="S16" s="13"/>
      <c r="T16" s="20">
        <f>T12-T14</f>
        <v>0</v>
      </c>
      <c r="U16" s="13"/>
      <c r="V16" s="21">
        <f>IF(T$12=0,0,T16/T$12)</f>
        <v>0</v>
      </c>
      <c r="W16" s="15"/>
      <c r="X16" s="20">
        <f>+P16-T16</f>
        <v>0</v>
      </c>
      <c r="Y16" s="15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9</v>
      </c>
      <c r="C18" s="10"/>
      <c r="D18" s="22">
        <f>SUM(OSRRefD22x_0)</f>
        <v>44751.53</v>
      </c>
      <c r="E18" s="22"/>
      <c r="F18" s="36">
        <f t="shared" ref="F18:F27" si="0">IF(D$12=0,0,D18/D$12)</f>
        <v>0</v>
      </c>
      <c r="G18" s="22"/>
      <c r="H18" s="22">
        <f>SUM(OSRRefH22x_0)</f>
        <v>58548.86</v>
      </c>
      <c r="I18" s="22"/>
      <c r="J18" s="36">
        <f t="shared" ref="J18:J27" si="1">IF(H$12=0,0,H18/H$12)</f>
        <v>0</v>
      </c>
      <c r="K18" s="4"/>
      <c r="L18" s="22">
        <f t="shared" ref="L18:L27" si="2">+D18-H18</f>
        <v>-13797.330000000002</v>
      </c>
      <c r="M18" s="4"/>
      <c r="N18" s="36">
        <f t="shared" ref="N18:N27" si="3">IF(H18=0,0,L18/H18)</f>
        <v>-0.23565497261603388</v>
      </c>
      <c r="O18" s="10"/>
      <c r="P18" s="22">
        <f>SUM(OSRRefP22x_0)</f>
        <v>155009.11000000002</v>
      </c>
      <c r="Q18" s="22"/>
      <c r="R18" s="36">
        <f t="shared" ref="R18:R27" si="4">IF(P$12=0,0,P18/P$12)</f>
        <v>0</v>
      </c>
      <c r="S18" s="22"/>
      <c r="T18" s="22">
        <f>SUM(OSRRefT22x_0)</f>
        <v>188439.65</v>
      </c>
      <c r="U18" s="22"/>
      <c r="V18" s="36">
        <f t="shared" ref="V18:V27" si="5">IF(T$12=0,0,T18/T$12)</f>
        <v>0</v>
      </c>
      <c r="W18" s="4"/>
      <c r="X18" s="22">
        <f t="shared" ref="X18:X27" si="6">+P18-T18</f>
        <v>-33430.539999999979</v>
      </c>
      <c r="Y18" s="4"/>
      <c r="Z18" s="36">
        <f t="shared" ref="Z18:Z27" si="7">IF(T18=0,0,X18/T18)</f>
        <v>-0.17740714334801608</v>
      </c>
    </row>
    <row r="19" spans="1:26" s="29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30642.670000000002</v>
      </c>
      <c r="E19" s="1"/>
      <c r="F19" s="5">
        <f t="shared" si="0"/>
        <v>0</v>
      </c>
      <c r="G19" s="1"/>
      <c r="H19" s="1">
        <f>SUM(OSRRefH22_0x_0)</f>
        <v>29109.38</v>
      </c>
      <c r="I19" s="1"/>
      <c r="J19" s="5">
        <f t="shared" si="1"/>
        <v>0</v>
      </c>
      <c r="K19" s="1"/>
      <c r="L19" s="1">
        <f t="shared" si="2"/>
        <v>1533.2900000000009</v>
      </c>
      <c r="M19" s="1"/>
      <c r="N19" s="5">
        <f t="shared" si="3"/>
        <v>5.2673399433447253E-2</v>
      </c>
      <c r="O19" s="14"/>
      <c r="P19" s="1">
        <f>SUM(OSRRefP22_0x_0)</f>
        <v>122405.68000000001</v>
      </c>
      <c r="Q19" s="1"/>
      <c r="R19" s="5">
        <f t="shared" si="4"/>
        <v>0</v>
      </c>
      <c r="S19" s="1"/>
      <c r="T19" s="1">
        <f>SUM(OSRRefT22_0x_0)</f>
        <v>117406.01999999999</v>
      </c>
      <c r="U19" s="1"/>
      <c r="V19" s="5">
        <f t="shared" si="5"/>
        <v>0</v>
      </c>
      <c r="W19" s="1"/>
      <c r="X19" s="1">
        <f t="shared" si="6"/>
        <v>4999.660000000018</v>
      </c>
      <c r="Y19" s="1"/>
      <c r="Z19" s="5">
        <f t="shared" si="7"/>
        <v>4.2584358110427545E-2</v>
      </c>
    </row>
    <row r="20" spans="1:26" s="24" customFormat="1" hidden="1" outlineLevel="2" x14ac:dyDescent="0.25">
      <c r="A20" s="28"/>
      <c r="B20" s="11" t="str">
        <f>CONCATENATE("          ", "6120", " - ", "RETIREES HEALTH INSURANCE")</f>
        <v xml:space="preserve">          6120 - RETIREES HEALTH INSURANCE</v>
      </c>
      <c r="C20" s="11"/>
      <c r="D20" s="6">
        <v>30642.670000000002</v>
      </c>
      <c r="E20" s="2"/>
      <c r="F20" s="7">
        <f t="shared" si="0"/>
        <v>0</v>
      </c>
      <c r="G20" s="2"/>
      <c r="H20" s="6">
        <v>29109.38</v>
      </c>
      <c r="I20" s="2"/>
      <c r="J20" s="7">
        <f t="shared" si="1"/>
        <v>0</v>
      </c>
      <c r="K20" s="2"/>
      <c r="L20" s="6">
        <f t="shared" si="2"/>
        <v>1533.2900000000009</v>
      </c>
      <c r="M20" s="2"/>
      <c r="N20" s="7">
        <f t="shared" si="3"/>
        <v>5.2673399433447253E-2</v>
      </c>
      <c r="O20" s="11"/>
      <c r="P20" s="6">
        <v>122405.68000000001</v>
      </c>
      <c r="Q20" s="2"/>
      <c r="R20" s="7">
        <f t="shared" si="4"/>
        <v>0</v>
      </c>
      <c r="S20" s="2"/>
      <c r="T20" s="6">
        <v>117406.01999999999</v>
      </c>
      <c r="U20" s="2"/>
      <c r="V20" s="7">
        <f t="shared" si="5"/>
        <v>0</v>
      </c>
      <c r="W20" s="2"/>
      <c r="X20" s="6">
        <f t="shared" si="6"/>
        <v>4999.660000000018</v>
      </c>
      <c r="Y20" s="2"/>
      <c r="Z20" s="7">
        <f t="shared" si="7"/>
        <v>4.2584358110427545E-2</v>
      </c>
    </row>
    <row r="21" spans="1:26" s="29" customFormat="1" outlineLevel="1" collapsed="1" x14ac:dyDescent="0.25">
      <c r="A21" s="27"/>
      <c r="B21" s="14" t="str">
        <f>CONCATENATE("     ","Bank/card Fees                                    ")</f>
        <v xml:space="preserve">     Bank/card Fees                                    </v>
      </c>
      <c r="C21" s="14"/>
      <c r="D21" s="1">
        <f>SUM(OSRRefD22_1x_0)</f>
        <v>1972.94</v>
      </c>
      <c r="E21" s="1"/>
      <c r="F21" s="5">
        <f t="shared" si="0"/>
        <v>0</v>
      </c>
      <c r="G21" s="1"/>
      <c r="H21" s="1">
        <f>SUM(OSRRefH22_1x_0)</f>
        <v>14323.04</v>
      </c>
      <c r="I21" s="1"/>
      <c r="J21" s="5">
        <f t="shared" si="1"/>
        <v>0</v>
      </c>
      <c r="K21" s="1"/>
      <c r="L21" s="1">
        <f t="shared" si="2"/>
        <v>-12350.1</v>
      </c>
      <c r="M21" s="1"/>
      <c r="N21" s="5">
        <f t="shared" si="3"/>
        <v>-0.86225410248103751</v>
      </c>
      <c r="O21" s="14"/>
      <c r="P21" s="1">
        <f>SUM(OSRRefP22_1x_0)</f>
        <v>2910.92</v>
      </c>
      <c r="Q21" s="1"/>
      <c r="R21" s="5">
        <f t="shared" si="4"/>
        <v>0</v>
      </c>
      <c r="S21" s="1"/>
      <c r="T21" s="1">
        <f>SUM(OSRRefT22_1x_0)</f>
        <v>20926.16</v>
      </c>
      <c r="U21" s="1"/>
      <c r="V21" s="5">
        <f t="shared" si="5"/>
        <v>0</v>
      </c>
      <c r="W21" s="1"/>
      <c r="X21" s="1">
        <f t="shared" si="6"/>
        <v>-18015.239999999998</v>
      </c>
      <c r="Y21" s="1"/>
      <c r="Z21" s="5">
        <f t="shared" si="7"/>
        <v>-0.86089564449473754</v>
      </c>
    </row>
    <row r="22" spans="1:26" s="24" customFormat="1" hidden="1" outlineLevel="2" x14ac:dyDescent="0.25">
      <c r="A22" s="28"/>
      <c r="B22" s="11" t="str">
        <f>CONCATENATE("          ", "6381", " - ", "BANK/CREDIT CARD FEES")</f>
        <v xml:space="preserve">          6381 - BANK/CREDIT CARD FEES</v>
      </c>
      <c r="C22" s="11"/>
      <c r="D22" s="6">
        <v>1972.94</v>
      </c>
      <c r="E22" s="2"/>
      <c r="F22" s="7">
        <f t="shared" si="0"/>
        <v>0</v>
      </c>
      <c r="G22" s="2"/>
      <c r="H22" s="6">
        <v>14323.04</v>
      </c>
      <c r="I22" s="2"/>
      <c r="J22" s="7">
        <f t="shared" si="1"/>
        <v>0</v>
      </c>
      <c r="K22" s="2"/>
      <c r="L22" s="6">
        <f t="shared" si="2"/>
        <v>-12350.1</v>
      </c>
      <c r="M22" s="2"/>
      <c r="N22" s="7">
        <f t="shared" si="3"/>
        <v>-0.86225410248103751</v>
      </c>
      <c r="O22" s="11"/>
      <c r="P22" s="6">
        <v>2910.92</v>
      </c>
      <c r="Q22" s="2"/>
      <c r="R22" s="7">
        <f t="shared" si="4"/>
        <v>0</v>
      </c>
      <c r="S22" s="2"/>
      <c r="T22" s="6">
        <v>20926.16</v>
      </c>
      <c r="U22" s="2"/>
      <c r="V22" s="7">
        <f t="shared" si="5"/>
        <v>0</v>
      </c>
      <c r="W22" s="2"/>
      <c r="X22" s="6">
        <f t="shared" si="6"/>
        <v>-18015.239999999998</v>
      </c>
      <c r="Y22" s="2"/>
      <c r="Z22" s="7">
        <f t="shared" si="7"/>
        <v>-0.86089564449473754</v>
      </c>
    </row>
    <row r="23" spans="1:26" s="29" customFormat="1" outlineLevel="1" collapsed="1" x14ac:dyDescent="0.25">
      <c r="A23" s="27"/>
      <c r="B23" s="14" t="str">
        <f>CONCATENATE("     ","Board                                             ")</f>
        <v xml:space="preserve">     Board                                             </v>
      </c>
      <c r="C23" s="14"/>
      <c r="D23" s="1">
        <f>SUM(OSRRefD22_2x_0)</f>
        <v>550.16999999999996</v>
      </c>
      <c r="E23" s="1"/>
      <c r="F23" s="5">
        <f t="shared" si="0"/>
        <v>0</v>
      </c>
      <c r="G23" s="1"/>
      <c r="H23" s="1">
        <f>SUM(OSRRefH22_2x_0)</f>
        <v>3404.44</v>
      </c>
      <c r="I23" s="1"/>
      <c r="J23" s="5">
        <f t="shared" si="1"/>
        <v>0</v>
      </c>
      <c r="K23" s="1"/>
      <c r="L23" s="1">
        <f t="shared" si="2"/>
        <v>-2854.27</v>
      </c>
      <c r="M23" s="1"/>
      <c r="N23" s="5">
        <f t="shared" si="3"/>
        <v>-0.83839632949912468</v>
      </c>
      <c r="O23" s="14"/>
      <c r="P23" s="1">
        <f>SUM(OSRRefP22_2x_0)</f>
        <v>6521.01</v>
      </c>
      <c r="Q23" s="1"/>
      <c r="R23" s="5">
        <f t="shared" si="4"/>
        <v>0</v>
      </c>
      <c r="S23" s="1"/>
      <c r="T23" s="1">
        <f>SUM(OSRRefT22_2x_0)</f>
        <v>11846.23</v>
      </c>
      <c r="U23" s="1"/>
      <c r="V23" s="5">
        <f t="shared" si="5"/>
        <v>0</v>
      </c>
      <c r="W23" s="1"/>
      <c r="X23" s="1">
        <f t="shared" si="6"/>
        <v>-5325.2199999999993</v>
      </c>
      <c r="Y23" s="1"/>
      <c r="Z23" s="5">
        <f t="shared" si="7"/>
        <v>-0.44952866861440305</v>
      </c>
    </row>
    <row r="24" spans="1:26" s="24" customFormat="1" hidden="1" outlineLevel="2" x14ac:dyDescent="0.25">
      <c r="A24" s="28"/>
      <c r="B24" s="11" t="str">
        <f>CONCATENATE("          ", "6397", " - ", "BOARD EXPENSES")</f>
        <v xml:space="preserve">          6397 - BOARD EXPENSES</v>
      </c>
      <c r="C24" s="11"/>
      <c r="D24" s="6">
        <v>550.16999999999996</v>
      </c>
      <c r="E24" s="2"/>
      <c r="F24" s="7">
        <f t="shared" si="0"/>
        <v>0</v>
      </c>
      <c r="G24" s="2"/>
      <c r="H24" s="6">
        <v>3404.44</v>
      </c>
      <c r="I24" s="2"/>
      <c r="J24" s="7">
        <f t="shared" si="1"/>
        <v>0</v>
      </c>
      <c r="K24" s="2"/>
      <c r="L24" s="6">
        <f t="shared" si="2"/>
        <v>-2854.27</v>
      </c>
      <c r="M24" s="2"/>
      <c r="N24" s="7">
        <f t="shared" si="3"/>
        <v>-0.83839632949912468</v>
      </c>
      <c r="O24" s="11"/>
      <c r="P24" s="6">
        <v>6521.01</v>
      </c>
      <c r="Q24" s="2"/>
      <c r="R24" s="7">
        <f t="shared" si="4"/>
        <v>0</v>
      </c>
      <c r="S24" s="2"/>
      <c r="T24" s="6">
        <v>11846.23</v>
      </c>
      <c r="U24" s="2"/>
      <c r="V24" s="7">
        <f t="shared" si="5"/>
        <v>0</v>
      </c>
      <c r="W24" s="2"/>
      <c r="X24" s="6">
        <f t="shared" si="6"/>
        <v>-5325.2199999999993</v>
      </c>
      <c r="Y24" s="2"/>
      <c r="Z24" s="7">
        <f t="shared" si="7"/>
        <v>-0.44952866861440305</v>
      </c>
    </row>
    <row r="25" spans="1:26" s="29" customFormat="1" outlineLevel="1" collapsed="1" x14ac:dyDescent="0.25">
      <c r="A25" s="27"/>
      <c r="B25" s="14" t="str">
        <f>CONCATENATE("     ","Professional Services                             ")</f>
        <v xml:space="preserve">     Professional Services                             </v>
      </c>
      <c r="C25" s="14"/>
      <c r="D25" s="1">
        <f>SUM(OSRRefD22_3x_0)</f>
        <v>11585.75</v>
      </c>
      <c r="E25" s="1"/>
      <c r="F25" s="5">
        <f t="shared" si="0"/>
        <v>0</v>
      </c>
      <c r="G25" s="1"/>
      <c r="H25" s="1">
        <f>SUM(OSRRefH22_3x_0)</f>
        <v>11712</v>
      </c>
      <c r="I25" s="1"/>
      <c r="J25" s="5">
        <f t="shared" si="1"/>
        <v>0</v>
      </c>
      <c r="K25" s="1"/>
      <c r="L25" s="1">
        <f t="shared" si="2"/>
        <v>-126.25</v>
      </c>
      <c r="M25" s="1"/>
      <c r="N25" s="5">
        <f t="shared" si="3"/>
        <v>-1.0779542349726777E-2</v>
      </c>
      <c r="O25" s="14"/>
      <c r="P25" s="1">
        <f>SUM(OSRRefP22_3x_0)</f>
        <v>23171.5</v>
      </c>
      <c r="Q25" s="1"/>
      <c r="R25" s="5">
        <f t="shared" si="4"/>
        <v>0</v>
      </c>
      <c r="S25" s="1"/>
      <c r="T25" s="1">
        <f>SUM(OSRRefT22_3x_0)</f>
        <v>38261.24</v>
      </c>
      <c r="U25" s="1"/>
      <c r="V25" s="5">
        <f t="shared" si="5"/>
        <v>0</v>
      </c>
      <c r="W25" s="1"/>
      <c r="X25" s="1">
        <f t="shared" si="6"/>
        <v>-15089.739999999998</v>
      </c>
      <c r="Y25" s="1"/>
      <c r="Z25" s="5">
        <f t="shared" si="7"/>
        <v>-0.39438711343385624</v>
      </c>
    </row>
    <row r="26" spans="1:26" s="24" customFormat="1" hidden="1" outlineLevel="2" x14ac:dyDescent="0.25">
      <c r="A26" s="28"/>
      <c r="B26" s="11" t="str">
        <f>CONCATENATE("          ", "6331", " - ", "INDIRECT COSTS-AUXILIARY ORGAN")</f>
        <v xml:space="preserve">          6331 - INDIRECT COSTS-AUXILIARY ORGAN</v>
      </c>
      <c r="C26" s="11"/>
      <c r="D26" s="6">
        <v>11585.75</v>
      </c>
      <c r="E26" s="2"/>
      <c r="F26" s="7">
        <f t="shared" si="0"/>
        <v>0</v>
      </c>
      <c r="G26" s="2"/>
      <c r="H26" s="6">
        <v>11712</v>
      </c>
      <c r="I26" s="2"/>
      <c r="J26" s="7">
        <f t="shared" si="1"/>
        <v>0</v>
      </c>
      <c r="K26" s="2"/>
      <c r="L26" s="6">
        <f t="shared" si="2"/>
        <v>-126.25</v>
      </c>
      <c r="M26" s="2"/>
      <c r="N26" s="7">
        <f t="shared" si="3"/>
        <v>-1.0779542349726777E-2</v>
      </c>
      <c r="O26" s="11"/>
      <c r="P26" s="6">
        <v>23171.5</v>
      </c>
      <c r="Q26" s="2"/>
      <c r="R26" s="7">
        <f t="shared" si="4"/>
        <v>0</v>
      </c>
      <c r="S26" s="2"/>
      <c r="T26" s="6">
        <v>23199</v>
      </c>
      <c r="U26" s="2"/>
      <c r="V26" s="7">
        <f t="shared" si="5"/>
        <v>0</v>
      </c>
      <c r="W26" s="2"/>
      <c r="X26" s="6">
        <f t="shared" si="6"/>
        <v>-27.5</v>
      </c>
      <c r="Y26" s="2"/>
      <c r="Z26" s="7">
        <f t="shared" si="7"/>
        <v>-1.1853959222380276E-3</v>
      </c>
    </row>
    <row r="27" spans="1:26" s="24" customFormat="1" hidden="1" outlineLevel="2" x14ac:dyDescent="0.25">
      <c r="A27" s="28"/>
      <c r="B27" s="11" t="str">
        <f>CONCATENATE("          ", "6332", " - ", "CONSULTANT FEES")</f>
        <v xml:space="preserve">          6332 - CONSULTANT FEES</v>
      </c>
      <c r="C27" s="11"/>
      <c r="D27" s="6"/>
      <c r="E27" s="2"/>
      <c r="F27" s="7">
        <f t="shared" si="0"/>
        <v>0</v>
      </c>
      <c r="G27" s="2"/>
      <c r="H27" s="6"/>
      <c r="I27" s="2"/>
      <c r="J27" s="7">
        <f t="shared" si="1"/>
        <v>0</v>
      </c>
      <c r="K27" s="2"/>
      <c r="L27" s="6">
        <f t="shared" si="2"/>
        <v>0</v>
      </c>
      <c r="M27" s="2"/>
      <c r="N27" s="7">
        <f t="shared" si="3"/>
        <v>0</v>
      </c>
      <c r="O27" s="11"/>
      <c r="P27" s="6"/>
      <c r="Q27" s="2"/>
      <c r="R27" s="7">
        <f t="shared" si="4"/>
        <v>0</v>
      </c>
      <c r="S27" s="2"/>
      <c r="T27" s="6">
        <v>15062.24</v>
      </c>
      <c r="U27" s="2"/>
      <c r="V27" s="7">
        <f t="shared" si="5"/>
        <v>0</v>
      </c>
      <c r="W27" s="2"/>
      <c r="X27" s="6">
        <f t="shared" si="6"/>
        <v>-15062.24</v>
      </c>
      <c r="Y27" s="2"/>
      <c r="Z27" s="7">
        <f t="shared" si="7"/>
        <v>-1</v>
      </c>
    </row>
    <row r="28" spans="1:26" s="57" customFormat="1" x14ac:dyDescent="0.25">
      <c r="A28" s="37"/>
      <c r="B28" s="37"/>
      <c r="C28" s="37"/>
      <c r="D28" s="1"/>
      <c r="E28" s="1"/>
      <c r="F28" s="5"/>
      <c r="G28" s="1"/>
      <c r="H28" s="1"/>
      <c r="I28" s="1"/>
      <c r="J28" s="5"/>
      <c r="K28" s="1"/>
      <c r="L28" s="1"/>
      <c r="M28" s="1"/>
      <c r="N28" s="5"/>
      <c r="O28" s="37"/>
      <c r="P28" s="1"/>
      <c r="Q28" s="1"/>
      <c r="R28" s="5"/>
      <c r="S28" s="1"/>
      <c r="T28" s="1"/>
      <c r="U28" s="1"/>
      <c r="V28" s="5"/>
      <c r="W28" s="1"/>
      <c r="X28" s="1"/>
      <c r="Y28" s="1"/>
      <c r="Z28" s="5"/>
    </row>
    <row r="29" spans="1:26" s="23" customFormat="1" x14ac:dyDescent="0.25">
      <c r="A29" s="10"/>
      <c r="B29" s="26" t="s">
        <v>0</v>
      </c>
      <c r="C29" s="10"/>
      <c r="D29" s="4">
        <f>SUM(0)</f>
        <v>0</v>
      </c>
      <c r="E29" s="4"/>
      <c r="F29" s="12">
        <f>IF(D$12=0,0,D29/D$12)</f>
        <v>0</v>
      </c>
      <c r="G29" s="4"/>
      <c r="H29" s="4">
        <f>SUM(0)</f>
        <v>0</v>
      </c>
      <c r="I29" s="4"/>
      <c r="J29" s="12">
        <f>IF(H$12=0,0,H29/H$12)</f>
        <v>0</v>
      </c>
      <c r="K29" s="4"/>
      <c r="L29" s="4">
        <f>+D29-H29</f>
        <v>0</v>
      </c>
      <c r="M29" s="4"/>
      <c r="N29" s="12">
        <f>IF(H29=0,0,L29/H29)</f>
        <v>0</v>
      </c>
      <c r="O29" s="10"/>
      <c r="P29" s="4">
        <f>SUM(0)</f>
        <v>0</v>
      </c>
      <c r="Q29" s="4"/>
      <c r="R29" s="12">
        <f>IF(P$12=0,0,P29/P$12)</f>
        <v>0</v>
      </c>
      <c r="S29" s="4"/>
      <c r="T29" s="4">
        <f>SUM(0)</f>
        <v>0</v>
      </c>
      <c r="U29" s="4"/>
      <c r="V29" s="12">
        <f>IF(T$12=0,0,T29/T$12)</f>
        <v>0</v>
      </c>
      <c r="W29" s="4"/>
      <c r="X29" s="4">
        <f>+P29-T29</f>
        <v>0</v>
      </c>
      <c r="Y29" s="4"/>
      <c r="Z29" s="12">
        <f>IF(T29=0,0,X29/T29)</f>
        <v>0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x14ac:dyDescent="0.25">
      <c r="A31" s="10"/>
      <c r="B31" s="25" t="s">
        <v>3</v>
      </c>
      <c r="C31" s="25"/>
      <c r="D31" s="20">
        <f>+D16-D18+D29</f>
        <v>-44751.53</v>
      </c>
      <c r="E31" s="13"/>
      <c r="F31" s="21">
        <f>IF(D$12=0,0,D31/D$12)</f>
        <v>0</v>
      </c>
      <c r="G31" s="13"/>
      <c r="H31" s="20">
        <f>+H16-H18+H29</f>
        <v>-58548.86</v>
      </c>
      <c r="I31" s="13"/>
      <c r="J31" s="21">
        <f>IF(H$12=0,0,H31/H$12)</f>
        <v>0</v>
      </c>
      <c r="K31" s="15"/>
      <c r="L31" s="20">
        <f>+D31-H31</f>
        <v>13797.330000000002</v>
      </c>
      <c r="M31" s="15"/>
      <c r="N31" s="21">
        <f>IF(H31=0,0,L31/H31)</f>
        <v>-0.23565497261603388</v>
      </c>
      <c r="O31" s="26"/>
      <c r="P31" s="20">
        <f>+P16-P18+P29</f>
        <v>-155009.11000000002</v>
      </c>
      <c r="Q31" s="13"/>
      <c r="R31" s="21">
        <f>IF(P$12=0,0,P31/P$12)</f>
        <v>0</v>
      </c>
      <c r="S31" s="13"/>
      <c r="T31" s="20">
        <f>+T16-T18+T29</f>
        <v>-188439.65</v>
      </c>
      <c r="U31" s="13"/>
      <c r="V31" s="21">
        <f>IF(T$12=0,0,T31/T$12)</f>
        <v>0</v>
      </c>
      <c r="W31" s="15"/>
      <c r="X31" s="20">
        <f>+P31-T31</f>
        <v>33430.539999999979</v>
      </c>
      <c r="Y31" s="15"/>
      <c r="Z31" s="21">
        <f>IF(T31=0,0,X31/T31)</f>
        <v>-0.17740714334801608</v>
      </c>
    </row>
    <row r="32" spans="1:26" x14ac:dyDescent="0.25">
      <c r="A32" s="9"/>
      <c r="B32" s="10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13</v>
      </c>
      <c r="C33" s="10"/>
      <c r="D33" s="4"/>
      <c r="E33" s="4"/>
      <c r="F33" s="12">
        <f>IF(D$12=0,0,D33/D$12)</f>
        <v>0</v>
      </c>
      <c r="G33" s="4"/>
      <c r="H33" s="4"/>
      <c r="I33" s="4"/>
      <c r="J33" s="12">
        <f>IF(H$12=0,0,H33/H$12)</f>
        <v>0</v>
      </c>
      <c r="K33" s="4"/>
      <c r="L33" s="4">
        <f>+D33-H33</f>
        <v>0</v>
      </c>
      <c r="M33" s="4"/>
      <c r="N33" s="12">
        <f>IF(H33=0,0,L33/H33)</f>
        <v>0</v>
      </c>
      <c r="O33" s="10"/>
      <c r="P33" s="4"/>
      <c r="Q33" s="4"/>
      <c r="R33" s="12">
        <f>IF(P$12=0,0,P33/P$12)</f>
        <v>0</v>
      </c>
      <c r="S33" s="4"/>
      <c r="T33" s="4"/>
      <c r="U33" s="4"/>
      <c r="V33" s="12">
        <f>IF(T$12=0,0,T33/T$12)</f>
        <v>0</v>
      </c>
      <c r="W33" s="4"/>
      <c r="X33" s="4">
        <f>+P33-T33</f>
        <v>0</v>
      </c>
      <c r="Y33" s="4"/>
      <c r="Z33" s="12">
        <f>IF(T33=0,0,X33/T33)</f>
        <v>0</v>
      </c>
    </row>
    <row r="34" spans="1:26" x14ac:dyDescent="0.25">
      <c r="A34" s="9"/>
      <c r="B34" s="10"/>
      <c r="C34" s="10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O34" s="10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ht="15.75" thickBot="1" x14ac:dyDescent="0.3">
      <c r="A35" s="10"/>
      <c r="B35" s="25" t="s">
        <v>4</v>
      </c>
      <c r="C35" s="25"/>
      <c r="D35" s="30">
        <f>+D31-D33</f>
        <v>-44751.53</v>
      </c>
      <c r="E35" s="13"/>
      <c r="F35" s="33">
        <f>IF(D$12=0,0,D35/D$12)</f>
        <v>0</v>
      </c>
      <c r="G35" s="13"/>
      <c r="H35" s="30">
        <f>+H31-H33</f>
        <v>-58548.86</v>
      </c>
      <c r="I35" s="13"/>
      <c r="J35" s="33">
        <f>IF(H$12=0,0,H35/H$12)</f>
        <v>0</v>
      </c>
      <c r="K35" s="15"/>
      <c r="L35" s="30">
        <f>D35-H35</f>
        <v>13797.330000000002</v>
      </c>
      <c r="M35" s="15"/>
      <c r="N35" s="33">
        <f>IF(H35=0,0,L35/H35)</f>
        <v>-0.23565497261603388</v>
      </c>
      <c r="O35" s="26"/>
      <c r="P35" s="30">
        <f>+P31-P33</f>
        <v>-155009.11000000002</v>
      </c>
      <c r="Q35" s="13"/>
      <c r="R35" s="33">
        <f>IF(P$12=0,0,P35/P$12)</f>
        <v>0</v>
      </c>
      <c r="S35" s="13"/>
      <c r="T35" s="30">
        <f>+T31-T33</f>
        <v>-188439.65</v>
      </c>
      <c r="U35" s="13"/>
      <c r="V35" s="33">
        <f>IF(T$12=0,0,T35/T$12)</f>
        <v>0</v>
      </c>
      <c r="W35" s="15"/>
      <c r="X35" s="30">
        <f>P35-T35</f>
        <v>33430.539999999979</v>
      </c>
      <c r="Y35" s="15"/>
      <c r="Z35" s="33">
        <f>IF(T35=0,0,X35/T35)</f>
        <v>-0.17740714334801608</v>
      </c>
    </row>
    <row r="36" spans="1:26" ht="15.75" thickTop="1" x14ac:dyDescent="0.25">
      <c r="A36" s="9"/>
      <c r="B36" s="9"/>
      <c r="C36" s="9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x14ac:dyDescent="0.25">
      <c r="A37" s="9"/>
      <c r="B37" s="9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3" customFormat="1" ht="15.75" thickBot="1" x14ac:dyDescent="0.3">
      <c r="A38" s="10"/>
      <c r="B38" s="25" t="s">
        <v>5</v>
      </c>
      <c r="C38" s="25"/>
      <c r="D38" s="34">
        <f>SUM(D35:D37)</f>
        <v>-44751.53</v>
      </c>
      <c r="E38" s="13"/>
      <c r="F38" s="35">
        <f>IF(D$12=0,0,D38/D$12)</f>
        <v>0</v>
      </c>
      <c r="G38" s="13"/>
      <c r="H38" s="34">
        <f>SUM(H35:H37)</f>
        <v>-58548.86</v>
      </c>
      <c r="I38" s="13"/>
      <c r="J38" s="35">
        <f>IF(H$12=0,0,H38/H$12)</f>
        <v>0</v>
      </c>
      <c r="K38" s="15"/>
      <c r="L38" s="34">
        <f>+D38-H38</f>
        <v>13797.330000000002</v>
      </c>
      <c r="M38" s="15"/>
      <c r="N38" s="35">
        <f>IF(H38=0,0,L38/H38)</f>
        <v>-0.23565497261603388</v>
      </c>
      <c r="O38" s="26"/>
      <c r="P38" s="34">
        <f>SUM(P35:P37)</f>
        <v>-155009.11000000002</v>
      </c>
      <c r="Q38" s="13"/>
      <c r="R38" s="35">
        <f>IF(P$12=0,0,P38/P$12)</f>
        <v>0</v>
      </c>
      <c r="S38" s="13"/>
      <c r="T38" s="34">
        <f>SUM(T35:T37)</f>
        <v>-188439.65</v>
      </c>
      <c r="U38" s="13"/>
      <c r="V38" s="35">
        <f>IF(T$12=0,0,T38/T$12)</f>
        <v>0</v>
      </c>
      <c r="W38" s="15"/>
      <c r="X38" s="34">
        <f>+P38-T38</f>
        <v>33430.539999999979</v>
      </c>
      <c r="Y38" s="15"/>
      <c r="Z38" s="35">
        <f>IF(T38=0,0,X38/T38)</f>
        <v>-0.17740714334801608</v>
      </c>
    </row>
    <row r="39" spans="1:26" ht="15.75" thickTop="1" x14ac:dyDescent="0.25">
      <c r="A39" s="9"/>
      <c r="C39" s="9"/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6">
        <v>44151.572135960647</v>
      </c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A41" s="9"/>
      <c r="B41" s="62" t="s">
        <v>313</v>
      </c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  <row r="42" spans="1:26" x14ac:dyDescent="0.25">
      <c r="A42" s="9"/>
      <c r="B42" s="54"/>
      <c r="D42" s="18"/>
      <c r="E42" s="18"/>
      <c r="G42" s="18"/>
      <c r="H42" s="18"/>
      <c r="I42" s="18"/>
      <c r="J42" s="43"/>
      <c r="K42" s="18"/>
      <c r="L42" s="18"/>
      <c r="M42" s="18"/>
      <c r="P42" s="18"/>
      <c r="Q42" s="18"/>
      <c r="R42" s="43"/>
      <c r="S42" s="18"/>
      <c r="T42" s="18"/>
      <c r="U42" s="18"/>
      <c r="V42" s="43"/>
      <c r="W42" s="18"/>
      <c r="X42" s="18"/>
    </row>
    <row r="43" spans="1:26" x14ac:dyDescent="0.25">
      <c r="D43" s="18"/>
      <c r="E43" s="18"/>
      <c r="G43" s="18"/>
      <c r="H43" s="18"/>
      <c r="I43" s="18"/>
      <c r="J43" s="43"/>
      <c r="K43" s="18"/>
      <c r="L43" s="18"/>
      <c r="M43" s="18"/>
      <c r="P43" s="18"/>
      <c r="Q43" s="18"/>
      <c r="R43" s="43"/>
      <c r="S43" s="18"/>
      <c r="T43" s="18"/>
      <c r="U43" s="18"/>
      <c r="V43" s="43"/>
      <c r="W43" s="18"/>
      <c r="X43" s="18"/>
    </row>
  </sheetData>
  <pageMargins left="0.25" right="0.25" top="0.75" bottom="0.75" header="0.3" footer="0.3"/>
  <pageSetup scale="55" fitToWidth="2" orientation="landscape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",RIGHT(202104,2),", ",2021)</f>
        <v>Period 04,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44135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","201", " - ", "General Manager")</f>
        <v>Department 201 - General Manager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61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50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50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2"/>
      <c r="F10" s="31" t="s">
        <v>14</v>
      </c>
      <c r="G10" s="32"/>
      <c r="H10" s="49" t="s">
        <v>306</v>
      </c>
      <c r="I10" s="32"/>
      <c r="J10" s="31" t="s">
        <v>14</v>
      </c>
      <c r="K10" s="10"/>
      <c r="L10" s="42" t="s">
        <v>11</v>
      </c>
      <c r="M10" s="10"/>
      <c r="N10" s="31" t="s">
        <v>15</v>
      </c>
      <c r="O10" s="10"/>
      <c r="P10" s="59" t="s">
        <v>10</v>
      </c>
      <c r="Q10" s="32"/>
      <c r="R10" s="31" t="s">
        <v>14</v>
      </c>
      <c r="S10" s="32"/>
      <c r="T10" s="49" t="s">
        <v>306</v>
      </c>
      <c r="U10" s="32"/>
      <c r="V10" s="31" t="s">
        <v>14</v>
      </c>
      <c r="W10" s="10"/>
      <c r="X10" s="42" t="s">
        <v>11</v>
      </c>
      <c r="Y10" s="10"/>
      <c r="Z10" s="31" t="s">
        <v>15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6</v>
      </c>
      <c r="C16" s="25"/>
      <c r="D16" s="20">
        <f>D12-D14</f>
        <v>0</v>
      </c>
      <c r="E16" s="13"/>
      <c r="F16" s="21">
        <f>IF(D$12=0,0,D16/D$12)</f>
        <v>0</v>
      </c>
      <c r="G16" s="13"/>
      <c r="H16" s="20">
        <f>H12-H14</f>
        <v>0</v>
      </c>
      <c r="I16" s="13"/>
      <c r="J16" s="21">
        <f>IF(H$12=0,0,H16/H$12)</f>
        <v>0</v>
      </c>
      <c r="K16" s="15"/>
      <c r="L16" s="20">
        <f>+D16-H16</f>
        <v>0</v>
      </c>
      <c r="M16" s="15"/>
      <c r="N16" s="21">
        <f>IF(H16=0,0,L16/H16)</f>
        <v>0</v>
      </c>
      <c r="O16" s="26"/>
      <c r="P16" s="20">
        <f>P12-P14</f>
        <v>0</v>
      </c>
      <c r="Q16" s="13"/>
      <c r="R16" s="21">
        <f>IF(P$12=0,0,P16/P$12)</f>
        <v>0</v>
      </c>
      <c r="S16" s="13"/>
      <c r="T16" s="20">
        <f>T12-T14</f>
        <v>0</v>
      </c>
      <c r="U16" s="13"/>
      <c r="V16" s="21">
        <f>IF(T$12=0,0,T16/T$12)</f>
        <v>0</v>
      </c>
      <c r="W16" s="15"/>
      <c r="X16" s="20">
        <f>+P16-T16</f>
        <v>0</v>
      </c>
      <c r="Y16" s="15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9</v>
      </c>
      <c r="C18" s="10"/>
      <c r="D18" s="22">
        <f>SUM(OSRRefD22x_0)</f>
        <v>35310.55999999999</v>
      </c>
      <c r="E18" s="22"/>
      <c r="F18" s="36">
        <f t="shared" ref="F18:F27" si="0">IF(D$12=0,0,D18/D$12)</f>
        <v>0</v>
      </c>
      <c r="G18" s="22"/>
      <c r="H18" s="22">
        <f>SUM(OSRRefH22x_0)</f>
        <v>13420.950000000003</v>
      </c>
      <c r="I18" s="22"/>
      <c r="J18" s="36">
        <f t="shared" ref="J18:J27" si="1">IF(H$12=0,0,H18/H$12)</f>
        <v>0</v>
      </c>
      <c r="K18" s="4"/>
      <c r="L18" s="22">
        <f t="shared" ref="L18:L27" si="2">+D18-H18</f>
        <v>21889.609999999986</v>
      </c>
      <c r="M18" s="4"/>
      <c r="N18" s="36">
        <f t="shared" ref="N18:N27" si="3">IF(H18=0,0,L18/H18)</f>
        <v>1.6310030213956526</v>
      </c>
      <c r="O18" s="10"/>
      <c r="P18" s="22">
        <f>SUM(OSRRefP22x_0)</f>
        <v>142566.81999999998</v>
      </c>
      <c r="Q18" s="22"/>
      <c r="R18" s="36">
        <f t="shared" ref="R18:R27" si="4">IF(P$12=0,0,P18/P$12)</f>
        <v>0</v>
      </c>
      <c r="S18" s="22"/>
      <c r="T18" s="22">
        <f>SUM(OSRRefT22x_0)</f>
        <v>345009.05</v>
      </c>
      <c r="U18" s="22"/>
      <c r="V18" s="36">
        <f t="shared" ref="V18:V27" si="5">IF(T$12=0,0,T18/T$12)</f>
        <v>0</v>
      </c>
      <c r="W18" s="4"/>
      <c r="X18" s="22">
        <f t="shared" ref="X18:X27" si="6">+P18-T18</f>
        <v>-202442.23</v>
      </c>
      <c r="Y18" s="4"/>
      <c r="Z18" s="36">
        <f t="shared" ref="Z18:Z27" si="7">IF(T18=0,0,X18/T18)</f>
        <v>-0.58677368028461863</v>
      </c>
    </row>
    <row r="19" spans="1:26" s="29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11601.890000000001</v>
      </c>
      <c r="E19" s="1"/>
      <c r="F19" s="5">
        <f t="shared" si="0"/>
        <v>0</v>
      </c>
      <c r="G19" s="1"/>
      <c r="H19" s="1">
        <f>SUM(OSRRefH22_0x_0)</f>
        <v>18812.61</v>
      </c>
      <c r="I19" s="1"/>
      <c r="J19" s="5">
        <f t="shared" si="1"/>
        <v>0</v>
      </c>
      <c r="K19" s="1"/>
      <c r="L19" s="1">
        <f t="shared" si="2"/>
        <v>-7210.7199999999993</v>
      </c>
      <c r="M19" s="1"/>
      <c r="N19" s="5">
        <f t="shared" si="3"/>
        <v>-0.38329184520382864</v>
      </c>
      <c r="O19" s="14"/>
      <c r="P19" s="1">
        <f>SUM(OSRRefP22_0x_0)</f>
        <v>43094.34</v>
      </c>
      <c r="Q19" s="1"/>
      <c r="R19" s="5">
        <f t="shared" si="4"/>
        <v>0</v>
      </c>
      <c r="S19" s="1"/>
      <c r="T19" s="1">
        <f>SUM(OSRRefT22_0x_0)</f>
        <v>79196.420000000013</v>
      </c>
      <c r="U19" s="1"/>
      <c r="V19" s="5">
        <f t="shared" si="5"/>
        <v>0</v>
      </c>
      <c r="W19" s="1"/>
      <c r="X19" s="1">
        <f t="shared" si="6"/>
        <v>-36102.080000000016</v>
      </c>
      <c r="Y19" s="1"/>
      <c r="Z19" s="5">
        <f t="shared" si="7"/>
        <v>-0.4558549489989574</v>
      </c>
    </row>
    <row r="20" spans="1:26" s="24" customFormat="1" hidden="1" outlineLevel="2" x14ac:dyDescent="0.25">
      <c r="A20" s="28"/>
      <c r="B20" s="11" t="str">
        <f>CONCATENATE("          ", "6111", " - ", "F.I.C.A.")</f>
        <v xml:space="preserve">          6111 - F.I.C.A.</v>
      </c>
      <c r="C20" s="11"/>
      <c r="D20" s="6">
        <v>1525.7</v>
      </c>
      <c r="E20" s="2"/>
      <c r="F20" s="7">
        <f t="shared" si="0"/>
        <v>0</v>
      </c>
      <c r="G20" s="2"/>
      <c r="H20" s="6">
        <v>4168.8500000000004</v>
      </c>
      <c r="I20" s="2"/>
      <c r="J20" s="7">
        <f t="shared" si="1"/>
        <v>0</v>
      </c>
      <c r="K20" s="2"/>
      <c r="L20" s="6">
        <f t="shared" si="2"/>
        <v>-2643.1500000000005</v>
      </c>
      <c r="M20" s="2"/>
      <c r="N20" s="7">
        <f t="shared" si="3"/>
        <v>-0.63402377154371115</v>
      </c>
      <c r="O20" s="11"/>
      <c r="P20" s="6">
        <v>5700.4</v>
      </c>
      <c r="Q20" s="2"/>
      <c r="R20" s="7">
        <f t="shared" si="4"/>
        <v>0</v>
      </c>
      <c r="S20" s="2"/>
      <c r="T20" s="6">
        <v>11229.45</v>
      </c>
      <c r="U20" s="2"/>
      <c r="V20" s="7">
        <f t="shared" si="5"/>
        <v>0</v>
      </c>
      <c r="W20" s="2"/>
      <c r="X20" s="6">
        <f t="shared" si="6"/>
        <v>-5529.0500000000011</v>
      </c>
      <c r="Y20" s="2"/>
      <c r="Z20" s="7">
        <f t="shared" si="7"/>
        <v>-0.49237050790555198</v>
      </c>
    </row>
    <row r="21" spans="1:26" s="24" customFormat="1" hidden="1" outlineLevel="2" x14ac:dyDescent="0.25">
      <c r="A21" s="28"/>
      <c r="B21" s="11" t="str">
        <f>CONCATENATE("          ", "6112", " - ", "COMPENSATION INSURANCE")</f>
        <v xml:space="preserve">          6112 - COMPENSATION INSURANCE</v>
      </c>
      <c r="C21" s="11"/>
      <c r="D21" s="6">
        <v>62.43</v>
      </c>
      <c r="E21" s="2"/>
      <c r="F21" s="7">
        <f t="shared" si="0"/>
        <v>0</v>
      </c>
      <c r="G21" s="2"/>
      <c r="H21" s="6">
        <v>323.23</v>
      </c>
      <c r="I21" s="2"/>
      <c r="J21" s="7">
        <f t="shared" si="1"/>
        <v>0</v>
      </c>
      <c r="K21" s="2"/>
      <c r="L21" s="6">
        <f t="shared" si="2"/>
        <v>-260.8</v>
      </c>
      <c r="M21" s="2"/>
      <c r="N21" s="7">
        <f t="shared" si="3"/>
        <v>-0.80685579927605733</v>
      </c>
      <c r="O21" s="11"/>
      <c r="P21" s="6">
        <v>249.75</v>
      </c>
      <c r="Q21" s="2"/>
      <c r="R21" s="7">
        <f t="shared" si="4"/>
        <v>0</v>
      </c>
      <c r="S21" s="2"/>
      <c r="T21" s="6">
        <v>671.03</v>
      </c>
      <c r="U21" s="2"/>
      <c r="V21" s="7">
        <f t="shared" si="5"/>
        <v>0</v>
      </c>
      <c r="W21" s="2"/>
      <c r="X21" s="6">
        <f t="shared" si="6"/>
        <v>-421.28</v>
      </c>
      <c r="Y21" s="2"/>
      <c r="Z21" s="7">
        <f t="shared" si="7"/>
        <v>-0.62781097715452361</v>
      </c>
    </row>
    <row r="22" spans="1:26" s="24" customFormat="1" hidden="1" outlineLevel="2" x14ac:dyDescent="0.25">
      <c r="A22" s="28"/>
      <c r="B22" s="11" t="str">
        <f>CONCATENATE("          ", "6113", " - ", "GROUP INSURANCE")</f>
        <v xml:space="preserve">          6113 - GROUP INSURANCE</v>
      </c>
      <c r="C22" s="11"/>
      <c r="D22" s="6">
        <v>4070.76</v>
      </c>
      <c r="E22" s="2"/>
      <c r="F22" s="7">
        <f t="shared" si="0"/>
        <v>0</v>
      </c>
      <c r="G22" s="2"/>
      <c r="H22" s="6">
        <v>3849.84</v>
      </c>
      <c r="I22" s="2"/>
      <c r="J22" s="7">
        <f t="shared" si="1"/>
        <v>0</v>
      </c>
      <c r="K22" s="2"/>
      <c r="L22" s="6">
        <f t="shared" si="2"/>
        <v>220.92000000000007</v>
      </c>
      <c r="M22" s="2"/>
      <c r="N22" s="7">
        <f t="shared" si="3"/>
        <v>5.7384202979864116E-2</v>
      </c>
      <c r="O22" s="11"/>
      <c r="P22" s="6">
        <v>16177.72</v>
      </c>
      <c r="Q22" s="2"/>
      <c r="R22" s="7">
        <f t="shared" si="4"/>
        <v>0</v>
      </c>
      <c r="S22" s="2"/>
      <c r="T22" s="6">
        <v>17440.18</v>
      </c>
      <c r="U22" s="2"/>
      <c r="V22" s="7">
        <f t="shared" si="5"/>
        <v>0</v>
      </c>
      <c r="W22" s="2"/>
      <c r="X22" s="6">
        <f t="shared" si="6"/>
        <v>-1262.4600000000009</v>
      </c>
      <c r="Y22" s="2"/>
      <c r="Z22" s="7">
        <f t="shared" si="7"/>
        <v>-7.238801434388871E-2</v>
      </c>
    </row>
    <row r="23" spans="1:26" s="24" customFormat="1" hidden="1" outlineLevel="2" x14ac:dyDescent="0.25">
      <c r="A23" s="28"/>
      <c r="B23" s="11" t="str">
        <f>CONCATENATE("          ", "6114", " - ", "STATE UNEMPLOYMENT INSURANCE")</f>
        <v xml:space="preserve">          6114 - STATE UNEMPLOYMENT INSURANCE</v>
      </c>
      <c r="C23" s="11"/>
      <c r="D23" s="6">
        <v>49.19</v>
      </c>
      <c r="E23" s="2"/>
      <c r="F23" s="7">
        <f t="shared" si="0"/>
        <v>0</v>
      </c>
      <c r="G23" s="2"/>
      <c r="H23" s="6">
        <v>403.87</v>
      </c>
      <c r="I23" s="2"/>
      <c r="J23" s="7">
        <f t="shared" si="1"/>
        <v>0</v>
      </c>
      <c r="K23" s="2"/>
      <c r="L23" s="6">
        <f t="shared" si="2"/>
        <v>-354.68</v>
      </c>
      <c r="M23" s="2"/>
      <c r="N23" s="7">
        <f t="shared" si="3"/>
        <v>-0.8782033822764751</v>
      </c>
      <c r="O23" s="11"/>
      <c r="P23" s="6">
        <v>196.78</v>
      </c>
      <c r="Q23" s="2"/>
      <c r="R23" s="7">
        <f t="shared" si="4"/>
        <v>0</v>
      </c>
      <c r="S23" s="2"/>
      <c r="T23" s="6">
        <v>669.83</v>
      </c>
      <c r="U23" s="2"/>
      <c r="V23" s="7">
        <f t="shared" si="5"/>
        <v>0</v>
      </c>
      <c r="W23" s="2"/>
      <c r="X23" s="6">
        <f t="shared" si="6"/>
        <v>-473.05000000000007</v>
      </c>
      <c r="Y23" s="2"/>
      <c r="Z23" s="7">
        <f t="shared" si="7"/>
        <v>-0.70622396727527881</v>
      </c>
    </row>
    <row r="24" spans="1:26" s="24" customFormat="1" hidden="1" outlineLevel="2" x14ac:dyDescent="0.25">
      <c r="A24" s="28"/>
      <c r="B24" s="11" t="str">
        <f>CONCATENATE("          ", "6115", " - ", "P.E.R.S.")</f>
        <v xml:space="preserve">          6115 - P.E.R.S.</v>
      </c>
      <c r="C24" s="11"/>
      <c r="D24" s="6">
        <v>2049.0300000000002</v>
      </c>
      <c r="E24" s="2"/>
      <c r="F24" s="7">
        <f t="shared" si="0"/>
        <v>0</v>
      </c>
      <c r="G24" s="2"/>
      <c r="H24" s="6">
        <v>6086.66</v>
      </c>
      <c r="I24" s="2"/>
      <c r="J24" s="7">
        <f t="shared" si="1"/>
        <v>0</v>
      </c>
      <c r="K24" s="2"/>
      <c r="L24" s="6">
        <f t="shared" si="2"/>
        <v>-4037.6299999999997</v>
      </c>
      <c r="M24" s="2"/>
      <c r="N24" s="7">
        <f t="shared" si="3"/>
        <v>-0.66335724354572123</v>
      </c>
      <c r="O24" s="11"/>
      <c r="P24" s="6">
        <v>9220.64</v>
      </c>
      <c r="Q24" s="2"/>
      <c r="R24" s="7">
        <f t="shared" si="4"/>
        <v>0</v>
      </c>
      <c r="S24" s="2"/>
      <c r="T24" s="6">
        <v>15911.430000000002</v>
      </c>
      <c r="U24" s="2"/>
      <c r="V24" s="7">
        <f t="shared" si="5"/>
        <v>0</v>
      </c>
      <c r="W24" s="2"/>
      <c r="X24" s="6">
        <f t="shared" si="6"/>
        <v>-6690.7900000000027</v>
      </c>
      <c r="Y24" s="2"/>
      <c r="Z24" s="7">
        <f t="shared" si="7"/>
        <v>-0.42050211703159313</v>
      </c>
    </row>
    <row r="25" spans="1:26" s="24" customFormat="1" hidden="1" outlineLevel="2" x14ac:dyDescent="0.25">
      <c r="A25" s="28"/>
      <c r="B25" s="11" t="str">
        <f>CONCATENATE("          ", "6118", " - ", "VACATION")</f>
        <v xml:space="preserve">          6118 - VACATION</v>
      </c>
      <c r="C25" s="11"/>
      <c r="D25" s="6">
        <v>2488.4699999999998</v>
      </c>
      <c r="E25" s="2"/>
      <c r="F25" s="7">
        <f t="shared" si="0"/>
        <v>0</v>
      </c>
      <c r="G25" s="2"/>
      <c r="H25" s="6">
        <v>2432.46</v>
      </c>
      <c r="I25" s="2"/>
      <c r="J25" s="7">
        <f t="shared" si="1"/>
        <v>0</v>
      </c>
      <c r="K25" s="2"/>
      <c r="L25" s="6">
        <f t="shared" si="2"/>
        <v>56.009999999999764</v>
      </c>
      <c r="M25" s="2"/>
      <c r="N25" s="7">
        <f t="shared" si="3"/>
        <v>2.3026072371179696E-2</v>
      </c>
      <c r="O25" s="11"/>
      <c r="P25" s="6">
        <v>7465.41</v>
      </c>
      <c r="Q25" s="2"/>
      <c r="R25" s="7">
        <f t="shared" si="4"/>
        <v>0</v>
      </c>
      <c r="S25" s="2"/>
      <c r="T25" s="6">
        <v>13265.9</v>
      </c>
      <c r="U25" s="2"/>
      <c r="V25" s="7">
        <f t="shared" si="5"/>
        <v>0</v>
      </c>
      <c r="W25" s="2"/>
      <c r="X25" s="6">
        <f t="shared" si="6"/>
        <v>-5800.49</v>
      </c>
      <c r="Y25" s="2"/>
      <c r="Z25" s="7">
        <f t="shared" si="7"/>
        <v>-0.43724813242976351</v>
      </c>
    </row>
    <row r="26" spans="1:26" s="24" customFormat="1" hidden="1" outlineLevel="2" x14ac:dyDescent="0.25">
      <c r="A26" s="28"/>
      <c r="B26" s="11" t="str">
        <f>CONCATENATE("          ", "6119", " - ", "SICK LEAVE")</f>
        <v xml:space="preserve">          6119 - SICK LEAVE</v>
      </c>
      <c r="C26" s="11"/>
      <c r="D26" s="6">
        <v>1285.2</v>
      </c>
      <c r="E26" s="2"/>
      <c r="F26" s="7">
        <f t="shared" si="0"/>
        <v>0</v>
      </c>
      <c r="G26" s="2"/>
      <c r="H26" s="6">
        <v>1285.2</v>
      </c>
      <c r="I26" s="2"/>
      <c r="J26" s="7">
        <f t="shared" si="1"/>
        <v>0</v>
      </c>
      <c r="K26" s="2"/>
      <c r="L26" s="6">
        <f t="shared" si="2"/>
        <v>0</v>
      </c>
      <c r="M26" s="2"/>
      <c r="N26" s="7">
        <f t="shared" si="3"/>
        <v>0</v>
      </c>
      <c r="O26" s="11"/>
      <c r="P26" s="6">
        <v>3855.6</v>
      </c>
      <c r="Q26" s="2"/>
      <c r="R26" s="7">
        <f t="shared" si="4"/>
        <v>0</v>
      </c>
      <c r="S26" s="2"/>
      <c r="T26" s="6">
        <v>18686</v>
      </c>
      <c r="U26" s="2"/>
      <c r="V26" s="7">
        <f t="shared" si="5"/>
        <v>0</v>
      </c>
      <c r="W26" s="2"/>
      <c r="X26" s="6">
        <f t="shared" si="6"/>
        <v>-14830.4</v>
      </c>
      <c r="Y26" s="2"/>
      <c r="Z26" s="7">
        <f t="shared" si="7"/>
        <v>-0.79366370544792886</v>
      </c>
    </row>
    <row r="27" spans="1:26" s="24" customFormat="1" hidden="1" outlineLevel="2" x14ac:dyDescent="0.25">
      <c r="A27" s="28"/>
      <c r="B27" s="11" t="str">
        <f>CONCATENATE("          ", "6156", " - ", "EMPLOYEE MEALS")</f>
        <v xml:space="preserve">          6156 - EMPLOYEE MEALS</v>
      </c>
      <c r="C27" s="11"/>
      <c r="D27" s="6">
        <v>71.11</v>
      </c>
      <c r="E27" s="2"/>
      <c r="F27" s="7">
        <f t="shared" si="0"/>
        <v>0</v>
      </c>
      <c r="G27" s="2"/>
      <c r="H27" s="6">
        <v>262.5</v>
      </c>
      <c r="I27" s="2"/>
      <c r="J27" s="7">
        <f t="shared" si="1"/>
        <v>0</v>
      </c>
      <c r="K27" s="2"/>
      <c r="L27" s="6">
        <f t="shared" si="2"/>
        <v>-191.39</v>
      </c>
      <c r="M27" s="2"/>
      <c r="N27" s="7">
        <f t="shared" si="3"/>
        <v>-0.72910476190476181</v>
      </c>
      <c r="O27" s="11"/>
      <c r="P27" s="6">
        <v>228.04</v>
      </c>
      <c r="Q27" s="2"/>
      <c r="R27" s="7">
        <f t="shared" si="4"/>
        <v>0</v>
      </c>
      <c r="S27" s="2"/>
      <c r="T27" s="6">
        <v>1322.6</v>
      </c>
      <c r="U27" s="2"/>
      <c r="V27" s="7">
        <f t="shared" si="5"/>
        <v>0</v>
      </c>
      <c r="W27" s="2"/>
      <c r="X27" s="6">
        <f t="shared" si="6"/>
        <v>-1094.56</v>
      </c>
      <c r="Y27" s="2"/>
      <c r="Z27" s="7">
        <f t="shared" si="7"/>
        <v>-0.82758203538484809</v>
      </c>
    </row>
    <row r="28" spans="1:26" s="29" customFormat="1" outlineLevel="1" collapsed="1" x14ac:dyDescent="0.25">
      <c r="A28" s="27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SUM(OSRRefD22_1x_0)</f>
        <v>-21199.170000000002</v>
      </c>
      <c r="E28" s="1"/>
      <c r="F28" s="5">
        <f t="shared" ref="F28:F31" si="8">IF(D$12=0,0,D28/D$12)</f>
        <v>0</v>
      </c>
      <c r="G28" s="1"/>
      <c r="H28" s="1">
        <f>SUM(OSRRefH22_1x_0)</f>
        <v>-38100.019999999997</v>
      </c>
      <c r="I28" s="1"/>
      <c r="J28" s="5">
        <f t="shared" ref="J28:J31" si="9">IF(H$12=0,0,H28/H$12)</f>
        <v>0</v>
      </c>
      <c r="K28" s="1"/>
      <c r="L28" s="1">
        <f t="shared" ref="L28:L31" si="10">+D28-H28</f>
        <v>16900.849999999995</v>
      </c>
      <c r="M28" s="1"/>
      <c r="N28" s="5">
        <f t="shared" ref="N28:N31" si="11">IF(H28=0,0,L28/H28)</f>
        <v>-0.44359163066056123</v>
      </c>
      <c r="O28" s="14"/>
      <c r="P28" s="1">
        <f>SUM(OSRRefP22_1x_0)</f>
        <v>33463.049999999996</v>
      </c>
      <c r="Q28" s="1"/>
      <c r="R28" s="5">
        <f t="shared" ref="R28:R31" si="12">IF(P$12=0,0,P28/P$12)</f>
        <v>0</v>
      </c>
      <c r="S28" s="1"/>
      <c r="T28" s="1">
        <f>SUM(OSRRefT22_1x_0)</f>
        <v>39781.299999999996</v>
      </c>
      <c r="U28" s="1"/>
      <c r="V28" s="5">
        <f t="shared" ref="V28:V31" si="13">IF(T$12=0,0,T28/T$12)</f>
        <v>0</v>
      </c>
      <c r="W28" s="1"/>
      <c r="X28" s="1">
        <f t="shared" ref="X28:X31" si="14">+P28-T28</f>
        <v>-6318.25</v>
      </c>
      <c r="Y28" s="1"/>
      <c r="Z28" s="5">
        <f t="shared" ref="Z28:Z31" si="15">IF(T28=0,0,X28/T28)</f>
        <v>-0.15882462362969538</v>
      </c>
    </row>
    <row r="29" spans="1:26" s="24" customFormat="1" hidden="1" outlineLevel="2" x14ac:dyDescent="0.25">
      <c r="A29" s="28"/>
      <c r="B29" s="11" t="str">
        <f>CONCATENATE("          ", "6001", " - ", "ADMINISTRATIVE SALARIES")</f>
        <v xml:space="preserve">          6001 - ADMINISTRATIVE SALARIES</v>
      </c>
      <c r="C29" s="11"/>
      <c r="D29" s="6">
        <v>17790.419999999998</v>
      </c>
      <c r="E29" s="2"/>
      <c r="F29" s="7">
        <f t="shared" si="8"/>
        <v>0</v>
      </c>
      <c r="G29" s="2"/>
      <c r="H29" s="6">
        <v>10239.27</v>
      </c>
      <c r="I29" s="2"/>
      <c r="J29" s="7">
        <f t="shared" si="9"/>
        <v>0</v>
      </c>
      <c r="K29" s="2"/>
      <c r="L29" s="6">
        <f t="shared" si="10"/>
        <v>7551.1499999999978</v>
      </c>
      <c r="M29" s="2"/>
      <c r="N29" s="7">
        <f t="shared" si="11"/>
        <v>0.73746956570146094</v>
      </c>
      <c r="O29" s="11"/>
      <c r="P29" s="6">
        <v>60211.570000000007</v>
      </c>
      <c r="Q29" s="2"/>
      <c r="R29" s="7">
        <f t="shared" si="12"/>
        <v>0</v>
      </c>
      <c r="S29" s="2"/>
      <c r="T29" s="6">
        <v>67676.58</v>
      </c>
      <c r="U29" s="2"/>
      <c r="V29" s="7">
        <f t="shared" si="13"/>
        <v>0</v>
      </c>
      <c r="W29" s="2"/>
      <c r="X29" s="6">
        <f t="shared" si="14"/>
        <v>-7465.0099999999948</v>
      </c>
      <c r="Y29" s="2"/>
      <c r="Z29" s="7">
        <f t="shared" si="15"/>
        <v>-0.11030418499279949</v>
      </c>
    </row>
    <row r="30" spans="1:26" s="24" customFormat="1" hidden="1" outlineLevel="2" x14ac:dyDescent="0.25">
      <c r="A30" s="28"/>
      <c r="B30" s="11" t="str">
        <f>CONCATENATE("          ", "6002", " - ", "STAFF SALARIES")</f>
        <v xml:space="preserve">          6002 - STAFF SALARIES</v>
      </c>
      <c r="C30" s="11"/>
      <c r="D30" s="6">
        <v>5967.7</v>
      </c>
      <c r="E30" s="2"/>
      <c r="F30" s="7">
        <f t="shared" si="8"/>
        <v>0</v>
      </c>
      <c r="G30" s="2"/>
      <c r="H30" s="6">
        <v>5631.08</v>
      </c>
      <c r="I30" s="2"/>
      <c r="J30" s="7">
        <f t="shared" si="9"/>
        <v>0</v>
      </c>
      <c r="K30" s="2"/>
      <c r="L30" s="6">
        <f t="shared" si="10"/>
        <v>336.61999999999989</v>
      </c>
      <c r="M30" s="2"/>
      <c r="N30" s="7">
        <f t="shared" si="11"/>
        <v>5.9778941162263705E-2</v>
      </c>
      <c r="O30" s="11"/>
      <c r="P30" s="6">
        <v>18208.769999999997</v>
      </c>
      <c r="Q30" s="2"/>
      <c r="R30" s="7">
        <f t="shared" si="12"/>
        <v>0</v>
      </c>
      <c r="S30" s="2"/>
      <c r="T30" s="6">
        <v>19830.759999999998</v>
      </c>
      <c r="U30" s="2"/>
      <c r="V30" s="7">
        <f t="shared" si="13"/>
        <v>0</v>
      </c>
      <c r="W30" s="2"/>
      <c r="X30" s="6">
        <f t="shared" si="14"/>
        <v>-1621.9900000000016</v>
      </c>
      <c r="Y30" s="2"/>
      <c r="Z30" s="7">
        <f t="shared" si="15"/>
        <v>-8.1791620694315378E-2</v>
      </c>
    </row>
    <row r="31" spans="1:26" s="24" customFormat="1" hidden="1" outlineLevel="2" x14ac:dyDescent="0.25">
      <c r="A31" s="28"/>
      <c r="B31" s="11" t="str">
        <f>CONCATENATE("          ", "6007", " - ", "STUDENT HOURLY")</f>
        <v xml:space="preserve">          6007 - STUDENT HOURLY</v>
      </c>
      <c r="C31" s="11"/>
      <c r="D31" s="6">
        <v>-44957.29</v>
      </c>
      <c r="E31" s="2"/>
      <c r="F31" s="7">
        <f t="shared" si="8"/>
        <v>0</v>
      </c>
      <c r="G31" s="2"/>
      <c r="H31" s="6">
        <v>-53970.369999999995</v>
      </c>
      <c r="I31" s="2"/>
      <c r="J31" s="7">
        <f t="shared" si="9"/>
        <v>0</v>
      </c>
      <c r="K31" s="2"/>
      <c r="L31" s="6">
        <f t="shared" si="10"/>
        <v>9013.0799999999945</v>
      </c>
      <c r="M31" s="2"/>
      <c r="N31" s="7">
        <f t="shared" si="11"/>
        <v>-0.16700052269421156</v>
      </c>
      <c r="O31" s="11"/>
      <c r="P31" s="6">
        <v>-44957.29</v>
      </c>
      <c r="Q31" s="2"/>
      <c r="R31" s="7">
        <f t="shared" si="12"/>
        <v>0</v>
      </c>
      <c r="S31" s="2"/>
      <c r="T31" s="6">
        <v>-47726.04</v>
      </c>
      <c r="U31" s="2"/>
      <c r="V31" s="7">
        <f t="shared" si="13"/>
        <v>0</v>
      </c>
      <c r="W31" s="2"/>
      <c r="X31" s="6">
        <f t="shared" si="14"/>
        <v>2768.75</v>
      </c>
      <c r="Y31" s="2"/>
      <c r="Z31" s="7">
        <f t="shared" si="15"/>
        <v>-5.8013403165232229E-2</v>
      </c>
    </row>
    <row r="32" spans="1:26" s="29" customFormat="1" outlineLevel="1" collapsed="1" x14ac:dyDescent="0.25">
      <c r="A32" s="27"/>
      <c r="B32" s="14" t="str">
        <f>CONCATENATE("     ","Advertising/Promo                                 ")</f>
        <v xml:space="preserve">     Advertising/Promo                                 </v>
      </c>
      <c r="C32" s="14"/>
      <c r="D32" s="1">
        <f>SUM(OSRRefD22_2x_0)</f>
        <v>0</v>
      </c>
      <c r="E32" s="1"/>
      <c r="F32" s="5">
        <f t="shared" ref="F32:F49" si="16">IF(D$12=0,0,D32/D$12)</f>
        <v>0</v>
      </c>
      <c r="G32" s="1"/>
      <c r="H32" s="1">
        <f>SUM(OSRRefH22_2x_0)</f>
        <v>171</v>
      </c>
      <c r="I32" s="1"/>
      <c r="J32" s="5">
        <f t="shared" ref="J32:J49" si="17">IF(H$12=0,0,H32/H$12)</f>
        <v>0</v>
      </c>
      <c r="K32" s="1"/>
      <c r="L32" s="1">
        <f t="shared" ref="L32:L49" si="18">+D32-H32</f>
        <v>-171</v>
      </c>
      <c r="M32" s="1"/>
      <c r="N32" s="5">
        <f t="shared" ref="N32:N49" si="19">IF(H32=0,0,L32/H32)</f>
        <v>-1</v>
      </c>
      <c r="O32" s="14"/>
      <c r="P32" s="1">
        <f>SUM(OSRRefP22_2x_0)</f>
        <v>66.8</v>
      </c>
      <c r="Q32" s="1"/>
      <c r="R32" s="5">
        <f t="shared" ref="R32:R49" si="20">IF(P$12=0,0,P32/P$12)</f>
        <v>0</v>
      </c>
      <c r="S32" s="1"/>
      <c r="T32" s="1">
        <f>SUM(OSRRefT22_2x_0)</f>
        <v>11364.89</v>
      </c>
      <c r="U32" s="1"/>
      <c r="V32" s="5">
        <f t="shared" ref="V32:V49" si="21">IF(T$12=0,0,T32/T$12)</f>
        <v>0</v>
      </c>
      <c r="W32" s="1"/>
      <c r="X32" s="1">
        <f t="shared" ref="X32:X49" si="22">+P32-T32</f>
        <v>-11298.09</v>
      </c>
      <c r="Y32" s="1"/>
      <c r="Z32" s="5">
        <f t="shared" ref="Z32:Z49" si="23">IF(T32=0,0,X32/T32)</f>
        <v>-0.9941222484335529</v>
      </c>
    </row>
    <row r="33" spans="1:26" s="24" customFormat="1" hidden="1" outlineLevel="2" x14ac:dyDescent="0.25">
      <c r="A33" s="28"/>
      <c r="B33" s="11" t="str">
        <f>CONCATENATE("          ", "6362", " - ", "ADVERTISING EXPENSE")</f>
        <v xml:space="preserve">          6362 - ADVERTISING EXPENSE</v>
      </c>
      <c r="C33" s="11"/>
      <c r="D33" s="6"/>
      <c r="E33" s="2"/>
      <c r="F33" s="7">
        <f t="shared" si="16"/>
        <v>0</v>
      </c>
      <c r="G33" s="2"/>
      <c r="H33" s="6">
        <v>171</v>
      </c>
      <c r="I33" s="2"/>
      <c r="J33" s="7">
        <f t="shared" si="17"/>
        <v>0</v>
      </c>
      <c r="K33" s="2"/>
      <c r="L33" s="6">
        <f t="shared" si="18"/>
        <v>-171</v>
      </c>
      <c r="M33" s="2"/>
      <c r="N33" s="7">
        <f t="shared" si="19"/>
        <v>-1</v>
      </c>
      <c r="O33" s="11"/>
      <c r="P33" s="6">
        <v>66.8</v>
      </c>
      <c r="Q33" s="2"/>
      <c r="R33" s="7">
        <f t="shared" si="20"/>
        <v>0</v>
      </c>
      <c r="S33" s="2"/>
      <c r="T33" s="6">
        <v>11364.89</v>
      </c>
      <c r="U33" s="2"/>
      <c r="V33" s="7">
        <f t="shared" si="21"/>
        <v>0</v>
      </c>
      <c r="W33" s="2"/>
      <c r="X33" s="6">
        <f t="shared" si="22"/>
        <v>-11298.09</v>
      </c>
      <c r="Y33" s="2"/>
      <c r="Z33" s="7">
        <f t="shared" si="23"/>
        <v>-0.9941222484335529</v>
      </c>
    </row>
    <row r="34" spans="1:26" s="29" customFormat="1" outlineLevel="1" collapsed="1" x14ac:dyDescent="0.25">
      <c r="A34" s="27"/>
      <c r="B34" s="14" t="str">
        <f>CONCATENATE("     ","Depreciation                                      ")</f>
        <v xml:space="preserve">     Depreciation                                      </v>
      </c>
      <c r="C34" s="14"/>
      <c r="D34" s="1">
        <f>SUM(OSRRefD22_3x_0)</f>
        <v>314.87</v>
      </c>
      <c r="E34" s="1"/>
      <c r="F34" s="5">
        <f t="shared" si="16"/>
        <v>0</v>
      </c>
      <c r="G34" s="1"/>
      <c r="H34" s="1">
        <f>SUM(OSRRefH22_3x_0)</f>
        <v>345.23</v>
      </c>
      <c r="I34" s="1"/>
      <c r="J34" s="5">
        <f t="shared" si="17"/>
        <v>0</v>
      </c>
      <c r="K34" s="1"/>
      <c r="L34" s="1">
        <f t="shared" si="18"/>
        <v>-30.360000000000014</v>
      </c>
      <c r="M34" s="1"/>
      <c r="N34" s="5">
        <f t="shared" si="19"/>
        <v>-8.7941372418387773E-2</v>
      </c>
      <c r="O34" s="14"/>
      <c r="P34" s="1">
        <f>SUM(OSRRefP22_3x_0)</f>
        <v>1259.48</v>
      </c>
      <c r="Q34" s="1"/>
      <c r="R34" s="5">
        <f t="shared" si="20"/>
        <v>0</v>
      </c>
      <c r="S34" s="1"/>
      <c r="T34" s="1">
        <f>SUM(OSRRefT22_3x_0)</f>
        <v>1380.92</v>
      </c>
      <c r="U34" s="1"/>
      <c r="V34" s="5">
        <f t="shared" si="21"/>
        <v>0</v>
      </c>
      <c r="W34" s="1"/>
      <c r="X34" s="1">
        <f t="shared" si="22"/>
        <v>-121.44000000000005</v>
      </c>
      <c r="Y34" s="1"/>
      <c r="Z34" s="5">
        <f t="shared" si="23"/>
        <v>-8.7941372418387773E-2</v>
      </c>
    </row>
    <row r="35" spans="1:26" s="24" customFormat="1" hidden="1" outlineLevel="2" x14ac:dyDescent="0.25">
      <c r="A35" s="28"/>
      <c r="B35" s="11" t="str">
        <f>CONCATENATE("          ", "6322", " - ", "EQUIPMENT DEPRECIATION EXPENSE")</f>
        <v xml:space="preserve">          6322 - EQUIPMENT DEPRECIATION EXPENSE</v>
      </c>
      <c r="C35" s="11"/>
      <c r="D35" s="6">
        <v>314.87</v>
      </c>
      <c r="E35" s="2"/>
      <c r="F35" s="7">
        <f t="shared" si="16"/>
        <v>0</v>
      </c>
      <c r="G35" s="2"/>
      <c r="H35" s="6">
        <v>345.23</v>
      </c>
      <c r="I35" s="2"/>
      <c r="J35" s="7">
        <f t="shared" si="17"/>
        <v>0</v>
      </c>
      <c r="K35" s="2"/>
      <c r="L35" s="6">
        <f t="shared" si="18"/>
        <v>-30.360000000000014</v>
      </c>
      <c r="M35" s="2"/>
      <c r="N35" s="7">
        <f t="shared" si="19"/>
        <v>-8.7941372418387773E-2</v>
      </c>
      <c r="O35" s="11"/>
      <c r="P35" s="6">
        <v>1259.48</v>
      </c>
      <c r="Q35" s="2"/>
      <c r="R35" s="7">
        <f t="shared" si="20"/>
        <v>0</v>
      </c>
      <c r="S35" s="2"/>
      <c r="T35" s="6">
        <v>1380.92</v>
      </c>
      <c r="U35" s="2"/>
      <c r="V35" s="7">
        <f t="shared" si="21"/>
        <v>0</v>
      </c>
      <c r="W35" s="2"/>
      <c r="X35" s="6">
        <f t="shared" si="22"/>
        <v>-121.44000000000005</v>
      </c>
      <c r="Y35" s="2"/>
      <c r="Z35" s="7">
        <f t="shared" si="23"/>
        <v>-8.7941372418387773E-2</v>
      </c>
    </row>
    <row r="36" spans="1:26" s="29" customFormat="1" outlineLevel="1" collapsed="1" x14ac:dyDescent="0.25">
      <c r="A36" s="27"/>
      <c r="B36" s="14" t="str">
        <f>CONCATENATE("     ","Donations                                         ")</f>
        <v xml:space="preserve">     Donations                                         </v>
      </c>
      <c r="C36" s="14"/>
      <c r="D36" s="1">
        <f>SUM(OSRRefD22_4x_0)</f>
        <v>25000</v>
      </c>
      <c r="E36" s="1"/>
      <c r="F36" s="5">
        <f t="shared" si="16"/>
        <v>0</v>
      </c>
      <c r="G36" s="1"/>
      <c r="H36" s="1">
        <f>SUM(OSRRefH22_4x_0)</f>
        <v>5133.6499999999996</v>
      </c>
      <c r="I36" s="1"/>
      <c r="J36" s="5">
        <f t="shared" si="17"/>
        <v>0</v>
      </c>
      <c r="K36" s="1"/>
      <c r="L36" s="1">
        <f t="shared" si="18"/>
        <v>19866.349999999999</v>
      </c>
      <c r="M36" s="1"/>
      <c r="N36" s="5">
        <f t="shared" si="19"/>
        <v>3.8698294585723607</v>
      </c>
      <c r="O36" s="14"/>
      <c r="P36" s="1">
        <f>SUM(OSRRefP22_4x_0)</f>
        <v>25000</v>
      </c>
      <c r="Q36" s="1"/>
      <c r="R36" s="5">
        <f t="shared" si="20"/>
        <v>0</v>
      </c>
      <c r="S36" s="1"/>
      <c r="T36" s="1">
        <f>SUM(OSRRefT22_4x_0)</f>
        <v>144377.25</v>
      </c>
      <c r="U36" s="1"/>
      <c r="V36" s="5">
        <f t="shared" si="21"/>
        <v>0</v>
      </c>
      <c r="W36" s="1"/>
      <c r="X36" s="1">
        <f t="shared" si="22"/>
        <v>-119377.25</v>
      </c>
      <c r="Y36" s="1"/>
      <c r="Z36" s="5">
        <f t="shared" si="23"/>
        <v>-0.82684252539787262</v>
      </c>
    </row>
    <row r="37" spans="1:26" s="24" customFormat="1" hidden="1" outlineLevel="2" x14ac:dyDescent="0.25">
      <c r="A37" s="28"/>
      <c r="B37" s="11" t="str">
        <f>CONCATENATE("          ", "6399", " - ", "DONATION-ON CAMPUS")</f>
        <v xml:space="preserve">          6399 - DONATION-ON CAMPUS</v>
      </c>
      <c r="C37" s="11"/>
      <c r="D37" s="6">
        <v>25000</v>
      </c>
      <c r="E37" s="2"/>
      <c r="F37" s="7">
        <f t="shared" si="16"/>
        <v>0</v>
      </c>
      <c r="G37" s="2"/>
      <c r="H37" s="6">
        <v>5133.6499999999996</v>
      </c>
      <c r="I37" s="2"/>
      <c r="J37" s="7">
        <f t="shared" si="17"/>
        <v>0</v>
      </c>
      <c r="K37" s="2"/>
      <c r="L37" s="6">
        <f t="shared" si="18"/>
        <v>19866.349999999999</v>
      </c>
      <c r="M37" s="2"/>
      <c r="N37" s="7">
        <f t="shared" si="19"/>
        <v>3.8698294585723607</v>
      </c>
      <c r="O37" s="11"/>
      <c r="P37" s="6">
        <v>25000</v>
      </c>
      <c r="Q37" s="2"/>
      <c r="R37" s="7">
        <f t="shared" si="20"/>
        <v>0</v>
      </c>
      <c r="S37" s="2"/>
      <c r="T37" s="6">
        <v>144377.25</v>
      </c>
      <c r="U37" s="2"/>
      <c r="V37" s="7">
        <f t="shared" si="21"/>
        <v>0</v>
      </c>
      <c r="W37" s="2"/>
      <c r="X37" s="6">
        <f t="shared" si="22"/>
        <v>-119377.25</v>
      </c>
      <c r="Y37" s="2"/>
      <c r="Z37" s="7">
        <f t="shared" si="23"/>
        <v>-0.82684252539787262</v>
      </c>
    </row>
    <row r="38" spans="1:26" s="29" customFormat="1" outlineLevel="1" collapsed="1" x14ac:dyDescent="0.25">
      <c r="A38" s="27"/>
      <c r="B38" s="14" t="str">
        <f>CONCATENATE("     ","Equipment Rental                                  ")</f>
        <v xml:space="preserve">     Equipment Rental                                  </v>
      </c>
      <c r="C38" s="14"/>
      <c r="D38" s="1">
        <f>SUM(OSRRefD22_5x_0)</f>
        <v>117.71</v>
      </c>
      <c r="E38" s="1"/>
      <c r="F38" s="5">
        <f t="shared" si="16"/>
        <v>0</v>
      </c>
      <c r="G38" s="1"/>
      <c r="H38" s="1">
        <f>SUM(OSRRefH22_5x_0)</f>
        <v>235.44</v>
      </c>
      <c r="I38" s="1"/>
      <c r="J38" s="5">
        <f t="shared" si="17"/>
        <v>0</v>
      </c>
      <c r="K38" s="1"/>
      <c r="L38" s="1">
        <f t="shared" si="18"/>
        <v>-117.73</v>
      </c>
      <c r="M38" s="1"/>
      <c r="N38" s="5">
        <f t="shared" si="19"/>
        <v>-0.50004247366632693</v>
      </c>
      <c r="O38" s="14"/>
      <c r="P38" s="1">
        <f>SUM(OSRRefP22_5x_0)</f>
        <v>470.84</v>
      </c>
      <c r="Q38" s="1"/>
      <c r="R38" s="5">
        <f t="shared" si="20"/>
        <v>0</v>
      </c>
      <c r="S38" s="1"/>
      <c r="T38" s="1">
        <f>SUM(OSRRefT22_5x_0)</f>
        <v>588.6</v>
      </c>
      <c r="U38" s="1"/>
      <c r="V38" s="5">
        <f t="shared" si="21"/>
        <v>0</v>
      </c>
      <c r="W38" s="1"/>
      <c r="X38" s="1">
        <f t="shared" si="22"/>
        <v>-117.76000000000005</v>
      </c>
      <c r="Y38" s="1"/>
      <c r="Z38" s="5">
        <f t="shared" si="23"/>
        <v>-0.20006795786612308</v>
      </c>
    </row>
    <row r="39" spans="1:26" s="24" customFormat="1" hidden="1" outlineLevel="2" x14ac:dyDescent="0.25">
      <c r="A39" s="28"/>
      <c r="B39" s="11" t="str">
        <f>CONCATENATE("          ", "6351", " - ", "EQUIPMENT RENTAL")</f>
        <v xml:space="preserve">          6351 - EQUIPMENT RENTAL</v>
      </c>
      <c r="C39" s="11"/>
      <c r="D39" s="6">
        <v>117.71</v>
      </c>
      <c r="E39" s="2"/>
      <c r="F39" s="7">
        <f t="shared" si="16"/>
        <v>0</v>
      </c>
      <c r="G39" s="2"/>
      <c r="H39" s="6">
        <v>235.44</v>
      </c>
      <c r="I39" s="2"/>
      <c r="J39" s="7">
        <f t="shared" si="17"/>
        <v>0</v>
      </c>
      <c r="K39" s="2"/>
      <c r="L39" s="6">
        <f t="shared" si="18"/>
        <v>-117.73</v>
      </c>
      <c r="M39" s="2"/>
      <c r="N39" s="7">
        <f t="shared" si="19"/>
        <v>-0.50004247366632693</v>
      </c>
      <c r="O39" s="11"/>
      <c r="P39" s="6">
        <v>470.84</v>
      </c>
      <c r="Q39" s="2"/>
      <c r="R39" s="7">
        <f t="shared" si="20"/>
        <v>0</v>
      </c>
      <c r="S39" s="2"/>
      <c r="T39" s="6">
        <v>588.6</v>
      </c>
      <c r="U39" s="2"/>
      <c r="V39" s="7">
        <f t="shared" si="21"/>
        <v>0</v>
      </c>
      <c r="W39" s="2"/>
      <c r="X39" s="6">
        <f t="shared" si="22"/>
        <v>-117.76000000000005</v>
      </c>
      <c r="Y39" s="2"/>
      <c r="Z39" s="7">
        <f t="shared" si="23"/>
        <v>-0.20006795786612308</v>
      </c>
    </row>
    <row r="40" spans="1:26" s="29" customFormat="1" outlineLevel="1" collapsed="1" x14ac:dyDescent="0.25">
      <c r="A40" s="27"/>
      <c r="B40" s="14" t="str">
        <f>CONCATENATE("     ","Freight out/Postage                               ")</f>
        <v xml:space="preserve">     Freight out/Postage                               </v>
      </c>
      <c r="C40" s="14"/>
      <c r="D40" s="1">
        <f>SUM(OSRRefD22_6x_0)</f>
        <v>38.78</v>
      </c>
      <c r="E40" s="1"/>
      <c r="F40" s="5">
        <f t="shared" si="16"/>
        <v>0</v>
      </c>
      <c r="G40" s="1"/>
      <c r="H40" s="1">
        <f>SUM(OSRRefH22_6x_0)</f>
        <v>8.1</v>
      </c>
      <c r="I40" s="1"/>
      <c r="J40" s="5">
        <f t="shared" si="17"/>
        <v>0</v>
      </c>
      <c r="K40" s="1"/>
      <c r="L40" s="1">
        <f t="shared" si="18"/>
        <v>30.68</v>
      </c>
      <c r="M40" s="1"/>
      <c r="N40" s="5">
        <f t="shared" si="19"/>
        <v>3.7876543209876545</v>
      </c>
      <c r="O40" s="14"/>
      <c r="P40" s="1">
        <f>SUM(OSRRefP22_6x_0)</f>
        <v>63.56</v>
      </c>
      <c r="Q40" s="1"/>
      <c r="R40" s="5">
        <f t="shared" si="20"/>
        <v>0</v>
      </c>
      <c r="S40" s="1"/>
      <c r="T40" s="1">
        <f>SUM(OSRRefT22_6x_0)</f>
        <v>8.75</v>
      </c>
      <c r="U40" s="1"/>
      <c r="V40" s="5">
        <f t="shared" si="21"/>
        <v>0</v>
      </c>
      <c r="W40" s="1"/>
      <c r="X40" s="1">
        <f t="shared" si="22"/>
        <v>54.81</v>
      </c>
      <c r="Y40" s="1"/>
      <c r="Z40" s="5">
        <f t="shared" si="23"/>
        <v>6.2640000000000002</v>
      </c>
    </row>
    <row r="41" spans="1:26" s="24" customFormat="1" hidden="1" outlineLevel="2" x14ac:dyDescent="0.25">
      <c r="A41" s="28"/>
      <c r="B41" s="11" t="str">
        <f>CONCATENATE("          ", "6307", " - ", "POSTAGE")</f>
        <v xml:space="preserve">          6307 - POSTAGE</v>
      </c>
      <c r="C41" s="11"/>
      <c r="D41" s="6">
        <v>38.78</v>
      </c>
      <c r="E41" s="2"/>
      <c r="F41" s="7">
        <f t="shared" si="16"/>
        <v>0</v>
      </c>
      <c r="G41" s="2"/>
      <c r="H41" s="6">
        <v>8.1</v>
      </c>
      <c r="I41" s="2"/>
      <c r="J41" s="7">
        <f t="shared" si="17"/>
        <v>0</v>
      </c>
      <c r="K41" s="2"/>
      <c r="L41" s="6">
        <f t="shared" si="18"/>
        <v>30.68</v>
      </c>
      <c r="M41" s="2"/>
      <c r="N41" s="7">
        <f t="shared" si="19"/>
        <v>3.7876543209876545</v>
      </c>
      <c r="O41" s="11"/>
      <c r="P41" s="6">
        <v>63.56</v>
      </c>
      <c r="Q41" s="2"/>
      <c r="R41" s="7">
        <f t="shared" si="20"/>
        <v>0</v>
      </c>
      <c r="S41" s="2"/>
      <c r="T41" s="6">
        <v>8.75</v>
      </c>
      <c r="U41" s="2"/>
      <c r="V41" s="7">
        <f t="shared" si="21"/>
        <v>0</v>
      </c>
      <c r="W41" s="2"/>
      <c r="X41" s="6">
        <f t="shared" si="22"/>
        <v>54.81</v>
      </c>
      <c r="Y41" s="2"/>
      <c r="Z41" s="7">
        <f t="shared" si="23"/>
        <v>6.2640000000000002</v>
      </c>
    </row>
    <row r="42" spans="1:26" s="29" customFormat="1" outlineLevel="1" collapsed="1" x14ac:dyDescent="0.25">
      <c r="A42" s="27"/>
      <c r="B42" s="14" t="str">
        <f>CONCATENATE("     ","General                                           ")</f>
        <v xml:space="preserve">     General                                           </v>
      </c>
      <c r="C42" s="14"/>
      <c r="D42" s="1">
        <f>SUM(OSRRefD22_7x_0)</f>
        <v>0</v>
      </c>
      <c r="E42" s="1"/>
      <c r="F42" s="5">
        <f t="shared" si="16"/>
        <v>0</v>
      </c>
      <c r="G42" s="1"/>
      <c r="H42" s="1">
        <f>SUM(OSRRefH22_7x_0)</f>
        <v>6120</v>
      </c>
      <c r="I42" s="1"/>
      <c r="J42" s="5">
        <f t="shared" si="17"/>
        <v>0</v>
      </c>
      <c r="K42" s="1"/>
      <c r="L42" s="1">
        <f t="shared" si="18"/>
        <v>-6120</v>
      </c>
      <c r="M42" s="1"/>
      <c r="N42" s="5">
        <f t="shared" si="19"/>
        <v>-1</v>
      </c>
      <c r="O42" s="14"/>
      <c r="P42" s="1">
        <f>SUM(OSRRefP22_7x_0)</f>
        <v>0</v>
      </c>
      <c r="Q42" s="1"/>
      <c r="R42" s="5">
        <f t="shared" si="20"/>
        <v>0</v>
      </c>
      <c r="S42" s="1"/>
      <c r="T42" s="1">
        <f>SUM(OSRRefT22_7x_0)</f>
        <v>11700.62</v>
      </c>
      <c r="U42" s="1"/>
      <c r="V42" s="5">
        <f t="shared" si="21"/>
        <v>0</v>
      </c>
      <c r="W42" s="1"/>
      <c r="X42" s="1">
        <f t="shared" si="22"/>
        <v>-11700.62</v>
      </c>
      <c r="Y42" s="1"/>
      <c r="Z42" s="5">
        <f t="shared" si="23"/>
        <v>-1</v>
      </c>
    </row>
    <row r="43" spans="1:26" s="24" customFormat="1" hidden="1" outlineLevel="2" x14ac:dyDescent="0.25">
      <c r="A43" s="28"/>
      <c r="B43" s="11" t="str">
        <f>CONCATENATE("          ", "6279", " - ", "GENERAL EXPENSE")</f>
        <v xml:space="preserve">          6279 - GENERAL EXPENSE</v>
      </c>
      <c r="C43" s="11"/>
      <c r="D43" s="6"/>
      <c r="E43" s="2"/>
      <c r="F43" s="7">
        <f t="shared" si="16"/>
        <v>0</v>
      </c>
      <c r="G43" s="2"/>
      <c r="H43" s="6">
        <v>6120</v>
      </c>
      <c r="I43" s="2"/>
      <c r="J43" s="7">
        <f t="shared" si="17"/>
        <v>0</v>
      </c>
      <c r="K43" s="2"/>
      <c r="L43" s="6">
        <f t="shared" si="18"/>
        <v>-6120</v>
      </c>
      <c r="M43" s="2"/>
      <c r="N43" s="7">
        <f t="shared" si="19"/>
        <v>-1</v>
      </c>
      <c r="O43" s="11"/>
      <c r="P43" s="6"/>
      <c r="Q43" s="2"/>
      <c r="R43" s="7">
        <f t="shared" si="20"/>
        <v>0</v>
      </c>
      <c r="S43" s="2"/>
      <c r="T43" s="6">
        <v>11700.62</v>
      </c>
      <c r="U43" s="2"/>
      <c r="V43" s="7">
        <f t="shared" si="21"/>
        <v>0</v>
      </c>
      <c r="W43" s="2"/>
      <c r="X43" s="6">
        <f t="shared" si="22"/>
        <v>-11700.62</v>
      </c>
      <c r="Y43" s="2"/>
      <c r="Z43" s="7">
        <f t="shared" si="23"/>
        <v>-1</v>
      </c>
    </row>
    <row r="44" spans="1:26" s="29" customFormat="1" outlineLevel="1" collapsed="1" x14ac:dyDescent="0.25">
      <c r="A44" s="27"/>
      <c r="B44" s="14" t="str">
        <f>CONCATENATE("     ","Insurance                                         ")</f>
        <v xml:space="preserve">     Insurance                                         </v>
      </c>
      <c r="C44" s="14"/>
      <c r="D44" s="1">
        <f>SUM(OSRRefD22_8x_0)</f>
        <v>115.13</v>
      </c>
      <c r="E44" s="1"/>
      <c r="F44" s="5">
        <f t="shared" si="16"/>
        <v>0</v>
      </c>
      <c r="G44" s="1"/>
      <c r="H44" s="1">
        <f>SUM(OSRRefH22_8x_0)</f>
        <v>115.13</v>
      </c>
      <c r="I44" s="1"/>
      <c r="J44" s="5">
        <f t="shared" si="17"/>
        <v>0</v>
      </c>
      <c r="K44" s="1"/>
      <c r="L44" s="1">
        <f t="shared" si="18"/>
        <v>0</v>
      </c>
      <c r="M44" s="1"/>
      <c r="N44" s="5">
        <f t="shared" si="19"/>
        <v>0</v>
      </c>
      <c r="O44" s="14"/>
      <c r="P44" s="1">
        <f>SUM(OSRRefP22_8x_0)</f>
        <v>460.52</v>
      </c>
      <c r="Q44" s="1"/>
      <c r="R44" s="5">
        <f t="shared" si="20"/>
        <v>0</v>
      </c>
      <c r="S44" s="1"/>
      <c r="T44" s="1">
        <f>SUM(OSRRefT22_8x_0)</f>
        <v>460.52</v>
      </c>
      <c r="U44" s="1"/>
      <c r="V44" s="5">
        <f t="shared" si="21"/>
        <v>0</v>
      </c>
      <c r="W44" s="1"/>
      <c r="X44" s="1">
        <f t="shared" si="22"/>
        <v>0</v>
      </c>
      <c r="Y44" s="1"/>
      <c r="Z44" s="5">
        <f t="shared" si="23"/>
        <v>0</v>
      </c>
    </row>
    <row r="45" spans="1:26" s="24" customFormat="1" hidden="1" outlineLevel="2" x14ac:dyDescent="0.25">
      <c r="A45" s="28"/>
      <c r="B45" s="11" t="str">
        <f>CONCATENATE("          ", "6314", " - ", "LIABILITY INSURANCE")</f>
        <v xml:space="preserve">          6314 - LIABILITY INSURANCE</v>
      </c>
      <c r="C45" s="11"/>
      <c r="D45" s="6">
        <v>115.13</v>
      </c>
      <c r="E45" s="2"/>
      <c r="F45" s="7">
        <f t="shared" si="16"/>
        <v>0</v>
      </c>
      <c r="G45" s="2"/>
      <c r="H45" s="6">
        <v>115.13</v>
      </c>
      <c r="I45" s="2"/>
      <c r="J45" s="7">
        <f t="shared" si="17"/>
        <v>0</v>
      </c>
      <c r="K45" s="2"/>
      <c r="L45" s="6">
        <f t="shared" si="18"/>
        <v>0</v>
      </c>
      <c r="M45" s="2"/>
      <c r="N45" s="7">
        <f t="shared" si="19"/>
        <v>0</v>
      </c>
      <c r="O45" s="11"/>
      <c r="P45" s="6">
        <v>460.52</v>
      </c>
      <c r="Q45" s="2"/>
      <c r="R45" s="7">
        <f t="shared" si="20"/>
        <v>0</v>
      </c>
      <c r="S45" s="2"/>
      <c r="T45" s="6">
        <v>460.52</v>
      </c>
      <c r="U45" s="2"/>
      <c r="V45" s="7">
        <f t="shared" si="21"/>
        <v>0</v>
      </c>
      <c r="W45" s="2"/>
      <c r="X45" s="6">
        <f t="shared" si="22"/>
        <v>0</v>
      </c>
      <c r="Y45" s="2"/>
      <c r="Z45" s="7">
        <f t="shared" si="23"/>
        <v>0</v>
      </c>
    </row>
    <row r="46" spans="1:26" s="29" customFormat="1" outlineLevel="1" collapsed="1" x14ac:dyDescent="0.25">
      <c r="A46" s="27"/>
      <c r="B46" s="14" t="str">
        <f>CONCATENATE("     ","Professional Services                             ")</f>
        <v xml:space="preserve">     Professional Services                             </v>
      </c>
      <c r="C46" s="14"/>
      <c r="D46" s="1">
        <f>SUM(OSRRefD22_9x_0)</f>
        <v>16280</v>
      </c>
      <c r="E46" s="1"/>
      <c r="F46" s="5">
        <f t="shared" si="16"/>
        <v>0</v>
      </c>
      <c r="G46" s="1"/>
      <c r="H46" s="1">
        <f>SUM(OSRRefH22_9x_0)</f>
        <v>15020</v>
      </c>
      <c r="I46" s="1"/>
      <c r="J46" s="5">
        <f t="shared" si="17"/>
        <v>0</v>
      </c>
      <c r="K46" s="1"/>
      <c r="L46" s="1">
        <f t="shared" si="18"/>
        <v>1260</v>
      </c>
      <c r="M46" s="1"/>
      <c r="N46" s="5">
        <f t="shared" si="19"/>
        <v>8.3888149134487347E-2</v>
      </c>
      <c r="O46" s="14"/>
      <c r="P46" s="1">
        <f>SUM(OSRRefP22_9x_0)</f>
        <v>25930</v>
      </c>
      <c r="Q46" s="1"/>
      <c r="R46" s="5">
        <f t="shared" si="20"/>
        <v>0</v>
      </c>
      <c r="S46" s="1"/>
      <c r="T46" s="1">
        <f>SUM(OSRRefT22_9x_0)</f>
        <v>32035</v>
      </c>
      <c r="U46" s="1"/>
      <c r="V46" s="5">
        <f t="shared" si="21"/>
        <v>0</v>
      </c>
      <c r="W46" s="1"/>
      <c r="X46" s="1">
        <f t="shared" si="22"/>
        <v>-6105</v>
      </c>
      <c r="Y46" s="1"/>
      <c r="Z46" s="5">
        <f t="shared" si="23"/>
        <v>-0.1905728109879819</v>
      </c>
    </row>
    <row r="47" spans="1:26" s="24" customFormat="1" hidden="1" outlineLevel="2" x14ac:dyDescent="0.25">
      <c r="A47" s="28"/>
      <c r="B47" s="11" t="str">
        <f>CONCATENATE("          ", "6331", " - ", "INDIRECT COSTS-AUXILIARY ORGAN")</f>
        <v xml:space="preserve">          6331 - INDIRECT COSTS-AUXILIARY ORGAN</v>
      </c>
      <c r="C47" s="11"/>
      <c r="D47" s="6">
        <v>15000</v>
      </c>
      <c r="E47" s="2"/>
      <c r="F47" s="7">
        <f t="shared" si="16"/>
        <v>0</v>
      </c>
      <c r="G47" s="2"/>
      <c r="H47" s="6">
        <v>15000</v>
      </c>
      <c r="I47" s="2"/>
      <c r="J47" s="7">
        <f t="shared" si="17"/>
        <v>0</v>
      </c>
      <c r="K47" s="2"/>
      <c r="L47" s="6">
        <f t="shared" si="18"/>
        <v>0</v>
      </c>
      <c r="M47" s="2"/>
      <c r="N47" s="7">
        <f t="shared" si="19"/>
        <v>0</v>
      </c>
      <c r="O47" s="11"/>
      <c r="P47" s="6">
        <v>23500</v>
      </c>
      <c r="Q47" s="2"/>
      <c r="R47" s="7">
        <f t="shared" si="20"/>
        <v>0</v>
      </c>
      <c r="S47" s="2"/>
      <c r="T47" s="6">
        <v>27000</v>
      </c>
      <c r="U47" s="2"/>
      <c r="V47" s="7">
        <f t="shared" si="21"/>
        <v>0</v>
      </c>
      <c r="W47" s="2"/>
      <c r="X47" s="6">
        <f t="shared" si="22"/>
        <v>-3500</v>
      </c>
      <c r="Y47" s="2"/>
      <c r="Z47" s="7">
        <f t="shared" si="23"/>
        <v>-0.12962962962962962</v>
      </c>
    </row>
    <row r="48" spans="1:26" s="24" customFormat="1" hidden="1" outlineLevel="2" x14ac:dyDescent="0.25">
      <c r="A48" s="28"/>
      <c r="B48" s="11" t="str">
        <f>CONCATENATE("          ", "6334", " - ", "LEGAL COUNCIL EXPENSE")</f>
        <v xml:space="preserve">          6334 - LEGAL COUNCIL EXPENSE</v>
      </c>
      <c r="C48" s="11"/>
      <c r="D48" s="6">
        <v>1280</v>
      </c>
      <c r="E48" s="2"/>
      <c r="F48" s="7">
        <f t="shared" si="16"/>
        <v>0</v>
      </c>
      <c r="G48" s="2"/>
      <c r="H48" s="6"/>
      <c r="I48" s="2"/>
      <c r="J48" s="7">
        <f t="shared" si="17"/>
        <v>0</v>
      </c>
      <c r="K48" s="2"/>
      <c r="L48" s="6">
        <f t="shared" si="18"/>
        <v>1280</v>
      </c>
      <c r="M48" s="2"/>
      <c r="N48" s="7">
        <f t="shared" si="19"/>
        <v>0</v>
      </c>
      <c r="O48" s="11"/>
      <c r="P48" s="6">
        <v>2430</v>
      </c>
      <c r="Q48" s="2"/>
      <c r="R48" s="7">
        <f t="shared" si="20"/>
        <v>0</v>
      </c>
      <c r="S48" s="2"/>
      <c r="T48" s="6">
        <v>15</v>
      </c>
      <c r="U48" s="2"/>
      <c r="V48" s="7">
        <f t="shared" si="21"/>
        <v>0</v>
      </c>
      <c r="W48" s="2"/>
      <c r="X48" s="6">
        <f t="shared" si="22"/>
        <v>2415</v>
      </c>
      <c r="Y48" s="2"/>
      <c r="Z48" s="7">
        <f t="shared" si="23"/>
        <v>161</v>
      </c>
    </row>
    <row r="49" spans="1:26" s="24" customFormat="1" hidden="1" outlineLevel="2" x14ac:dyDescent="0.25">
      <c r="A49" s="28"/>
      <c r="B49" s="11" t="str">
        <f>CONCATENATE("          ", "6336", " - ", "PROFESSIONAL SERVICES")</f>
        <v xml:space="preserve">          6336 - PROFESSIONAL SERVICES</v>
      </c>
      <c r="C49" s="11"/>
      <c r="D49" s="6"/>
      <c r="E49" s="2"/>
      <c r="F49" s="7">
        <f t="shared" si="16"/>
        <v>0</v>
      </c>
      <c r="G49" s="2"/>
      <c r="H49" s="6">
        <v>20</v>
      </c>
      <c r="I49" s="2"/>
      <c r="J49" s="7">
        <f t="shared" si="17"/>
        <v>0</v>
      </c>
      <c r="K49" s="2"/>
      <c r="L49" s="6">
        <f t="shared" si="18"/>
        <v>-20</v>
      </c>
      <c r="M49" s="2"/>
      <c r="N49" s="7">
        <f t="shared" si="19"/>
        <v>-1</v>
      </c>
      <c r="O49" s="11"/>
      <c r="P49" s="6"/>
      <c r="Q49" s="2"/>
      <c r="R49" s="7">
        <f t="shared" si="20"/>
        <v>0</v>
      </c>
      <c r="S49" s="2"/>
      <c r="T49" s="6">
        <v>5020</v>
      </c>
      <c r="U49" s="2"/>
      <c r="V49" s="7">
        <f t="shared" si="21"/>
        <v>0</v>
      </c>
      <c r="W49" s="2"/>
      <c r="X49" s="6">
        <f t="shared" si="22"/>
        <v>-5020</v>
      </c>
      <c r="Y49" s="2"/>
      <c r="Z49" s="7">
        <f t="shared" si="23"/>
        <v>-1</v>
      </c>
    </row>
    <row r="50" spans="1:26" s="29" customFormat="1" outlineLevel="1" collapsed="1" x14ac:dyDescent="0.25">
      <c r="A50" s="27"/>
      <c r="B50" s="14" t="str">
        <f>CONCATENATE("     ","Repair and Maintenance                            ")</f>
        <v xml:space="preserve">     Repair and Maintenance                            </v>
      </c>
      <c r="C50" s="14"/>
      <c r="D50" s="1">
        <f>SUM(OSRRefD22_10x_0)</f>
        <v>2580.75</v>
      </c>
      <c r="E50" s="1"/>
      <c r="F50" s="5">
        <f t="shared" ref="F50:F53" si="24">IF(D$12=0,0,D50/D$12)</f>
        <v>0</v>
      </c>
      <c r="G50" s="1"/>
      <c r="H50" s="1">
        <f>SUM(OSRRefH22_10x_0)</f>
        <v>3104.1099999999997</v>
      </c>
      <c r="I50" s="1"/>
      <c r="J50" s="5">
        <f t="shared" ref="J50:J53" si="25">IF(H$12=0,0,H50/H$12)</f>
        <v>0</v>
      </c>
      <c r="K50" s="1"/>
      <c r="L50" s="1">
        <f t="shared" ref="L50:L53" si="26">+D50-H50</f>
        <v>-523.35999999999967</v>
      </c>
      <c r="M50" s="1"/>
      <c r="N50" s="5">
        <f t="shared" ref="N50:N53" si="27">IF(H50=0,0,L50/H50)</f>
        <v>-0.16860227247101414</v>
      </c>
      <c r="O50" s="14"/>
      <c r="P50" s="1">
        <f>SUM(OSRRefP22_10x_0)</f>
        <v>9217.6299999999992</v>
      </c>
      <c r="Q50" s="1"/>
      <c r="R50" s="5">
        <f t="shared" ref="R50:R53" si="28">IF(P$12=0,0,P50/P$12)</f>
        <v>0</v>
      </c>
      <c r="S50" s="1"/>
      <c r="T50" s="1">
        <f>SUM(OSRRefT22_10x_0)</f>
        <v>14964.68</v>
      </c>
      <c r="U50" s="1"/>
      <c r="V50" s="5">
        <f t="shared" ref="V50:V53" si="29">IF(T$12=0,0,T50/T$12)</f>
        <v>0</v>
      </c>
      <c r="W50" s="1"/>
      <c r="X50" s="1">
        <f t="shared" ref="X50:X53" si="30">+P50-T50</f>
        <v>-5747.0500000000011</v>
      </c>
      <c r="Y50" s="1"/>
      <c r="Z50" s="5">
        <f t="shared" ref="Z50:Z53" si="31">IF(T50=0,0,X50/T50)</f>
        <v>-0.38404095510228092</v>
      </c>
    </row>
    <row r="51" spans="1:26" s="24" customFormat="1" hidden="1" outlineLevel="2" x14ac:dyDescent="0.25">
      <c r="A51" s="28"/>
      <c r="B51" s="11" t="str">
        <f>CONCATENATE("          ", "6371", " - ", "COMPUTER SOFTWARE MAINTENANCE")</f>
        <v xml:space="preserve">          6371 - COMPUTER SOFTWARE MAINTENANCE</v>
      </c>
      <c r="C51" s="11"/>
      <c r="D51" s="6"/>
      <c r="E51" s="2"/>
      <c r="F51" s="7">
        <f t="shared" si="24"/>
        <v>0</v>
      </c>
      <c r="G51" s="2"/>
      <c r="H51" s="6"/>
      <c r="I51" s="2"/>
      <c r="J51" s="7">
        <f t="shared" si="25"/>
        <v>0</v>
      </c>
      <c r="K51" s="2"/>
      <c r="L51" s="6">
        <f t="shared" si="26"/>
        <v>0</v>
      </c>
      <c r="M51" s="2"/>
      <c r="N51" s="7">
        <f t="shared" si="27"/>
        <v>0</v>
      </c>
      <c r="O51" s="11"/>
      <c r="P51" s="6"/>
      <c r="Q51" s="2"/>
      <c r="R51" s="7">
        <f t="shared" si="28"/>
        <v>0</v>
      </c>
      <c r="S51" s="2"/>
      <c r="T51" s="6">
        <v>31.58</v>
      </c>
      <c r="U51" s="2"/>
      <c r="V51" s="7">
        <f t="shared" si="29"/>
        <v>0</v>
      </c>
      <c r="W51" s="2"/>
      <c r="X51" s="6">
        <f t="shared" si="30"/>
        <v>-31.58</v>
      </c>
      <c r="Y51" s="2"/>
      <c r="Z51" s="7">
        <f t="shared" si="31"/>
        <v>-1</v>
      </c>
    </row>
    <row r="52" spans="1:26" s="24" customFormat="1" hidden="1" outlineLevel="2" x14ac:dyDescent="0.25">
      <c r="A52" s="28"/>
      <c r="B52" s="11" t="str">
        <f>CONCATENATE("          ", "6373", " - ", "MAINTENANCE CONTRACTS")</f>
        <v xml:space="preserve">          6373 - MAINTENANCE CONTRACTS</v>
      </c>
      <c r="C52" s="11"/>
      <c r="D52" s="6">
        <v>2580.75</v>
      </c>
      <c r="E52" s="2"/>
      <c r="F52" s="7">
        <f t="shared" si="24"/>
        <v>0</v>
      </c>
      <c r="G52" s="2"/>
      <c r="H52" s="6">
        <v>2666.87</v>
      </c>
      <c r="I52" s="2"/>
      <c r="J52" s="7">
        <f t="shared" si="25"/>
        <v>0</v>
      </c>
      <c r="K52" s="2"/>
      <c r="L52" s="6">
        <f t="shared" si="26"/>
        <v>-86.119999999999891</v>
      </c>
      <c r="M52" s="2"/>
      <c r="N52" s="7">
        <f t="shared" si="27"/>
        <v>-3.229253769400079E-2</v>
      </c>
      <c r="O52" s="11"/>
      <c r="P52" s="6">
        <v>9217.6299999999992</v>
      </c>
      <c r="Q52" s="2"/>
      <c r="R52" s="7">
        <f t="shared" si="28"/>
        <v>0</v>
      </c>
      <c r="S52" s="2"/>
      <c r="T52" s="6">
        <v>14408.11</v>
      </c>
      <c r="U52" s="2"/>
      <c r="V52" s="7">
        <f t="shared" si="29"/>
        <v>0</v>
      </c>
      <c r="W52" s="2"/>
      <c r="X52" s="6">
        <f t="shared" si="30"/>
        <v>-5190.4800000000014</v>
      </c>
      <c r="Y52" s="2"/>
      <c r="Z52" s="7">
        <f t="shared" si="31"/>
        <v>-0.36024711082855426</v>
      </c>
    </row>
    <row r="53" spans="1:26" s="24" customFormat="1" hidden="1" outlineLevel="2" x14ac:dyDescent="0.25">
      <c r="A53" s="28"/>
      <c r="B53" s="11" t="str">
        <f>CONCATENATE("          ", "6375", " - ", "OUTSIDE REPAIRS &amp; MAINTENANCE")</f>
        <v xml:space="preserve">          6375 - OUTSIDE REPAIRS &amp; MAINTENANCE</v>
      </c>
      <c r="C53" s="11"/>
      <c r="D53" s="6"/>
      <c r="E53" s="2"/>
      <c r="F53" s="7">
        <f t="shared" si="24"/>
        <v>0</v>
      </c>
      <c r="G53" s="2"/>
      <c r="H53" s="6">
        <v>437.24</v>
      </c>
      <c r="I53" s="2"/>
      <c r="J53" s="7">
        <f t="shared" si="25"/>
        <v>0</v>
      </c>
      <c r="K53" s="2"/>
      <c r="L53" s="6">
        <f t="shared" si="26"/>
        <v>-437.24</v>
      </c>
      <c r="M53" s="2"/>
      <c r="N53" s="7">
        <f t="shared" si="27"/>
        <v>-1</v>
      </c>
      <c r="O53" s="11"/>
      <c r="P53" s="6"/>
      <c r="Q53" s="2"/>
      <c r="R53" s="7">
        <f t="shared" si="28"/>
        <v>0</v>
      </c>
      <c r="S53" s="2"/>
      <c r="T53" s="6">
        <v>524.99</v>
      </c>
      <c r="U53" s="2"/>
      <c r="V53" s="7">
        <f t="shared" si="29"/>
        <v>0</v>
      </c>
      <c r="W53" s="2"/>
      <c r="X53" s="6">
        <f t="shared" si="30"/>
        <v>-524.99</v>
      </c>
      <c r="Y53" s="2"/>
      <c r="Z53" s="7">
        <f t="shared" si="31"/>
        <v>-1</v>
      </c>
    </row>
    <row r="54" spans="1:26" s="29" customFormat="1" outlineLevel="1" collapsed="1" x14ac:dyDescent="0.25">
      <c r="A54" s="27"/>
      <c r="B54" s="14" t="str">
        <f>CONCATENATE("     ","Subscriptions &amp; Dues                              ")</f>
        <v xml:space="preserve">     Subscriptions &amp; Dues                              </v>
      </c>
      <c r="C54" s="14"/>
      <c r="D54" s="1">
        <f>SUM(OSRRefD22_11x_0)</f>
        <v>0</v>
      </c>
      <c r="E54" s="1"/>
      <c r="F54" s="5">
        <f t="shared" ref="F54:F60" si="32">IF(D$12=0,0,D54/D$12)</f>
        <v>0</v>
      </c>
      <c r="G54" s="1"/>
      <c r="H54" s="1">
        <f>SUM(OSRRefH22_11x_0)</f>
        <v>0</v>
      </c>
      <c r="I54" s="1"/>
      <c r="J54" s="5">
        <f t="shared" ref="J54:J60" si="33">IF(H$12=0,0,H54/H$12)</f>
        <v>0</v>
      </c>
      <c r="K54" s="1"/>
      <c r="L54" s="1">
        <f t="shared" ref="L54:L60" si="34">+D54-H54</f>
        <v>0</v>
      </c>
      <c r="M54" s="1"/>
      <c r="N54" s="5">
        <f t="shared" ref="N54:N60" si="35">IF(H54=0,0,L54/H54)</f>
        <v>0</v>
      </c>
      <c r="O54" s="14"/>
      <c r="P54" s="1">
        <f>SUM(OSRRefP22_11x_0)</f>
        <v>1725</v>
      </c>
      <c r="Q54" s="1"/>
      <c r="R54" s="5">
        <f t="shared" ref="R54:R60" si="36">IF(P$12=0,0,P54/P$12)</f>
        <v>0</v>
      </c>
      <c r="S54" s="1"/>
      <c r="T54" s="1">
        <f>SUM(OSRRefT22_11x_0)</f>
        <v>1000</v>
      </c>
      <c r="U54" s="1"/>
      <c r="V54" s="5">
        <f t="shared" ref="V54:V60" si="37">IF(T$12=0,0,T54/T$12)</f>
        <v>0</v>
      </c>
      <c r="W54" s="1"/>
      <c r="X54" s="1">
        <f t="shared" ref="X54:X60" si="38">+P54-T54</f>
        <v>725</v>
      </c>
      <c r="Y54" s="1"/>
      <c r="Z54" s="5">
        <f t="shared" ref="Z54:Z60" si="39">IF(T54=0,0,X54/T54)</f>
        <v>0.72499999999999998</v>
      </c>
    </row>
    <row r="55" spans="1:26" s="24" customFormat="1" hidden="1" outlineLevel="2" x14ac:dyDescent="0.25">
      <c r="A55" s="28"/>
      <c r="B55" s="11" t="str">
        <f>CONCATENATE("          ", "6258", " - ", "MEMBERSHIP DUES")</f>
        <v xml:space="preserve">          6258 - MEMBERSHIP DUES</v>
      </c>
      <c r="C55" s="11"/>
      <c r="D55" s="6"/>
      <c r="E55" s="2"/>
      <c r="F55" s="7">
        <f t="shared" si="32"/>
        <v>0</v>
      </c>
      <c r="G55" s="2"/>
      <c r="H55" s="6"/>
      <c r="I55" s="2"/>
      <c r="J55" s="7">
        <f t="shared" si="33"/>
        <v>0</v>
      </c>
      <c r="K55" s="2"/>
      <c r="L55" s="6">
        <f t="shared" si="34"/>
        <v>0</v>
      </c>
      <c r="M55" s="2"/>
      <c r="N55" s="7">
        <f t="shared" si="35"/>
        <v>0</v>
      </c>
      <c r="O55" s="11"/>
      <c r="P55" s="6">
        <v>1725</v>
      </c>
      <c r="Q55" s="2"/>
      <c r="R55" s="7">
        <f t="shared" si="36"/>
        <v>0</v>
      </c>
      <c r="S55" s="2"/>
      <c r="T55" s="6">
        <v>1000</v>
      </c>
      <c r="U55" s="2"/>
      <c r="V55" s="7">
        <f t="shared" si="37"/>
        <v>0</v>
      </c>
      <c r="W55" s="2"/>
      <c r="X55" s="6">
        <f t="shared" si="38"/>
        <v>725</v>
      </c>
      <c r="Y55" s="2"/>
      <c r="Z55" s="7">
        <f t="shared" si="39"/>
        <v>0.72499999999999998</v>
      </c>
    </row>
    <row r="56" spans="1:26" s="29" customFormat="1" outlineLevel="1" collapsed="1" x14ac:dyDescent="0.25">
      <c r="A56" s="27"/>
      <c r="B56" s="14" t="str">
        <f>CONCATENATE("     ","Supplies                                          ")</f>
        <v xml:space="preserve">     Supplies                                          </v>
      </c>
      <c r="C56" s="14"/>
      <c r="D56" s="1">
        <f>SUM(OSRRefD22_12x_0)</f>
        <v>122.54</v>
      </c>
      <c r="E56" s="1"/>
      <c r="F56" s="5">
        <f t="shared" si="32"/>
        <v>0</v>
      </c>
      <c r="G56" s="1"/>
      <c r="H56" s="1">
        <f>SUM(OSRRefH22_12x_0)</f>
        <v>72.650000000000006</v>
      </c>
      <c r="I56" s="1"/>
      <c r="J56" s="5">
        <f t="shared" si="33"/>
        <v>0</v>
      </c>
      <c r="K56" s="1"/>
      <c r="L56" s="1">
        <f t="shared" si="34"/>
        <v>49.89</v>
      </c>
      <c r="M56" s="1"/>
      <c r="N56" s="5">
        <f t="shared" si="35"/>
        <v>0.68671713695801784</v>
      </c>
      <c r="O56" s="14"/>
      <c r="P56" s="1">
        <f>SUM(OSRRefP22_12x_0)</f>
        <v>409.48</v>
      </c>
      <c r="Q56" s="1"/>
      <c r="R56" s="5">
        <f t="shared" si="36"/>
        <v>0</v>
      </c>
      <c r="S56" s="1"/>
      <c r="T56" s="1">
        <f>SUM(OSRRefT22_12x_0)</f>
        <v>1876.3</v>
      </c>
      <c r="U56" s="1"/>
      <c r="V56" s="5">
        <f t="shared" si="37"/>
        <v>0</v>
      </c>
      <c r="W56" s="1"/>
      <c r="X56" s="1">
        <f t="shared" si="38"/>
        <v>-1466.82</v>
      </c>
      <c r="Y56" s="1"/>
      <c r="Z56" s="5">
        <f t="shared" si="39"/>
        <v>-0.78176197836166927</v>
      </c>
    </row>
    <row r="57" spans="1:26" s="24" customFormat="1" hidden="1" outlineLevel="2" x14ac:dyDescent="0.25">
      <c r="A57" s="28"/>
      <c r="B57" s="11" t="str">
        <f>CONCATENATE("          ", "6234", " - ", "EXPENDABLE SUPPLIES &amp; EQUIPMEN")</f>
        <v xml:space="preserve">          6234 - EXPENDABLE SUPPLIES &amp; EQUIPMEN</v>
      </c>
      <c r="C57" s="11"/>
      <c r="D57" s="6"/>
      <c r="E57" s="2"/>
      <c r="F57" s="7">
        <f t="shared" si="32"/>
        <v>0</v>
      </c>
      <c r="G57" s="2"/>
      <c r="H57" s="6"/>
      <c r="I57" s="2"/>
      <c r="J57" s="7">
        <f t="shared" si="33"/>
        <v>0</v>
      </c>
      <c r="K57" s="2"/>
      <c r="L57" s="6">
        <f t="shared" si="34"/>
        <v>0</v>
      </c>
      <c r="M57" s="2"/>
      <c r="N57" s="7">
        <f t="shared" si="35"/>
        <v>0</v>
      </c>
      <c r="O57" s="11"/>
      <c r="P57" s="6"/>
      <c r="Q57" s="2"/>
      <c r="R57" s="7">
        <f t="shared" si="36"/>
        <v>0</v>
      </c>
      <c r="S57" s="2"/>
      <c r="T57" s="6">
        <v>217.02</v>
      </c>
      <c r="U57" s="2"/>
      <c r="V57" s="7">
        <f t="shared" si="37"/>
        <v>0</v>
      </c>
      <c r="W57" s="2"/>
      <c r="X57" s="6">
        <f t="shared" si="38"/>
        <v>-217.02</v>
      </c>
      <c r="Y57" s="2"/>
      <c r="Z57" s="7">
        <f t="shared" si="39"/>
        <v>-1</v>
      </c>
    </row>
    <row r="58" spans="1:26" s="24" customFormat="1" hidden="1" outlineLevel="2" x14ac:dyDescent="0.25">
      <c r="A58" s="28"/>
      <c r="B58" s="11" t="str">
        <f>CONCATENATE("          ", "6235", " - ", "COVID-19 EXPENSES")</f>
        <v xml:space="preserve">          6235 - COVID-19 EXPENSES</v>
      </c>
      <c r="C58" s="11"/>
      <c r="D58" s="6"/>
      <c r="E58" s="2"/>
      <c r="F58" s="7">
        <f t="shared" si="32"/>
        <v>0</v>
      </c>
      <c r="G58" s="2"/>
      <c r="H58" s="6"/>
      <c r="I58" s="2"/>
      <c r="J58" s="7">
        <f t="shared" si="33"/>
        <v>0</v>
      </c>
      <c r="K58" s="2"/>
      <c r="L58" s="6">
        <f t="shared" si="34"/>
        <v>0</v>
      </c>
      <c r="M58" s="2"/>
      <c r="N58" s="7">
        <f t="shared" si="35"/>
        <v>0</v>
      </c>
      <c r="O58" s="11"/>
      <c r="P58" s="6">
        <v>106.94</v>
      </c>
      <c r="Q58" s="2"/>
      <c r="R58" s="7">
        <f t="shared" si="36"/>
        <v>0</v>
      </c>
      <c r="S58" s="2"/>
      <c r="T58" s="6"/>
      <c r="U58" s="2"/>
      <c r="V58" s="7">
        <f t="shared" si="37"/>
        <v>0</v>
      </c>
      <c r="W58" s="2"/>
      <c r="X58" s="6">
        <f t="shared" si="38"/>
        <v>106.94</v>
      </c>
      <c r="Y58" s="2"/>
      <c r="Z58" s="7">
        <f t="shared" si="39"/>
        <v>0</v>
      </c>
    </row>
    <row r="59" spans="1:26" s="24" customFormat="1" hidden="1" outlineLevel="2" x14ac:dyDescent="0.25">
      <c r="A59" s="28"/>
      <c r="B59" s="11" t="str">
        <f>CONCATENATE("          ", "6241", " - ", "OFFICE EXPENSE")</f>
        <v xml:space="preserve">          6241 - OFFICE EXPENSE</v>
      </c>
      <c r="C59" s="11"/>
      <c r="D59" s="6">
        <v>122.54</v>
      </c>
      <c r="E59" s="2"/>
      <c r="F59" s="7">
        <f t="shared" si="32"/>
        <v>0</v>
      </c>
      <c r="G59" s="2"/>
      <c r="H59" s="6">
        <v>72.650000000000006</v>
      </c>
      <c r="I59" s="2"/>
      <c r="J59" s="7">
        <f t="shared" si="33"/>
        <v>0</v>
      </c>
      <c r="K59" s="2"/>
      <c r="L59" s="6">
        <f t="shared" si="34"/>
        <v>49.89</v>
      </c>
      <c r="M59" s="2"/>
      <c r="N59" s="7">
        <f t="shared" si="35"/>
        <v>0.68671713695801784</v>
      </c>
      <c r="O59" s="11"/>
      <c r="P59" s="6">
        <v>302.54000000000002</v>
      </c>
      <c r="Q59" s="2"/>
      <c r="R59" s="7">
        <f t="shared" si="36"/>
        <v>0</v>
      </c>
      <c r="S59" s="2"/>
      <c r="T59" s="6">
        <v>1627.42</v>
      </c>
      <c r="U59" s="2"/>
      <c r="V59" s="7">
        <f t="shared" si="37"/>
        <v>0</v>
      </c>
      <c r="W59" s="2"/>
      <c r="X59" s="6">
        <f t="shared" si="38"/>
        <v>-1324.88</v>
      </c>
      <c r="Y59" s="2"/>
      <c r="Z59" s="7">
        <f t="shared" si="39"/>
        <v>-0.81409838886089647</v>
      </c>
    </row>
    <row r="60" spans="1:26" s="24" customFormat="1" hidden="1" outlineLevel="2" x14ac:dyDescent="0.25">
      <c r="A60" s="28"/>
      <c r="B60" s="11" t="str">
        <f>CONCATENATE("          ", "6245", " - ", "PRINTING")</f>
        <v xml:space="preserve">          6245 - PRINTING</v>
      </c>
      <c r="C60" s="11"/>
      <c r="D60" s="6"/>
      <c r="E60" s="2"/>
      <c r="F60" s="7">
        <f t="shared" si="32"/>
        <v>0</v>
      </c>
      <c r="G60" s="2"/>
      <c r="H60" s="6"/>
      <c r="I60" s="2"/>
      <c r="J60" s="7">
        <f t="shared" si="33"/>
        <v>0</v>
      </c>
      <c r="K60" s="2"/>
      <c r="L60" s="6">
        <f t="shared" si="34"/>
        <v>0</v>
      </c>
      <c r="M60" s="2"/>
      <c r="N60" s="7">
        <f t="shared" si="35"/>
        <v>0</v>
      </c>
      <c r="O60" s="11"/>
      <c r="P60" s="6"/>
      <c r="Q60" s="2"/>
      <c r="R60" s="7">
        <f t="shared" si="36"/>
        <v>0</v>
      </c>
      <c r="S60" s="2"/>
      <c r="T60" s="6">
        <v>31.86</v>
      </c>
      <c r="U60" s="2"/>
      <c r="V60" s="7">
        <f t="shared" si="37"/>
        <v>0</v>
      </c>
      <c r="W60" s="2"/>
      <c r="X60" s="6">
        <f t="shared" si="38"/>
        <v>-31.86</v>
      </c>
      <c r="Y60" s="2"/>
      <c r="Z60" s="7">
        <f t="shared" si="39"/>
        <v>-1</v>
      </c>
    </row>
    <row r="61" spans="1:26" s="29" customFormat="1" outlineLevel="1" collapsed="1" x14ac:dyDescent="0.25">
      <c r="A61" s="27"/>
      <c r="B61" s="14" t="str">
        <f>CONCATENATE("     ","Telephone/Data Lines                              ")</f>
        <v xml:space="preserve">     Telephone/Data Lines                              </v>
      </c>
      <c r="C61" s="14"/>
      <c r="D61" s="1">
        <f>SUM(OSRRefD22_13x_0)</f>
        <v>338.06</v>
      </c>
      <c r="E61" s="1"/>
      <c r="F61" s="5">
        <f t="shared" ref="F61:F66" si="40">IF(D$12=0,0,D61/D$12)</f>
        <v>0</v>
      </c>
      <c r="G61" s="1"/>
      <c r="H61" s="1">
        <f>SUM(OSRRefH22_13x_0)</f>
        <v>252.75</v>
      </c>
      <c r="I61" s="1"/>
      <c r="J61" s="5">
        <f t="shared" ref="J61:J66" si="41">IF(H$12=0,0,H61/H$12)</f>
        <v>0</v>
      </c>
      <c r="K61" s="1"/>
      <c r="L61" s="1">
        <f t="shared" ref="L61:L66" si="42">+D61-H61</f>
        <v>85.31</v>
      </c>
      <c r="M61" s="1"/>
      <c r="N61" s="5">
        <f t="shared" ref="N61:N66" si="43">IF(H61=0,0,L61/H61)</f>
        <v>0.33752720079129578</v>
      </c>
      <c r="O61" s="14"/>
      <c r="P61" s="1">
        <f>SUM(OSRRefP22_13x_0)</f>
        <v>1406.12</v>
      </c>
      <c r="Q61" s="1"/>
      <c r="R61" s="5">
        <f t="shared" ref="R61:R66" si="44">IF(P$12=0,0,P61/P$12)</f>
        <v>0</v>
      </c>
      <c r="S61" s="1"/>
      <c r="T61" s="1">
        <f>SUM(OSRRefT22_13x_0)</f>
        <v>1162.3800000000001</v>
      </c>
      <c r="U61" s="1"/>
      <c r="V61" s="5">
        <f t="shared" ref="V61:V66" si="45">IF(T$12=0,0,T61/T$12)</f>
        <v>0</v>
      </c>
      <c r="W61" s="1"/>
      <c r="X61" s="1">
        <f t="shared" ref="X61:X66" si="46">+P61-T61</f>
        <v>243.73999999999978</v>
      </c>
      <c r="Y61" s="1"/>
      <c r="Z61" s="5">
        <f t="shared" ref="Z61:Z66" si="47">IF(T61=0,0,X61/T61)</f>
        <v>0.20969046267141533</v>
      </c>
    </row>
    <row r="62" spans="1:26" s="24" customFormat="1" hidden="1" outlineLevel="2" x14ac:dyDescent="0.25">
      <c r="A62" s="28"/>
      <c r="B62" s="11" t="str">
        <f>CONCATENATE("          ", "6309", " - ", "TELEPHONE")</f>
        <v xml:space="preserve">          6309 - TELEPHONE</v>
      </c>
      <c r="C62" s="11"/>
      <c r="D62" s="6">
        <v>338.06</v>
      </c>
      <c r="E62" s="2"/>
      <c r="F62" s="7">
        <f t="shared" si="40"/>
        <v>0</v>
      </c>
      <c r="G62" s="2"/>
      <c r="H62" s="6">
        <v>252.75</v>
      </c>
      <c r="I62" s="2"/>
      <c r="J62" s="7">
        <f t="shared" si="41"/>
        <v>0</v>
      </c>
      <c r="K62" s="2"/>
      <c r="L62" s="6">
        <f t="shared" si="42"/>
        <v>85.31</v>
      </c>
      <c r="M62" s="2"/>
      <c r="N62" s="7">
        <f t="shared" si="43"/>
        <v>0.33752720079129578</v>
      </c>
      <c r="O62" s="11"/>
      <c r="P62" s="6">
        <v>1406.12</v>
      </c>
      <c r="Q62" s="2"/>
      <c r="R62" s="7">
        <f t="shared" si="44"/>
        <v>0</v>
      </c>
      <c r="S62" s="2"/>
      <c r="T62" s="6">
        <v>1162.3800000000001</v>
      </c>
      <c r="U62" s="2"/>
      <c r="V62" s="7">
        <f t="shared" si="45"/>
        <v>0</v>
      </c>
      <c r="W62" s="2"/>
      <c r="X62" s="6">
        <f t="shared" si="46"/>
        <v>243.73999999999978</v>
      </c>
      <c r="Y62" s="2"/>
      <c r="Z62" s="7">
        <f t="shared" si="47"/>
        <v>0.20969046267141533</v>
      </c>
    </row>
    <row r="63" spans="1:26" s="29" customFormat="1" outlineLevel="1" collapsed="1" x14ac:dyDescent="0.25">
      <c r="A63" s="27"/>
      <c r="B63" s="14" t="str">
        <f>CONCATENATE("     ","Training                                          ")</f>
        <v xml:space="preserve">     Training                                          </v>
      </c>
      <c r="C63" s="14"/>
      <c r="D63" s="1">
        <f>SUM(OSRRefD22_14x_0)</f>
        <v>0</v>
      </c>
      <c r="E63" s="1"/>
      <c r="F63" s="5">
        <f t="shared" si="40"/>
        <v>0</v>
      </c>
      <c r="G63" s="1"/>
      <c r="H63" s="1">
        <f>SUM(OSRRefH22_14x_0)</f>
        <v>1914</v>
      </c>
      <c r="I63" s="1"/>
      <c r="J63" s="5">
        <f t="shared" si="41"/>
        <v>0</v>
      </c>
      <c r="K63" s="1"/>
      <c r="L63" s="1">
        <f t="shared" si="42"/>
        <v>-1914</v>
      </c>
      <c r="M63" s="1"/>
      <c r="N63" s="5">
        <f t="shared" si="43"/>
        <v>-1</v>
      </c>
      <c r="O63" s="14"/>
      <c r="P63" s="1">
        <f>SUM(OSRRefP22_14x_0)</f>
        <v>0</v>
      </c>
      <c r="Q63" s="1"/>
      <c r="R63" s="5">
        <f t="shared" si="44"/>
        <v>0</v>
      </c>
      <c r="S63" s="1"/>
      <c r="T63" s="1">
        <f>SUM(OSRRefT22_14x_0)</f>
        <v>1914</v>
      </c>
      <c r="U63" s="1"/>
      <c r="V63" s="5">
        <f t="shared" si="45"/>
        <v>0</v>
      </c>
      <c r="W63" s="1"/>
      <c r="X63" s="1">
        <f t="shared" si="46"/>
        <v>-1914</v>
      </c>
      <c r="Y63" s="1"/>
      <c r="Z63" s="5">
        <f t="shared" si="47"/>
        <v>-1</v>
      </c>
    </row>
    <row r="64" spans="1:26" s="24" customFormat="1" hidden="1" outlineLevel="2" x14ac:dyDescent="0.25">
      <c r="A64" s="28"/>
      <c r="B64" s="11" t="str">
        <f>CONCATENATE("          ", "6376", " - ", "TRAINING")</f>
        <v xml:space="preserve">          6376 - TRAINING</v>
      </c>
      <c r="C64" s="11"/>
      <c r="D64" s="6"/>
      <c r="E64" s="2"/>
      <c r="F64" s="7">
        <f t="shared" si="40"/>
        <v>0</v>
      </c>
      <c r="G64" s="2"/>
      <c r="H64" s="6">
        <v>1914</v>
      </c>
      <c r="I64" s="2"/>
      <c r="J64" s="7">
        <f t="shared" si="41"/>
        <v>0</v>
      </c>
      <c r="K64" s="2"/>
      <c r="L64" s="6">
        <f t="shared" si="42"/>
        <v>-1914</v>
      </c>
      <c r="M64" s="2"/>
      <c r="N64" s="7">
        <f t="shared" si="43"/>
        <v>-1</v>
      </c>
      <c r="O64" s="11"/>
      <c r="P64" s="6"/>
      <c r="Q64" s="2"/>
      <c r="R64" s="7">
        <f t="shared" si="44"/>
        <v>0</v>
      </c>
      <c r="S64" s="2"/>
      <c r="T64" s="6">
        <v>1914</v>
      </c>
      <c r="U64" s="2"/>
      <c r="V64" s="7">
        <f t="shared" si="45"/>
        <v>0</v>
      </c>
      <c r="W64" s="2"/>
      <c r="X64" s="6">
        <f t="shared" si="46"/>
        <v>-1914</v>
      </c>
      <c r="Y64" s="2"/>
      <c r="Z64" s="7">
        <f t="shared" si="47"/>
        <v>-1</v>
      </c>
    </row>
    <row r="65" spans="1:26" s="29" customFormat="1" outlineLevel="1" collapsed="1" x14ac:dyDescent="0.25">
      <c r="A65" s="27"/>
      <c r="B65" s="14" t="str">
        <f>CONCATENATE("     ","Travel                                            ")</f>
        <v xml:space="preserve">     Travel                                            </v>
      </c>
      <c r="C65" s="14"/>
      <c r="D65" s="1">
        <f>SUM(OSRRefD22_15x_0)</f>
        <v>0</v>
      </c>
      <c r="E65" s="1"/>
      <c r="F65" s="5">
        <f t="shared" si="40"/>
        <v>0</v>
      </c>
      <c r="G65" s="1"/>
      <c r="H65" s="1">
        <f>SUM(OSRRefH22_15x_0)</f>
        <v>216.3</v>
      </c>
      <c r="I65" s="1"/>
      <c r="J65" s="5">
        <f t="shared" si="41"/>
        <v>0</v>
      </c>
      <c r="K65" s="1"/>
      <c r="L65" s="1">
        <f t="shared" si="42"/>
        <v>-216.3</v>
      </c>
      <c r="M65" s="1"/>
      <c r="N65" s="5">
        <f t="shared" si="43"/>
        <v>-1</v>
      </c>
      <c r="O65" s="14"/>
      <c r="P65" s="1">
        <f>SUM(OSRRefP22_15x_0)</f>
        <v>0</v>
      </c>
      <c r="Q65" s="1"/>
      <c r="R65" s="5">
        <f t="shared" si="44"/>
        <v>0</v>
      </c>
      <c r="S65" s="1"/>
      <c r="T65" s="1">
        <f>SUM(OSRRefT22_15x_0)</f>
        <v>3197.42</v>
      </c>
      <c r="U65" s="1"/>
      <c r="V65" s="5">
        <f t="shared" si="45"/>
        <v>0</v>
      </c>
      <c r="W65" s="1"/>
      <c r="X65" s="1">
        <f t="shared" si="46"/>
        <v>-3197.42</v>
      </c>
      <c r="Y65" s="1"/>
      <c r="Z65" s="5">
        <f t="shared" si="47"/>
        <v>-1</v>
      </c>
    </row>
    <row r="66" spans="1:26" s="24" customFormat="1" hidden="1" outlineLevel="2" x14ac:dyDescent="0.25">
      <c r="A66" s="28"/>
      <c r="B66" s="11" t="str">
        <f>CONCATENATE("          ", "6292", " - ", "TRAVEL/CONFERENCE")</f>
        <v xml:space="preserve">          6292 - TRAVEL/CONFERENCE</v>
      </c>
      <c r="C66" s="11"/>
      <c r="D66" s="6"/>
      <c r="E66" s="2"/>
      <c r="F66" s="7">
        <f t="shared" si="40"/>
        <v>0</v>
      </c>
      <c r="G66" s="2"/>
      <c r="H66" s="6">
        <v>216.3</v>
      </c>
      <c r="I66" s="2"/>
      <c r="J66" s="7">
        <f t="shared" si="41"/>
        <v>0</v>
      </c>
      <c r="K66" s="2"/>
      <c r="L66" s="6">
        <f t="shared" si="42"/>
        <v>-216.3</v>
      </c>
      <c r="M66" s="2"/>
      <c r="N66" s="7">
        <f t="shared" si="43"/>
        <v>-1</v>
      </c>
      <c r="O66" s="11"/>
      <c r="P66" s="6"/>
      <c r="Q66" s="2"/>
      <c r="R66" s="7">
        <f t="shared" si="44"/>
        <v>0</v>
      </c>
      <c r="S66" s="2"/>
      <c r="T66" s="6">
        <v>3197.42</v>
      </c>
      <c r="U66" s="2"/>
      <c r="V66" s="7">
        <f t="shared" si="45"/>
        <v>0</v>
      </c>
      <c r="W66" s="2"/>
      <c r="X66" s="6">
        <f t="shared" si="46"/>
        <v>-3197.42</v>
      </c>
      <c r="Y66" s="2"/>
      <c r="Z66" s="7">
        <f t="shared" si="47"/>
        <v>-1</v>
      </c>
    </row>
    <row r="67" spans="1:26" s="57" customFormat="1" x14ac:dyDescent="0.25">
      <c r="A67" s="37"/>
      <c r="B67" s="37"/>
      <c r="C67" s="37"/>
      <c r="D67" s="1"/>
      <c r="E67" s="1"/>
      <c r="F67" s="5"/>
      <c r="G67" s="1"/>
      <c r="H67" s="1"/>
      <c r="I67" s="1"/>
      <c r="J67" s="5"/>
      <c r="K67" s="1"/>
      <c r="L67" s="1"/>
      <c r="M67" s="1"/>
      <c r="N67" s="5"/>
      <c r="O67" s="37"/>
      <c r="P67" s="1"/>
      <c r="Q67" s="1"/>
      <c r="R67" s="5"/>
      <c r="S67" s="1"/>
      <c r="T67" s="1"/>
      <c r="U67" s="1"/>
      <c r="V67" s="5"/>
      <c r="W67" s="1"/>
      <c r="X67" s="1"/>
      <c r="Y67" s="1"/>
      <c r="Z67" s="5"/>
    </row>
    <row r="68" spans="1:26" s="23" customFormat="1" x14ac:dyDescent="0.25">
      <c r="A68" s="10"/>
      <c r="B68" s="26" t="s">
        <v>0</v>
      </c>
      <c r="C68" s="10"/>
      <c r="D68" s="4">
        <f>SUM(0)</f>
        <v>0</v>
      </c>
      <c r="E68" s="4"/>
      <c r="F68" s="12">
        <f>IF(D$12=0,0,D68/D$12)</f>
        <v>0</v>
      </c>
      <c r="G68" s="4"/>
      <c r="H68" s="4">
        <f>SUM(0)</f>
        <v>0</v>
      </c>
      <c r="I68" s="4"/>
      <c r="J68" s="12">
        <f>IF(H$12=0,0,H68/H$12)</f>
        <v>0</v>
      </c>
      <c r="K68" s="4"/>
      <c r="L68" s="4">
        <f>+D68-H68</f>
        <v>0</v>
      </c>
      <c r="M68" s="4"/>
      <c r="N68" s="12">
        <f>IF(H68=0,0,L68/H68)</f>
        <v>0</v>
      </c>
      <c r="O68" s="10"/>
      <c r="P68" s="4">
        <f>SUM(0)</f>
        <v>0</v>
      </c>
      <c r="Q68" s="4"/>
      <c r="R68" s="12">
        <f>IF(P$12=0,0,P68/P$12)</f>
        <v>0</v>
      </c>
      <c r="S68" s="4"/>
      <c r="T68" s="4">
        <f>SUM(0)</f>
        <v>0</v>
      </c>
      <c r="U68" s="4"/>
      <c r="V68" s="12">
        <f>IF(T$12=0,0,T68/T$12)</f>
        <v>0</v>
      </c>
      <c r="W68" s="4"/>
      <c r="X68" s="4">
        <f>+P68-T68</f>
        <v>0</v>
      </c>
      <c r="Y68" s="4"/>
      <c r="Z68" s="12">
        <f>IF(T68=0,0,X68/T68)</f>
        <v>0</v>
      </c>
    </row>
    <row r="69" spans="1:26" x14ac:dyDescent="0.25">
      <c r="A69" s="9"/>
      <c r="B69" s="10"/>
      <c r="C69" s="10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O69" s="10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x14ac:dyDescent="0.25">
      <c r="A70" s="10"/>
      <c r="B70" s="25" t="s">
        <v>3</v>
      </c>
      <c r="C70" s="25"/>
      <c r="D70" s="20">
        <f>+D16-D18+D68</f>
        <v>-35310.55999999999</v>
      </c>
      <c r="E70" s="13"/>
      <c r="F70" s="21">
        <f>IF(D$12=0,0,D70/D$12)</f>
        <v>0</v>
      </c>
      <c r="G70" s="13"/>
      <c r="H70" s="20">
        <f>+H16-H18+H68</f>
        <v>-13420.950000000003</v>
      </c>
      <c r="I70" s="13"/>
      <c r="J70" s="21">
        <f>IF(H$12=0,0,H70/H$12)</f>
        <v>0</v>
      </c>
      <c r="K70" s="15"/>
      <c r="L70" s="20">
        <f>+D70-H70</f>
        <v>-21889.609999999986</v>
      </c>
      <c r="M70" s="15"/>
      <c r="N70" s="21">
        <f>IF(H70=0,0,L70/H70)</f>
        <v>1.6310030213956526</v>
      </c>
      <c r="O70" s="26"/>
      <c r="P70" s="20">
        <f>+P16-P18+P68</f>
        <v>-142566.81999999998</v>
      </c>
      <c r="Q70" s="13"/>
      <c r="R70" s="21">
        <f>IF(P$12=0,0,P70/P$12)</f>
        <v>0</v>
      </c>
      <c r="S70" s="13"/>
      <c r="T70" s="20">
        <f>+T16-T18+T68</f>
        <v>-345009.05</v>
      </c>
      <c r="U70" s="13"/>
      <c r="V70" s="21">
        <f>IF(T$12=0,0,T70/T$12)</f>
        <v>0</v>
      </c>
      <c r="W70" s="15"/>
      <c r="X70" s="20">
        <f>+P70-T70</f>
        <v>202442.23</v>
      </c>
      <c r="Y70" s="15"/>
      <c r="Z70" s="21">
        <f>IF(T70=0,0,X70/T70)</f>
        <v>-0.58677368028461863</v>
      </c>
    </row>
    <row r="71" spans="1:26" x14ac:dyDescent="0.25">
      <c r="A71" s="9"/>
      <c r="B71" s="10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x14ac:dyDescent="0.25">
      <c r="A72" s="51"/>
      <c r="B72" s="10" t="s">
        <v>13</v>
      </c>
      <c r="C72" s="10"/>
      <c r="D72" s="4"/>
      <c r="E72" s="4"/>
      <c r="F72" s="12">
        <f>IF(D$12=0,0,D72/D$12)</f>
        <v>0</v>
      </c>
      <c r="G72" s="4"/>
      <c r="H72" s="4"/>
      <c r="I72" s="4"/>
      <c r="J72" s="12">
        <f>IF(H$12=0,0,H72/H$12)</f>
        <v>0</v>
      </c>
      <c r="K72" s="4"/>
      <c r="L72" s="4">
        <f>+D72-H72</f>
        <v>0</v>
      </c>
      <c r="M72" s="4"/>
      <c r="N72" s="12">
        <f>IF(H72=0,0,L72/H72)</f>
        <v>0</v>
      </c>
      <c r="O72" s="10"/>
      <c r="P72" s="4"/>
      <c r="Q72" s="4"/>
      <c r="R72" s="12">
        <f>IF(P$12=0,0,P72/P$12)</f>
        <v>0</v>
      </c>
      <c r="S72" s="4"/>
      <c r="T72" s="4"/>
      <c r="U72" s="4"/>
      <c r="V72" s="12">
        <f>IF(T$12=0,0,T72/T$12)</f>
        <v>0</v>
      </c>
      <c r="W72" s="4"/>
      <c r="X72" s="4">
        <f>+P72-T72</f>
        <v>0</v>
      </c>
      <c r="Y72" s="4"/>
      <c r="Z72" s="12">
        <f>IF(T72=0,0,X72/T72)</f>
        <v>0</v>
      </c>
    </row>
    <row r="73" spans="1:26" x14ac:dyDescent="0.25">
      <c r="A73" s="9"/>
      <c r="B73" s="10"/>
      <c r="C73" s="10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0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ht="15.75" thickBot="1" x14ac:dyDescent="0.3">
      <c r="A74" s="10"/>
      <c r="B74" s="25" t="s">
        <v>4</v>
      </c>
      <c r="C74" s="25"/>
      <c r="D74" s="30">
        <f>+D70-D72</f>
        <v>-35310.55999999999</v>
      </c>
      <c r="E74" s="13"/>
      <c r="F74" s="33">
        <f>IF(D$12=0,0,D74/D$12)</f>
        <v>0</v>
      </c>
      <c r="G74" s="13"/>
      <c r="H74" s="30">
        <f>+H70-H72</f>
        <v>-13420.950000000003</v>
      </c>
      <c r="I74" s="13"/>
      <c r="J74" s="33">
        <f>IF(H$12=0,0,H74/H$12)</f>
        <v>0</v>
      </c>
      <c r="K74" s="15"/>
      <c r="L74" s="30">
        <f>D74-H74</f>
        <v>-21889.609999999986</v>
      </c>
      <c r="M74" s="15"/>
      <c r="N74" s="33">
        <f>IF(H74=0,0,L74/H74)</f>
        <v>1.6310030213956526</v>
      </c>
      <c r="O74" s="26"/>
      <c r="P74" s="30">
        <f>+P70-P72</f>
        <v>-142566.81999999998</v>
      </c>
      <c r="Q74" s="13"/>
      <c r="R74" s="33">
        <f>IF(P$12=0,0,P74/P$12)</f>
        <v>0</v>
      </c>
      <c r="S74" s="13"/>
      <c r="T74" s="30">
        <f>+T70-T72</f>
        <v>-345009.05</v>
      </c>
      <c r="U74" s="13"/>
      <c r="V74" s="33">
        <f>IF(T$12=0,0,T74/T$12)</f>
        <v>0</v>
      </c>
      <c r="W74" s="15"/>
      <c r="X74" s="30">
        <f>P74-T74</f>
        <v>202442.23</v>
      </c>
      <c r="Y74" s="15"/>
      <c r="Z74" s="33">
        <f>IF(T74=0,0,X74/T74)</f>
        <v>-0.58677368028461863</v>
      </c>
    </row>
    <row r="75" spans="1:26" ht="15.75" thickTop="1" x14ac:dyDescent="0.25">
      <c r="A75" s="9"/>
      <c r="B75" s="9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5" t="s">
        <v>5</v>
      </c>
      <c r="C77" s="25"/>
      <c r="D77" s="34">
        <f>SUM(D74:D76)</f>
        <v>-35310.55999999999</v>
      </c>
      <c r="E77" s="13"/>
      <c r="F77" s="35">
        <f>IF(D$12=0,0,D77/D$12)</f>
        <v>0</v>
      </c>
      <c r="G77" s="13"/>
      <c r="H77" s="34">
        <f>SUM(H74:H76)</f>
        <v>-13420.950000000003</v>
      </c>
      <c r="I77" s="13"/>
      <c r="J77" s="35">
        <f>IF(H$12=0,0,H77/H$12)</f>
        <v>0</v>
      </c>
      <c r="K77" s="15"/>
      <c r="L77" s="34">
        <f>+D77-H77</f>
        <v>-21889.609999999986</v>
      </c>
      <c r="M77" s="15"/>
      <c r="N77" s="35">
        <f>IF(H77=0,0,L77/H77)</f>
        <v>1.6310030213956526</v>
      </c>
      <c r="O77" s="26"/>
      <c r="P77" s="34">
        <f>SUM(P74:P76)</f>
        <v>-142566.81999999998</v>
      </c>
      <c r="Q77" s="13"/>
      <c r="R77" s="35">
        <f>IF(P$12=0,0,P77/P$12)</f>
        <v>0</v>
      </c>
      <c r="S77" s="13"/>
      <c r="T77" s="34">
        <f>SUM(T74:T76)</f>
        <v>-345009.05</v>
      </c>
      <c r="U77" s="13"/>
      <c r="V77" s="35">
        <f>IF(T$12=0,0,T77/T$12)</f>
        <v>0</v>
      </c>
      <c r="W77" s="15"/>
      <c r="X77" s="34">
        <f>+P77-T77</f>
        <v>202442.23</v>
      </c>
      <c r="Y77" s="15"/>
      <c r="Z77" s="35">
        <f>IF(T77=0,0,X77/T77)</f>
        <v>-0.58677368028461863</v>
      </c>
    </row>
    <row r="78" spans="1:26" ht="15.75" thickTop="1" x14ac:dyDescent="0.25">
      <c r="A78" s="9"/>
      <c r="C78" s="9"/>
      <c r="D78" s="18"/>
      <c r="E78" s="18"/>
      <c r="G78" s="18"/>
      <c r="H78" s="18"/>
      <c r="I78" s="18"/>
      <c r="J78" s="43"/>
      <c r="K78" s="18"/>
      <c r="L78" s="18"/>
      <c r="M78" s="18"/>
      <c r="P78" s="18"/>
      <c r="Q78" s="18"/>
      <c r="R78" s="43"/>
      <c r="S78" s="18"/>
      <c r="T78" s="18"/>
      <c r="U78" s="18"/>
      <c r="V78" s="43"/>
      <c r="W78" s="18"/>
      <c r="X78" s="18"/>
    </row>
    <row r="79" spans="1:26" x14ac:dyDescent="0.25">
      <c r="A79" s="9"/>
      <c r="B79" s="56">
        <v>44151.572152048611</v>
      </c>
      <c r="D79" s="18"/>
      <c r="E79" s="18"/>
      <c r="G79" s="18"/>
      <c r="H79" s="18"/>
      <c r="I79" s="18"/>
      <c r="J79" s="43"/>
      <c r="K79" s="18"/>
      <c r="L79" s="18"/>
      <c r="M79" s="18"/>
      <c r="P79" s="18"/>
      <c r="Q79" s="18"/>
      <c r="R79" s="43"/>
      <c r="S79" s="18"/>
      <c r="T79" s="18"/>
      <c r="U79" s="18"/>
      <c r="V79" s="43"/>
      <c r="W79" s="18"/>
      <c r="X79" s="18"/>
    </row>
    <row r="80" spans="1:26" x14ac:dyDescent="0.25">
      <c r="A80" s="9"/>
      <c r="B80" s="62" t="s">
        <v>313</v>
      </c>
      <c r="D80" s="18"/>
      <c r="E80" s="18"/>
      <c r="G80" s="18"/>
      <c r="H80" s="18"/>
      <c r="I80" s="18"/>
      <c r="J80" s="43"/>
      <c r="K80" s="18"/>
      <c r="L80" s="18"/>
      <c r="M80" s="18"/>
      <c r="P80" s="18"/>
      <c r="Q80" s="18"/>
      <c r="R80" s="43"/>
      <c r="S80" s="18"/>
      <c r="T80" s="18"/>
      <c r="U80" s="18"/>
      <c r="V80" s="43"/>
      <c r="W80" s="18"/>
      <c r="X80" s="18"/>
    </row>
    <row r="81" spans="1:24" x14ac:dyDescent="0.25">
      <c r="A81" s="9"/>
      <c r="B81" s="54"/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  <row r="82" spans="1:24" x14ac:dyDescent="0.25">
      <c r="D82" s="18"/>
      <c r="E82" s="18"/>
      <c r="G82" s="18"/>
      <c r="H82" s="18"/>
      <c r="I82" s="18"/>
      <c r="J82" s="43"/>
      <c r="K82" s="18"/>
      <c r="L82" s="18"/>
      <c r="M82" s="18"/>
      <c r="P82" s="18"/>
      <c r="Q82" s="18"/>
      <c r="R82" s="43"/>
      <c r="S82" s="18"/>
      <c r="T82" s="18"/>
      <c r="U82" s="18"/>
      <c r="V82" s="43"/>
      <c r="W82" s="18"/>
      <c r="X82" s="18"/>
    </row>
  </sheetData>
  <pageMargins left="0.25" right="0.25" top="0.75" bottom="0.75" header="0.3" footer="0.3"/>
  <pageSetup scale="55" fitToWidth="2" orientation="landscape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",RIGHT(202104,2),", ",2021)</f>
        <v>Period 04,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44135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","202", " - ", "Accounting")</f>
        <v>Department 202 - Accounting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61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50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50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2"/>
      <c r="F10" s="31" t="s">
        <v>14</v>
      </c>
      <c r="G10" s="32"/>
      <c r="H10" s="49" t="s">
        <v>306</v>
      </c>
      <c r="I10" s="32"/>
      <c r="J10" s="31" t="s">
        <v>14</v>
      </c>
      <c r="K10" s="10"/>
      <c r="L10" s="42" t="s">
        <v>11</v>
      </c>
      <c r="M10" s="10"/>
      <c r="N10" s="31" t="s">
        <v>15</v>
      </c>
      <c r="O10" s="10"/>
      <c r="P10" s="59" t="s">
        <v>10</v>
      </c>
      <c r="Q10" s="32"/>
      <c r="R10" s="31" t="s">
        <v>14</v>
      </c>
      <c r="S10" s="32"/>
      <c r="T10" s="49" t="s">
        <v>306</v>
      </c>
      <c r="U10" s="32"/>
      <c r="V10" s="31" t="s">
        <v>14</v>
      </c>
      <c r="W10" s="10"/>
      <c r="X10" s="42" t="s">
        <v>11</v>
      </c>
      <c r="Y10" s="10"/>
      <c r="Z10" s="31" t="s">
        <v>15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6</v>
      </c>
      <c r="C16" s="25"/>
      <c r="D16" s="20">
        <f>D12-D14</f>
        <v>0</v>
      </c>
      <c r="E16" s="13"/>
      <c r="F16" s="21">
        <f>IF(D$12=0,0,D16/D$12)</f>
        <v>0</v>
      </c>
      <c r="G16" s="13"/>
      <c r="H16" s="20">
        <f>H12-H14</f>
        <v>0</v>
      </c>
      <c r="I16" s="13"/>
      <c r="J16" s="21">
        <f>IF(H$12=0,0,H16/H$12)</f>
        <v>0</v>
      </c>
      <c r="K16" s="15"/>
      <c r="L16" s="20">
        <f>+D16-H16</f>
        <v>0</v>
      </c>
      <c r="M16" s="15"/>
      <c r="N16" s="21">
        <f>IF(H16=0,0,L16/H16)</f>
        <v>0</v>
      </c>
      <c r="O16" s="26"/>
      <c r="P16" s="20">
        <f>P12-P14</f>
        <v>0</v>
      </c>
      <c r="Q16" s="13"/>
      <c r="R16" s="21">
        <f>IF(P$12=0,0,P16/P$12)</f>
        <v>0</v>
      </c>
      <c r="S16" s="13"/>
      <c r="T16" s="20">
        <f>T12-T14</f>
        <v>0</v>
      </c>
      <c r="U16" s="13"/>
      <c r="V16" s="21">
        <f>IF(T$12=0,0,T16/T$12)</f>
        <v>0</v>
      </c>
      <c r="W16" s="15"/>
      <c r="X16" s="20">
        <f>+P16-T16</f>
        <v>0</v>
      </c>
      <c r="Y16" s="15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9</v>
      </c>
      <c r="C18" s="10"/>
      <c r="D18" s="22">
        <f>SUM(OSRRefD22x_0)</f>
        <v>46110.25</v>
      </c>
      <c r="E18" s="22"/>
      <c r="F18" s="36">
        <f t="shared" ref="F18:F27" si="0">IF(D$12=0,0,D18/D$12)</f>
        <v>0</v>
      </c>
      <c r="G18" s="22"/>
      <c r="H18" s="22">
        <f>SUM(OSRRefH22x_0)</f>
        <v>64025.77</v>
      </c>
      <c r="I18" s="22"/>
      <c r="J18" s="36">
        <f t="shared" ref="J18:J27" si="1">IF(H$12=0,0,H18/H$12)</f>
        <v>0</v>
      </c>
      <c r="K18" s="4"/>
      <c r="L18" s="22">
        <f t="shared" ref="L18:L27" si="2">+D18-H18</f>
        <v>-17915.519999999997</v>
      </c>
      <c r="M18" s="4"/>
      <c r="N18" s="36">
        <f t="shared" ref="N18:N27" si="3">IF(H18=0,0,L18/H18)</f>
        <v>-0.27981732980329638</v>
      </c>
      <c r="O18" s="10"/>
      <c r="P18" s="22">
        <f>SUM(OSRRefP22x_0)</f>
        <v>156156.54000000004</v>
      </c>
      <c r="Q18" s="22"/>
      <c r="R18" s="36">
        <f t="shared" ref="R18:R27" si="4">IF(P$12=0,0,P18/P$12)</f>
        <v>0</v>
      </c>
      <c r="S18" s="22"/>
      <c r="T18" s="22">
        <f>SUM(OSRRefT22x_0)</f>
        <v>214294.67999999996</v>
      </c>
      <c r="U18" s="22"/>
      <c r="V18" s="36">
        <f t="shared" ref="V18:V27" si="5">IF(T$12=0,0,T18/T$12)</f>
        <v>0</v>
      </c>
      <c r="W18" s="4"/>
      <c r="X18" s="22">
        <f t="shared" ref="X18:X27" si="6">+P18-T18</f>
        <v>-58138.139999999927</v>
      </c>
      <c r="Y18" s="4"/>
      <c r="Z18" s="36">
        <f t="shared" ref="Z18:Z27" si="7">IF(T18=0,0,X18/T18)</f>
        <v>-0.27129996880930474</v>
      </c>
    </row>
    <row r="19" spans="1:26" s="29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16043.710000000001</v>
      </c>
      <c r="E19" s="1"/>
      <c r="F19" s="5">
        <f t="shared" si="0"/>
        <v>0</v>
      </c>
      <c r="G19" s="1"/>
      <c r="H19" s="1">
        <f>SUM(OSRRefH22_0x_0)</f>
        <v>20078.59</v>
      </c>
      <c r="I19" s="1"/>
      <c r="J19" s="5">
        <f t="shared" si="1"/>
        <v>0</v>
      </c>
      <c r="K19" s="1"/>
      <c r="L19" s="1">
        <f t="shared" si="2"/>
        <v>-4034.8799999999992</v>
      </c>
      <c r="M19" s="1"/>
      <c r="N19" s="5">
        <f t="shared" si="3"/>
        <v>-0.20095434988213809</v>
      </c>
      <c r="O19" s="14"/>
      <c r="P19" s="1">
        <f>SUM(OSRRefP22_0x_0)</f>
        <v>53540.729999999996</v>
      </c>
      <c r="Q19" s="1"/>
      <c r="R19" s="5">
        <f t="shared" si="4"/>
        <v>0</v>
      </c>
      <c r="S19" s="1"/>
      <c r="T19" s="1">
        <f>SUM(OSRRefT22_0x_0)</f>
        <v>66220.02</v>
      </c>
      <c r="U19" s="1"/>
      <c r="V19" s="5">
        <f t="shared" si="5"/>
        <v>0</v>
      </c>
      <c r="W19" s="1"/>
      <c r="X19" s="1">
        <f t="shared" si="6"/>
        <v>-12679.290000000008</v>
      </c>
      <c r="Y19" s="1"/>
      <c r="Z19" s="5">
        <f t="shared" si="7"/>
        <v>-0.19147215600357728</v>
      </c>
    </row>
    <row r="20" spans="1:26" s="24" customFormat="1" hidden="1" outlineLevel="2" x14ac:dyDescent="0.25">
      <c r="A20" s="28"/>
      <c r="B20" s="11" t="str">
        <f>CONCATENATE("          ", "6111", " - ", "F.I.C.A.")</f>
        <v xml:space="preserve">          6111 - F.I.C.A.</v>
      </c>
      <c r="C20" s="11"/>
      <c r="D20" s="6">
        <v>3655.26</v>
      </c>
      <c r="E20" s="2"/>
      <c r="F20" s="7">
        <f t="shared" si="0"/>
        <v>0</v>
      </c>
      <c r="G20" s="2"/>
      <c r="H20" s="6">
        <v>5148.4799999999996</v>
      </c>
      <c r="I20" s="2"/>
      <c r="J20" s="7">
        <f t="shared" si="1"/>
        <v>0</v>
      </c>
      <c r="K20" s="2"/>
      <c r="L20" s="6">
        <f t="shared" si="2"/>
        <v>-1493.2199999999993</v>
      </c>
      <c r="M20" s="2"/>
      <c r="N20" s="7">
        <f t="shared" si="3"/>
        <v>-0.29003123251911234</v>
      </c>
      <c r="O20" s="11"/>
      <c r="P20" s="6">
        <v>8538.33</v>
      </c>
      <c r="Q20" s="2"/>
      <c r="R20" s="7">
        <f t="shared" si="4"/>
        <v>0</v>
      </c>
      <c r="S20" s="2"/>
      <c r="T20" s="6">
        <v>11340.31</v>
      </c>
      <c r="U20" s="2"/>
      <c r="V20" s="7">
        <f t="shared" si="5"/>
        <v>0</v>
      </c>
      <c r="W20" s="2"/>
      <c r="X20" s="6">
        <f t="shared" si="6"/>
        <v>-2801.9799999999996</v>
      </c>
      <c r="Y20" s="2"/>
      <c r="Z20" s="7">
        <f t="shared" si="7"/>
        <v>-0.2470814289909182</v>
      </c>
    </row>
    <row r="21" spans="1:26" s="24" customFormat="1" hidden="1" outlineLevel="2" x14ac:dyDescent="0.25">
      <c r="A21" s="28"/>
      <c r="B21" s="11" t="str">
        <f>CONCATENATE("          ", "6112", " - ", "COMPENSATION INSURANCE")</f>
        <v xml:space="preserve">          6112 - COMPENSATION INSURANCE</v>
      </c>
      <c r="C21" s="11"/>
      <c r="D21" s="6">
        <v>70.040000000000006</v>
      </c>
      <c r="E21" s="2"/>
      <c r="F21" s="7">
        <f t="shared" si="0"/>
        <v>0</v>
      </c>
      <c r="G21" s="2"/>
      <c r="H21" s="6">
        <v>13.32</v>
      </c>
      <c r="I21" s="2"/>
      <c r="J21" s="7">
        <f t="shared" si="1"/>
        <v>0</v>
      </c>
      <c r="K21" s="2"/>
      <c r="L21" s="6">
        <f t="shared" si="2"/>
        <v>56.720000000000006</v>
      </c>
      <c r="M21" s="2"/>
      <c r="N21" s="7">
        <f t="shared" si="3"/>
        <v>4.2582582582582589</v>
      </c>
      <c r="O21" s="11"/>
      <c r="P21" s="6">
        <v>280.10000000000002</v>
      </c>
      <c r="Q21" s="2"/>
      <c r="R21" s="7">
        <f t="shared" si="4"/>
        <v>0</v>
      </c>
      <c r="S21" s="2"/>
      <c r="T21" s="6">
        <v>315.63</v>
      </c>
      <c r="U21" s="2"/>
      <c r="V21" s="7">
        <f t="shared" si="5"/>
        <v>0</v>
      </c>
      <c r="W21" s="2"/>
      <c r="X21" s="6">
        <f t="shared" si="6"/>
        <v>-35.529999999999973</v>
      </c>
      <c r="Y21" s="2"/>
      <c r="Z21" s="7">
        <f t="shared" si="7"/>
        <v>-0.11256851376611847</v>
      </c>
    </row>
    <row r="22" spans="1:26" s="24" customFormat="1" hidden="1" outlineLevel="2" x14ac:dyDescent="0.25">
      <c r="A22" s="28"/>
      <c r="B22" s="11" t="str">
        <f>CONCATENATE("          ", "6113", " - ", "GROUP INSURANCE")</f>
        <v xml:space="preserve">          6113 - GROUP INSURANCE</v>
      </c>
      <c r="C22" s="11"/>
      <c r="D22" s="6">
        <v>6246.72</v>
      </c>
      <c r="E22" s="2"/>
      <c r="F22" s="7">
        <f t="shared" si="0"/>
        <v>0</v>
      </c>
      <c r="G22" s="2"/>
      <c r="H22" s="6">
        <v>5942.02</v>
      </c>
      <c r="I22" s="2"/>
      <c r="J22" s="7">
        <f t="shared" si="1"/>
        <v>0</v>
      </c>
      <c r="K22" s="2"/>
      <c r="L22" s="6">
        <f t="shared" si="2"/>
        <v>304.69999999999982</v>
      </c>
      <c r="M22" s="2"/>
      <c r="N22" s="7">
        <f t="shared" si="3"/>
        <v>5.1278858031443816E-2</v>
      </c>
      <c r="O22" s="11"/>
      <c r="P22" s="6">
        <v>22947.84</v>
      </c>
      <c r="Q22" s="2"/>
      <c r="R22" s="7">
        <f t="shared" si="4"/>
        <v>0</v>
      </c>
      <c r="S22" s="2"/>
      <c r="T22" s="6">
        <v>23768.080000000002</v>
      </c>
      <c r="U22" s="2"/>
      <c r="V22" s="7">
        <f t="shared" si="5"/>
        <v>0</v>
      </c>
      <c r="W22" s="2"/>
      <c r="X22" s="6">
        <f t="shared" si="6"/>
        <v>-820.2400000000016</v>
      </c>
      <c r="Y22" s="2"/>
      <c r="Z22" s="7">
        <f t="shared" si="7"/>
        <v>-3.4510149747055782E-2</v>
      </c>
    </row>
    <row r="23" spans="1:26" s="24" customFormat="1" hidden="1" outlineLevel="2" x14ac:dyDescent="0.25">
      <c r="A23" s="28"/>
      <c r="B23" s="11" t="str">
        <f>CONCATENATE("          ", "6114", " - ", "STATE UNEMPLOYMENT INSURANCE")</f>
        <v xml:space="preserve">          6114 - STATE UNEMPLOYMENT INSURANCE</v>
      </c>
      <c r="C23" s="11"/>
      <c r="D23" s="6">
        <v>55.18</v>
      </c>
      <c r="E23" s="2"/>
      <c r="F23" s="7">
        <f t="shared" si="0"/>
        <v>0</v>
      </c>
      <c r="G23" s="2"/>
      <c r="H23" s="6">
        <v>150.94999999999999</v>
      </c>
      <c r="I23" s="2"/>
      <c r="J23" s="7">
        <f t="shared" si="1"/>
        <v>0</v>
      </c>
      <c r="K23" s="2"/>
      <c r="L23" s="6">
        <f t="shared" si="2"/>
        <v>-95.769999999999982</v>
      </c>
      <c r="M23" s="2"/>
      <c r="N23" s="7">
        <f t="shared" si="3"/>
        <v>-0.63444849287843652</v>
      </c>
      <c r="O23" s="11"/>
      <c r="P23" s="6">
        <v>220.67</v>
      </c>
      <c r="Q23" s="2"/>
      <c r="R23" s="7">
        <f t="shared" si="4"/>
        <v>0</v>
      </c>
      <c r="S23" s="2"/>
      <c r="T23" s="6">
        <v>382.12</v>
      </c>
      <c r="U23" s="2"/>
      <c r="V23" s="7">
        <f t="shared" si="5"/>
        <v>0</v>
      </c>
      <c r="W23" s="2"/>
      <c r="X23" s="6">
        <f t="shared" si="6"/>
        <v>-161.45000000000002</v>
      </c>
      <c r="Y23" s="2"/>
      <c r="Z23" s="7">
        <f t="shared" si="7"/>
        <v>-0.42251125300952586</v>
      </c>
    </row>
    <row r="24" spans="1:26" s="24" customFormat="1" hidden="1" outlineLevel="2" x14ac:dyDescent="0.25">
      <c r="A24" s="28"/>
      <c r="B24" s="11" t="str">
        <f>CONCATENATE("          ", "6115", " - ", "P.E.R.S.")</f>
        <v xml:space="preserve">          6115 - P.E.R.S.</v>
      </c>
      <c r="C24" s="11"/>
      <c r="D24" s="6">
        <v>1978.76</v>
      </c>
      <c r="E24" s="2"/>
      <c r="F24" s="7">
        <f t="shared" si="0"/>
        <v>0</v>
      </c>
      <c r="G24" s="2"/>
      <c r="H24" s="6">
        <v>3424.58</v>
      </c>
      <c r="I24" s="2"/>
      <c r="J24" s="7">
        <f t="shared" si="1"/>
        <v>0</v>
      </c>
      <c r="K24" s="2"/>
      <c r="L24" s="6">
        <f t="shared" si="2"/>
        <v>-1445.82</v>
      </c>
      <c r="M24" s="2"/>
      <c r="N24" s="7">
        <f t="shared" si="3"/>
        <v>-0.42218899835892282</v>
      </c>
      <c r="O24" s="11"/>
      <c r="P24" s="6">
        <v>8904.43</v>
      </c>
      <c r="Q24" s="2"/>
      <c r="R24" s="7">
        <f t="shared" si="4"/>
        <v>0</v>
      </c>
      <c r="S24" s="2"/>
      <c r="T24" s="6">
        <v>10014.950000000001</v>
      </c>
      <c r="U24" s="2"/>
      <c r="V24" s="7">
        <f t="shared" si="5"/>
        <v>0</v>
      </c>
      <c r="W24" s="2"/>
      <c r="X24" s="6">
        <f t="shared" si="6"/>
        <v>-1110.5200000000004</v>
      </c>
      <c r="Y24" s="2"/>
      <c r="Z24" s="7">
        <f t="shared" si="7"/>
        <v>-0.11088622509348528</v>
      </c>
    </row>
    <row r="25" spans="1:26" s="24" customFormat="1" hidden="1" outlineLevel="2" x14ac:dyDescent="0.25">
      <c r="A25" s="28"/>
      <c r="B25" s="11" t="str">
        <f>CONCATENATE("          ", "6118", " - ", "VACATION")</f>
        <v xml:space="preserve">          6118 - VACATION</v>
      </c>
      <c r="C25" s="11"/>
      <c r="D25" s="6">
        <v>2300.4699999999998</v>
      </c>
      <c r="E25" s="2"/>
      <c r="F25" s="7">
        <f t="shared" si="0"/>
        <v>0</v>
      </c>
      <c r="G25" s="2"/>
      <c r="H25" s="6">
        <v>2800.14</v>
      </c>
      <c r="I25" s="2"/>
      <c r="J25" s="7">
        <f t="shared" si="1"/>
        <v>0</v>
      </c>
      <c r="K25" s="2"/>
      <c r="L25" s="6">
        <f t="shared" si="2"/>
        <v>-499.67000000000007</v>
      </c>
      <c r="M25" s="2"/>
      <c r="N25" s="7">
        <f t="shared" si="3"/>
        <v>-0.17844464919611167</v>
      </c>
      <c r="O25" s="11"/>
      <c r="P25" s="6">
        <v>6978.79</v>
      </c>
      <c r="Q25" s="2"/>
      <c r="R25" s="7">
        <f t="shared" si="4"/>
        <v>0</v>
      </c>
      <c r="S25" s="2"/>
      <c r="T25" s="6">
        <v>9274.84</v>
      </c>
      <c r="U25" s="2"/>
      <c r="V25" s="7">
        <f t="shared" si="5"/>
        <v>0</v>
      </c>
      <c r="W25" s="2"/>
      <c r="X25" s="6">
        <f t="shared" si="6"/>
        <v>-2296.0500000000002</v>
      </c>
      <c r="Y25" s="2"/>
      <c r="Z25" s="7">
        <f t="shared" si="7"/>
        <v>-0.24755683116905522</v>
      </c>
    </row>
    <row r="26" spans="1:26" s="24" customFormat="1" hidden="1" outlineLevel="2" x14ac:dyDescent="0.25">
      <c r="A26" s="28"/>
      <c r="B26" s="11" t="str">
        <f>CONCATENATE("          ", "6119", " - ", "SICK LEAVE")</f>
        <v xml:space="preserve">          6119 - SICK LEAVE</v>
      </c>
      <c r="C26" s="11"/>
      <c r="D26" s="6">
        <v>1469.13</v>
      </c>
      <c r="E26" s="2"/>
      <c r="F26" s="7">
        <f t="shared" si="0"/>
        <v>0</v>
      </c>
      <c r="G26" s="2"/>
      <c r="H26" s="6">
        <v>1728.3</v>
      </c>
      <c r="I26" s="2"/>
      <c r="J26" s="7">
        <f t="shared" si="1"/>
        <v>0</v>
      </c>
      <c r="K26" s="2"/>
      <c r="L26" s="6">
        <f t="shared" si="2"/>
        <v>-259.16999999999985</v>
      </c>
      <c r="M26" s="2"/>
      <c r="N26" s="7">
        <f t="shared" si="3"/>
        <v>-0.14995660475611863</v>
      </c>
      <c r="O26" s="11"/>
      <c r="P26" s="6">
        <v>4407.3900000000003</v>
      </c>
      <c r="Q26" s="2"/>
      <c r="R26" s="7">
        <f t="shared" si="4"/>
        <v>0</v>
      </c>
      <c r="S26" s="2"/>
      <c r="T26" s="6">
        <v>7967.61</v>
      </c>
      <c r="U26" s="2"/>
      <c r="V26" s="7">
        <f t="shared" si="5"/>
        <v>0</v>
      </c>
      <c r="W26" s="2"/>
      <c r="X26" s="6">
        <f t="shared" si="6"/>
        <v>-3560.2199999999993</v>
      </c>
      <c r="Y26" s="2"/>
      <c r="Z26" s="7">
        <f t="shared" si="7"/>
        <v>-0.44683662980492261</v>
      </c>
    </row>
    <row r="27" spans="1:26" s="24" customFormat="1" hidden="1" outlineLevel="2" x14ac:dyDescent="0.25">
      <c r="A27" s="28"/>
      <c r="B27" s="11" t="str">
        <f>CONCATENATE("          ", "6156", " - ", "EMPLOYEE MEALS")</f>
        <v xml:space="preserve">          6156 - EMPLOYEE MEALS</v>
      </c>
      <c r="C27" s="11"/>
      <c r="D27" s="6">
        <v>268.14999999999998</v>
      </c>
      <c r="E27" s="2"/>
      <c r="F27" s="7">
        <f t="shared" si="0"/>
        <v>0</v>
      </c>
      <c r="G27" s="2"/>
      <c r="H27" s="6">
        <v>870.8</v>
      </c>
      <c r="I27" s="2"/>
      <c r="J27" s="7">
        <f t="shared" si="1"/>
        <v>0</v>
      </c>
      <c r="K27" s="2"/>
      <c r="L27" s="6">
        <f t="shared" si="2"/>
        <v>-602.65</v>
      </c>
      <c r="M27" s="2"/>
      <c r="N27" s="7">
        <f t="shared" si="3"/>
        <v>-0.69206476802939831</v>
      </c>
      <c r="O27" s="11"/>
      <c r="P27" s="6">
        <v>1263.18</v>
      </c>
      <c r="Q27" s="2"/>
      <c r="R27" s="7">
        <f t="shared" si="4"/>
        <v>0</v>
      </c>
      <c r="S27" s="2"/>
      <c r="T27" s="6">
        <v>3156.48</v>
      </c>
      <c r="U27" s="2"/>
      <c r="V27" s="7">
        <f t="shared" si="5"/>
        <v>0</v>
      </c>
      <c r="W27" s="2"/>
      <c r="X27" s="6">
        <f t="shared" si="6"/>
        <v>-1893.3</v>
      </c>
      <c r="Y27" s="2"/>
      <c r="Z27" s="7">
        <f t="shared" si="7"/>
        <v>-0.59981371654501214</v>
      </c>
    </row>
    <row r="28" spans="1:26" s="29" customFormat="1" outlineLevel="1" collapsed="1" x14ac:dyDescent="0.25">
      <c r="A28" s="27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SUM(OSRRefD22_1x_0)</f>
        <v>26165.710000000003</v>
      </c>
      <c r="E28" s="1"/>
      <c r="F28" s="5">
        <f t="shared" ref="F28:F32" si="8">IF(D$12=0,0,D28/D$12)</f>
        <v>0</v>
      </c>
      <c r="G28" s="1"/>
      <c r="H28" s="1">
        <f>SUM(OSRRefH22_1x_0)</f>
        <v>37140.97</v>
      </c>
      <c r="I28" s="1"/>
      <c r="J28" s="5">
        <f t="shared" ref="J28:J32" si="9">IF(H$12=0,0,H28/H$12)</f>
        <v>0</v>
      </c>
      <c r="K28" s="1"/>
      <c r="L28" s="1">
        <f t="shared" ref="L28:L32" si="10">+D28-H28</f>
        <v>-10975.259999999998</v>
      </c>
      <c r="M28" s="1"/>
      <c r="N28" s="5">
        <f t="shared" ref="N28:N32" si="11">IF(H28=0,0,L28/H28)</f>
        <v>-0.29550278304524619</v>
      </c>
      <c r="O28" s="14"/>
      <c r="P28" s="1">
        <f>SUM(OSRRefP22_1x_0)</f>
        <v>89472.79</v>
      </c>
      <c r="Q28" s="1"/>
      <c r="R28" s="5">
        <f t="shared" ref="R28:R32" si="12">IF(P$12=0,0,P28/P$12)</f>
        <v>0</v>
      </c>
      <c r="S28" s="1"/>
      <c r="T28" s="1">
        <f>SUM(OSRRefT22_1x_0)</f>
        <v>128283.28</v>
      </c>
      <c r="U28" s="1"/>
      <c r="V28" s="5">
        <f t="shared" ref="V28:V32" si="13">IF(T$12=0,0,T28/T$12)</f>
        <v>0</v>
      </c>
      <c r="W28" s="1"/>
      <c r="X28" s="1">
        <f t="shared" ref="X28:X32" si="14">+P28-T28</f>
        <v>-38810.490000000005</v>
      </c>
      <c r="Y28" s="1"/>
      <c r="Z28" s="5">
        <f t="shared" ref="Z28:Z32" si="15">IF(T28=0,0,X28/T28)</f>
        <v>-0.30253740004153312</v>
      </c>
    </row>
    <row r="29" spans="1:26" s="24" customFormat="1" hidden="1" outlineLevel="2" x14ac:dyDescent="0.25">
      <c r="A29" s="28"/>
      <c r="B29" s="11" t="str">
        <f>CONCATENATE("          ", "6002", " - ", "STAFF SALARIES")</f>
        <v xml:space="preserve">          6002 - STAFF SALARIES</v>
      </c>
      <c r="C29" s="11"/>
      <c r="D29" s="6">
        <v>26031.72</v>
      </c>
      <c r="E29" s="2"/>
      <c r="F29" s="7">
        <f t="shared" si="8"/>
        <v>0</v>
      </c>
      <c r="G29" s="2"/>
      <c r="H29" s="6">
        <v>28399.25</v>
      </c>
      <c r="I29" s="2"/>
      <c r="J29" s="7">
        <f t="shared" si="9"/>
        <v>0</v>
      </c>
      <c r="K29" s="2"/>
      <c r="L29" s="6">
        <f t="shared" si="10"/>
        <v>-2367.5299999999988</v>
      </c>
      <c r="M29" s="2"/>
      <c r="N29" s="7">
        <f t="shared" si="11"/>
        <v>-8.3365933959523533E-2</v>
      </c>
      <c r="O29" s="11"/>
      <c r="P29" s="6">
        <v>89091.03</v>
      </c>
      <c r="Q29" s="2"/>
      <c r="R29" s="7">
        <f t="shared" si="12"/>
        <v>0</v>
      </c>
      <c r="S29" s="2"/>
      <c r="T29" s="6">
        <v>103457.35</v>
      </c>
      <c r="U29" s="2"/>
      <c r="V29" s="7">
        <f t="shared" si="13"/>
        <v>0</v>
      </c>
      <c r="W29" s="2"/>
      <c r="X29" s="6">
        <f t="shared" si="14"/>
        <v>-14366.320000000007</v>
      </c>
      <c r="Y29" s="2"/>
      <c r="Z29" s="7">
        <f t="shared" si="15"/>
        <v>-0.13886224613331008</v>
      </c>
    </row>
    <row r="30" spans="1:26" s="24" customFormat="1" hidden="1" outlineLevel="2" x14ac:dyDescent="0.25">
      <c r="A30" s="28"/>
      <c r="B30" s="11" t="str">
        <f>CONCATENATE("          ", "6005", " - ", "TEMPORARY WAGES-HOURLY")</f>
        <v xml:space="preserve">          6005 - TEMPORARY WAGES-HOURLY</v>
      </c>
      <c r="C30" s="11"/>
      <c r="D30" s="6">
        <v>175.99</v>
      </c>
      <c r="E30" s="2"/>
      <c r="F30" s="7">
        <f t="shared" si="8"/>
        <v>0</v>
      </c>
      <c r="G30" s="2"/>
      <c r="H30" s="6">
        <v>3564.97</v>
      </c>
      <c r="I30" s="2"/>
      <c r="J30" s="7">
        <f t="shared" si="9"/>
        <v>0</v>
      </c>
      <c r="K30" s="2"/>
      <c r="L30" s="6">
        <f t="shared" si="10"/>
        <v>-3388.9799999999996</v>
      </c>
      <c r="M30" s="2"/>
      <c r="N30" s="7">
        <f t="shared" si="11"/>
        <v>-0.95063352566781756</v>
      </c>
      <c r="O30" s="11"/>
      <c r="P30" s="6">
        <v>265.48</v>
      </c>
      <c r="Q30" s="2"/>
      <c r="R30" s="7">
        <f t="shared" si="12"/>
        <v>0</v>
      </c>
      <c r="S30" s="2"/>
      <c r="T30" s="6">
        <v>10238.68</v>
      </c>
      <c r="U30" s="2"/>
      <c r="V30" s="7">
        <f t="shared" si="13"/>
        <v>0</v>
      </c>
      <c r="W30" s="2"/>
      <c r="X30" s="6">
        <f t="shared" si="14"/>
        <v>-9973.2000000000007</v>
      </c>
      <c r="Y30" s="2"/>
      <c r="Z30" s="7">
        <f t="shared" si="15"/>
        <v>-0.97407087632390121</v>
      </c>
    </row>
    <row r="31" spans="1:26" s="24" customFormat="1" hidden="1" outlineLevel="2" x14ac:dyDescent="0.25">
      <c r="A31" s="28"/>
      <c r="B31" s="11" t="str">
        <f>CONCATENATE("          ", "6007", " - ", "STUDENT HOURLY")</f>
        <v xml:space="preserve">          6007 - STUDENT HOURLY</v>
      </c>
      <c r="C31" s="11"/>
      <c r="D31" s="6">
        <v>-42</v>
      </c>
      <c r="E31" s="2"/>
      <c r="F31" s="7">
        <f t="shared" si="8"/>
        <v>0</v>
      </c>
      <c r="G31" s="2"/>
      <c r="H31" s="6">
        <v>4351.75</v>
      </c>
      <c r="I31" s="2"/>
      <c r="J31" s="7">
        <f t="shared" si="9"/>
        <v>0</v>
      </c>
      <c r="K31" s="2"/>
      <c r="L31" s="6">
        <f t="shared" si="10"/>
        <v>-4393.75</v>
      </c>
      <c r="M31" s="2"/>
      <c r="N31" s="7">
        <f t="shared" si="11"/>
        <v>-1.0096512897110357</v>
      </c>
      <c r="O31" s="11"/>
      <c r="P31" s="6">
        <v>116.28</v>
      </c>
      <c r="Q31" s="2"/>
      <c r="R31" s="7">
        <f t="shared" si="12"/>
        <v>0</v>
      </c>
      <c r="S31" s="2"/>
      <c r="T31" s="6">
        <v>12562.25</v>
      </c>
      <c r="U31" s="2"/>
      <c r="V31" s="7">
        <f t="shared" si="13"/>
        <v>0</v>
      </c>
      <c r="W31" s="2"/>
      <c r="X31" s="6">
        <f t="shared" si="14"/>
        <v>-12445.97</v>
      </c>
      <c r="Y31" s="2"/>
      <c r="Z31" s="7">
        <f t="shared" si="15"/>
        <v>-0.99074369639196791</v>
      </c>
    </row>
    <row r="32" spans="1:26" s="24" customFormat="1" hidden="1" outlineLevel="2" x14ac:dyDescent="0.25">
      <c r="A32" s="28"/>
      <c r="B32" s="11" t="str">
        <f>CONCATENATE("          ", "6008", " - ", "STUDENT HOURLY-FICA EXEMPT")</f>
        <v xml:space="preserve">          6008 - STUDENT HOURLY-FICA EXEMPT</v>
      </c>
      <c r="C32" s="11"/>
      <c r="D32" s="6"/>
      <c r="E32" s="2"/>
      <c r="F32" s="7">
        <f t="shared" si="8"/>
        <v>0</v>
      </c>
      <c r="G32" s="2"/>
      <c r="H32" s="6">
        <v>825</v>
      </c>
      <c r="I32" s="2"/>
      <c r="J32" s="7">
        <f t="shared" si="9"/>
        <v>0</v>
      </c>
      <c r="K32" s="2"/>
      <c r="L32" s="6">
        <f t="shared" si="10"/>
        <v>-825</v>
      </c>
      <c r="M32" s="2"/>
      <c r="N32" s="7">
        <f t="shared" si="11"/>
        <v>-1</v>
      </c>
      <c r="O32" s="11"/>
      <c r="P32" s="6"/>
      <c r="Q32" s="2"/>
      <c r="R32" s="7">
        <f t="shared" si="12"/>
        <v>0</v>
      </c>
      <c r="S32" s="2"/>
      <c r="T32" s="6">
        <v>2025</v>
      </c>
      <c r="U32" s="2"/>
      <c r="V32" s="7">
        <f t="shared" si="13"/>
        <v>0</v>
      </c>
      <c r="W32" s="2"/>
      <c r="X32" s="6">
        <f t="shared" si="14"/>
        <v>-2025</v>
      </c>
      <c r="Y32" s="2"/>
      <c r="Z32" s="7">
        <f t="shared" si="15"/>
        <v>-1</v>
      </c>
    </row>
    <row r="33" spans="1:26" s="29" customFormat="1" outlineLevel="1" collapsed="1" x14ac:dyDescent="0.25">
      <c r="A33" s="27"/>
      <c r="B33" s="14" t="str">
        <f>CONCATENATE("     ","Depreciation                                      ")</f>
        <v xml:space="preserve">     Depreciation                                      </v>
      </c>
      <c r="C33" s="14"/>
      <c r="D33" s="1">
        <f>SUM(OSRRefD22_2x_0)</f>
        <v>1558.88</v>
      </c>
      <c r="E33" s="1"/>
      <c r="F33" s="5">
        <f t="shared" ref="F33:F39" si="16">IF(D$12=0,0,D33/D$12)</f>
        <v>0</v>
      </c>
      <c r="G33" s="1"/>
      <c r="H33" s="1">
        <f>SUM(OSRRefH22_2x_0)</f>
        <v>1558.88</v>
      </c>
      <c r="I33" s="1"/>
      <c r="J33" s="5">
        <f t="shared" ref="J33:J39" si="17">IF(H$12=0,0,H33/H$12)</f>
        <v>0</v>
      </c>
      <c r="K33" s="1"/>
      <c r="L33" s="1">
        <f t="shared" ref="L33:L39" si="18">+D33-H33</f>
        <v>0</v>
      </c>
      <c r="M33" s="1"/>
      <c r="N33" s="5">
        <f t="shared" ref="N33:N39" si="19">IF(H33=0,0,L33/H33)</f>
        <v>0</v>
      </c>
      <c r="O33" s="14"/>
      <c r="P33" s="1">
        <f>SUM(OSRRefP22_2x_0)</f>
        <v>6235.52</v>
      </c>
      <c r="Q33" s="1"/>
      <c r="R33" s="5">
        <f t="shared" ref="R33:R39" si="20">IF(P$12=0,0,P33/P$12)</f>
        <v>0</v>
      </c>
      <c r="S33" s="1"/>
      <c r="T33" s="1">
        <f>SUM(OSRRefT22_2x_0)</f>
        <v>6235.52</v>
      </c>
      <c r="U33" s="1"/>
      <c r="V33" s="5">
        <f t="shared" ref="V33:V39" si="21">IF(T$12=0,0,T33/T$12)</f>
        <v>0</v>
      </c>
      <c r="W33" s="1"/>
      <c r="X33" s="1">
        <f t="shared" ref="X33:X39" si="22">+P33-T33</f>
        <v>0</v>
      </c>
      <c r="Y33" s="1"/>
      <c r="Z33" s="5">
        <f t="shared" ref="Z33:Z39" si="23">IF(T33=0,0,X33/T33)</f>
        <v>0</v>
      </c>
    </row>
    <row r="34" spans="1:26" s="24" customFormat="1" hidden="1" outlineLevel="2" x14ac:dyDescent="0.25">
      <c r="A34" s="28"/>
      <c r="B34" s="11" t="str">
        <f>CONCATENATE("          ", "6322", " - ", "EQUIPMENT DEPRECIATION EXPENSE")</f>
        <v xml:space="preserve">          6322 - EQUIPMENT DEPRECIATION EXPENSE</v>
      </c>
      <c r="C34" s="11"/>
      <c r="D34" s="6">
        <v>1558.88</v>
      </c>
      <c r="E34" s="2"/>
      <c r="F34" s="7">
        <f t="shared" si="16"/>
        <v>0</v>
      </c>
      <c r="G34" s="2"/>
      <c r="H34" s="6">
        <v>1558.88</v>
      </c>
      <c r="I34" s="2"/>
      <c r="J34" s="7">
        <f t="shared" si="17"/>
        <v>0</v>
      </c>
      <c r="K34" s="2"/>
      <c r="L34" s="6">
        <f t="shared" si="18"/>
        <v>0</v>
      </c>
      <c r="M34" s="2"/>
      <c r="N34" s="7">
        <f t="shared" si="19"/>
        <v>0</v>
      </c>
      <c r="O34" s="11"/>
      <c r="P34" s="6">
        <v>6235.52</v>
      </c>
      <c r="Q34" s="2"/>
      <c r="R34" s="7">
        <f t="shared" si="20"/>
        <v>0</v>
      </c>
      <c r="S34" s="2"/>
      <c r="T34" s="6">
        <v>6235.52</v>
      </c>
      <c r="U34" s="2"/>
      <c r="V34" s="7">
        <f t="shared" si="21"/>
        <v>0</v>
      </c>
      <c r="W34" s="2"/>
      <c r="X34" s="6">
        <f t="shared" si="22"/>
        <v>0</v>
      </c>
      <c r="Y34" s="2"/>
      <c r="Z34" s="7">
        <f t="shared" si="23"/>
        <v>0</v>
      </c>
    </row>
    <row r="35" spans="1:26" s="29" customFormat="1" outlineLevel="1" collapsed="1" x14ac:dyDescent="0.25">
      <c r="A35" s="27"/>
      <c r="B35" s="14" t="str">
        <f>CONCATENATE("     ","Equipment Rental                                  ")</f>
        <v xml:space="preserve">     Equipment Rental                                  </v>
      </c>
      <c r="C35" s="14"/>
      <c r="D35" s="1">
        <f>SUM(OSRRefD22_3x_0)</f>
        <v>91.26</v>
      </c>
      <c r="E35" s="1"/>
      <c r="F35" s="5">
        <f t="shared" si="16"/>
        <v>0</v>
      </c>
      <c r="G35" s="1"/>
      <c r="H35" s="1">
        <f>SUM(OSRRefH22_3x_0)</f>
        <v>182.52</v>
      </c>
      <c r="I35" s="1"/>
      <c r="J35" s="5">
        <f t="shared" si="17"/>
        <v>0</v>
      </c>
      <c r="K35" s="1"/>
      <c r="L35" s="1">
        <f t="shared" si="18"/>
        <v>-91.26</v>
      </c>
      <c r="M35" s="1"/>
      <c r="N35" s="5">
        <f t="shared" si="19"/>
        <v>-0.5</v>
      </c>
      <c r="O35" s="14"/>
      <c r="P35" s="1">
        <f>SUM(OSRRefP22_3x_0)</f>
        <v>365.04</v>
      </c>
      <c r="Q35" s="1"/>
      <c r="R35" s="5">
        <f t="shared" si="20"/>
        <v>0</v>
      </c>
      <c r="S35" s="1"/>
      <c r="T35" s="1">
        <f>SUM(OSRRefT22_3x_0)</f>
        <v>456.3</v>
      </c>
      <c r="U35" s="1"/>
      <c r="V35" s="5">
        <f t="shared" si="21"/>
        <v>0</v>
      </c>
      <c r="W35" s="1"/>
      <c r="X35" s="1">
        <f t="shared" si="22"/>
        <v>-91.259999999999991</v>
      </c>
      <c r="Y35" s="1"/>
      <c r="Z35" s="5">
        <f t="shared" si="23"/>
        <v>-0.19999999999999998</v>
      </c>
    </row>
    <row r="36" spans="1:26" s="24" customFormat="1" hidden="1" outlineLevel="2" x14ac:dyDescent="0.25">
      <c r="A36" s="28"/>
      <c r="B36" s="11" t="str">
        <f>CONCATENATE("          ", "6351", " - ", "EQUIPMENT RENTAL")</f>
        <v xml:space="preserve">          6351 - EQUIPMENT RENTAL</v>
      </c>
      <c r="C36" s="11"/>
      <c r="D36" s="6">
        <v>91.26</v>
      </c>
      <c r="E36" s="2"/>
      <c r="F36" s="7">
        <f t="shared" si="16"/>
        <v>0</v>
      </c>
      <c r="G36" s="2"/>
      <c r="H36" s="6">
        <v>182.52</v>
      </c>
      <c r="I36" s="2"/>
      <c r="J36" s="7">
        <f t="shared" si="17"/>
        <v>0</v>
      </c>
      <c r="K36" s="2"/>
      <c r="L36" s="6">
        <f t="shared" si="18"/>
        <v>-91.26</v>
      </c>
      <c r="M36" s="2"/>
      <c r="N36" s="7">
        <f t="shared" si="19"/>
        <v>-0.5</v>
      </c>
      <c r="O36" s="11"/>
      <c r="P36" s="6">
        <v>365.04</v>
      </c>
      <c r="Q36" s="2"/>
      <c r="R36" s="7">
        <f t="shared" si="20"/>
        <v>0</v>
      </c>
      <c r="S36" s="2"/>
      <c r="T36" s="6">
        <v>456.3</v>
      </c>
      <c r="U36" s="2"/>
      <c r="V36" s="7">
        <f t="shared" si="21"/>
        <v>0</v>
      </c>
      <c r="W36" s="2"/>
      <c r="X36" s="6">
        <f t="shared" si="22"/>
        <v>-91.259999999999991</v>
      </c>
      <c r="Y36" s="2"/>
      <c r="Z36" s="7">
        <f t="shared" si="23"/>
        <v>-0.19999999999999998</v>
      </c>
    </row>
    <row r="37" spans="1:26" s="29" customFormat="1" outlineLevel="1" collapsed="1" x14ac:dyDescent="0.25">
      <c r="A37" s="27"/>
      <c r="B37" s="14" t="str">
        <f>CONCATENATE("     ","Freight out/Postage                               ")</f>
        <v xml:space="preserve">     Freight out/Postage                               </v>
      </c>
      <c r="C37" s="14"/>
      <c r="D37" s="1">
        <f>SUM(OSRRefD22_4x_0)</f>
        <v>137.5</v>
      </c>
      <c r="E37" s="1"/>
      <c r="F37" s="5">
        <f t="shared" si="16"/>
        <v>0</v>
      </c>
      <c r="G37" s="1"/>
      <c r="H37" s="1">
        <f>SUM(OSRRefH22_4x_0)</f>
        <v>141.15</v>
      </c>
      <c r="I37" s="1"/>
      <c r="J37" s="5">
        <f t="shared" si="17"/>
        <v>0</v>
      </c>
      <c r="K37" s="1"/>
      <c r="L37" s="1">
        <f t="shared" si="18"/>
        <v>-3.6500000000000057</v>
      </c>
      <c r="M37" s="1"/>
      <c r="N37" s="5">
        <f t="shared" si="19"/>
        <v>-2.5859015232022709E-2</v>
      </c>
      <c r="O37" s="14"/>
      <c r="P37" s="1">
        <f>SUM(OSRRefP22_4x_0)</f>
        <v>459.86</v>
      </c>
      <c r="Q37" s="1"/>
      <c r="R37" s="5">
        <f t="shared" si="20"/>
        <v>0</v>
      </c>
      <c r="S37" s="1"/>
      <c r="T37" s="1">
        <f>SUM(OSRRefT22_4x_0)</f>
        <v>539.15</v>
      </c>
      <c r="U37" s="1"/>
      <c r="V37" s="5">
        <f t="shared" si="21"/>
        <v>0</v>
      </c>
      <c r="W37" s="1"/>
      <c r="X37" s="1">
        <f t="shared" si="22"/>
        <v>-79.289999999999964</v>
      </c>
      <c r="Y37" s="1"/>
      <c r="Z37" s="5">
        <f t="shared" si="23"/>
        <v>-0.14706482426040984</v>
      </c>
    </row>
    <row r="38" spans="1:26" s="24" customFormat="1" hidden="1" outlineLevel="2" x14ac:dyDescent="0.25">
      <c r="A38" s="28"/>
      <c r="B38" s="11" t="str">
        <f>CONCATENATE("          ", "6305", " - ", "FREIGHT OUT")</f>
        <v xml:space="preserve">          6305 - FREIGHT OUT</v>
      </c>
      <c r="C38" s="11"/>
      <c r="D38" s="6"/>
      <c r="E38" s="2"/>
      <c r="F38" s="7">
        <f t="shared" si="16"/>
        <v>0</v>
      </c>
      <c r="G38" s="2"/>
      <c r="H38" s="6"/>
      <c r="I38" s="2"/>
      <c r="J38" s="7">
        <f t="shared" si="17"/>
        <v>0</v>
      </c>
      <c r="K38" s="2"/>
      <c r="L38" s="6">
        <f t="shared" si="18"/>
        <v>0</v>
      </c>
      <c r="M38" s="2"/>
      <c r="N38" s="7">
        <f t="shared" si="19"/>
        <v>0</v>
      </c>
      <c r="O38" s="11"/>
      <c r="P38" s="6">
        <v>5.41</v>
      </c>
      <c r="Q38" s="2"/>
      <c r="R38" s="7">
        <f t="shared" si="20"/>
        <v>0</v>
      </c>
      <c r="S38" s="2"/>
      <c r="T38" s="6"/>
      <c r="U38" s="2"/>
      <c r="V38" s="7">
        <f t="shared" si="21"/>
        <v>0</v>
      </c>
      <c r="W38" s="2"/>
      <c r="X38" s="6">
        <f t="shared" si="22"/>
        <v>5.41</v>
      </c>
      <c r="Y38" s="2"/>
      <c r="Z38" s="7">
        <f t="shared" si="23"/>
        <v>0</v>
      </c>
    </row>
    <row r="39" spans="1:26" s="24" customFormat="1" hidden="1" outlineLevel="2" x14ac:dyDescent="0.25">
      <c r="A39" s="28"/>
      <c r="B39" s="11" t="str">
        <f>CONCATENATE("          ", "6307", " - ", "POSTAGE")</f>
        <v xml:space="preserve">          6307 - POSTAGE</v>
      </c>
      <c r="C39" s="11"/>
      <c r="D39" s="6">
        <v>137.5</v>
      </c>
      <c r="E39" s="2"/>
      <c r="F39" s="7">
        <f t="shared" si="16"/>
        <v>0</v>
      </c>
      <c r="G39" s="2"/>
      <c r="H39" s="6">
        <v>141.15</v>
      </c>
      <c r="I39" s="2"/>
      <c r="J39" s="7">
        <f t="shared" si="17"/>
        <v>0</v>
      </c>
      <c r="K39" s="2"/>
      <c r="L39" s="6">
        <f t="shared" si="18"/>
        <v>-3.6500000000000057</v>
      </c>
      <c r="M39" s="2"/>
      <c r="N39" s="7">
        <f t="shared" si="19"/>
        <v>-2.5859015232022709E-2</v>
      </c>
      <c r="O39" s="11"/>
      <c r="P39" s="6">
        <v>454.45</v>
      </c>
      <c r="Q39" s="2"/>
      <c r="R39" s="7">
        <f t="shared" si="20"/>
        <v>0</v>
      </c>
      <c r="S39" s="2"/>
      <c r="T39" s="6">
        <v>539.15</v>
      </c>
      <c r="U39" s="2"/>
      <c r="V39" s="7">
        <f t="shared" si="21"/>
        <v>0</v>
      </c>
      <c r="W39" s="2"/>
      <c r="X39" s="6">
        <f t="shared" si="22"/>
        <v>-84.699999999999989</v>
      </c>
      <c r="Y39" s="2"/>
      <c r="Z39" s="7">
        <f t="shared" si="23"/>
        <v>-0.15709913753129925</v>
      </c>
    </row>
    <row r="40" spans="1:26" s="29" customFormat="1" outlineLevel="1" collapsed="1" x14ac:dyDescent="0.25">
      <c r="A40" s="27"/>
      <c r="B40" s="14" t="str">
        <f>CONCATENATE("     ","Insurance                                         ")</f>
        <v xml:space="preserve">     Insurance                                         </v>
      </c>
      <c r="C40" s="14"/>
      <c r="D40" s="1">
        <f>SUM(OSRRefD22_5x_0)</f>
        <v>132.16999999999999</v>
      </c>
      <c r="E40" s="1"/>
      <c r="F40" s="5">
        <f t="shared" ref="F40:F47" si="24">IF(D$12=0,0,D40/D$12)</f>
        <v>0</v>
      </c>
      <c r="G40" s="1"/>
      <c r="H40" s="1">
        <f>SUM(OSRRefH22_5x_0)</f>
        <v>132.16999999999999</v>
      </c>
      <c r="I40" s="1"/>
      <c r="J40" s="5">
        <f t="shared" ref="J40:J47" si="25">IF(H$12=0,0,H40/H$12)</f>
        <v>0</v>
      </c>
      <c r="K40" s="1"/>
      <c r="L40" s="1">
        <f t="shared" ref="L40:L47" si="26">+D40-H40</f>
        <v>0</v>
      </c>
      <c r="M40" s="1"/>
      <c r="N40" s="5">
        <f t="shared" ref="N40:N47" si="27">IF(H40=0,0,L40/H40)</f>
        <v>0</v>
      </c>
      <c r="O40" s="14"/>
      <c r="P40" s="1">
        <f>SUM(OSRRefP22_5x_0)</f>
        <v>528.67999999999995</v>
      </c>
      <c r="Q40" s="1"/>
      <c r="R40" s="5">
        <f t="shared" ref="R40:R47" si="28">IF(P$12=0,0,P40/P$12)</f>
        <v>0</v>
      </c>
      <c r="S40" s="1"/>
      <c r="T40" s="1">
        <f>SUM(OSRRefT22_5x_0)</f>
        <v>528.67999999999995</v>
      </c>
      <c r="U40" s="1"/>
      <c r="V40" s="5">
        <f t="shared" ref="V40:V47" si="29">IF(T$12=0,0,T40/T$12)</f>
        <v>0</v>
      </c>
      <c r="W40" s="1"/>
      <c r="X40" s="1">
        <f t="shared" ref="X40:X47" si="30">+P40-T40</f>
        <v>0</v>
      </c>
      <c r="Y40" s="1"/>
      <c r="Z40" s="5">
        <f t="shared" ref="Z40:Z47" si="31">IF(T40=0,0,X40/T40)</f>
        <v>0</v>
      </c>
    </row>
    <row r="41" spans="1:26" s="24" customFormat="1" hidden="1" outlineLevel="2" x14ac:dyDescent="0.25">
      <c r="A41" s="28"/>
      <c r="B41" s="11" t="str">
        <f>CONCATENATE("          ", "6314", " - ", "LIABILITY INSURANCE")</f>
        <v xml:space="preserve">          6314 - LIABILITY INSURANCE</v>
      </c>
      <c r="C41" s="11"/>
      <c r="D41" s="6">
        <v>132.16999999999999</v>
      </c>
      <c r="E41" s="2"/>
      <c r="F41" s="7">
        <f t="shared" si="24"/>
        <v>0</v>
      </c>
      <c r="G41" s="2"/>
      <c r="H41" s="6">
        <v>132.16999999999999</v>
      </c>
      <c r="I41" s="2"/>
      <c r="J41" s="7">
        <f t="shared" si="25"/>
        <v>0</v>
      </c>
      <c r="K41" s="2"/>
      <c r="L41" s="6">
        <f t="shared" si="26"/>
        <v>0</v>
      </c>
      <c r="M41" s="2"/>
      <c r="N41" s="7">
        <f t="shared" si="27"/>
        <v>0</v>
      </c>
      <c r="O41" s="11"/>
      <c r="P41" s="6">
        <v>528.67999999999995</v>
      </c>
      <c r="Q41" s="2"/>
      <c r="R41" s="7">
        <f t="shared" si="28"/>
        <v>0</v>
      </c>
      <c r="S41" s="2"/>
      <c r="T41" s="6">
        <v>528.67999999999995</v>
      </c>
      <c r="U41" s="2"/>
      <c r="V41" s="7">
        <f t="shared" si="29"/>
        <v>0</v>
      </c>
      <c r="W41" s="2"/>
      <c r="X41" s="6">
        <f t="shared" si="30"/>
        <v>0</v>
      </c>
      <c r="Y41" s="2"/>
      <c r="Z41" s="7">
        <f t="shared" si="31"/>
        <v>0</v>
      </c>
    </row>
    <row r="42" spans="1:26" s="29" customFormat="1" outlineLevel="1" collapsed="1" x14ac:dyDescent="0.25">
      <c r="A42" s="27"/>
      <c r="B42" s="14" t="str">
        <f>CONCATENATE("     ","Professional Services                             ")</f>
        <v xml:space="preserve">     Professional Services                             </v>
      </c>
      <c r="C42" s="14"/>
      <c r="D42" s="1">
        <f>SUM(OSRRefD22_6x_0)</f>
        <v>0</v>
      </c>
      <c r="E42" s="1"/>
      <c r="F42" s="5">
        <f t="shared" si="24"/>
        <v>0</v>
      </c>
      <c r="G42" s="1"/>
      <c r="H42" s="1">
        <f>SUM(OSRRefH22_6x_0)</f>
        <v>0</v>
      </c>
      <c r="I42" s="1"/>
      <c r="J42" s="5">
        <f t="shared" si="25"/>
        <v>0</v>
      </c>
      <c r="K42" s="1"/>
      <c r="L42" s="1">
        <f t="shared" si="26"/>
        <v>0</v>
      </c>
      <c r="M42" s="1"/>
      <c r="N42" s="5">
        <f t="shared" si="27"/>
        <v>0</v>
      </c>
      <c r="O42" s="14"/>
      <c r="P42" s="1">
        <f>SUM(OSRRefP22_6x_0)</f>
        <v>0</v>
      </c>
      <c r="Q42" s="1"/>
      <c r="R42" s="5">
        <f t="shared" si="28"/>
        <v>0</v>
      </c>
      <c r="S42" s="1"/>
      <c r="T42" s="1">
        <f>SUM(OSRRefT22_6x_0)</f>
        <v>82.5</v>
      </c>
      <c r="U42" s="1"/>
      <c r="V42" s="5">
        <f t="shared" si="29"/>
        <v>0</v>
      </c>
      <c r="W42" s="1"/>
      <c r="X42" s="1">
        <f t="shared" si="30"/>
        <v>-82.5</v>
      </c>
      <c r="Y42" s="1"/>
      <c r="Z42" s="5">
        <f t="shared" si="31"/>
        <v>-1</v>
      </c>
    </row>
    <row r="43" spans="1:26" s="24" customFormat="1" hidden="1" outlineLevel="2" x14ac:dyDescent="0.25">
      <c r="A43" s="28"/>
      <c r="B43" s="11" t="str">
        <f>CONCATENATE("          ", "6332", " - ", "CONSULTANT FEES")</f>
        <v xml:space="preserve">          6332 - CONSULTANT FEES</v>
      </c>
      <c r="C43" s="11"/>
      <c r="D43" s="6"/>
      <c r="E43" s="2"/>
      <c r="F43" s="7">
        <f t="shared" si="24"/>
        <v>0</v>
      </c>
      <c r="G43" s="2"/>
      <c r="H43" s="6"/>
      <c r="I43" s="2"/>
      <c r="J43" s="7">
        <f t="shared" si="25"/>
        <v>0</v>
      </c>
      <c r="K43" s="2"/>
      <c r="L43" s="6">
        <f t="shared" si="26"/>
        <v>0</v>
      </c>
      <c r="M43" s="2"/>
      <c r="N43" s="7">
        <f t="shared" si="27"/>
        <v>0</v>
      </c>
      <c r="O43" s="11"/>
      <c r="P43" s="6"/>
      <c r="Q43" s="2"/>
      <c r="R43" s="7">
        <f t="shared" si="28"/>
        <v>0</v>
      </c>
      <c r="S43" s="2"/>
      <c r="T43" s="6">
        <v>82.5</v>
      </c>
      <c r="U43" s="2"/>
      <c r="V43" s="7">
        <f t="shared" si="29"/>
        <v>0</v>
      </c>
      <c r="W43" s="2"/>
      <c r="X43" s="6">
        <f t="shared" si="30"/>
        <v>-82.5</v>
      </c>
      <c r="Y43" s="2"/>
      <c r="Z43" s="7">
        <f t="shared" si="31"/>
        <v>-1</v>
      </c>
    </row>
    <row r="44" spans="1:26" s="29" customFormat="1" outlineLevel="1" collapsed="1" x14ac:dyDescent="0.25">
      <c r="A44" s="27"/>
      <c r="B44" s="14" t="str">
        <f>CONCATENATE("     ","Repair and Maintenance                            ")</f>
        <v xml:space="preserve">     Repair and Maintenance                            </v>
      </c>
      <c r="C44" s="14"/>
      <c r="D44" s="1">
        <f>SUM(OSRRefD22_7x_0)</f>
        <v>235.60999999999999</v>
      </c>
      <c r="E44" s="1"/>
      <c r="F44" s="5">
        <f t="shared" si="24"/>
        <v>0</v>
      </c>
      <c r="G44" s="1"/>
      <c r="H44" s="1">
        <f>SUM(OSRRefH22_7x_0)</f>
        <v>485.46</v>
      </c>
      <c r="I44" s="1"/>
      <c r="J44" s="5">
        <f t="shared" si="25"/>
        <v>0</v>
      </c>
      <c r="K44" s="1"/>
      <c r="L44" s="1">
        <f t="shared" si="26"/>
        <v>-249.85</v>
      </c>
      <c r="M44" s="1"/>
      <c r="N44" s="5">
        <f t="shared" si="27"/>
        <v>-0.5146665018745108</v>
      </c>
      <c r="O44" s="14"/>
      <c r="P44" s="1">
        <f>SUM(OSRRefP22_7x_0)</f>
        <v>653.08999999999992</v>
      </c>
      <c r="Q44" s="1"/>
      <c r="R44" s="5">
        <f t="shared" si="28"/>
        <v>0</v>
      </c>
      <c r="S44" s="1"/>
      <c r="T44" s="1">
        <f>SUM(OSRRefT22_7x_0)</f>
        <v>554.51</v>
      </c>
      <c r="U44" s="1"/>
      <c r="V44" s="5">
        <f t="shared" si="29"/>
        <v>0</v>
      </c>
      <c r="W44" s="1"/>
      <c r="X44" s="1">
        <f t="shared" si="30"/>
        <v>98.579999999999927</v>
      </c>
      <c r="Y44" s="1"/>
      <c r="Z44" s="5">
        <f t="shared" si="31"/>
        <v>0.17777857928621654</v>
      </c>
    </row>
    <row r="45" spans="1:26" s="24" customFormat="1" hidden="1" outlineLevel="2" x14ac:dyDescent="0.25">
      <c r="A45" s="28"/>
      <c r="B45" s="11" t="str">
        <f>CONCATENATE("          ", "6371", " - ", "COMPUTER SOFTWARE MAINTENANCE")</f>
        <v xml:space="preserve">          6371 - COMPUTER SOFTWARE MAINTENANCE</v>
      </c>
      <c r="C45" s="11"/>
      <c r="D45" s="6">
        <v>224.95</v>
      </c>
      <c r="E45" s="2"/>
      <c r="F45" s="7">
        <f t="shared" si="24"/>
        <v>0</v>
      </c>
      <c r="G45" s="2"/>
      <c r="H45" s="6"/>
      <c r="I45" s="2"/>
      <c r="J45" s="7">
        <f t="shared" si="25"/>
        <v>0</v>
      </c>
      <c r="K45" s="2"/>
      <c r="L45" s="6">
        <f t="shared" si="26"/>
        <v>224.95</v>
      </c>
      <c r="M45" s="2"/>
      <c r="N45" s="7">
        <f t="shared" si="27"/>
        <v>0</v>
      </c>
      <c r="O45" s="11"/>
      <c r="P45" s="6">
        <v>611.04999999999995</v>
      </c>
      <c r="Q45" s="2"/>
      <c r="R45" s="7">
        <f t="shared" si="28"/>
        <v>0</v>
      </c>
      <c r="S45" s="2"/>
      <c r="T45" s="6"/>
      <c r="U45" s="2"/>
      <c r="V45" s="7">
        <f t="shared" si="29"/>
        <v>0</v>
      </c>
      <c r="W45" s="2"/>
      <c r="X45" s="6">
        <f t="shared" si="30"/>
        <v>611.04999999999995</v>
      </c>
      <c r="Y45" s="2"/>
      <c r="Z45" s="7">
        <f t="shared" si="31"/>
        <v>0</v>
      </c>
    </row>
    <row r="46" spans="1:26" s="24" customFormat="1" hidden="1" outlineLevel="2" x14ac:dyDescent="0.25">
      <c r="A46" s="28"/>
      <c r="B46" s="11" t="str">
        <f>CONCATENATE("          ", "6373", " - ", "MAINTENANCE CONTRACTS")</f>
        <v xml:space="preserve">          6373 - MAINTENANCE CONTRACTS</v>
      </c>
      <c r="C46" s="11"/>
      <c r="D46" s="6">
        <v>10.66</v>
      </c>
      <c r="E46" s="2"/>
      <c r="F46" s="7">
        <f t="shared" si="24"/>
        <v>0</v>
      </c>
      <c r="G46" s="2"/>
      <c r="H46" s="6">
        <v>20.88</v>
      </c>
      <c r="I46" s="2"/>
      <c r="J46" s="7">
        <f t="shared" si="25"/>
        <v>0</v>
      </c>
      <c r="K46" s="2"/>
      <c r="L46" s="6">
        <f t="shared" si="26"/>
        <v>-10.219999999999999</v>
      </c>
      <c r="M46" s="2"/>
      <c r="N46" s="7">
        <f t="shared" si="27"/>
        <v>-0.48946360153256702</v>
      </c>
      <c r="O46" s="11"/>
      <c r="P46" s="6">
        <v>42.04</v>
      </c>
      <c r="Q46" s="2"/>
      <c r="R46" s="7">
        <f t="shared" si="28"/>
        <v>0</v>
      </c>
      <c r="S46" s="2"/>
      <c r="T46" s="6">
        <v>89.93</v>
      </c>
      <c r="U46" s="2"/>
      <c r="V46" s="7">
        <f t="shared" si="29"/>
        <v>0</v>
      </c>
      <c r="W46" s="2"/>
      <c r="X46" s="6">
        <f t="shared" si="30"/>
        <v>-47.890000000000008</v>
      </c>
      <c r="Y46" s="2"/>
      <c r="Z46" s="7">
        <f t="shared" si="31"/>
        <v>-0.53252529745357502</v>
      </c>
    </row>
    <row r="47" spans="1:26" s="24" customFormat="1" hidden="1" outlineLevel="2" x14ac:dyDescent="0.25">
      <c r="A47" s="28"/>
      <c r="B47" s="11" t="str">
        <f>CONCATENATE("          ", "6375", " - ", "OUTSIDE REPAIRS &amp; MAINTENANCE")</f>
        <v xml:space="preserve">          6375 - OUTSIDE REPAIRS &amp; MAINTENANCE</v>
      </c>
      <c r="C47" s="11"/>
      <c r="D47" s="6"/>
      <c r="E47" s="2"/>
      <c r="F47" s="7">
        <f t="shared" si="24"/>
        <v>0</v>
      </c>
      <c r="G47" s="2"/>
      <c r="H47" s="6">
        <v>464.58</v>
      </c>
      <c r="I47" s="2"/>
      <c r="J47" s="7">
        <f t="shared" si="25"/>
        <v>0</v>
      </c>
      <c r="K47" s="2"/>
      <c r="L47" s="6">
        <f t="shared" si="26"/>
        <v>-464.58</v>
      </c>
      <c r="M47" s="2"/>
      <c r="N47" s="7">
        <f t="shared" si="27"/>
        <v>-1</v>
      </c>
      <c r="O47" s="11"/>
      <c r="P47" s="6"/>
      <c r="Q47" s="2"/>
      <c r="R47" s="7">
        <f t="shared" si="28"/>
        <v>0</v>
      </c>
      <c r="S47" s="2"/>
      <c r="T47" s="6">
        <v>464.58</v>
      </c>
      <c r="U47" s="2"/>
      <c r="V47" s="7">
        <f t="shared" si="29"/>
        <v>0</v>
      </c>
      <c r="W47" s="2"/>
      <c r="X47" s="6">
        <f t="shared" si="30"/>
        <v>-464.58</v>
      </c>
      <c r="Y47" s="2"/>
      <c r="Z47" s="7">
        <f t="shared" si="31"/>
        <v>-1</v>
      </c>
    </row>
    <row r="48" spans="1:26" s="29" customFormat="1" outlineLevel="1" collapsed="1" x14ac:dyDescent="0.25">
      <c r="A48" s="27"/>
      <c r="B48" s="14" t="str">
        <f>CONCATENATE("     ","Services                                          ")</f>
        <v xml:space="preserve">     Services                                          </v>
      </c>
      <c r="C48" s="14"/>
      <c r="D48" s="1">
        <f>SUM(OSRRefD22_8x_0)</f>
        <v>1024.96</v>
      </c>
      <c r="E48" s="1"/>
      <c r="F48" s="5">
        <f t="shared" ref="F48:F55" si="32">IF(D$12=0,0,D48/D$12)</f>
        <v>0</v>
      </c>
      <c r="G48" s="1"/>
      <c r="H48" s="1">
        <f>SUM(OSRRefH22_8x_0)</f>
        <v>3453.76</v>
      </c>
      <c r="I48" s="1"/>
      <c r="J48" s="5">
        <f t="shared" ref="J48:J55" si="33">IF(H$12=0,0,H48/H$12)</f>
        <v>0</v>
      </c>
      <c r="K48" s="1"/>
      <c r="L48" s="1">
        <f t="shared" ref="L48:L55" si="34">+D48-H48</f>
        <v>-2428.8000000000002</v>
      </c>
      <c r="M48" s="1"/>
      <c r="N48" s="5">
        <f t="shared" ref="N48:N55" si="35">IF(H48=0,0,L48/H48)</f>
        <v>-0.70323357731863245</v>
      </c>
      <c r="O48" s="14"/>
      <c r="P48" s="1">
        <f>SUM(OSRRefP22_8x_0)</f>
        <v>2049.92</v>
      </c>
      <c r="Q48" s="1"/>
      <c r="R48" s="5">
        <f t="shared" ref="R48:R55" si="36">IF(P$12=0,0,P48/P$12)</f>
        <v>0</v>
      </c>
      <c r="S48" s="1"/>
      <c r="T48" s="1">
        <f>SUM(OSRRefT22_8x_0)</f>
        <v>7167.07</v>
      </c>
      <c r="U48" s="1"/>
      <c r="V48" s="5">
        <f t="shared" ref="V48:V55" si="37">IF(T$12=0,0,T48/T$12)</f>
        <v>0</v>
      </c>
      <c r="W48" s="1"/>
      <c r="X48" s="1">
        <f t="shared" ref="X48:X55" si="38">+P48-T48</f>
        <v>-5117.1499999999996</v>
      </c>
      <c r="Y48" s="1"/>
      <c r="Z48" s="5">
        <f t="shared" ref="Z48:Z55" si="39">IF(T48=0,0,X48/T48)</f>
        <v>-0.71398074806022538</v>
      </c>
    </row>
    <row r="49" spans="1:26" s="24" customFormat="1" hidden="1" outlineLevel="2" x14ac:dyDescent="0.25">
      <c r="A49" s="28"/>
      <c r="B49" s="11" t="str">
        <f>CONCATENATE("          ", "6281", " - ", "STORAGE FEE")</f>
        <v xml:space="preserve">          6281 - STORAGE FEE</v>
      </c>
      <c r="C49" s="11"/>
      <c r="D49" s="6">
        <v>1024.96</v>
      </c>
      <c r="E49" s="2"/>
      <c r="F49" s="7">
        <f t="shared" si="32"/>
        <v>0</v>
      </c>
      <c r="G49" s="2"/>
      <c r="H49" s="6">
        <v>3453.76</v>
      </c>
      <c r="I49" s="2"/>
      <c r="J49" s="7">
        <f t="shared" si="33"/>
        <v>0</v>
      </c>
      <c r="K49" s="2"/>
      <c r="L49" s="6">
        <f t="shared" si="34"/>
        <v>-2428.8000000000002</v>
      </c>
      <c r="M49" s="2"/>
      <c r="N49" s="7">
        <f t="shared" si="35"/>
        <v>-0.70323357731863245</v>
      </c>
      <c r="O49" s="11"/>
      <c r="P49" s="6">
        <v>2049.92</v>
      </c>
      <c r="Q49" s="2"/>
      <c r="R49" s="7">
        <f t="shared" si="36"/>
        <v>0</v>
      </c>
      <c r="S49" s="2"/>
      <c r="T49" s="6">
        <v>7167.07</v>
      </c>
      <c r="U49" s="2"/>
      <c r="V49" s="7">
        <f t="shared" si="37"/>
        <v>0</v>
      </c>
      <c r="W49" s="2"/>
      <c r="X49" s="6">
        <f t="shared" si="38"/>
        <v>-5117.1499999999996</v>
      </c>
      <c r="Y49" s="2"/>
      <c r="Z49" s="7">
        <f t="shared" si="39"/>
        <v>-0.71398074806022538</v>
      </c>
    </row>
    <row r="50" spans="1:26" s="29" customFormat="1" outlineLevel="1" collapsed="1" x14ac:dyDescent="0.25">
      <c r="A50" s="27"/>
      <c r="B50" s="14" t="str">
        <f>CONCATENATE("     ","Subscriptions &amp; Dues                              ")</f>
        <v xml:space="preserve">     Subscriptions &amp; Dues                              </v>
      </c>
      <c r="C50" s="14"/>
      <c r="D50" s="1">
        <f>SUM(OSRRefD22_9x_0)</f>
        <v>0</v>
      </c>
      <c r="E50" s="1"/>
      <c r="F50" s="5">
        <f t="shared" si="32"/>
        <v>0</v>
      </c>
      <c r="G50" s="1"/>
      <c r="H50" s="1">
        <f>SUM(OSRRefH22_9x_0)</f>
        <v>0</v>
      </c>
      <c r="I50" s="1"/>
      <c r="J50" s="5">
        <f t="shared" si="33"/>
        <v>0</v>
      </c>
      <c r="K50" s="1"/>
      <c r="L50" s="1">
        <f t="shared" si="34"/>
        <v>0</v>
      </c>
      <c r="M50" s="1"/>
      <c r="N50" s="5">
        <f t="shared" si="35"/>
        <v>0</v>
      </c>
      <c r="O50" s="14"/>
      <c r="P50" s="1">
        <f>SUM(OSRRefP22_9x_0)</f>
        <v>0</v>
      </c>
      <c r="Q50" s="1"/>
      <c r="R50" s="5">
        <f t="shared" si="36"/>
        <v>0</v>
      </c>
      <c r="S50" s="1"/>
      <c r="T50" s="1">
        <f>SUM(OSRRefT22_9x_0)</f>
        <v>39</v>
      </c>
      <c r="U50" s="1"/>
      <c r="V50" s="5">
        <f t="shared" si="37"/>
        <v>0</v>
      </c>
      <c r="W50" s="1"/>
      <c r="X50" s="1">
        <f t="shared" si="38"/>
        <v>-39</v>
      </c>
      <c r="Y50" s="1"/>
      <c r="Z50" s="5">
        <f t="shared" si="39"/>
        <v>-1</v>
      </c>
    </row>
    <row r="51" spans="1:26" s="24" customFormat="1" hidden="1" outlineLevel="2" x14ac:dyDescent="0.25">
      <c r="A51" s="28"/>
      <c r="B51" s="11" t="str">
        <f>CONCATENATE("          ", "6258", " - ", "MEMBERSHIP DUES")</f>
        <v xml:space="preserve">          6258 - MEMBERSHIP DUES</v>
      </c>
      <c r="C51" s="11"/>
      <c r="D51" s="6"/>
      <c r="E51" s="2"/>
      <c r="F51" s="7">
        <f t="shared" si="32"/>
        <v>0</v>
      </c>
      <c r="G51" s="2"/>
      <c r="H51" s="6"/>
      <c r="I51" s="2"/>
      <c r="J51" s="7">
        <f t="shared" si="33"/>
        <v>0</v>
      </c>
      <c r="K51" s="2"/>
      <c r="L51" s="6">
        <f t="shared" si="34"/>
        <v>0</v>
      </c>
      <c r="M51" s="2"/>
      <c r="N51" s="7">
        <f t="shared" si="35"/>
        <v>0</v>
      </c>
      <c r="O51" s="11"/>
      <c r="P51" s="6"/>
      <c r="Q51" s="2"/>
      <c r="R51" s="7">
        <f t="shared" si="36"/>
        <v>0</v>
      </c>
      <c r="S51" s="2"/>
      <c r="T51" s="6">
        <v>39</v>
      </c>
      <c r="U51" s="2"/>
      <c r="V51" s="7">
        <f t="shared" si="37"/>
        <v>0</v>
      </c>
      <c r="W51" s="2"/>
      <c r="X51" s="6">
        <f t="shared" si="38"/>
        <v>-39</v>
      </c>
      <c r="Y51" s="2"/>
      <c r="Z51" s="7">
        <f t="shared" si="39"/>
        <v>-1</v>
      </c>
    </row>
    <row r="52" spans="1:26" s="29" customFormat="1" outlineLevel="1" collapsed="1" x14ac:dyDescent="0.25">
      <c r="A52" s="27"/>
      <c r="B52" s="14" t="str">
        <f>CONCATENATE("     ","Supplies                                          ")</f>
        <v xml:space="preserve">     Supplies                                          </v>
      </c>
      <c r="C52" s="14"/>
      <c r="D52" s="1">
        <f>SUM(OSRRefD22_10x_0)</f>
        <v>66.58</v>
      </c>
      <c r="E52" s="1"/>
      <c r="F52" s="5">
        <f t="shared" si="32"/>
        <v>0</v>
      </c>
      <c r="G52" s="1"/>
      <c r="H52" s="1">
        <f>SUM(OSRRefH22_10x_0)</f>
        <v>388.66</v>
      </c>
      <c r="I52" s="1"/>
      <c r="J52" s="5">
        <f t="shared" si="33"/>
        <v>0</v>
      </c>
      <c r="K52" s="1"/>
      <c r="L52" s="1">
        <f t="shared" si="34"/>
        <v>-322.08000000000004</v>
      </c>
      <c r="M52" s="1"/>
      <c r="N52" s="5">
        <f t="shared" si="35"/>
        <v>-0.82869345957906659</v>
      </c>
      <c r="O52" s="14"/>
      <c r="P52" s="1">
        <f>SUM(OSRRefP22_10x_0)</f>
        <v>714.04</v>
      </c>
      <c r="Q52" s="1"/>
      <c r="R52" s="5">
        <f t="shared" si="36"/>
        <v>0</v>
      </c>
      <c r="S52" s="1"/>
      <c r="T52" s="1">
        <f>SUM(OSRRefT22_10x_0)</f>
        <v>2607.89</v>
      </c>
      <c r="U52" s="1"/>
      <c r="V52" s="5">
        <f t="shared" si="37"/>
        <v>0</v>
      </c>
      <c r="W52" s="1"/>
      <c r="X52" s="1">
        <f t="shared" si="38"/>
        <v>-1893.85</v>
      </c>
      <c r="Y52" s="1"/>
      <c r="Z52" s="5">
        <f t="shared" si="39"/>
        <v>-0.72620010813339519</v>
      </c>
    </row>
    <row r="53" spans="1:26" s="24" customFormat="1" hidden="1" outlineLevel="2" x14ac:dyDescent="0.25">
      <c r="A53" s="28"/>
      <c r="B53" s="11" t="str">
        <f>CONCATENATE("          ", "6235", " - ", "COVID-19 EXPENSES")</f>
        <v xml:space="preserve">          6235 - COVID-19 EXPENSES</v>
      </c>
      <c r="C53" s="11"/>
      <c r="D53" s="6"/>
      <c r="E53" s="2"/>
      <c r="F53" s="7">
        <f t="shared" si="32"/>
        <v>0</v>
      </c>
      <c r="G53" s="2"/>
      <c r="H53" s="6"/>
      <c r="I53" s="2"/>
      <c r="J53" s="7">
        <f t="shared" si="33"/>
        <v>0</v>
      </c>
      <c r="K53" s="2"/>
      <c r="L53" s="6">
        <f t="shared" si="34"/>
        <v>0</v>
      </c>
      <c r="M53" s="2"/>
      <c r="N53" s="7">
        <f t="shared" si="35"/>
        <v>0</v>
      </c>
      <c r="O53" s="11"/>
      <c r="P53" s="6">
        <v>426.66</v>
      </c>
      <c r="Q53" s="2"/>
      <c r="R53" s="7">
        <f t="shared" si="36"/>
        <v>0</v>
      </c>
      <c r="S53" s="2"/>
      <c r="T53" s="6"/>
      <c r="U53" s="2"/>
      <c r="V53" s="7">
        <f t="shared" si="37"/>
        <v>0</v>
      </c>
      <c r="W53" s="2"/>
      <c r="X53" s="6">
        <f t="shared" si="38"/>
        <v>426.66</v>
      </c>
      <c r="Y53" s="2"/>
      <c r="Z53" s="7">
        <f t="shared" si="39"/>
        <v>0</v>
      </c>
    </row>
    <row r="54" spans="1:26" s="24" customFormat="1" hidden="1" outlineLevel="2" x14ac:dyDescent="0.25">
      <c r="A54" s="28"/>
      <c r="B54" s="11" t="str">
        <f>CONCATENATE("          ", "6241", " - ", "OFFICE EXPENSE")</f>
        <v xml:space="preserve">          6241 - OFFICE EXPENSE</v>
      </c>
      <c r="C54" s="11"/>
      <c r="D54" s="6">
        <v>66.58</v>
      </c>
      <c r="E54" s="2"/>
      <c r="F54" s="7">
        <f t="shared" si="32"/>
        <v>0</v>
      </c>
      <c r="G54" s="2"/>
      <c r="H54" s="6">
        <v>387.25</v>
      </c>
      <c r="I54" s="2"/>
      <c r="J54" s="7">
        <f t="shared" si="33"/>
        <v>0</v>
      </c>
      <c r="K54" s="2"/>
      <c r="L54" s="6">
        <f t="shared" si="34"/>
        <v>-320.67</v>
      </c>
      <c r="M54" s="2"/>
      <c r="N54" s="7">
        <f t="shared" si="35"/>
        <v>-0.82806972240154941</v>
      </c>
      <c r="O54" s="11"/>
      <c r="P54" s="6">
        <v>287.38</v>
      </c>
      <c r="Q54" s="2"/>
      <c r="R54" s="7">
        <f t="shared" si="36"/>
        <v>0</v>
      </c>
      <c r="S54" s="2"/>
      <c r="T54" s="6">
        <v>1944.98</v>
      </c>
      <c r="U54" s="2"/>
      <c r="V54" s="7">
        <f t="shared" si="37"/>
        <v>0</v>
      </c>
      <c r="W54" s="2"/>
      <c r="X54" s="6">
        <f t="shared" si="38"/>
        <v>-1657.6</v>
      </c>
      <c r="Y54" s="2"/>
      <c r="Z54" s="7">
        <f t="shared" si="39"/>
        <v>-0.85224526730351979</v>
      </c>
    </row>
    <row r="55" spans="1:26" s="24" customFormat="1" hidden="1" outlineLevel="2" x14ac:dyDescent="0.25">
      <c r="A55" s="28"/>
      <c r="B55" s="11" t="str">
        <f>CONCATENATE("          ", "6245", " - ", "PRINTING")</f>
        <v xml:space="preserve">          6245 - PRINTING</v>
      </c>
      <c r="C55" s="11"/>
      <c r="D55" s="6"/>
      <c r="E55" s="2"/>
      <c r="F55" s="7">
        <f t="shared" si="32"/>
        <v>0</v>
      </c>
      <c r="G55" s="2"/>
      <c r="H55" s="6">
        <v>1.41</v>
      </c>
      <c r="I55" s="2"/>
      <c r="J55" s="7">
        <f t="shared" si="33"/>
        <v>0</v>
      </c>
      <c r="K55" s="2"/>
      <c r="L55" s="6">
        <f t="shared" si="34"/>
        <v>-1.41</v>
      </c>
      <c r="M55" s="2"/>
      <c r="N55" s="7">
        <f t="shared" si="35"/>
        <v>-1</v>
      </c>
      <c r="O55" s="11"/>
      <c r="P55" s="6"/>
      <c r="Q55" s="2"/>
      <c r="R55" s="7">
        <f t="shared" si="36"/>
        <v>0</v>
      </c>
      <c r="S55" s="2"/>
      <c r="T55" s="6">
        <v>662.91</v>
      </c>
      <c r="U55" s="2"/>
      <c r="V55" s="7">
        <f t="shared" si="37"/>
        <v>0</v>
      </c>
      <c r="W55" s="2"/>
      <c r="X55" s="6">
        <f t="shared" si="38"/>
        <v>-662.91</v>
      </c>
      <c r="Y55" s="2"/>
      <c r="Z55" s="7">
        <f t="shared" si="39"/>
        <v>-1</v>
      </c>
    </row>
    <row r="56" spans="1:26" s="29" customFormat="1" outlineLevel="1" collapsed="1" x14ac:dyDescent="0.25">
      <c r="A56" s="27"/>
      <c r="B56" s="14" t="str">
        <f>CONCATENATE("     ","Telephone/Data Lines                              ")</f>
        <v xml:space="preserve">     Telephone/Data Lines                              </v>
      </c>
      <c r="C56" s="14"/>
      <c r="D56" s="1">
        <f>SUM(OSRRefD22_11x_0)</f>
        <v>425.8</v>
      </c>
      <c r="E56" s="1"/>
      <c r="F56" s="5">
        <f t="shared" ref="F56:F61" si="40">IF(D$12=0,0,D56/D$12)</f>
        <v>0</v>
      </c>
      <c r="G56" s="1"/>
      <c r="H56" s="1">
        <f>SUM(OSRRefH22_11x_0)</f>
        <v>443.08</v>
      </c>
      <c r="I56" s="1"/>
      <c r="J56" s="5">
        <f t="shared" ref="J56:J61" si="41">IF(H$12=0,0,H56/H$12)</f>
        <v>0</v>
      </c>
      <c r="K56" s="1"/>
      <c r="L56" s="1">
        <f t="shared" ref="L56:L61" si="42">+D56-H56</f>
        <v>-17.279999999999973</v>
      </c>
      <c r="M56" s="1"/>
      <c r="N56" s="5">
        <f t="shared" ref="N56:N61" si="43">IF(H56=0,0,L56/H56)</f>
        <v>-3.8999729168547381E-2</v>
      </c>
      <c r="O56" s="14"/>
      <c r="P56" s="1">
        <f>SUM(OSRRefP22_11x_0)</f>
        <v>1692.25</v>
      </c>
      <c r="Q56" s="1"/>
      <c r="R56" s="5">
        <f t="shared" ref="R56:R61" si="44">IF(P$12=0,0,P56/P$12)</f>
        <v>0</v>
      </c>
      <c r="S56" s="1"/>
      <c r="T56" s="1">
        <f>SUM(OSRRefT22_11x_0)</f>
        <v>1560.23</v>
      </c>
      <c r="U56" s="1"/>
      <c r="V56" s="5">
        <f t="shared" ref="V56:V61" si="45">IF(T$12=0,0,T56/T$12)</f>
        <v>0</v>
      </c>
      <c r="W56" s="1"/>
      <c r="X56" s="1">
        <f t="shared" ref="X56:X61" si="46">+P56-T56</f>
        <v>132.01999999999998</v>
      </c>
      <c r="Y56" s="1"/>
      <c r="Z56" s="5">
        <f t="shared" ref="Z56:Z61" si="47">IF(T56=0,0,X56/T56)</f>
        <v>8.4615729732154865E-2</v>
      </c>
    </row>
    <row r="57" spans="1:26" s="24" customFormat="1" hidden="1" outlineLevel="2" x14ac:dyDescent="0.25">
      <c r="A57" s="28"/>
      <c r="B57" s="11" t="str">
        <f>CONCATENATE("          ", "6309", " - ", "TELEPHONE")</f>
        <v xml:space="preserve">          6309 - TELEPHONE</v>
      </c>
      <c r="C57" s="11"/>
      <c r="D57" s="6">
        <v>425.8</v>
      </c>
      <c r="E57" s="2"/>
      <c r="F57" s="7">
        <f t="shared" si="40"/>
        <v>0</v>
      </c>
      <c r="G57" s="2"/>
      <c r="H57" s="6">
        <v>443.08</v>
      </c>
      <c r="I57" s="2"/>
      <c r="J57" s="7">
        <f t="shared" si="41"/>
        <v>0</v>
      </c>
      <c r="K57" s="2"/>
      <c r="L57" s="6">
        <f t="shared" si="42"/>
        <v>-17.279999999999973</v>
      </c>
      <c r="M57" s="2"/>
      <c r="N57" s="7">
        <f t="shared" si="43"/>
        <v>-3.8999729168547381E-2</v>
      </c>
      <c r="O57" s="11"/>
      <c r="P57" s="6">
        <v>1692.25</v>
      </c>
      <c r="Q57" s="2"/>
      <c r="R57" s="7">
        <f t="shared" si="44"/>
        <v>0</v>
      </c>
      <c r="S57" s="2"/>
      <c r="T57" s="6">
        <v>1560.23</v>
      </c>
      <c r="U57" s="2"/>
      <c r="V57" s="7">
        <f t="shared" si="45"/>
        <v>0</v>
      </c>
      <c r="W57" s="2"/>
      <c r="X57" s="6">
        <f t="shared" si="46"/>
        <v>132.01999999999998</v>
      </c>
      <c r="Y57" s="2"/>
      <c r="Z57" s="7">
        <f t="shared" si="47"/>
        <v>8.4615729732154865E-2</v>
      </c>
    </row>
    <row r="58" spans="1:26" s="29" customFormat="1" outlineLevel="1" collapsed="1" x14ac:dyDescent="0.25">
      <c r="A58" s="27"/>
      <c r="B58" s="14" t="str">
        <f>CONCATENATE("     ","Training                                          ")</f>
        <v xml:space="preserve">     Training                                          </v>
      </c>
      <c r="C58" s="14"/>
      <c r="D58" s="1">
        <f>SUM(OSRRefD22_12x_0)</f>
        <v>199</v>
      </c>
      <c r="E58" s="1"/>
      <c r="F58" s="5">
        <f t="shared" si="40"/>
        <v>0</v>
      </c>
      <c r="G58" s="1"/>
      <c r="H58" s="1">
        <f>SUM(OSRRefH22_12x_0)</f>
        <v>20.53</v>
      </c>
      <c r="I58" s="1"/>
      <c r="J58" s="5">
        <f t="shared" si="41"/>
        <v>0</v>
      </c>
      <c r="K58" s="1"/>
      <c r="L58" s="1">
        <f t="shared" si="42"/>
        <v>178.47</v>
      </c>
      <c r="M58" s="1"/>
      <c r="N58" s="5">
        <f t="shared" si="43"/>
        <v>8.6931320019483671</v>
      </c>
      <c r="O58" s="14"/>
      <c r="P58" s="1">
        <f>SUM(OSRRefP22_12x_0)</f>
        <v>398</v>
      </c>
      <c r="Q58" s="1"/>
      <c r="R58" s="5">
        <f t="shared" si="44"/>
        <v>0</v>
      </c>
      <c r="S58" s="1"/>
      <c r="T58" s="1">
        <f>SUM(OSRRefT22_12x_0)</f>
        <v>20.53</v>
      </c>
      <c r="U58" s="1"/>
      <c r="V58" s="5">
        <f t="shared" si="45"/>
        <v>0</v>
      </c>
      <c r="W58" s="1"/>
      <c r="X58" s="1">
        <f t="shared" si="46"/>
        <v>377.47</v>
      </c>
      <c r="Y58" s="1"/>
      <c r="Z58" s="5">
        <f t="shared" si="47"/>
        <v>18.386264003896738</v>
      </c>
    </row>
    <row r="59" spans="1:26" s="24" customFormat="1" hidden="1" outlineLevel="2" x14ac:dyDescent="0.25">
      <c r="A59" s="28"/>
      <c r="B59" s="11" t="str">
        <f>CONCATENATE("          ", "6376", " - ", "TRAINING")</f>
        <v xml:space="preserve">          6376 - TRAINING</v>
      </c>
      <c r="C59" s="11"/>
      <c r="D59" s="6">
        <v>199</v>
      </c>
      <c r="E59" s="2"/>
      <c r="F59" s="7">
        <f t="shared" si="40"/>
        <v>0</v>
      </c>
      <c r="G59" s="2"/>
      <c r="H59" s="6">
        <v>20.53</v>
      </c>
      <c r="I59" s="2"/>
      <c r="J59" s="7">
        <f t="shared" si="41"/>
        <v>0</v>
      </c>
      <c r="K59" s="2"/>
      <c r="L59" s="6">
        <f t="shared" si="42"/>
        <v>178.47</v>
      </c>
      <c r="M59" s="2"/>
      <c r="N59" s="7">
        <f t="shared" si="43"/>
        <v>8.6931320019483671</v>
      </c>
      <c r="O59" s="11"/>
      <c r="P59" s="6">
        <v>398</v>
      </c>
      <c r="Q59" s="2"/>
      <c r="R59" s="7">
        <f t="shared" si="44"/>
        <v>0</v>
      </c>
      <c r="S59" s="2"/>
      <c r="T59" s="6">
        <v>20.53</v>
      </c>
      <c r="U59" s="2"/>
      <c r="V59" s="7">
        <f t="shared" si="45"/>
        <v>0</v>
      </c>
      <c r="W59" s="2"/>
      <c r="X59" s="6">
        <f t="shared" si="46"/>
        <v>377.47</v>
      </c>
      <c r="Y59" s="2"/>
      <c r="Z59" s="7">
        <f t="shared" si="47"/>
        <v>18.386264003896738</v>
      </c>
    </row>
    <row r="60" spans="1:26" s="29" customFormat="1" outlineLevel="1" collapsed="1" x14ac:dyDescent="0.25">
      <c r="A60" s="27"/>
      <c r="B60" s="14" t="str">
        <f>CONCATENATE("     ","Travel                                            ")</f>
        <v xml:space="preserve">     Travel                                            </v>
      </c>
      <c r="C60" s="14"/>
      <c r="D60" s="1">
        <f>SUM(OSRRefD22_13x_0)</f>
        <v>29.07</v>
      </c>
      <c r="E60" s="1"/>
      <c r="F60" s="5">
        <f t="shared" si="40"/>
        <v>0</v>
      </c>
      <c r="G60" s="1"/>
      <c r="H60" s="1">
        <f>SUM(OSRRefH22_13x_0)</f>
        <v>0</v>
      </c>
      <c r="I60" s="1"/>
      <c r="J60" s="5">
        <f t="shared" si="41"/>
        <v>0</v>
      </c>
      <c r="K60" s="1"/>
      <c r="L60" s="1">
        <f t="shared" si="42"/>
        <v>29.07</v>
      </c>
      <c r="M60" s="1"/>
      <c r="N60" s="5">
        <f t="shared" si="43"/>
        <v>0</v>
      </c>
      <c r="O60" s="14"/>
      <c r="P60" s="1">
        <f>SUM(OSRRefP22_13x_0)</f>
        <v>46.62</v>
      </c>
      <c r="Q60" s="1"/>
      <c r="R60" s="5">
        <f t="shared" si="44"/>
        <v>0</v>
      </c>
      <c r="S60" s="1"/>
      <c r="T60" s="1">
        <f>SUM(OSRRefT22_13x_0)</f>
        <v>0</v>
      </c>
      <c r="U60" s="1"/>
      <c r="V60" s="5">
        <f t="shared" si="45"/>
        <v>0</v>
      </c>
      <c r="W60" s="1"/>
      <c r="X60" s="1">
        <f t="shared" si="46"/>
        <v>46.62</v>
      </c>
      <c r="Y60" s="1"/>
      <c r="Z60" s="5">
        <f t="shared" si="47"/>
        <v>0</v>
      </c>
    </row>
    <row r="61" spans="1:26" s="24" customFormat="1" hidden="1" outlineLevel="2" x14ac:dyDescent="0.25">
      <c r="A61" s="28"/>
      <c r="B61" s="11" t="str">
        <f>CONCATENATE("          ", "6294", " - ", "TRAVEL OPERATIONAL")</f>
        <v xml:space="preserve">          6294 - TRAVEL OPERATIONAL</v>
      </c>
      <c r="C61" s="11"/>
      <c r="D61" s="6">
        <v>29.07</v>
      </c>
      <c r="E61" s="2"/>
      <c r="F61" s="7">
        <f t="shared" si="40"/>
        <v>0</v>
      </c>
      <c r="G61" s="2"/>
      <c r="H61" s="6"/>
      <c r="I61" s="2"/>
      <c r="J61" s="7">
        <f t="shared" si="41"/>
        <v>0</v>
      </c>
      <c r="K61" s="2"/>
      <c r="L61" s="6">
        <f t="shared" si="42"/>
        <v>29.07</v>
      </c>
      <c r="M61" s="2"/>
      <c r="N61" s="7">
        <f t="shared" si="43"/>
        <v>0</v>
      </c>
      <c r="O61" s="11"/>
      <c r="P61" s="6">
        <v>46.62</v>
      </c>
      <c r="Q61" s="2"/>
      <c r="R61" s="7">
        <f t="shared" si="44"/>
        <v>0</v>
      </c>
      <c r="S61" s="2"/>
      <c r="T61" s="6"/>
      <c r="U61" s="2"/>
      <c r="V61" s="7">
        <f t="shared" si="45"/>
        <v>0</v>
      </c>
      <c r="W61" s="2"/>
      <c r="X61" s="6">
        <f t="shared" si="46"/>
        <v>46.62</v>
      </c>
      <c r="Y61" s="2"/>
      <c r="Z61" s="7">
        <f t="shared" si="47"/>
        <v>0</v>
      </c>
    </row>
    <row r="62" spans="1:26" s="57" customFormat="1" x14ac:dyDescent="0.25">
      <c r="A62" s="37"/>
      <c r="B62" s="37"/>
      <c r="C62" s="37"/>
      <c r="D62" s="1"/>
      <c r="E62" s="1"/>
      <c r="F62" s="5"/>
      <c r="G62" s="1"/>
      <c r="H62" s="1"/>
      <c r="I62" s="1"/>
      <c r="J62" s="5"/>
      <c r="K62" s="1"/>
      <c r="L62" s="1"/>
      <c r="M62" s="1"/>
      <c r="N62" s="5"/>
      <c r="O62" s="37"/>
      <c r="P62" s="1"/>
      <c r="Q62" s="1"/>
      <c r="R62" s="5"/>
      <c r="S62" s="1"/>
      <c r="T62" s="1"/>
      <c r="U62" s="1"/>
      <c r="V62" s="5"/>
      <c r="W62" s="1"/>
      <c r="X62" s="1"/>
      <c r="Y62" s="1"/>
      <c r="Z62" s="5"/>
    </row>
    <row r="63" spans="1:26" s="23" customFormat="1" x14ac:dyDescent="0.25">
      <c r="A63" s="10"/>
      <c r="B63" s="26" t="s">
        <v>0</v>
      </c>
      <c r="C63" s="10"/>
      <c r="D63" s="4">
        <f>SUM(0)</f>
        <v>0</v>
      </c>
      <c r="E63" s="4"/>
      <c r="F63" s="12">
        <f>IF(D$12=0,0,D63/D$12)</f>
        <v>0</v>
      </c>
      <c r="G63" s="4"/>
      <c r="H63" s="4">
        <f>SUM(0)</f>
        <v>0</v>
      </c>
      <c r="I63" s="4"/>
      <c r="J63" s="12">
        <f>IF(H$12=0,0,H63/H$12)</f>
        <v>0</v>
      </c>
      <c r="K63" s="4"/>
      <c r="L63" s="4">
        <f>+D63-H63</f>
        <v>0</v>
      </c>
      <c r="M63" s="4"/>
      <c r="N63" s="12">
        <f>IF(H63=0,0,L63/H63)</f>
        <v>0</v>
      </c>
      <c r="O63" s="10"/>
      <c r="P63" s="4">
        <f>SUM(0)</f>
        <v>0</v>
      </c>
      <c r="Q63" s="4"/>
      <c r="R63" s="12">
        <f>IF(P$12=0,0,P63/P$12)</f>
        <v>0</v>
      </c>
      <c r="S63" s="4"/>
      <c r="T63" s="4">
        <f>SUM(0)</f>
        <v>0</v>
      </c>
      <c r="U63" s="4"/>
      <c r="V63" s="12">
        <f>IF(T$12=0,0,T63/T$12)</f>
        <v>0</v>
      </c>
      <c r="W63" s="4"/>
      <c r="X63" s="4">
        <f>+P63-T63</f>
        <v>0</v>
      </c>
      <c r="Y63" s="4"/>
      <c r="Z63" s="12">
        <f>IF(T63=0,0,X63/T63)</f>
        <v>0</v>
      </c>
    </row>
    <row r="64" spans="1:26" x14ac:dyDescent="0.25">
      <c r="A64" s="9"/>
      <c r="B64" s="10"/>
      <c r="C64" s="10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O64" s="10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x14ac:dyDescent="0.25">
      <c r="A65" s="10"/>
      <c r="B65" s="25" t="s">
        <v>3</v>
      </c>
      <c r="C65" s="25"/>
      <c r="D65" s="20">
        <f>+D16-D18+D63</f>
        <v>-46110.25</v>
      </c>
      <c r="E65" s="13"/>
      <c r="F65" s="21">
        <f>IF(D$12=0,0,D65/D$12)</f>
        <v>0</v>
      </c>
      <c r="G65" s="13"/>
      <c r="H65" s="20">
        <f>+H16-H18+H63</f>
        <v>-64025.77</v>
      </c>
      <c r="I65" s="13"/>
      <c r="J65" s="21">
        <f>IF(H$12=0,0,H65/H$12)</f>
        <v>0</v>
      </c>
      <c r="K65" s="15"/>
      <c r="L65" s="20">
        <f>+D65-H65</f>
        <v>17915.519999999997</v>
      </c>
      <c r="M65" s="15"/>
      <c r="N65" s="21">
        <f>IF(H65=0,0,L65/H65)</f>
        <v>-0.27981732980329638</v>
      </c>
      <c r="O65" s="26"/>
      <c r="P65" s="20">
        <f>+P16-P18+P63</f>
        <v>-156156.54000000004</v>
      </c>
      <c r="Q65" s="13"/>
      <c r="R65" s="21">
        <f>IF(P$12=0,0,P65/P$12)</f>
        <v>0</v>
      </c>
      <c r="S65" s="13"/>
      <c r="T65" s="20">
        <f>+T16-T18+T63</f>
        <v>-214294.67999999996</v>
      </c>
      <c r="U65" s="13"/>
      <c r="V65" s="21">
        <f>IF(T$12=0,0,T65/T$12)</f>
        <v>0</v>
      </c>
      <c r="W65" s="15"/>
      <c r="X65" s="20">
        <f>+P65-T65</f>
        <v>58138.139999999927</v>
      </c>
      <c r="Y65" s="15"/>
      <c r="Z65" s="21">
        <f>IF(T65=0,0,X65/T65)</f>
        <v>-0.27129996880930474</v>
      </c>
    </row>
    <row r="66" spans="1:26" x14ac:dyDescent="0.25">
      <c r="A66" s="9"/>
      <c r="B66" s="10"/>
      <c r="C66" s="9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x14ac:dyDescent="0.25">
      <c r="A67" s="51"/>
      <c r="B67" s="10" t="s">
        <v>13</v>
      </c>
      <c r="C67" s="10"/>
      <c r="D67" s="4"/>
      <c r="E67" s="4"/>
      <c r="F67" s="12">
        <f>IF(D$12=0,0,D67/D$12)</f>
        <v>0</v>
      </c>
      <c r="G67" s="4"/>
      <c r="H67" s="4"/>
      <c r="I67" s="4"/>
      <c r="J67" s="12">
        <f>IF(H$12=0,0,H67/H$12)</f>
        <v>0</v>
      </c>
      <c r="K67" s="4"/>
      <c r="L67" s="4">
        <f>+D67-H67</f>
        <v>0</v>
      </c>
      <c r="M67" s="4"/>
      <c r="N67" s="12">
        <f>IF(H67=0,0,L67/H67)</f>
        <v>0</v>
      </c>
      <c r="O67" s="10"/>
      <c r="P67" s="4"/>
      <c r="Q67" s="4"/>
      <c r="R67" s="12">
        <f>IF(P$12=0,0,P67/P$12)</f>
        <v>0</v>
      </c>
      <c r="S67" s="4"/>
      <c r="T67" s="4"/>
      <c r="U67" s="4"/>
      <c r="V67" s="12">
        <f>IF(T$12=0,0,T67/T$12)</f>
        <v>0</v>
      </c>
      <c r="W67" s="4"/>
      <c r="X67" s="4">
        <f>+P67-T67</f>
        <v>0</v>
      </c>
      <c r="Y67" s="4"/>
      <c r="Z67" s="12">
        <f>IF(T67=0,0,X67/T67)</f>
        <v>0</v>
      </c>
    </row>
    <row r="68" spans="1:26" x14ac:dyDescent="0.25">
      <c r="A68" s="9"/>
      <c r="B68" s="10"/>
      <c r="C68" s="10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O68" s="10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ht="15.75" thickBot="1" x14ac:dyDescent="0.3">
      <c r="A69" s="10"/>
      <c r="B69" s="25" t="s">
        <v>4</v>
      </c>
      <c r="C69" s="25"/>
      <c r="D69" s="30">
        <f>+D65-D67</f>
        <v>-46110.25</v>
      </c>
      <c r="E69" s="13"/>
      <c r="F69" s="33">
        <f>IF(D$12=0,0,D69/D$12)</f>
        <v>0</v>
      </c>
      <c r="G69" s="13"/>
      <c r="H69" s="30">
        <f>+H65-H67</f>
        <v>-64025.77</v>
      </c>
      <c r="I69" s="13"/>
      <c r="J69" s="33">
        <f>IF(H$12=0,0,H69/H$12)</f>
        <v>0</v>
      </c>
      <c r="K69" s="15"/>
      <c r="L69" s="30">
        <f>D69-H69</f>
        <v>17915.519999999997</v>
      </c>
      <c r="M69" s="15"/>
      <c r="N69" s="33">
        <f>IF(H69=0,0,L69/H69)</f>
        <v>-0.27981732980329638</v>
      </c>
      <c r="O69" s="26"/>
      <c r="P69" s="30">
        <f>+P65-P67</f>
        <v>-156156.54000000004</v>
      </c>
      <c r="Q69" s="13"/>
      <c r="R69" s="33">
        <f>IF(P$12=0,0,P69/P$12)</f>
        <v>0</v>
      </c>
      <c r="S69" s="13"/>
      <c r="T69" s="30">
        <f>+T65-T67</f>
        <v>-214294.67999999996</v>
      </c>
      <c r="U69" s="13"/>
      <c r="V69" s="33">
        <f>IF(T$12=0,0,T69/T$12)</f>
        <v>0</v>
      </c>
      <c r="W69" s="15"/>
      <c r="X69" s="30">
        <f>P69-T69</f>
        <v>58138.139999999927</v>
      </c>
      <c r="Y69" s="15"/>
      <c r="Z69" s="33">
        <f>IF(T69=0,0,X69/T69)</f>
        <v>-0.27129996880930474</v>
      </c>
    </row>
    <row r="70" spans="1:26" ht="15.75" thickTop="1" x14ac:dyDescent="0.25">
      <c r="A70" s="9"/>
      <c r="B70" s="9"/>
      <c r="C70" s="9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x14ac:dyDescent="0.25">
      <c r="A71" s="9"/>
      <c r="B71" s="9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ht="15.75" thickBot="1" x14ac:dyDescent="0.3">
      <c r="A72" s="10"/>
      <c r="B72" s="25" t="s">
        <v>5</v>
      </c>
      <c r="C72" s="25"/>
      <c r="D72" s="34">
        <f>SUM(D69:D71)</f>
        <v>-46110.25</v>
      </c>
      <c r="E72" s="13"/>
      <c r="F72" s="35">
        <f>IF(D$12=0,0,D72/D$12)</f>
        <v>0</v>
      </c>
      <c r="G72" s="13"/>
      <c r="H72" s="34">
        <f>SUM(H69:H71)</f>
        <v>-64025.77</v>
      </c>
      <c r="I72" s="13"/>
      <c r="J72" s="35">
        <f>IF(H$12=0,0,H72/H$12)</f>
        <v>0</v>
      </c>
      <c r="K72" s="15"/>
      <c r="L72" s="34">
        <f>+D72-H72</f>
        <v>17915.519999999997</v>
      </c>
      <c r="M72" s="15"/>
      <c r="N72" s="35">
        <f>IF(H72=0,0,L72/H72)</f>
        <v>-0.27981732980329638</v>
      </c>
      <c r="O72" s="26"/>
      <c r="P72" s="34">
        <f>SUM(P69:P71)</f>
        <v>-156156.54000000004</v>
      </c>
      <c r="Q72" s="13"/>
      <c r="R72" s="35">
        <f>IF(P$12=0,0,P72/P$12)</f>
        <v>0</v>
      </c>
      <c r="S72" s="13"/>
      <c r="T72" s="34">
        <f>SUM(T69:T71)</f>
        <v>-214294.67999999996</v>
      </c>
      <c r="U72" s="13"/>
      <c r="V72" s="35">
        <f>IF(T$12=0,0,T72/T$12)</f>
        <v>0</v>
      </c>
      <c r="W72" s="15"/>
      <c r="X72" s="34">
        <f>+P72-T72</f>
        <v>58138.139999999927</v>
      </c>
      <c r="Y72" s="15"/>
      <c r="Z72" s="35">
        <f>IF(T72=0,0,X72/T72)</f>
        <v>-0.27129996880930474</v>
      </c>
    </row>
    <row r="73" spans="1:26" ht="15.75" thickTop="1" x14ac:dyDescent="0.25">
      <c r="A73" s="9"/>
      <c r="C73" s="9"/>
      <c r="D73" s="18"/>
      <c r="E73" s="18"/>
      <c r="G73" s="18"/>
      <c r="H73" s="18"/>
      <c r="I73" s="18"/>
      <c r="J73" s="43"/>
      <c r="K73" s="18"/>
      <c r="L73" s="18"/>
      <c r="M73" s="18"/>
      <c r="P73" s="18"/>
      <c r="Q73" s="18"/>
      <c r="R73" s="43"/>
      <c r="S73" s="18"/>
      <c r="T73" s="18"/>
      <c r="U73" s="18"/>
      <c r="V73" s="43"/>
      <c r="W73" s="18"/>
      <c r="X73" s="18"/>
    </row>
    <row r="74" spans="1:26" x14ac:dyDescent="0.25">
      <c r="A74" s="9"/>
      <c r="B74" s="56">
        <v>44151.572169016203</v>
      </c>
      <c r="D74" s="18"/>
      <c r="E74" s="18"/>
      <c r="G74" s="18"/>
      <c r="H74" s="18"/>
      <c r="I74" s="18"/>
      <c r="J74" s="43"/>
      <c r="K74" s="18"/>
      <c r="L74" s="18"/>
      <c r="M74" s="18"/>
      <c r="P74" s="18"/>
      <c r="Q74" s="18"/>
      <c r="R74" s="43"/>
      <c r="S74" s="18"/>
      <c r="T74" s="18"/>
      <c r="U74" s="18"/>
      <c r="V74" s="43"/>
      <c r="W74" s="18"/>
      <c r="X74" s="18"/>
    </row>
    <row r="75" spans="1:26" x14ac:dyDescent="0.25">
      <c r="A75" s="9"/>
      <c r="B75" s="62" t="s">
        <v>313</v>
      </c>
      <c r="D75" s="18"/>
      <c r="E75" s="18"/>
      <c r="G75" s="18"/>
      <c r="H75" s="18"/>
      <c r="I75" s="18"/>
      <c r="J75" s="43"/>
      <c r="K75" s="18"/>
      <c r="L75" s="18"/>
      <c r="M75" s="18"/>
      <c r="P75" s="18"/>
      <c r="Q75" s="18"/>
      <c r="R75" s="43"/>
      <c r="S75" s="18"/>
      <c r="T75" s="18"/>
      <c r="U75" s="18"/>
      <c r="V75" s="43"/>
      <c r="W75" s="18"/>
      <c r="X75" s="18"/>
    </row>
    <row r="76" spans="1:26" x14ac:dyDescent="0.25">
      <c r="A76" s="9"/>
      <c r="B76" s="54"/>
      <c r="D76" s="18"/>
      <c r="E76" s="18"/>
      <c r="G76" s="18"/>
      <c r="H76" s="18"/>
      <c r="I76" s="18"/>
      <c r="J76" s="43"/>
      <c r="K76" s="18"/>
      <c r="L76" s="18"/>
      <c r="M76" s="18"/>
      <c r="P76" s="18"/>
      <c r="Q76" s="18"/>
      <c r="R76" s="43"/>
      <c r="S76" s="18"/>
      <c r="T76" s="18"/>
      <c r="U76" s="18"/>
      <c r="V76" s="43"/>
      <c r="W76" s="18"/>
      <c r="X76" s="18"/>
    </row>
    <row r="77" spans="1:26" x14ac:dyDescent="0.25">
      <c r="D77" s="18"/>
      <c r="E77" s="18"/>
      <c r="G77" s="18"/>
      <c r="H77" s="18"/>
      <c r="I77" s="18"/>
      <c r="J77" s="43"/>
      <c r="K77" s="18"/>
      <c r="L77" s="18"/>
      <c r="M77" s="18"/>
      <c r="P77" s="18"/>
      <c r="Q77" s="18"/>
      <c r="R77" s="43"/>
      <c r="S77" s="18"/>
      <c r="T77" s="18"/>
      <c r="U77" s="18"/>
      <c r="V77" s="43"/>
      <c r="W77" s="18"/>
      <c r="X77" s="18"/>
    </row>
  </sheetData>
  <pageMargins left="0.25" right="0.25" top="0.75" bottom="0.75" header="0.3" footer="0.3"/>
  <pageSetup scale="55" fitToWidth="2" orientation="landscape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",RIGHT(202104,2),", ",2021)</f>
        <v>Period 04,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44135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","203", " - ", "Human Resources")</f>
        <v>Department 203 - Human Resources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61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50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50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2"/>
      <c r="F10" s="31" t="s">
        <v>14</v>
      </c>
      <c r="G10" s="32"/>
      <c r="H10" s="49" t="s">
        <v>306</v>
      </c>
      <c r="I10" s="32"/>
      <c r="J10" s="31" t="s">
        <v>14</v>
      </c>
      <c r="K10" s="10"/>
      <c r="L10" s="42" t="s">
        <v>11</v>
      </c>
      <c r="M10" s="10"/>
      <c r="N10" s="31" t="s">
        <v>15</v>
      </c>
      <c r="O10" s="10"/>
      <c r="P10" s="59" t="s">
        <v>10</v>
      </c>
      <c r="Q10" s="32"/>
      <c r="R10" s="31" t="s">
        <v>14</v>
      </c>
      <c r="S10" s="32"/>
      <c r="T10" s="49" t="s">
        <v>306</v>
      </c>
      <c r="U10" s="32"/>
      <c r="V10" s="31" t="s">
        <v>14</v>
      </c>
      <c r="W10" s="10"/>
      <c r="X10" s="42" t="s">
        <v>11</v>
      </c>
      <c r="Y10" s="10"/>
      <c r="Z10" s="31" t="s">
        <v>15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6</v>
      </c>
      <c r="C16" s="25"/>
      <c r="D16" s="20">
        <f>D12-D14</f>
        <v>0</v>
      </c>
      <c r="E16" s="13"/>
      <c r="F16" s="21">
        <f>IF(D$12=0,0,D16/D$12)</f>
        <v>0</v>
      </c>
      <c r="G16" s="13"/>
      <c r="H16" s="20">
        <f>H12-H14</f>
        <v>0</v>
      </c>
      <c r="I16" s="13"/>
      <c r="J16" s="21">
        <f>IF(H$12=0,0,H16/H$12)</f>
        <v>0</v>
      </c>
      <c r="K16" s="15"/>
      <c r="L16" s="20">
        <f>+D16-H16</f>
        <v>0</v>
      </c>
      <c r="M16" s="15"/>
      <c r="N16" s="21">
        <f>IF(H16=0,0,L16/H16)</f>
        <v>0</v>
      </c>
      <c r="O16" s="26"/>
      <c r="P16" s="20">
        <f>P12-P14</f>
        <v>0</v>
      </c>
      <c r="Q16" s="13"/>
      <c r="R16" s="21">
        <f>IF(P$12=0,0,P16/P$12)</f>
        <v>0</v>
      </c>
      <c r="S16" s="13"/>
      <c r="T16" s="20">
        <f>T12-T14</f>
        <v>0</v>
      </c>
      <c r="U16" s="13"/>
      <c r="V16" s="21">
        <f>IF(T$12=0,0,T16/T$12)</f>
        <v>0</v>
      </c>
      <c r="W16" s="15"/>
      <c r="X16" s="20">
        <f>+P16-T16</f>
        <v>0</v>
      </c>
      <c r="Y16" s="15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9</v>
      </c>
      <c r="C18" s="10"/>
      <c r="D18" s="22">
        <f>SUM(OSRRefD22x_0)</f>
        <v>53720.339999999989</v>
      </c>
      <c r="E18" s="22"/>
      <c r="F18" s="36">
        <f t="shared" ref="F18:F29" si="0">IF(D$12=0,0,D18/D$12)</f>
        <v>0</v>
      </c>
      <c r="G18" s="22"/>
      <c r="H18" s="22">
        <f>SUM(OSRRefH22x_0)</f>
        <v>87993.24</v>
      </c>
      <c r="I18" s="22"/>
      <c r="J18" s="36">
        <f t="shared" ref="J18:J29" si="1">IF(H$12=0,0,H18/H$12)</f>
        <v>0</v>
      </c>
      <c r="K18" s="4"/>
      <c r="L18" s="22">
        <f t="shared" ref="L18:L29" si="2">+D18-H18</f>
        <v>-34272.900000000016</v>
      </c>
      <c r="M18" s="4"/>
      <c r="N18" s="36">
        <f t="shared" ref="N18:N29" si="3">IF(H18=0,0,L18/H18)</f>
        <v>-0.38949469300141709</v>
      </c>
      <c r="O18" s="10"/>
      <c r="P18" s="22">
        <f>SUM(OSRRefP22x_0)</f>
        <v>188699.37999999998</v>
      </c>
      <c r="Q18" s="22"/>
      <c r="R18" s="36">
        <f t="shared" ref="R18:R29" si="4">IF(P$12=0,0,P18/P$12)</f>
        <v>0</v>
      </c>
      <c r="S18" s="22"/>
      <c r="T18" s="22">
        <f>SUM(OSRRefT22x_0)</f>
        <v>289587.59000000003</v>
      </c>
      <c r="U18" s="22"/>
      <c r="V18" s="36">
        <f t="shared" ref="V18:V29" si="5">IF(T$12=0,0,T18/T$12)</f>
        <v>0</v>
      </c>
      <c r="W18" s="4"/>
      <c r="X18" s="22">
        <f t="shared" ref="X18:X29" si="6">+P18-T18</f>
        <v>-100888.21000000005</v>
      </c>
      <c r="Y18" s="4"/>
      <c r="Z18" s="36">
        <f t="shared" ref="Z18:Z29" si="7">IF(T18=0,0,X18/T18)</f>
        <v>-0.34838581998627788</v>
      </c>
    </row>
    <row r="19" spans="1:26" s="29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15219.369999999999</v>
      </c>
      <c r="E19" s="1"/>
      <c r="F19" s="5">
        <f t="shared" si="0"/>
        <v>0</v>
      </c>
      <c r="G19" s="1"/>
      <c r="H19" s="1">
        <f>SUM(OSRRefH22_0x_0)</f>
        <v>16253.940000000002</v>
      </c>
      <c r="I19" s="1"/>
      <c r="J19" s="5">
        <f t="shared" si="1"/>
        <v>0</v>
      </c>
      <c r="K19" s="1"/>
      <c r="L19" s="1">
        <f t="shared" si="2"/>
        <v>-1034.5700000000033</v>
      </c>
      <c r="M19" s="1"/>
      <c r="N19" s="5">
        <f t="shared" si="3"/>
        <v>-6.3650413376695331E-2</v>
      </c>
      <c r="O19" s="14"/>
      <c r="P19" s="1">
        <f>SUM(OSRRefP22_0x_0)</f>
        <v>52001.250000000007</v>
      </c>
      <c r="Q19" s="1"/>
      <c r="R19" s="5">
        <f t="shared" si="4"/>
        <v>0</v>
      </c>
      <c r="S19" s="1"/>
      <c r="T19" s="1">
        <f>SUM(OSRRefT22_0x_0)</f>
        <v>57380.279999999984</v>
      </c>
      <c r="U19" s="1"/>
      <c r="V19" s="5">
        <f t="shared" si="5"/>
        <v>0</v>
      </c>
      <c r="W19" s="1"/>
      <c r="X19" s="1">
        <f t="shared" si="6"/>
        <v>-5379.029999999977</v>
      </c>
      <c r="Y19" s="1"/>
      <c r="Z19" s="5">
        <f t="shared" si="7"/>
        <v>-9.3743530007172823E-2</v>
      </c>
    </row>
    <row r="20" spans="1:26" s="24" customFormat="1" hidden="1" outlineLevel="2" x14ac:dyDescent="0.25">
      <c r="A20" s="28"/>
      <c r="B20" s="11" t="str">
        <f>CONCATENATE("          ", "6111", " - ", "F.I.C.A.")</f>
        <v xml:space="preserve">          6111 - F.I.C.A.</v>
      </c>
      <c r="C20" s="11"/>
      <c r="D20" s="6">
        <v>3822.22</v>
      </c>
      <c r="E20" s="2"/>
      <c r="F20" s="7">
        <f t="shared" si="0"/>
        <v>0</v>
      </c>
      <c r="G20" s="2"/>
      <c r="H20" s="6">
        <v>3897.64</v>
      </c>
      <c r="I20" s="2"/>
      <c r="J20" s="7">
        <f t="shared" si="1"/>
        <v>0</v>
      </c>
      <c r="K20" s="2"/>
      <c r="L20" s="6">
        <f t="shared" si="2"/>
        <v>-75.420000000000073</v>
      </c>
      <c r="M20" s="2"/>
      <c r="N20" s="7">
        <f t="shared" si="3"/>
        <v>-1.9350170872630638E-2</v>
      </c>
      <c r="O20" s="11"/>
      <c r="P20" s="6">
        <v>9796.26</v>
      </c>
      <c r="Q20" s="2"/>
      <c r="R20" s="7">
        <f t="shared" si="4"/>
        <v>0</v>
      </c>
      <c r="S20" s="2"/>
      <c r="T20" s="6">
        <v>9118.1299999999992</v>
      </c>
      <c r="U20" s="2"/>
      <c r="V20" s="7">
        <f t="shared" si="5"/>
        <v>0</v>
      </c>
      <c r="W20" s="2"/>
      <c r="X20" s="6">
        <f t="shared" si="6"/>
        <v>678.13000000000102</v>
      </c>
      <c r="Y20" s="2"/>
      <c r="Z20" s="7">
        <f t="shared" si="7"/>
        <v>7.4371609090899238E-2</v>
      </c>
    </row>
    <row r="21" spans="1:26" s="24" customFormat="1" hidden="1" outlineLevel="2" x14ac:dyDescent="0.25">
      <c r="A21" s="28"/>
      <c r="B21" s="11" t="str">
        <f>CONCATENATE("          ", "6112", " - ", "COMPENSATION INSURANCE")</f>
        <v xml:space="preserve">          6112 - COMPENSATION INSURANCE</v>
      </c>
      <c r="C21" s="11"/>
      <c r="D21" s="6">
        <v>84.73</v>
      </c>
      <c r="E21" s="2"/>
      <c r="F21" s="7">
        <f t="shared" si="0"/>
        <v>0</v>
      </c>
      <c r="G21" s="2"/>
      <c r="H21" s="6">
        <v>3.57</v>
      </c>
      <c r="I21" s="2"/>
      <c r="J21" s="7">
        <f t="shared" si="1"/>
        <v>0</v>
      </c>
      <c r="K21" s="2"/>
      <c r="L21" s="6">
        <f t="shared" si="2"/>
        <v>81.160000000000011</v>
      </c>
      <c r="M21" s="2"/>
      <c r="N21" s="7">
        <f t="shared" si="3"/>
        <v>22.733893557422974</v>
      </c>
      <c r="O21" s="11"/>
      <c r="P21" s="6">
        <v>340.44</v>
      </c>
      <c r="Q21" s="2"/>
      <c r="R21" s="7">
        <f t="shared" si="4"/>
        <v>0</v>
      </c>
      <c r="S21" s="2"/>
      <c r="T21" s="6">
        <v>234.94</v>
      </c>
      <c r="U21" s="2"/>
      <c r="V21" s="7">
        <f t="shared" si="5"/>
        <v>0</v>
      </c>
      <c r="W21" s="2"/>
      <c r="X21" s="6">
        <f t="shared" si="6"/>
        <v>105.5</v>
      </c>
      <c r="Y21" s="2"/>
      <c r="Z21" s="7">
        <f t="shared" si="7"/>
        <v>0.44905082148633696</v>
      </c>
    </row>
    <row r="22" spans="1:26" s="24" customFormat="1" hidden="1" outlineLevel="2" x14ac:dyDescent="0.25">
      <c r="A22" s="28"/>
      <c r="B22" s="11" t="str">
        <f>CONCATENATE("          ", "6113", " - ", "GROUP INSURANCE")</f>
        <v xml:space="preserve">          6113 - GROUP INSURANCE</v>
      </c>
      <c r="C22" s="11"/>
      <c r="D22" s="6">
        <v>6091.67</v>
      </c>
      <c r="E22" s="2"/>
      <c r="F22" s="7">
        <f t="shared" si="0"/>
        <v>0</v>
      </c>
      <c r="G22" s="2"/>
      <c r="H22" s="6">
        <v>5861.63</v>
      </c>
      <c r="I22" s="2"/>
      <c r="J22" s="7">
        <f t="shared" si="1"/>
        <v>0</v>
      </c>
      <c r="K22" s="2"/>
      <c r="L22" s="6">
        <f t="shared" si="2"/>
        <v>230.03999999999996</v>
      </c>
      <c r="M22" s="2"/>
      <c r="N22" s="7">
        <f t="shared" si="3"/>
        <v>3.9245056409224051E-2</v>
      </c>
      <c r="O22" s="11"/>
      <c r="P22" s="6">
        <v>24366.68</v>
      </c>
      <c r="Q22" s="2"/>
      <c r="R22" s="7">
        <f t="shared" si="4"/>
        <v>0</v>
      </c>
      <c r="S22" s="2"/>
      <c r="T22" s="6">
        <v>23447.27</v>
      </c>
      <c r="U22" s="2"/>
      <c r="V22" s="7">
        <f t="shared" si="5"/>
        <v>0</v>
      </c>
      <c r="W22" s="2"/>
      <c r="X22" s="6">
        <f t="shared" si="6"/>
        <v>919.40999999999985</v>
      </c>
      <c r="Y22" s="2"/>
      <c r="Z22" s="7">
        <f t="shared" si="7"/>
        <v>3.9211814424451111E-2</v>
      </c>
    </row>
    <row r="23" spans="1:26" s="24" customFormat="1" hidden="1" outlineLevel="2" x14ac:dyDescent="0.25">
      <c r="A23" s="28"/>
      <c r="B23" s="11" t="str">
        <f>CONCATENATE("          ", "6114", " - ", "STATE UNEMPLOYMENT INSURANCE")</f>
        <v xml:space="preserve">          6114 - STATE UNEMPLOYMENT INSURANCE</v>
      </c>
      <c r="C23" s="11"/>
      <c r="D23" s="6">
        <v>66.760000000000005</v>
      </c>
      <c r="E23" s="2"/>
      <c r="F23" s="7">
        <f t="shared" si="0"/>
        <v>0</v>
      </c>
      <c r="G23" s="2"/>
      <c r="H23" s="6">
        <v>101.43</v>
      </c>
      <c r="I23" s="2"/>
      <c r="J23" s="7">
        <f t="shared" si="1"/>
        <v>0</v>
      </c>
      <c r="K23" s="2"/>
      <c r="L23" s="6">
        <f t="shared" si="2"/>
        <v>-34.67</v>
      </c>
      <c r="M23" s="2"/>
      <c r="N23" s="7">
        <f t="shared" si="3"/>
        <v>-0.34181208715370204</v>
      </c>
      <c r="O23" s="11"/>
      <c r="P23" s="6">
        <v>268.23</v>
      </c>
      <c r="Q23" s="2"/>
      <c r="R23" s="7">
        <f t="shared" si="4"/>
        <v>0</v>
      </c>
      <c r="S23" s="2"/>
      <c r="T23" s="6">
        <v>278.36</v>
      </c>
      <c r="U23" s="2"/>
      <c r="V23" s="7">
        <f t="shared" si="5"/>
        <v>0</v>
      </c>
      <c r="W23" s="2"/>
      <c r="X23" s="6">
        <f t="shared" si="6"/>
        <v>-10.129999999999995</v>
      </c>
      <c r="Y23" s="2"/>
      <c r="Z23" s="7">
        <f t="shared" si="7"/>
        <v>-3.6391722948699509E-2</v>
      </c>
    </row>
    <row r="24" spans="1:26" s="24" customFormat="1" hidden="1" outlineLevel="2" x14ac:dyDescent="0.25">
      <c r="A24" s="28"/>
      <c r="B24" s="11" t="str">
        <f>CONCATENATE("          ", "6115", " - ", "P.E.R.S.")</f>
        <v xml:space="preserve">          6115 - P.E.R.S.</v>
      </c>
      <c r="C24" s="11"/>
      <c r="D24" s="6">
        <v>1091.48</v>
      </c>
      <c r="E24" s="2"/>
      <c r="F24" s="7">
        <f t="shared" si="0"/>
        <v>0</v>
      </c>
      <c r="G24" s="2"/>
      <c r="H24" s="6">
        <v>2443.29</v>
      </c>
      <c r="I24" s="2"/>
      <c r="J24" s="7">
        <f t="shared" si="1"/>
        <v>0</v>
      </c>
      <c r="K24" s="2"/>
      <c r="L24" s="6">
        <f t="shared" si="2"/>
        <v>-1351.81</v>
      </c>
      <c r="M24" s="2"/>
      <c r="N24" s="7">
        <f t="shared" si="3"/>
        <v>-0.55327447826496234</v>
      </c>
      <c r="O24" s="11"/>
      <c r="P24" s="6">
        <v>4911.66</v>
      </c>
      <c r="Q24" s="2"/>
      <c r="R24" s="7">
        <f t="shared" si="4"/>
        <v>0</v>
      </c>
      <c r="S24" s="2"/>
      <c r="T24" s="6">
        <v>5201.49</v>
      </c>
      <c r="U24" s="2"/>
      <c r="V24" s="7">
        <f t="shared" si="5"/>
        <v>0</v>
      </c>
      <c r="W24" s="2"/>
      <c r="X24" s="6">
        <f t="shared" si="6"/>
        <v>-289.82999999999993</v>
      </c>
      <c r="Y24" s="2"/>
      <c r="Z24" s="7">
        <f t="shared" si="7"/>
        <v>-5.5720572374454234E-2</v>
      </c>
    </row>
    <row r="25" spans="1:26" s="24" customFormat="1" hidden="1" outlineLevel="2" x14ac:dyDescent="0.25">
      <c r="A25" s="28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/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1971.94</v>
      </c>
      <c r="U25" s="2"/>
      <c r="V25" s="7">
        <f t="shared" si="5"/>
        <v>0</v>
      </c>
      <c r="W25" s="2"/>
      <c r="X25" s="6">
        <f t="shared" si="6"/>
        <v>-1971.94</v>
      </c>
      <c r="Y25" s="2"/>
      <c r="Z25" s="7">
        <f t="shared" si="7"/>
        <v>-1</v>
      </c>
    </row>
    <row r="26" spans="1:26" s="24" customFormat="1" hidden="1" outlineLevel="2" x14ac:dyDescent="0.25">
      <c r="A26" s="28"/>
      <c r="B26" s="11" t="str">
        <f>CONCATENATE("          ", "6117", " - ", "RETIREMENT STAFF HOURLY")</f>
        <v xml:space="preserve">          6117 - RETIREMENT STAFF HOURLY</v>
      </c>
      <c r="C26" s="11"/>
      <c r="D26" s="6">
        <v>592.51</v>
      </c>
      <c r="E26" s="2"/>
      <c r="F26" s="7">
        <f t="shared" si="0"/>
        <v>0</v>
      </c>
      <c r="G26" s="2"/>
      <c r="H26" s="6">
        <v>480.59</v>
      </c>
      <c r="I26" s="2"/>
      <c r="J26" s="7">
        <f t="shared" si="1"/>
        <v>0</v>
      </c>
      <c r="K26" s="2"/>
      <c r="L26" s="6">
        <f t="shared" si="2"/>
        <v>111.92000000000002</v>
      </c>
      <c r="M26" s="2"/>
      <c r="N26" s="7">
        <f t="shared" si="3"/>
        <v>0.23288041781976326</v>
      </c>
      <c r="O26" s="11"/>
      <c r="P26" s="6">
        <v>2669.64</v>
      </c>
      <c r="Q26" s="2"/>
      <c r="R26" s="7">
        <f t="shared" si="4"/>
        <v>0</v>
      </c>
      <c r="S26" s="2"/>
      <c r="T26" s="6">
        <v>1979.52</v>
      </c>
      <c r="U26" s="2"/>
      <c r="V26" s="7">
        <f t="shared" si="5"/>
        <v>0</v>
      </c>
      <c r="W26" s="2"/>
      <c r="X26" s="6">
        <f t="shared" si="6"/>
        <v>690.11999999999989</v>
      </c>
      <c r="Y26" s="2"/>
      <c r="Z26" s="7">
        <f t="shared" si="7"/>
        <v>0.34862997090203679</v>
      </c>
    </row>
    <row r="27" spans="1:26" s="24" customFormat="1" hidden="1" outlineLevel="2" x14ac:dyDescent="0.25">
      <c r="A27" s="28"/>
      <c r="B27" s="11" t="str">
        <f>CONCATENATE("          ", "6118", " - ", "VACATION")</f>
        <v xml:space="preserve">          6118 - VACATION</v>
      </c>
      <c r="C27" s="11"/>
      <c r="D27" s="6">
        <v>2089.0500000000002</v>
      </c>
      <c r="E27" s="2"/>
      <c r="F27" s="7">
        <f t="shared" si="0"/>
        <v>0</v>
      </c>
      <c r="G27" s="2"/>
      <c r="H27" s="6">
        <v>1802.73</v>
      </c>
      <c r="I27" s="2"/>
      <c r="J27" s="7">
        <f t="shared" si="1"/>
        <v>0</v>
      </c>
      <c r="K27" s="2"/>
      <c r="L27" s="6">
        <f t="shared" si="2"/>
        <v>286.32000000000016</v>
      </c>
      <c r="M27" s="2"/>
      <c r="N27" s="7">
        <f t="shared" si="3"/>
        <v>0.15882578089896998</v>
      </c>
      <c r="O27" s="11"/>
      <c r="P27" s="6">
        <v>5428.58</v>
      </c>
      <c r="Q27" s="2"/>
      <c r="R27" s="7">
        <f t="shared" si="4"/>
        <v>0</v>
      </c>
      <c r="S27" s="2"/>
      <c r="T27" s="6">
        <v>8606.2000000000007</v>
      </c>
      <c r="U27" s="2"/>
      <c r="V27" s="7">
        <f t="shared" si="5"/>
        <v>0</v>
      </c>
      <c r="W27" s="2"/>
      <c r="X27" s="6">
        <f t="shared" si="6"/>
        <v>-3177.6200000000008</v>
      </c>
      <c r="Y27" s="2"/>
      <c r="Z27" s="7">
        <f t="shared" si="7"/>
        <v>-0.36922451256071209</v>
      </c>
    </row>
    <row r="28" spans="1:26" s="24" customFormat="1" hidden="1" outlineLevel="2" x14ac:dyDescent="0.25">
      <c r="A28" s="28"/>
      <c r="B28" s="11" t="str">
        <f>CONCATENATE("          ", "6119", " - ", "SICK LEAVE")</f>
        <v xml:space="preserve">          6119 - SICK LEAVE</v>
      </c>
      <c r="C28" s="11"/>
      <c r="D28" s="6">
        <v>1362.18</v>
      </c>
      <c r="E28" s="2"/>
      <c r="F28" s="7">
        <f t="shared" si="0"/>
        <v>0</v>
      </c>
      <c r="G28" s="2"/>
      <c r="H28" s="6">
        <v>1288.8599999999999</v>
      </c>
      <c r="I28" s="2"/>
      <c r="J28" s="7">
        <f t="shared" si="1"/>
        <v>0</v>
      </c>
      <c r="K28" s="2"/>
      <c r="L28" s="6">
        <f t="shared" si="2"/>
        <v>73.320000000000164</v>
      </c>
      <c r="M28" s="2"/>
      <c r="N28" s="7">
        <f t="shared" si="3"/>
        <v>5.6887481960802698E-2</v>
      </c>
      <c r="O28" s="11"/>
      <c r="P28" s="6">
        <v>4086.54</v>
      </c>
      <c r="Q28" s="2"/>
      <c r="R28" s="7">
        <f t="shared" si="4"/>
        <v>0</v>
      </c>
      <c r="S28" s="2"/>
      <c r="T28" s="6">
        <v>5036.2299999999996</v>
      </c>
      <c r="U28" s="2"/>
      <c r="V28" s="7">
        <f t="shared" si="5"/>
        <v>0</v>
      </c>
      <c r="W28" s="2"/>
      <c r="X28" s="6">
        <f t="shared" si="6"/>
        <v>-949.6899999999996</v>
      </c>
      <c r="Y28" s="2"/>
      <c r="Z28" s="7">
        <f t="shared" si="7"/>
        <v>-0.18857161011312026</v>
      </c>
    </row>
    <row r="29" spans="1:26" s="24" customFormat="1" hidden="1" outlineLevel="2" x14ac:dyDescent="0.25">
      <c r="A29" s="28"/>
      <c r="B29" s="11" t="str">
        <f>CONCATENATE("          ", "6156", " - ", "EMPLOYEE MEALS")</f>
        <v xml:space="preserve">          6156 - EMPLOYEE MEALS</v>
      </c>
      <c r="C29" s="11"/>
      <c r="D29" s="6">
        <v>18.77</v>
      </c>
      <c r="E29" s="2"/>
      <c r="F29" s="7">
        <f t="shared" si="0"/>
        <v>0</v>
      </c>
      <c r="G29" s="2"/>
      <c r="H29" s="6">
        <v>374.2</v>
      </c>
      <c r="I29" s="2"/>
      <c r="J29" s="7">
        <f t="shared" si="1"/>
        <v>0</v>
      </c>
      <c r="K29" s="2"/>
      <c r="L29" s="6">
        <f t="shared" si="2"/>
        <v>-355.43</v>
      </c>
      <c r="M29" s="2"/>
      <c r="N29" s="7">
        <f t="shared" si="3"/>
        <v>-0.94983965793693215</v>
      </c>
      <c r="O29" s="11"/>
      <c r="P29" s="6">
        <v>133.22</v>
      </c>
      <c r="Q29" s="2"/>
      <c r="R29" s="7">
        <f t="shared" si="4"/>
        <v>0</v>
      </c>
      <c r="S29" s="2"/>
      <c r="T29" s="6">
        <v>1506.2</v>
      </c>
      <c r="U29" s="2"/>
      <c r="V29" s="7">
        <f t="shared" si="5"/>
        <v>0</v>
      </c>
      <c r="W29" s="2"/>
      <c r="X29" s="6">
        <f t="shared" si="6"/>
        <v>-1372.98</v>
      </c>
      <c r="Y29" s="2"/>
      <c r="Z29" s="7">
        <f t="shared" si="7"/>
        <v>-0.91155225069711854</v>
      </c>
    </row>
    <row r="30" spans="1:26" s="29" customFormat="1" outlineLevel="1" collapsed="1" x14ac:dyDescent="0.25">
      <c r="A30" s="27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31051.64</v>
      </c>
      <c r="E30" s="1"/>
      <c r="F30" s="5">
        <f t="shared" ref="F30:F34" si="8">IF(D$12=0,0,D30/D$12)</f>
        <v>0</v>
      </c>
      <c r="G30" s="1"/>
      <c r="H30" s="1">
        <f>SUM(OSRRefH22_1x_0)</f>
        <v>27948.199999999997</v>
      </c>
      <c r="I30" s="1"/>
      <c r="J30" s="5">
        <f t="shared" ref="J30:J34" si="9">IF(H$12=0,0,H30/H$12)</f>
        <v>0</v>
      </c>
      <c r="K30" s="1"/>
      <c r="L30" s="1">
        <f t="shared" ref="L30:L34" si="10">+D30-H30</f>
        <v>3103.4400000000023</v>
      </c>
      <c r="M30" s="1"/>
      <c r="N30" s="5">
        <f t="shared" ref="N30:N34" si="11">IF(H30=0,0,L30/H30)</f>
        <v>0.11104257161463002</v>
      </c>
      <c r="O30" s="14"/>
      <c r="P30" s="1">
        <f>SUM(OSRRefP22_1x_0)</f>
        <v>112402.71</v>
      </c>
      <c r="Q30" s="1"/>
      <c r="R30" s="5">
        <f t="shared" ref="R30:R34" si="12">IF(P$12=0,0,P30/P$12)</f>
        <v>0</v>
      </c>
      <c r="S30" s="1"/>
      <c r="T30" s="1">
        <f>SUM(OSRRefT22_1x_0)</f>
        <v>97909.51999999999</v>
      </c>
      <c r="U30" s="1"/>
      <c r="V30" s="5">
        <f t="shared" ref="V30:V34" si="13">IF(T$12=0,0,T30/T$12)</f>
        <v>0</v>
      </c>
      <c r="W30" s="1"/>
      <c r="X30" s="1">
        <f t="shared" ref="X30:X34" si="14">+P30-T30</f>
        <v>14493.190000000017</v>
      </c>
      <c r="Y30" s="1"/>
      <c r="Z30" s="5">
        <f t="shared" ref="Z30:Z34" si="15">IF(T30=0,0,X30/T30)</f>
        <v>0.14802636148149861</v>
      </c>
    </row>
    <row r="31" spans="1:26" s="24" customFormat="1" hidden="1" outlineLevel="2" x14ac:dyDescent="0.25">
      <c r="A31" s="28"/>
      <c r="B31" s="11" t="str">
        <f>CONCATENATE("          ", "6001", " - ", "ADMINISTRATIVE SALARIES")</f>
        <v xml:space="preserve">          6001 - ADMINISTRATIVE SALARIES</v>
      </c>
      <c r="C31" s="11"/>
      <c r="D31" s="6">
        <v>11378.56</v>
      </c>
      <c r="E31" s="2"/>
      <c r="F31" s="7">
        <f t="shared" si="8"/>
        <v>0</v>
      </c>
      <c r="G31" s="2"/>
      <c r="H31" s="6">
        <v>9894.4599999999991</v>
      </c>
      <c r="I31" s="2"/>
      <c r="J31" s="7">
        <f t="shared" si="9"/>
        <v>0</v>
      </c>
      <c r="K31" s="2"/>
      <c r="L31" s="6">
        <f t="shared" si="10"/>
        <v>1484.1000000000004</v>
      </c>
      <c r="M31" s="2"/>
      <c r="N31" s="7">
        <f t="shared" si="11"/>
        <v>0.14999302640063233</v>
      </c>
      <c r="O31" s="11"/>
      <c r="P31" s="6">
        <v>41062.94</v>
      </c>
      <c r="Q31" s="2"/>
      <c r="R31" s="7">
        <f t="shared" si="12"/>
        <v>0</v>
      </c>
      <c r="S31" s="2"/>
      <c r="T31" s="6">
        <v>35980.639999999999</v>
      </c>
      <c r="U31" s="2"/>
      <c r="V31" s="7">
        <f t="shared" si="13"/>
        <v>0</v>
      </c>
      <c r="W31" s="2"/>
      <c r="X31" s="6">
        <f t="shared" si="14"/>
        <v>5082.3000000000029</v>
      </c>
      <c r="Y31" s="2"/>
      <c r="Z31" s="7">
        <f t="shared" si="15"/>
        <v>0.14125096162825351</v>
      </c>
    </row>
    <row r="32" spans="1:26" s="24" customFormat="1" hidden="1" outlineLevel="2" x14ac:dyDescent="0.25">
      <c r="A32" s="28"/>
      <c r="B32" s="11" t="str">
        <f>CONCATENATE("          ", "6004", " - ", "STAFF HOURLY")</f>
        <v xml:space="preserve">          6004 - STAFF HOURLY</v>
      </c>
      <c r="C32" s="11"/>
      <c r="D32" s="6">
        <v>14614.27</v>
      </c>
      <c r="E32" s="2"/>
      <c r="F32" s="7">
        <f t="shared" si="8"/>
        <v>0</v>
      </c>
      <c r="G32" s="2"/>
      <c r="H32" s="6">
        <v>14041.64</v>
      </c>
      <c r="I32" s="2"/>
      <c r="J32" s="7">
        <f t="shared" si="9"/>
        <v>0</v>
      </c>
      <c r="K32" s="2"/>
      <c r="L32" s="6">
        <f t="shared" si="10"/>
        <v>572.63000000000102</v>
      </c>
      <c r="M32" s="2"/>
      <c r="N32" s="7">
        <f t="shared" si="11"/>
        <v>4.0780848960662787E-2</v>
      </c>
      <c r="O32" s="11"/>
      <c r="P32" s="6">
        <v>44949.760000000002</v>
      </c>
      <c r="Q32" s="2"/>
      <c r="R32" s="7">
        <f t="shared" si="12"/>
        <v>0</v>
      </c>
      <c r="S32" s="2"/>
      <c r="T32" s="6">
        <v>39560.559999999998</v>
      </c>
      <c r="U32" s="2"/>
      <c r="V32" s="7">
        <f t="shared" si="13"/>
        <v>0</v>
      </c>
      <c r="W32" s="2"/>
      <c r="X32" s="6">
        <f t="shared" si="14"/>
        <v>5389.2000000000044</v>
      </c>
      <c r="Y32" s="2"/>
      <c r="Z32" s="7">
        <f t="shared" si="15"/>
        <v>0.13622658526572942</v>
      </c>
    </row>
    <row r="33" spans="1:26" s="24" customFormat="1" hidden="1" outlineLevel="2" x14ac:dyDescent="0.25">
      <c r="A33" s="28"/>
      <c r="B33" s="11" t="str">
        <f>CONCATENATE("          ", "6005", " - ", "TEMPORARY WAGES-HOURLY")</f>
        <v xml:space="preserve">          6005 - TEMPORARY WAGES-HOURLY</v>
      </c>
      <c r="C33" s="11"/>
      <c r="D33" s="6">
        <v>8764.81</v>
      </c>
      <c r="E33" s="2"/>
      <c r="F33" s="7">
        <f t="shared" si="8"/>
        <v>0</v>
      </c>
      <c r="G33" s="2"/>
      <c r="H33" s="6">
        <v>7854.1</v>
      </c>
      <c r="I33" s="2"/>
      <c r="J33" s="7">
        <f t="shared" si="9"/>
        <v>0</v>
      </c>
      <c r="K33" s="2"/>
      <c r="L33" s="6">
        <f t="shared" si="10"/>
        <v>910.70999999999913</v>
      </c>
      <c r="M33" s="2"/>
      <c r="N33" s="7">
        <f t="shared" si="11"/>
        <v>0.1159534510637755</v>
      </c>
      <c r="O33" s="11"/>
      <c r="P33" s="6">
        <v>26390.01</v>
      </c>
      <c r="Q33" s="2"/>
      <c r="R33" s="7">
        <f t="shared" si="12"/>
        <v>0</v>
      </c>
      <c r="S33" s="2"/>
      <c r="T33" s="6">
        <v>22368.32</v>
      </c>
      <c r="U33" s="2"/>
      <c r="V33" s="7">
        <f t="shared" si="13"/>
        <v>0</v>
      </c>
      <c r="W33" s="2"/>
      <c r="X33" s="6">
        <f t="shared" si="14"/>
        <v>4021.6899999999987</v>
      </c>
      <c r="Y33" s="2"/>
      <c r="Z33" s="7">
        <f t="shared" si="15"/>
        <v>0.17979401224589056</v>
      </c>
    </row>
    <row r="34" spans="1:26" s="24" customFormat="1" hidden="1" outlineLevel="2" x14ac:dyDescent="0.25">
      <c r="A34" s="28"/>
      <c r="B34" s="11" t="str">
        <f>CONCATENATE("          ", "6007", " - ", "STUDENT HOURLY")</f>
        <v xml:space="preserve">          6007 - STUDENT HOURLY</v>
      </c>
      <c r="C34" s="11"/>
      <c r="D34" s="6">
        <v>-3706</v>
      </c>
      <c r="E34" s="2"/>
      <c r="F34" s="7">
        <f t="shared" si="8"/>
        <v>0</v>
      </c>
      <c r="G34" s="2"/>
      <c r="H34" s="6">
        <v>-3842</v>
      </c>
      <c r="I34" s="2"/>
      <c r="J34" s="7">
        <f t="shared" si="9"/>
        <v>0</v>
      </c>
      <c r="K34" s="2"/>
      <c r="L34" s="6">
        <f t="shared" si="10"/>
        <v>136</v>
      </c>
      <c r="M34" s="2"/>
      <c r="N34" s="7">
        <f t="shared" si="11"/>
        <v>-3.5398230088495575E-2</v>
      </c>
      <c r="O34" s="11"/>
      <c r="P34" s="6">
        <v>0</v>
      </c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0</v>
      </c>
      <c r="Y34" s="2"/>
      <c r="Z34" s="7">
        <f t="shared" si="15"/>
        <v>0</v>
      </c>
    </row>
    <row r="35" spans="1:26" s="29" customFormat="1" outlineLevel="1" collapsed="1" x14ac:dyDescent="0.25">
      <c r="A35" s="27"/>
      <c r="B35" s="14" t="str">
        <f>CONCATENATE("     ","Advertising/Promo                                 ")</f>
        <v xml:space="preserve">     Advertising/Promo                                 </v>
      </c>
      <c r="C35" s="14"/>
      <c r="D35" s="1">
        <f>SUM(OSRRefD22_2x_0)</f>
        <v>0</v>
      </c>
      <c r="E35" s="1"/>
      <c r="F35" s="5">
        <f t="shared" ref="F35:F51" si="16">IF(D$12=0,0,D35/D$12)</f>
        <v>0</v>
      </c>
      <c r="G35" s="1"/>
      <c r="H35" s="1">
        <f>SUM(OSRRefH22_2x_0)</f>
        <v>461.5</v>
      </c>
      <c r="I35" s="1"/>
      <c r="J35" s="5">
        <f t="shared" ref="J35:J51" si="17">IF(H$12=0,0,H35/H$12)</f>
        <v>0</v>
      </c>
      <c r="K35" s="1"/>
      <c r="L35" s="1">
        <f t="shared" ref="L35:L51" si="18">+D35-H35</f>
        <v>-461.5</v>
      </c>
      <c r="M35" s="1"/>
      <c r="N35" s="5">
        <f t="shared" ref="N35:N51" si="19">IF(H35=0,0,L35/H35)</f>
        <v>-1</v>
      </c>
      <c r="O35" s="14"/>
      <c r="P35" s="1">
        <f>SUM(OSRRefP22_2x_0)</f>
        <v>0</v>
      </c>
      <c r="Q35" s="1"/>
      <c r="R35" s="5">
        <f t="shared" ref="R35:R51" si="20">IF(P$12=0,0,P35/P$12)</f>
        <v>0</v>
      </c>
      <c r="S35" s="1"/>
      <c r="T35" s="1">
        <f>SUM(OSRRefT22_2x_0)</f>
        <v>1050.24</v>
      </c>
      <c r="U35" s="1"/>
      <c r="V35" s="5">
        <f t="shared" ref="V35:V51" si="21">IF(T$12=0,0,T35/T$12)</f>
        <v>0</v>
      </c>
      <c r="W35" s="1"/>
      <c r="X35" s="1">
        <f t="shared" ref="X35:X51" si="22">+P35-T35</f>
        <v>-1050.24</v>
      </c>
      <c r="Y35" s="1"/>
      <c r="Z35" s="5">
        <f t="shared" ref="Z35:Z51" si="23">IF(T35=0,0,X35/T35)</f>
        <v>-1</v>
      </c>
    </row>
    <row r="36" spans="1:26" s="24" customFormat="1" hidden="1" outlineLevel="2" x14ac:dyDescent="0.25">
      <c r="A36" s="28"/>
      <c r="B36" s="11" t="str">
        <f>CONCATENATE("          ", "6362", " - ", "ADVERTISING EXPENSE")</f>
        <v xml:space="preserve">          6362 - ADVERTISING EXPENSE</v>
      </c>
      <c r="C36" s="11"/>
      <c r="D36" s="6"/>
      <c r="E36" s="2"/>
      <c r="F36" s="7">
        <f t="shared" si="16"/>
        <v>0</v>
      </c>
      <c r="G36" s="2"/>
      <c r="H36" s="6">
        <v>461.5</v>
      </c>
      <c r="I36" s="2"/>
      <c r="J36" s="7">
        <f t="shared" si="17"/>
        <v>0</v>
      </c>
      <c r="K36" s="2"/>
      <c r="L36" s="6">
        <f t="shared" si="18"/>
        <v>-461.5</v>
      </c>
      <c r="M36" s="2"/>
      <c r="N36" s="7">
        <f t="shared" si="19"/>
        <v>-1</v>
      </c>
      <c r="O36" s="11"/>
      <c r="P36" s="6"/>
      <c r="Q36" s="2"/>
      <c r="R36" s="7">
        <f t="shared" si="20"/>
        <v>0</v>
      </c>
      <c r="S36" s="2"/>
      <c r="T36" s="6">
        <v>1050.24</v>
      </c>
      <c r="U36" s="2"/>
      <c r="V36" s="7">
        <f t="shared" si="21"/>
        <v>0</v>
      </c>
      <c r="W36" s="2"/>
      <c r="X36" s="6">
        <f t="shared" si="22"/>
        <v>-1050.24</v>
      </c>
      <c r="Y36" s="2"/>
      <c r="Z36" s="7">
        <f t="shared" si="23"/>
        <v>-1</v>
      </c>
    </row>
    <row r="37" spans="1:26" s="29" customFormat="1" outlineLevel="1" collapsed="1" x14ac:dyDescent="0.25">
      <c r="A37" s="27"/>
      <c r="B37" s="14" t="str">
        <f>CONCATENATE("     ","Depreciation                                      ")</f>
        <v xml:space="preserve">     Depreciation                                      </v>
      </c>
      <c r="C37" s="14"/>
      <c r="D37" s="1">
        <f>SUM(OSRRefD22_3x_0)</f>
        <v>0</v>
      </c>
      <c r="E37" s="1"/>
      <c r="F37" s="5">
        <f t="shared" si="16"/>
        <v>0</v>
      </c>
      <c r="G37" s="1"/>
      <c r="H37" s="1">
        <f>SUM(OSRRefH22_3x_0)</f>
        <v>224.18</v>
      </c>
      <c r="I37" s="1"/>
      <c r="J37" s="5">
        <f t="shared" si="17"/>
        <v>0</v>
      </c>
      <c r="K37" s="1"/>
      <c r="L37" s="1">
        <f t="shared" si="18"/>
        <v>-224.18</v>
      </c>
      <c r="M37" s="1"/>
      <c r="N37" s="5">
        <f t="shared" si="19"/>
        <v>-1</v>
      </c>
      <c r="O37" s="14"/>
      <c r="P37" s="1">
        <f>SUM(OSRRefP22_3x_0)</f>
        <v>0</v>
      </c>
      <c r="Q37" s="1"/>
      <c r="R37" s="5">
        <f t="shared" si="20"/>
        <v>0</v>
      </c>
      <c r="S37" s="1"/>
      <c r="T37" s="1">
        <f>SUM(OSRRefT22_3x_0)</f>
        <v>896.72</v>
      </c>
      <c r="U37" s="1"/>
      <c r="V37" s="5">
        <f t="shared" si="21"/>
        <v>0</v>
      </c>
      <c r="W37" s="1"/>
      <c r="X37" s="1">
        <f t="shared" si="22"/>
        <v>-896.72</v>
      </c>
      <c r="Y37" s="1"/>
      <c r="Z37" s="5">
        <f t="shared" si="23"/>
        <v>-1</v>
      </c>
    </row>
    <row r="38" spans="1:26" s="24" customFormat="1" hidden="1" outlineLevel="2" x14ac:dyDescent="0.25">
      <c r="A38" s="28"/>
      <c r="B38" s="11" t="str">
        <f>CONCATENATE("          ", "6322", " - ", "EQUIPMENT DEPRECIATION EXPENSE")</f>
        <v xml:space="preserve">          6322 - EQUIPMENT DEPRECIATION EXPENSE</v>
      </c>
      <c r="C38" s="11"/>
      <c r="D38" s="6"/>
      <c r="E38" s="2"/>
      <c r="F38" s="7">
        <f t="shared" si="16"/>
        <v>0</v>
      </c>
      <c r="G38" s="2"/>
      <c r="H38" s="6">
        <v>224.18</v>
      </c>
      <c r="I38" s="2"/>
      <c r="J38" s="7">
        <f t="shared" si="17"/>
        <v>0</v>
      </c>
      <c r="K38" s="2"/>
      <c r="L38" s="6">
        <f t="shared" si="18"/>
        <v>-224.18</v>
      </c>
      <c r="M38" s="2"/>
      <c r="N38" s="7">
        <f t="shared" si="19"/>
        <v>-1</v>
      </c>
      <c r="O38" s="11"/>
      <c r="P38" s="6"/>
      <c r="Q38" s="2"/>
      <c r="R38" s="7">
        <f t="shared" si="20"/>
        <v>0</v>
      </c>
      <c r="S38" s="2"/>
      <c r="T38" s="6">
        <v>896.72</v>
      </c>
      <c r="U38" s="2"/>
      <c r="V38" s="7">
        <f t="shared" si="21"/>
        <v>0</v>
      </c>
      <c r="W38" s="2"/>
      <c r="X38" s="6">
        <f t="shared" si="22"/>
        <v>-896.72</v>
      </c>
      <c r="Y38" s="2"/>
      <c r="Z38" s="7">
        <f t="shared" si="23"/>
        <v>-1</v>
      </c>
    </row>
    <row r="39" spans="1:26" s="29" customFormat="1" outlineLevel="1" collapsed="1" x14ac:dyDescent="0.25">
      <c r="A39" s="27"/>
      <c r="B39" s="14" t="str">
        <f>CONCATENATE("     ","Employees' Appreciation                           ")</f>
        <v xml:space="preserve">     Employees' Appreciation                           </v>
      </c>
      <c r="C39" s="14"/>
      <c r="D39" s="1">
        <f>SUM(OSRRefD22_4x_0)</f>
        <v>0</v>
      </c>
      <c r="E39" s="1"/>
      <c r="F39" s="5">
        <f t="shared" si="16"/>
        <v>0</v>
      </c>
      <c r="G39" s="1"/>
      <c r="H39" s="1">
        <f>SUM(OSRRefH22_4x_0)</f>
        <v>264</v>
      </c>
      <c r="I39" s="1"/>
      <c r="J39" s="5">
        <f t="shared" si="17"/>
        <v>0</v>
      </c>
      <c r="K39" s="1"/>
      <c r="L39" s="1">
        <f t="shared" si="18"/>
        <v>-264</v>
      </c>
      <c r="M39" s="1"/>
      <c r="N39" s="5">
        <f t="shared" si="19"/>
        <v>-1</v>
      </c>
      <c r="O39" s="14"/>
      <c r="P39" s="1">
        <f>SUM(OSRRefP22_4x_0)</f>
        <v>81.56</v>
      </c>
      <c r="Q39" s="1"/>
      <c r="R39" s="5">
        <f t="shared" si="20"/>
        <v>0</v>
      </c>
      <c r="S39" s="1"/>
      <c r="T39" s="1">
        <f>SUM(OSRRefT22_4x_0)</f>
        <v>11829.12</v>
      </c>
      <c r="U39" s="1"/>
      <c r="V39" s="5">
        <f t="shared" si="21"/>
        <v>0</v>
      </c>
      <c r="W39" s="1"/>
      <c r="X39" s="1">
        <f t="shared" si="22"/>
        <v>-11747.560000000001</v>
      </c>
      <c r="Y39" s="1"/>
      <c r="Z39" s="5">
        <f t="shared" si="23"/>
        <v>-0.9931051506790024</v>
      </c>
    </row>
    <row r="40" spans="1:26" s="24" customFormat="1" hidden="1" outlineLevel="2" x14ac:dyDescent="0.25">
      <c r="A40" s="28"/>
      <c r="B40" s="11" t="str">
        <f>CONCATENATE("          ", "6277", " - ", "EMPLOYEE APPRECIATION")</f>
        <v xml:space="preserve">          6277 - EMPLOYEE APPRECIATION</v>
      </c>
      <c r="C40" s="11"/>
      <c r="D40" s="6"/>
      <c r="E40" s="2"/>
      <c r="F40" s="7">
        <f t="shared" si="16"/>
        <v>0</v>
      </c>
      <c r="G40" s="2"/>
      <c r="H40" s="6">
        <v>264</v>
      </c>
      <c r="I40" s="2"/>
      <c r="J40" s="7">
        <f t="shared" si="17"/>
        <v>0</v>
      </c>
      <c r="K40" s="2"/>
      <c r="L40" s="6">
        <f t="shared" si="18"/>
        <v>-264</v>
      </c>
      <c r="M40" s="2"/>
      <c r="N40" s="7">
        <f t="shared" si="19"/>
        <v>-1</v>
      </c>
      <c r="O40" s="11"/>
      <c r="P40" s="6">
        <v>81.56</v>
      </c>
      <c r="Q40" s="2"/>
      <c r="R40" s="7">
        <f t="shared" si="20"/>
        <v>0</v>
      </c>
      <c r="S40" s="2"/>
      <c r="T40" s="6">
        <v>11829.12</v>
      </c>
      <c r="U40" s="2"/>
      <c r="V40" s="7">
        <f t="shared" si="21"/>
        <v>0</v>
      </c>
      <c r="W40" s="2"/>
      <c r="X40" s="6">
        <f t="shared" si="22"/>
        <v>-11747.560000000001</v>
      </c>
      <c r="Y40" s="2"/>
      <c r="Z40" s="7">
        <f t="shared" si="23"/>
        <v>-0.9931051506790024</v>
      </c>
    </row>
    <row r="41" spans="1:26" s="29" customFormat="1" outlineLevel="1" collapsed="1" x14ac:dyDescent="0.25">
      <c r="A41" s="27"/>
      <c r="B41" s="14" t="str">
        <f>CONCATENATE("     ","Equipment Rental                                  ")</f>
        <v xml:space="preserve">     Equipment Rental                                  </v>
      </c>
      <c r="C41" s="14"/>
      <c r="D41" s="1">
        <f>SUM(OSRRefD22_5x_0)</f>
        <v>0</v>
      </c>
      <c r="E41" s="1"/>
      <c r="F41" s="5">
        <f t="shared" si="16"/>
        <v>0</v>
      </c>
      <c r="G41" s="1"/>
      <c r="H41" s="1">
        <f>SUM(OSRRefH22_5x_0)</f>
        <v>0</v>
      </c>
      <c r="I41" s="1"/>
      <c r="J41" s="5">
        <f t="shared" si="17"/>
        <v>0</v>
      </c>
      <c r="K41" s="1"/>
      <c r="L41" s="1">
        <f t="shared" si="18"/>
        <v>0</v>
      </c>
      <c r="M41" s="1"/>
      <c r="N41" s="5">
        <f t="shared" si="19"/>
        <v>0</v>
      </c>
      <c r="O41" s="14"/>
      <c r="P41" s="1">
        <f>SUM(OSRRefP22_5x_0)</f>
        <v>0</v>
      </c>
      <c r="Q41" s="1"/>
      <c r="R41" s="5">
        <f t="shared" si="20"/>
        <v>0</v>
      </c>
      <c r="S41" s="1"/>
      <c r="T41" s="1">
        <f>SUM(OSRRefT22_5x_0)</f>
        <v>273.77999999999997</v>
      </c>
      <c r="U41" s="1"/>
      <c r="V41" s="5">
        <f t="shared" si="21"/>
        <v>0</v>
      </c>
      <c r="W41" s="1"/>
      <c r="X41" s="1">
        <f t="shared" si="22"/>
        <v>-273.77999999999997</v>
      </c>
      <c r="Y41" s="1"/>
      <c r="Z41" s="5">
        <f t="shared" si="23"/>
        <v>-1</v>
      </c>
    </row>
    <row r="42" spans="1:26" s="24" customFormat="1" hidden="1" outlineLevel="2" x14ac:dyDescent="0.25">
      <c r="A42" s="28"/>
      <c r="B42" s="11" t="str">
        <f>CONCATENATE("          ", "6351", " - ", "EQUIPMENT RENTAL")</f>
        <v xml:space="preserve">          6351 - EQUIPMENT RENTAL</v>
      </c>
      <c r="C42" s="11"/>
      <c r="D42" s="6"/>
      <c r="E42" s="2"/>
      <c r="F42" s="7">
        <f t="shared" si="16"/>
        <v>0</v>
      </c>
      <c r="G42" s="2"/>
      <c r="H42" s="6"/>
      <c r="I42" s="2"/>
      <c r="J42" s="7">
        <f t="shared" si="17"/>
        <v>0</v>
      </c>
      <c r="K42" s="2"/>
      <c r="L42" s="6">
        <f t="shared" si="18"/>
        <v>0</v>
      </c>
      <c r="M42" s="2"/>
      <c r="N42" s="7">
        <f t="shared" si="19"/>
        <v>0</v>
      </c>
      <c r="O42" s="11"/>
      <c r="P42" s="6"/>
      <c r="Q42" s="2"/>
      <c r="R42" s="7">
        <f t="shared" si="20"/>
        <v>0</v>
      </c>
      <c r="S42" s="2"/>
      <c r="T42" s="6">
        <v>273.77999999999997</v>
      </c>
      <c r="U42" s="2"/>
      <c r="V42" s="7">
        <f t="shared" si="21"/>
        <v>0</v>
      </c>
      <c r="W42" s="2"/>
      <c r="X42" s="6">
        <f t="shared" si="22"/>
        <v>-273.77999999999997</v>
      </c>
      <c r="Y42" s="2"/>
      <c r="Z42" s="7">
        <f t="shared" si="23"/>
        <v>-1</v>
      </c>
    </row>
    <row r="43" spans="1:26" s="29" customFormat="1" outlineLevel="1" collapsed="1" x14ac:dyDescent="0.25">
      <c r="A43" s="27"/>
      <c r="B43" s="14" t="str">
        <f>CONCATENATE("     ","Freight out/Postage                               ")</f>
        <v xml:space="preserve">     Freight out/Postage                               </v>
      </c>
      <c r="C43" s="14"/>
      <c r="D43" s="1">
        <f>SUM(OSRRefD22_6x_0)</f>
        <v>21.75</v>
      </c>
      <c r="E43" s="1"/>
      <c r="F43" s="5">
        <f t="shared" si="16"/>
        <v>0</v>
      </c>
      <c r="G43" s="1"/>
      <c r="H43" s="1">
        <f>SUM(OSRRefH22_6x_0)</f>
        <v>25.15</v>
      </c>
      <c r="I43" s="1"/>
      <c r="J43" s="5">
        <f t="shared" si="17"/>
        <v>0</v>
      </c>
      <c r="K43" s="1"/>
      <c r="L43" s="1">
        <f t="shared" si="18"/>
        <v>-3.3999999999999986</v>
      </c>
      <c r="M43" s="1"/>
      <c r="N43" s="5">
        <f t="shared" si="19"/>
        <v>-0.13518886679920472</v>
      </c>
      <c r="O43" s="14"/>
      <c r="P43" s="1">
        <f>SUM(OSRRefP22_6x_0)</f>
        <v>73.55</v>
      </c>
      <c r="Q43" s="1"/>
      <c r="R43" s="5">
        <f t="shared" si="20"/>
        <v>0</v>
      </c>
      <c r="S43" s="1"/>
      <c r="T43" s="1">
        <f>SUM(OSRRefT22_6x_0)</f>
        <v>237.6</v>
      </c>
      <c r="U43" s="1"/>
      <c r="V43" s="5">
        <f t="shared" si="21"/>
        <v>0</v>
      </c>
      <c r="W43" s="1"/>
      <c r="X43" s="1">
        <f t="shared" si="22"/>
        <v>-164.05</v>
      </c>
      <c r="Y43" s="1"/>
      <c r="Z43" s="5">
        <f t="shared" si="23"/>
        <v>-0.69044612794612803</v>
      </c>
    </row>
    <row r="44" spans="1:26" s="24" customFormat="1" hidden="1" outlineLevel="2" x14ac:dyDescent="0.25">
      <c r="A44" s="28"/>
      <c r="B44" s="11" t="str">
        <f>CONCATENATE("          ", "6307", " - ", "POSTAGE")</f>
        <v xml:space="preserve">          6307 - POSTAGE</v>
      </c>
      <c r="C44" s="11"/>
      <c r="D44" s="6">
        <v>21.75</v>
      </c>
      <c r="E44" s="2"/>
      <c r="F44" s="7">
        <f t="shared" si="16"/>
        <v>0</v>
      </c>
      <c r="G44" s="2"/>
      <c r="H44" s="6">
        <v>25.15</v>
      </c>
      <c r="I44" s="2"/>
      <c r="J44" s="7">
        <f t="shared" si="17"/>
        <v>0</v>
      </c>
      <c r="K44" s="2"/>
      <c r="L44" s="6">
        <f t="shared" si="18"/>
        <v>-3.3999999999999986</v>
      </c>
      <c r="M44" s="2"/>
      <c r="N44" s="7">
        <f t="shared" si="19"/>
        <v>-0.13518886679920472</v>
      </c>
      <c r="O44" s="11"/>
      <c r="P44" s="6">
        <v>73.55</v>
      </c>
      <c r="Q44" s="2"/>
      <c r="R44" s="7">
        <f t="shared" si="20"/>
        <v>0</v>
      </c>
      <c r="S44" s="2"/>
      <c r="T44" s="6">
        <v>237.6</v>
      </c>
      <c r="U44" s="2"/>
      <c r="V44" s="7">
        <f t="shared" si="21"/>
        <v>0</v>
      </c>
      <c r="W44" s="2"/>
      <c r="X44" s="6">
        <f t="shared" si="22"/>
        <v>-164.05</v>
      </c>
      <c r="Y44" s="2"/>
      <c r="Z44" s="7">
        <f t="shared" si="23"/>
        <v>-0.69044612794612803</v>
      </c>
    </row>
    <row r="45" spans="1:26" s="29" customFormat="1" outlineLevel="1" collapsed="1" x14ac:dyDescent="0.25">
      <c r="A45" s="27"/>
      <c r="B45" s="14" t="str">
        <f>CONCATENATE("     ","General                                           ")</f>
        <v xml:space="preserve">     General                                           </v>
      </c>
      <c r="C45" s="14"/>
      <c r="D45" s="1">
        <f>SUM(OSRRefD22_7x_0)</f>
        <v>0</v>
      </c>
      <c r="E45" s="1"/>
      <c r="F45" s="5">
        <f t="shared" si="16"/>
        <v>0</v>
      </c>
      <c r="G45" s="1"/>
      <c r="H45" s="1">
        <f>SUM(OSRRefH22_7x_0)</f>
        <v>0</v>
      </c>
      <c r="I45" s="1"/>
      <c r="J45" s="5">
        <f t="shared" si="17"/>
        <v>0</v>
      </c>
      <c r="K45" s="1"/>
      <c r="L45" s="1">
        <f t="shared" si="18"/>
        <v>0</v>
      </c>
      <c r="M45" s="1"/>
      <c r="N45" s="5">
        <f t="shared" si="19"/>
        <v>0</v>
      </c>
      <c r="O45" s="14"/>
      <c r="P45" s="1">
        <f>SUM(OSRRefP22_7x_0)</f>
        <v>166.54</v>
      </c>
      <c r="Q45" s="1"/>
      <c r="R45" s="5">
        <f t="shared" si="20"/>
        <v>0</v>
      </c>
      <c r="S45" s="1"/>
      <c r="T45" s="1">
        <f>SUM(OSRRefT22_7x_0)</f>
        <v>700</v>
      </c>
      <c r="U45" s="1"/>
      <c r="V45" s="5">
        <f t="shared" si="21"/>
        <v>0</v>
      </c>
      <c r="W45" s="1"/>
      <c r="X45" s="1">
        <f t="shared" si="22"/>
        <v>-533.46</v>
      </c>
      <c r="Y45" s="1"/>
      <c r="Z45" s="5">
        <f t="shared" si="23"/>
        <v>-0.76208571428571437</v>
      </c>
    </row>
    <row r="46" spans="1:26" s="24" customFormat="1" hidden="1" outlineLevel="2" x14ac:dyDescent="0.25">
      <c r="A46" s="28"/>
      <c r="B46" s="11" t="str">
        <f>CONCATENATE("          ", "6279", " - ", "GENERAL EXPENSE")</f>
        <v xml:space="preserve">          6279 - GENERAL EXPENSE</v>
      </c>
      <c r="C46" s="11"/>
      <c r="D46" s="6"/>
      <c r="E46" s="2"/>
      <c r="F46" s="7">
        <f t="shared" si="16"/>
        <v>0</v>
      </c>
      <c r="G46" s="2"/>
      <c r="H46" s="6"/>
      <c r="I46" s="2"/>
      <c r="J46" s="7">
        <f t="shared" si="17"/>
        <v>0</v>
      </c>
      <c r="K46" s="2"/>
      <c r="L46" s="6">
        <f t="shared" si="18"/>
        <v>0</v>
      </c>
      <c r="M46" s="2"/>
      <c r="N46" s="7">
        <f t="shared" si="19"/>
        <v>0</v>
      </c>
      <c r="O46" s="11"/>
      <c r="P46" s="6">
        <v>166.54</v>
      </c>
      <c r="Q46" s="2"/>
      <c r="R46" s="7">
        <f t="shared" si="20"/>
        <v>0</v>
      </c>
      <c r="S46" s="2"/>
      <c r="T46" s="6">
        <v>700</v>
      </c>
      <c r="U46" s="2"/>
      <c r="V46" s="7">
        <f t="shared" si="21"/>
        <v>0</v>
      </c>
      <c r="W46" s="2"/>
      <c r="X46" s="6">
        <f t="shared" si="22"/>
        <v>-533.46</v>
      </c>
      <c r="Y46" s="2"/>
      <c r="Z46" s="7">
        <f t="shared" si="23"/>
        <v>-0.76208571428571437</v>
      </c>
    </row>
    <row r="47" spans="1:26" s="29" customFormat="1" outlineLevel="1" collapsed="1" x14ac:dyDescent="0.25">
      <c r="A47" s="27"/>
      <c r="B47" s="14" t="str">
        <f>CONCATENATE("     ","Insurance                                         ")</f>
        <v xml:space="preserve">     Insurance                                         </v>
      </c>
      <c r="C47" s="14"/>
      <c r="D47" s="1">
        <f>SUM(OSRRefD22_8x_0)</f>
        <v>65.47</v>
      </c>
      <c r="E47" s="1"/>
      <c r="F47" s="5">
        <f t="shared" si="16"/>
        <v>0</v>
      </c>
      <c r="G47" s="1"/>
      <c r="H47" s="1">
        <f>SUM(OSRRefH22_8x_0)</f>
        <v>65.47</v>
      </c>
      <c r="I47" s="1"/>
      <c r="J47" s="5">
        <f t="shared" si="17"/>
        <v>0</v>
      </c>
      <c r="K47" s="1"/>
      <c r="L47" s="1">
        <f t="shared" si="18"/>
        <v>0</v>
      </c>
      <c r="M47" s="1"/>
      <c r="N47" s="5">
        <f t="shared" si="19"/>
        <v>0</v>
      </c>
      <c r="O47" s="14"/>
      <c r="P47" s="1">
        <f>SUM(OSRRefP22_8x_0)</f>
        <v>261.88</v>
      </c>
      <c r="Q47" s="1"/>
      <c r="R47" s="5">
        <f t="shared" si="20"/>
        <v>0</v>
      </c>
      <c r="S47" s="1"/>
      <c r="T47" s="1">
        <f>SUM(OSRRefT22_8x_0)</f>
        <v>261.88</v>
      </c>
      <c r="U47" s="1"/>
      <c r="V47" s="5">
        <f t="shared" si="21"/>
        <v>0</v>
      </c>
      <c r="W47" s="1"/>
      <c r="X47" s="1">
        <f t="shared" si="22"/>
        <v>0</v>
      </c>
      <c r="Y47" s="1"/>
      <c r="Z47" s="5">
        <f t="shared" si="23"/>
        <v>0</v>
      </c>
    </row>
    <row r="48" spans="1:26" s="24" customFormat="1" hidden="1" outlineLevel="2" x14ac:dyDescent="0.25">
      <c r="A48" s="28"/>
      <c r="B48" s="11" t="str">
        <f>CONCATENATE("          ", "6314", " - ", "LIABILITY INSURANCE")</f>
        <v xml:space="preserve">          6314 - LIABILITY INSURANCE</v>
      </c>
      <c r="C48" s="11"/>
      <c r="D48" s="6">
        <v>65.47</v>
      </c>
      <c r="E48" s="2"/>
      <c r="F48" s="7">
        <f t="shared" si="16"/>
        <v>0</v>
      </c>
      <c r="G48" s="2"/>
      <c r="H48" s="6">
        <v>65.47</v>
      </c>
      <c r="I48" s="2"/>
      <c r="J48" s="7">
        <f t="shared" si="17"/>
        <v>0</v>
      </c>
      <c r="K48" s="2"/>
      <c r="L48" s="6">
        <f t="shared" si="18"/>
        <v>0</v>
      </c>
      <c r="M48" s="2"/>
      <c r="N48" s="7">
        <f t="shared" si="19"/>
        <v>0</v>
      </c>
      <c r="O48" s="11"/>
      <c r="P48" s="6">
        <v>261.88</v>
      </c>
      <c r="Q48" s="2"/>
      <c r="R48" s="7">
        <f t="shared" si="20"/>
        <v>0</v>
      </c>
      <c r="S48" s="2"/>
      <c r="T48" s="6">
        <v>261.88</v>
      </c>
      <c r="U48" s="2"/>
      <c r="V48" s="7">
        <f t="shared" si="21"/>
        <v>0</v>
      </c>
      <c r="W48" s="2"/>
      <c r="X48" s="6">
        <f t="shared" si="22"/>
        <v>0</v>
      </c>
      <c r="Y48" s="2"/>
      <c r="Z48" s="7">
        <f t="shared" si="23"/>
        <v>0</v>
      </c>
    </row>
    <row r="49" spans="1:26" s="29" customFormat="1" outlineLevel="1" collapsed="1" x14ac:dyDescent="0.25">
      <c r="A49" s="27"/>
      <c r="B49" s="14" t="str">
        <f>CONCATENATE("     ","Professional Services                             ")</f>
        <v xml:space="preserve">     Professional Services                             </v>
      </c>
      <c r="C49" s="14"/>
      <c r="D49" s="1">
        <f>SUM(OSRRefD22_9x_0)</f>
        <v>2089.9499999999998</v>
      </c>
      <c r="E49" s="1"/>
      <c r="F49" s="5">
        <f t="shared" si="16"/>
        <v>0</v>
      </c>
      <c r="G49" s="1"/>
      <c r="H49" s="1">
        <f>SUM(OSRRefH22_9x_0)</f>
        <v>26818</v>
      </c>
      <c r="I49" s="1"/>
      <c r="J49" s="5">
        <f t="shared" si="17"/>
        <v>0</v>
      </c>
      <c r="K49" s="1"/>
      <c r="L49" s="1">
        <f t="shared" si="18"/>
        <v>-24728.05</v>
      </c>
      <c r="M49" s="1"/>
      <c r="N49" s="5">
        <f t="shared" si="19"/>
        <v>-0.9220691326720859</v>
      </c>
      <c r="O49" s="14"/>
      <c r="P49" s="1">
        <f>SUM(OSRRefP22_9x_0)</f>
        <v>4671.21</v>
      </c>
      <c r="Q49" s="1"/>
      <c r="R49" s="5">
        <f t="shared" si="20"/>
        <v>0</v>
      </c>
      <c r="S49" s="1"/>
      <c r="T49" s="1">
        <f>SUM(OSRRefT22_9x_0)</f>
        <v>54232.18</v>
      </c>
      <c r="U49" s="1"/>
      <c r="V49" s="5">
        <f t="shared" si="21"/>
        <v>0</v>
      </c>
      <c r="W49" s="1"/>
      <c r="X49" s="1">
        <f t="shared" si="22"/>
        <v>-49560.97</v>
      </c>
      <c r="Y49" s="1"/>
      <c r="Z49" s="5">
        <f t="shared" si="23"/>
        <v>-0.9138664534599199</v>
      </c>
    </row>
    <row r="50" spans="1:26" s="24" customFormat="1" hidden="1" outlineLevel="2" x14ac:dyDescent="0.25">
      <c r="A50" s="28"/>
      <c r="B50" s="11" t="str">
        <f>CONCATENATE("          ", "6334", " - ", "LEGAL COUNCIL EXPENSE")</f>
        <v xml:space="preserve">          6334 - LEGAL COUNCIL EXPENSE</v>
      </c>
      <c r="C50" s="11"/>
      <c r="D50" s="6">
        <v>385</v>
      </c>
      <c r="E50" s="2"/>
      <c r="F50" s="7">
        <f t="shared" si="16"/>
        <v>0</v>
      </c>
      <c r="G50" s="2"/>
      <c r="H50" s="6">
        <v>19285</v>
      </c>
      <c r="I50" s="2"/>
      <c r="J50" s="7">
        <f t="shared" si="17"/>
        <v>0</v>
      </c>
      <c r="K50" s="2"/>
      <c r="L50" s="6">
        <f t="shared" si="18"/>
        <v>-18900</v>
      </c>
      <c r="M50" s="2"/>
      <c r="N50" s="7">
        <f t="shared" si="19"/>
        <v>-0.98003629764065336</v>
      </c>
      <c r="O50" s="11"/>
      <c r="P50" s="6">
        <v>385</v>
      </c>
      <c r="Q50" s="2"/>
      <c r="R50" s="7">
        <f t="shared" si="20"/>
        <v>0</v>
      </c>
      <c r="S50" s="2"/>
      <c r="T50" s="6">
        <v>37870</v>
      </c>
      <c r="U50" s="2"/>
      <c r="V50" s="7">
        <f t="shared" si="21"/>
        <v>0</v>
      </c>
      <c r="W50" s="2"/>
      <c r="X50" s="6">
        <f t="shared" si="22"/>
        <v>-37485</v>
      </c>
      <c r="Y50" s="2"/>
      <c r="Z50" s="7">
        <f t="shared" si="23"/>
        <v>-0.9898336414048059</v>
      </c>
    </row>
    <row r="51" spans="1:26" s="24" customFormat="1" hidden="1" outlineLevel="2" x14ac:dyDescent="0.25">
      <c r="A51" s="28"/>
      <c r="B51" s="11" t="str">
        <f>CONCATENATE("          ", "6336", " - ", "PROFESSIONAL SERVICES")</f>
        <v xml:space="preserve">          6336 - PROFESSIONAL SERVICES</v>
      </c>
      <c r="C51" s="11"/>
      <c r="D51" s="6">
        <v>1704.95</v>
      </c>
      <c r="E51" s="2"/>
      <c r="F51" s="7">
        <f t="shared" si="16"/>
        <v>0</v>
      </c>
      <c r="G51" s="2"/>
      <c r="H51" s="6">
        <v>7533</v>
      </c>
      <c r="I51" s="2"/>
      <c r="J51" s="7">
        <f t="shared" si="17"/>
        <v>0</v>
      </c>
      <c r="K51" s="2"/>
      <c r="L51" s="6">
        <f t="shared" si="18"/>
        <v>-5828.05</v>
      </c>
      <c r="M51" s="2"/>
      <c r="N51" s="7">
        <f t="shared" si="19"/>
        <v>-0.77366918890216385</v>
      </c>
      <c r="O51" s="11"/>
      <c r="P51" s="6">
        <v>4286.21</v>
      </c>
      <c r="Q51" s="2"/>
      <c r="R51" s="7">
        <f t="shared" si="20"/>
        <v>0</v>
      </c>
      <c r="S51" s="2"/>
      <c r="T51" s="6">
        <v>16362.18</v>
      </c>
      <c r="U51" s="2"/>
      <c r="V51" s="7">
        <f t="shared" si="21"/>
        <v>0</v>
      </c>
      <c r="W51" s="2"/>
      <c r="X51" s="6">
        <f t="shared" si="22"/>
        <v>-12075.970000000001</v>
      </c>
      <c r="Y51" s="2"/>
      <c r="Z51" s="7">
        <f t="shared" si="23"/>
        <v>-0.73804163014952784</v>
      </c>
    </row>
    <row r="52" spans="1:26" s="29" customFormat="1" outlineLevel="1" collapsed="1" x14ac:dyDescent="0.25">
      <c r="A52" s="27"/>
      <c r="B52" s="14" t="str">
        <f>CONCATENATE("     ","Repair and Maintenance                            ")</f>
        <v xml:space="preserve">     Repair and Maintenance                            </v>
      </c>
      <c r="C52" s="14"/>
      <c r="D52" s="1">
        <f>SUM(OSRRefD22_10x_0)</f>
        <v>4183.1499999999996</v>
      </c>
      <c r="E52" s="1"/>
      <c r="F52" s="5">
        <f t="shared" ref="F52:F54" si="24">IF(D$12=0,0,D52/D$12)</f>
        <v>0</v>
      </c>
      <c r="G52" s="1"/>
      <c r="H52" s="1">
        <f>SUM(OSRRefH22_10x_0)</f>
        <v>13307.13</v>
      </c>
      <c r="I52" s="1"/>
      <c r="J52" s="5">
        <f t="shared" ref="J52:J54" si="25">IF(H$12=0,0,H52/H$12)</f>
        <v>0</v>
      </c>
      <c r="K52" s="1"/>
      <c r="L52" s="1">
        <f t="shared" ref="L52:L54" si="26">+D52-H52</f>
        <v>-9123.98</v>
      </c>
      <c r="M52" s="1"/>
      <c r="N52" s="5">
        <f t="shared" ref="N52:N54" si="27">IF(H52=0,0,L52/H52)</f>
        <v>-0.68564596573415904</v>
      </c>
      <c r="O52" s="14"/>
      <c r="P52" s="1">
        <f>SUM(OSRRefP22_10x_0)</f>
        <v>15938.06</v>
      </c>
      <c r="Q52" s="1"/>
      <c r="R52" s="5">
        <f t="shared" ref="R52:R54" si="28">IF(P$12=0,0,P52/P$12)</f>
        <v>0</v>
      </c>
      <c r="S52" s="1"/>
      <c r="T52" s="1">
        <f>SUM(OSRRefT22_10x_0)</f>
        <v>44561.27</v>
      </c>
      <c r="U52" s="1"/>
      <c r="V52" s="5">
        <f t="shared" ref="V52:V54" si="29">IF(T$12=0,0,T52/T$12)</f>
        <v>0</v>
      </c>
      <c r="W52" s="1"/>
      <c r="X52" s="1">
        <f t="shared" ref="X52:X54" si="30">+P52-T52</f>
        <v>-28623.21</v>
      </c>
      <c r="Y52" s="1"/>
      <c r="Z52" s="5">
        <f t="shared" ref="Z52:Z54" si="31">IF(T52=0,0,X52/T52)</f>
        <v>-0.64233380242528992</v>
      </c>
    </row>
    <row r="53" spans="1:26" s="24" customFormat="1" hidden="1" outlineLevel="2" x14ac:dyDescent="0.25">
      <c r="A53" s="28"/>
      <c r="B53" s="11" t="str">
        <f>CONCATENATE("          ", "6371", " - ", "COMPUTER SOFTWARE MAINTENANCE")</f>
        <v xml:space="preserve">          6371 - COMPUTER SOFTWARE MAINTENANCE</v>
      </c>
      <c r="C53" s="11"/>
      <c r="D53" s="6">
        <v>4183.1499999999996</v>
      </c>
      <c r="E53" s="2"/>
      <c r="F53" s="7">
        <f t="shared" si="24"/>
        <v>0</v>
      </c>
      <c r="G53" s="2"/>
      <c r="H53" s="6">
        <v>13307.13</v>
      </c>
      <c r="I53" s="2"/>
      <c r="J53" s="7">
        <f t="shared" si="25"/>
        <v>0</v>
      </c>
      <c r="K53" s="2"/>
      <c r="L53" s="6">
        <f t="shared" si="26"/>
        <v>-9123.98</v>
      </c>
      <c r="M53" s="2"/>
      <c r="N53" s="7">
        <f t="shared" si="27"/>
        <v>-0.68564596573415904</v>
      </c>
      <c r="O53" s="11"/>
      <c r="P53" s="6">
        <v>15938.06</v>
      </c>
      <c r="Q53" s="2"/>
      <c r="R53" s="7">
        <f t="shared" si="28"/>
        <v>0</v>
      </c>
      <c r="S53" s="2"/>
      <c r="T53" s="6">
        <v>44507.81</v>
      </c>
      <c r="U53" s="2"/>
      <c r="V53" s="7">
        <f t="shared" si="29"/>
        <v>0</v>
      </c>
      <c r="W53" s="2"/>
      <c r="X53" s="6">
        <f t="shared" si="30"/>
        <v>-28569.75</v>
      </c>
      <c r="Y53" s="2"/>
      <c r="Z53" s="7">
        <f t="shared" si="31"/>
        <v>-0.64190419613995842</v>
      </c>
    </row>
    <row r="54" spans="1:26" s="24" customFormat="1" hidden="1" outlineLevel="2" x14ac:dyDescent="0.25">
      <c r="A54" s="28"/>
      <c r="B54" s="11" t="str">
        <f>CONCATENATE("          ", "6373", " - ", "MAINTENANCE CONTRACTS")</f>
        <v xml:space="preserve">          6373 - MAINTENANCE CONTRACTS</v>
      </c>
      <c r="C54" s="11"/>
      <c r="D54" s="6"/>
      <c r="E54" s="2"/>
      <c r="F54" s="7">
        <f t="shared" si="24"/>
        <v>0</v>
      </c>
      <c r="G54" s="2"/>
      <c r="H54" s="6"/>
      <c r="I54" s="2"/>
      <c r="J54" s="7">
        <f t="shared" si="25"/>
        <v>0</v>
      </c>
      <c r="K54" s="2"/>
      <c r="L54" s="6">
        <f t="shared" si="26"/>
        <v>0</v>
      </c>
      <c r="M54" s="2"/>
      <c r="N54" s="7">
        <f t="shared" si="27"/>
        <v>0</v>
      </c>
      <c r="O54" s="11"/>
      <c r="P54" s="6"/>
      <c r="Q54" s="2"/>
      <c r="R54" s="7">
        <f t="shared" si="28"/>
        <v>0</v>
      </c>
      <c r="S54" s="2"/>
      <c r="T54" s="6">
        <v>53.46</v>
      </c>
      <c r="U54" s="2"/>
      <c r="V54" s="7">
        <f t="shared" si="29"/>
        <v>0</v>
      </c>
      <c r="W54" s="2"/>
      <c r="X54" s="6">
        <f t="shared" si="30"/>
        <v>-53.46</v>
      </c>
      <c r="Y54" s="2"/>
      <c r="Z54" s="7">
        <f t="shared" si="31"/>
        <v>-1</v>
      </c>
    </row>
    <row r="55" spans="1:26" s="29" customFormat="1" outlineLevel="1" collapsed="1" x14ac:dyDescent="0.25">
      <c r="A55" s="27"/>
      <c r="B55" s="14" t="str">
        <f>CONCATENATE("     ","Subscriptions &amp; Dues                              ")</f>
        <v xml:space="preserve">     Subscriptions &amp; Dues                              </v>
      </c>
      <c r="C55" s="14"/>
      <c r="D55" s="1">
        <f>SUM(OSRRefD22_11x_0)</f>
        <v>534.99</v>
      </c>
      <c r="E55" s="1"/>
      <c r="F55" s="5">
        <f t="shared" ref="F55:F61" si="32">IF(D$12=0,0,D55/D$12)</f>
        <v>0</v>
      </c>
      <c r="G55" s="1"/>
      <c r="H55" s="1">
        <f>SUM(OSRRefH22_11x_0)</f>
        <v>0</v>
      </c>
      <c r="I55" s="1"/>
      <c r="J55" s="5">
        <f t="shared" ref="J55:J61" si="33">IF(H$12=0,0,H55/H$12)</f>
        <v>0</v>
      </c>
      <c r="K55" s="1"/>
      <c r="L55" s="1">
        <f t="shared" ref="L55:L61" si="34">+D55-H55</f>
        <v>534.99</v>
      </c>
      <c r="M55" s="1"/>
      <c r="N55" s="5">
        <f t="shared" ref="N55:N61" si="35">IF(H55=0,0,L55/H55)</f>
        <v>0</v>
      </c>
      <c r="O55" s="14"/>
      <c r="P55" s="1">
        <f>SUM(OSRRefP22_11x_0)</f>
        <v>534.99</v>
      </c>
      <c r="Q55" s="1"/>
      <c r="R55" s="5">
        <f t="shared" ref="R55:R61" si="36">IF(P$12=0,0,P55/P$12)</f>
        <v>0</v>
      </c>
      <c r="S55" s="1"/>
      <c r="T55" s="1">
        <f>SUM(OSRRefT22_11x_0)</f>
        <v>587</v>
      </c>
      <c r="U55" s="1"/>
      <c r="V55" s="5">
        <f t="shared" ref="V55:V61" si="37">IF(T$12=0,0,T55/T$12)</f>
        <v>0</v>
      </c>
      <c r="W55" s="1"/>
      <c r="X55" s="1">
        <f t="shared" ref="X55:X61" si="38">+P55-T55</f>
        <v>-52.009999999999991</v>
      </c>
      <c r="Y55" s="1"/>
      <c r="Z55" s="5">
        <f t="shared" ref="Z55:Z61" si="39">IF(T55=0,0,X55/T55)</f>
        <v>-8.8603066439522982E-2</v>
      </c>
    </row>
    <row r="56" spans="1:26" s="24" customFormat="1" hidden="1" outlineLevel="2" x14ac:dyDescent="0.25">
      <c r="A56" s="28"/>
      <c r="B56" s="11" t="str">
        <f>CONCATENATE("          ", "6258", " - ", "MEMBERSHIP DUES")</f>
        <v xml:space="preserve">          6258 - MEMBERSHIP DUES</v>
      </c>
      <c r="C56" s="11"/>
      <c r="D56" s="6">
        <v>534.99</v>
      </c>
      <c r="E56" s="2"/>
      <c r="F56" s="7">
        <f t="shared" si="32"/>
        <v>0</v>
      </c>
      <c r="G56" s="2"/>
      <c r="H56" s="6"/>
      <c r="I56" s="2"/>
      <c r="J56" s="7">
        <f t="shared" si="33"/>
        <v>0</v>
      </c>
      <c r="K56" s="2"/>
      <c r="L56" s="6">
        <f t="shared" si="34"/>
        <v>534.99</v>
      </c>
      <c r="M56" s="2"/>
      <c r="N56" s="7">
        <f t="shared" si="35"/>
        <v>0</v>
      </c>
      <c r="O56" s="11"/>
      <c r="P56" s="6">
        <v>534.99</v>
      </c>
      <c r="Q56" s="2"/>
      <c r="R56" s="7">
        <f t="shared" si="36"/>
        <v>0</v>
      </c>
      <c r="S56" s="2"/>
      <c r="T56" s="6">
        <v>587</v>
      </c>
      <c r="U56" s="2"/>
      <c r="V56" s="7">
        <f t="shared" si="37"/>
        <v>0</v>
      </c>
      <c r="W56" s="2"/>
      <c r="X56" s="6">
        <f t="shared" si="38"/>
        <v>-52.009999999999991</v>
      </c>
      <c r="Y56" s="2"/>
      <c r="Z56" s="7">
        <f t="shared" si="39"/>
        <v>-8.8603066439522982E-2</v>
      </c>
    </row>
    <row r="57" spans="1:26" s="29" customFormat="1" outlineLevel="1" collapsed="1" x14ac:dyDescent="0.25">
      <c r="A57" s="27"/>
      <c r="B57" s="14" t="str">
        <f>CONCATENATE("     ","Supplies                                          ")</f>
        <v xml:space="preserve">     Supplies                                          </v>
      </c>
      <c r="C57" s="14"/>
      <c r="D57" s="1">
        <f>SUM(OSRRefD22_12x_0)</f>
        <v>233.07</v>
      </c>
      <c r="E57" s="1"/>
      <c r="F57" s="5">
        <f t="shared" si="32"/>
        <v>0</v>
      </c>
      <c r="G57" s="1"/>
      <c r="H57" s="1">
        <f>SUM(OSRRefH22_12x_0)</f>
        <v>2315.4699999999998</v>
      </c>
      <c r="I57" s="1"/>
      <c r="J57" s="5">
        <f t="shared" si="33"/>
        <v>0</v>
      </c>
      <c r="K57" s="1"/>
      <c r="L57" s="1">
        <f t="shared" si="34"/>
        <v>-2082.3999999999996</v>
      </c>
      <c r="M57" s="1"/>
      <c r="N57" s="5">
        <f t="shared" si="35"/>
        <v>-0.89934225016951197</v>
      </c>
      <c r="O57" s="14"/>
      <c r="P57" s="1">
        <f>SUM(OSRRefP22_12x_0)</f>
        <v>1340.28</v>
      </c>
      <c r="Q57" s="1"/>
      <c r="R57" s="5">
        <f t="shared" si="36"/>
        <v>0</v>
      </c>
      <c r="S57" s="1"/>
      <c r="T57" s="1">
        <f>SUM(OSRRefT22_12x_0)</f>
        <v>11579.29</v>
      </c>
      <c r="U57" s="1"/>
      <c r="V57" s="5">
        <f t="shared" si="37"/>
        <v>0</v>
      </c>
      <c r="W57" s="1"/>
      <c r="X57" s="1">
        <f t="shared" si="38"/>
        <v>-10239.01</v>
      </c>
      <c r="Y57" s="1"/>
      <c r="Z57" s="5">
        <f t="shared" si="39"/>
        <v>-0.88425197054396254</v>
      </c>
    </row>
    <row r="58" spans="1:26" s="24" customFormat="1" hidden="1" outlineLevel="2" x14ac:dyDescent="0.25">
      <c r="A58" s="28"/>
      <c r="B58" s="11" t="str">
        <f>CONCATENATE("          ", "6235", " - ", "COVID-19 EXPENSES")</f>
        <v xml:space="preserve">          6235 - COVID-19 EXPENSES</v>
      </c>
      <c r="C58" s="11"/>
      <c r="D58" s="6"/>
      <c r="E58" s="2"/>
      <c r="F58" s="7">
        <f t="shared" si="32"/>
        <v>0</v>
      </c>
      <c r="G58" s="2"/>
      <c r="H58" s="6"/>
      <c r="I58" s="2"/>
      <c r="J58" s="7">
        <f t="shared" si="33"/>
        <v>0</v>
      </c>
      <c r="K58" s="2"/>
      <c r="L58" s="6">
        <f t="shared" si="34"/>
        <v>0</v>
      </c>
      <c r="M58" s="2"/>
      <c r="N58" s="7">
        <f t="shared" si="35"/>
        <v>0</v>
      </c>
      <c r="O58" s="11"/>
      <c r="P58" s="6">
        <v>210.58</v>
      </c>
      <c r="Q58" s="2"/>
      <c r="R58" s="7">
        <f t="shared" si="36"/>
        <v>0</v>
      </c>
      <c r="S58" s="2"/>
      <c r="T58" s="6"/>
      <c r="U58" s="2"/>
      <c r="V58" s="7">
        <f t="shared" si="37"/>
        <v>0</v>
      </c>
      <c r="W58" s="2"/>
      <c r="X58" s="6">
        <f t="shared" si="38"/>
        <v>210.58</v>
      </c>
      <c r="Y58" s="2"/>
      <c r="Z58" s="7">
        <f t="shared" si="39"/>
        <v>0</v>
      </c>
    </row>
    <row r="59" spans="1:26" s="24" customFormat="1" hidden="1" outlineLevel="2" x14ac:dyDescent="0.25">
      <c r="A59" s="28"/>
      <c r="B59" s="11" t="str">
        <f>CONCATENATE("          ", "6241", " - ", "OFFICE EXPENSE")</f>
        <v xml:space="preserve">          6241 - OFFICE EXPENSE</v>
      </c>
      <c r="C59" s="11"/>
      <c r="D59" s="6">
        <v>208.07</v>
      </c>
      <c r="E59" s="2"/>
      <c r="F59" s="7">
        <f t="shared" si="32"/>
        <v>0</v>
      </c>
      <c r="G59" s="2"/>
      <c r="H59" s="6">
        <v>1977.37</v>
      </c>
      <c r="I59" s="2"/>
      <c r="J59" s="7">
        <f t="shared" si="33"/>
        <v>0</v>
      </c>
      <c r="K59" s="2"/>
      <c r="L59" s="6">
        <f t="shared" si="34"/>
        <v>-1769.3</v>
      </c>
      <c r="M59" s="2"/>
      <c r="N59" s="7">
        <f t="shared" si="35"/>
        <v>-0.89477437201939958</v>
      </c>
      <c r="O59" s="11"/>
      <c r="P59" s="6">
        <v>906.99</v>
      </c>
      <c r="Q59" s="2"/>
      <c r="R59" s="7">
        <f t="shared" si="36"/>
        <v>0</v>
      </c>
      <c r="S59" s="2"/>
      <c r="T59" s="6">
        <v>8269.4500000000007</v>
      </c>
      <c r="U59" s="2"/>
      <c r="V59" s="7">
        <f t="shared" si="37"/>
        <v>0</v>
      </c>
      <c r="W59" s="2"/>
      <c r="X59" s="6">
        <f t="shared" si="38"/>
        <v>-7362.4600000000009</v>
      </c>
      <c r="Y59" s="2"/>
      <c r="Z59" s="7">
        <f t="shared" si="39"/>
        <v>-0.89032039615693914</v>
      </c>
    </row>
    <row r="60" spans="1:26" s="24" customFormat="1" hidden="1" outlineLevel="2" x14ac:dyDescent="0.25">
      <c r="A60" s="28"/>
      <c r="B60" s="11" t="str">
        <f>CONCATENATE("          ", "6244", " - ", "SAFETY SUPPLY EXPENSE")</f>
        <v xml:space="preserve">          6244 - SAFETY SUPPLY EXPENSE</v>
      </c>
      <c r="C60" s="11"/>
      <c r="D60" s="6">
        <v>25</v>
      </c>
      <c r="E60" s="2"/>
      <c r="F60" s="7">
        <f t="shared" si="32"/>
        <v>0</v>
      </c>
      <c r="G60" s="2"/>
      <c r="H60" s="6">
        <v>175</v>
      </c>
      <c r="I60" s="2"/>
      <c r="J60" s="7">
        <f t="shared" si="33"/>
        <v>0</v>
      </c>
      <c r="K60" s="2"/>
      <c r="L60" s="6">
        <f t="shared" si="34"/>
        <v>-150</v>
      </c>
      <c r="M60" s="2"/>
      <c r="N60" s="7">
        <f t="shared" si="35"/>
        <v>-0.8571428571428571</v>
      </c>
      <c r="O60" s="11"/>
      <c r="P60" s="6">
        <v>222.71</v>
      </c>
      <c r="Q60" s="2"/>
      <c r="R60" s="7">
        <f t="shared" si="36"/>
        <v>0</v>
      </c>
      <c r="S60" s="2"/>
      <c r="T60" s="6">
        <v>1407.33</v>
      </c>
      <c r="U60" s="2"/>
      <c r="V60" s="7">
        <f t="shared" si="37"/>
        <v>0</v>
      </c>
      <c r="W60" s="2"/>
      <c r="X60" s="6">
        <f t="shared" si="38"/>
        <v>-1184.6199999999999</v>
      </c>
      <c r="Y60" s="2"/>
      <c r="Z60" s="7">
        <f t="shared" si="39"/>
        <v>-0.8417499804594516</v>
      </c>
    </row>
    <row r="61" spans="1:26" s="24" customFormat="1" hidden="1" outlineLevel="2" x14ac:dyDescent="0.25">
      <c r="A61" s="28"/>
      <c r="B61" s="11" t="str">
        <f>CONCATENATE("          ", "6245", " - ", "PRINTING")</f>
        <v xml:space="preserve">          6245 - PRINTING</v>
      </c>
      <c r="C61" s="11"/>
      <c r="D61" s="6"/>
      <c r="E61" s="2"/>
      <c r="F61" s="7">
        <f t="shared" si="32"/>
        <v>0</v>
      </c>
      <c r="G61" s="2"/>
      <c r="H61" s="6">
        <v>163.1</v>
      </c>
      <c r="I61" s="2"/>
      <c r="J61" s="7">
        <f t="shared" si="33"/>
        <v>0</v>
      </c>
      <c r="K61" s="2"/>
      <c r="L61" s="6">
        <f t="shared" si="34"/>
        <v>-163.1</v>
      </c>
      <c r="M61" s="2"/>
      <c r="N61" s="7">
        <f t="shared" si="35"/>
        <v>-1</v>
      </c>
      <c r="O61" s="11"/>
      <c r="P61" s="6"/>
      <c r="Q61" s="2"/>
      <c r="R61" s="7">
        <f t="shared" si="36"/>
        <v>0</v>
      </c>
      <c r="S61" s="2"/>
      <c r="T61" s="6">
        <v>1902.51</v>
      </c>
      <c r="U61" s="2"/>
      <c r="V61" s="7">
        <f t="shared" si="37"/>
        <v>0</v>
      </c>
      <c r="W61" s="2"/>
      <c r="X61" s="6">
        <f t="shared" si="38"/>
        <v>-1902.51</v>
      </c>
      <c r="Y61" s="2"/>
      <c r="Z61" s="7">
        <f t="shared" si="39"/>
        <v>-1</v>
      </c>
    </row>
    <row r="62" spans="1:26" s="29" customFormat="1" outlineLevel="1" collapsed="1" x14ac:dyDescent="0.25">
      <c r="A62" s="27"/>
      <c r="B62" s="14" t="str">
        <f>CONCATENATE("     ","Telephone/Data Lines                              ")</f>
        <v xml:space="preserve">     Telephone/Data Lines                              </v>
      </c>
      <c r="C62" s="14"/>
      <c r="D62" s="1">
        <f>SUM(OSRRefD22_13x_0)</f>
        <v>320.95</v>
      </c>
      <c r="E62" s="1"/>
      <c r="F62" s="5">
        <f t="shared" ref="F62:F67" si="40">IF(D$12=0,0,D62/D$12)</f>
        <v>0</v>
      </c>
      <c r="G62" s="1"/>
      <c r="H62" s="1">
        <f>SUM(OSRRefH22_13x_0)</f>
        <v>310.2</v>
      </c>
      <c r="I62" s="1"/>
      <c r="J62" s="5">
        <f t="shared" ref="J62:J67" si="41">IF(H$12=0,0,H62/H$12)</f>
        <v>0</v>
      </c>
      <c r="K62" s="1"/>
      <c r="L62" s="1">
        <f t="shared" ref="L62:L67" si="42">+D62-H62</f>
        <v>10.75</v>
      </c>
      <c r="M62" s="1"/>
      <c r="N62" s="5">
        <f t="shared" ref="N62:N67" si="43">IF(H62=0,0,L62/H62)</f>
        <v>3.4655061250805932E-2</v>
      </c>
      <c r="O62" s="14"/>
      <c r="P62" s="1">
        <f>SUM(OSRRefP22_13x_0)</f>
        <v>1324.35</v>
      </c>
      <c r="Q62" s="1"/>
      <c r="R62" s="5">
        <f t="shared" ref="R62:R67" si="44">IF(P$12=0,0,P62/P$12)</f>
        <v>0</v>
      </c>
      <c r="S62" s="1"/>
      <c r="T62" s="1">
        <f>SUM(OSRRefT22_13x_0)</f>
        <v>1337.85</v>
      </c>
      <c r="U62" s="1"/>
      <c r="V62" s="5">
        <f t="shared" ref="V62:V67" si="45">IF(T$12=0,0,T62/T$12)</f>
        <v>0</v>
      </c>
      <c r="W62" s="1"/>
      <c r="X62" s="1">
        <f t="shared" ref="X62:X67" si="46">+P62-T62</f>
        <v>-13.5</v>
      </c>
      <c r="Y62" s="1"/>
      <c r="Z62" s="5">
        <f t="shared" ref="Z62:Z67" si="47">IF(T62=0,0,X62/T62)</f>
        <v>-1.0090817356205853E-2</v>
      </c>
    </row>
    <row r="63" spans="1:26" s="24" customFormat="1" hidden="1" outlineLevel="2" x14ac:dyDescent="0.25">
      <c r="A63" s="28"/>
      <c r="B63" s="11" t="str">
        <f>CONCATENATE("          ", "6309", " - ", "TELEPHONE")</f>
        <v xml:space="preserve">          6309 - TELEPHONE</v>
      </c>
      <c r="C63" s="11"/>
      <c r="D63" s="6">
        <v>320.95</v>
      </c>
      <c r="E63" s="2"/>
      <c r="F63" s="7">
        <f t="shared" si="40"/>
        <v>0</v>
      </c>
      <c r="G63" s="2"/>
      <c r="H63" s="6">
        <v>310.2</v>
      </c>
      <c r="I63" s="2"/>
      <c r="J63" s="7">
        <f t="shared" si="41"/>
        <v>0</v>
      </c>
      <c r="K63" s="2"/>
      <c r="L63" s="6">
        <f t="shared" si="42"/>
        <v>10.75</v>
      </c>
      <c r="M63" s="2"/>
      <c r="N63" s="7">
        <f t="shared" si="43"/>
        <v>3.4655061250805932E-2</v>
      </c>
      <c r="O63" s="11"/>
      <c r="P63" s="6">
        <v>1324.35</v>
      </c>
      <c r="Q63" s="2"/>
      <c r="R63" s="7">
        <f t="shared" si="44"/>
        <v>0</v>
      </c>
      <c r="S63" s="2"/>
      <c r="T63" s="6">
        <v>1337.85</v>
      </c>
      <c r="U63" s="2"/>
      <c r="V63" s="7">
        <f t="shared" si="45"/>
        <v>0</v>
      </c>
      <c r="W63" s="2"/>
      <c r="X63" s="6">
        <f t="shared" si="46"/>
        <v>-13.5</v>
      </c>
      <c r="Y63" s="2"/>
      <c r="Z63" s="7">
        <f t="shared" si="47"/>
        <v>-1.0090817356205853E-2</v>
      </c>
    </row>
    <row r="64" spans="1:26" s="29" customFormat="1" outlineLevel="1" collapsed="1" x14ac:dyDescent="0.25">
      <c r="A64" s="27"/>
      <c r="B64" s="14" t="str">
        <f>CONCATENATE("     ","Training                                          ")</f>
        <v xml:space="preserve">     Training                                          </v>
      </c>
      <c r="C64" s="14"/>
      <c r="D64" s="1">
        <f>SUM(OSRRefD22_14x_0)</f>
        <v>0</v>
      </c>
      <c r="E64" s="1"/>
      <c r="F64" s="5">
        <f t="shared" si="40"/>
        <v>0</v>
      </c>
      <c r="G64" s="1"/>
      <c r="H64" s="1">
        <f>SUM(OSRRefH22_14x_0)</f>
        <v>0</v>
      </c>
      <c r="I64" s="1"/>
      <c r="J64" s="5">
        <f t="shared" si="41"/>
        <v>0</v>
      </c>
      <c r="K64" s="1"/>
      <c r="L64" s="1">
        <f t="shared" si="42"/>
        <v>0</v>
      </c>
      <c r="M64" s="1"/>
      <c r="N64" s="5">
        <f t="shared" si="43"/>
        <v>0</v>
      </c>
      <c r="O64" s="14"/>
      <c r="P64" s="1">
        <f>SUM(OSRRefP22_14x_0)</f>
        <v>-97</v>
      </c>
      <c r="Q64" s="1"/>
      <c r="R64" s="5">
        <f t="shared" si="44"/>
        <v>0</v>
      </c>
      <c r="S64" s="1"/>
      <c r="T64" s="1">
        <f>SUM(OSRRefT22_14x_0)</f>
        <v>5314.98</v>
      </c>
      <c r="U64" s="1"/>
      <c r="V64" s="5">
        <f t="shared" si="45"/>
        <v>0</v>
      </c>
      <c r="W64" s="1"/>
      <c r="X64" s="1">
        <f t="shared" si="46"/>
        <v>-5411.98</v>
      </c>
      <c r="Y64" s="1"/>
      <c r="Z64" s="5">
        <f t="shared" si="47"/>
        <v>-1.0182503038581519</v>
      </c>
    </row>
    <row r="65" spans="1:26" s="24" customFormat="1" hidden="1" outlineLevel="2" x14ac:dyDescent="0.25">
      <c r="A65" s="28"/>
      <c r="B65" s="11" t="str">
        <f>CONCATENATE("          ", "6376", " - ", "TRAINING")</f>
        <v xml:space="preserve">          6376 - TRAINING</v>
      </c>
      <c r="C65" s="11"/>
      <c r="D65" s="6"/>
      <c r="E65" s="2"/>
      <c r="F65" s="7">
        <f t="shared" si="40"/>
        <v>0</v>
      </c>
      <c r="G65" s="2"/>
      <c r="H65" s="6"/>
      <c r="I65" s="2"/>
      <c r="J65" s="7">
        <f t="shared" si="41"/>
        <v>0</v>
      </c>
      <c r="K65" s="2"/>
      <c r="L65" s="6">
        <f t="shared" si="42"/>
        <v>0</v>
      </c>
      <c r="M65" s="2"/>
      <c r="N65" s="7">
        <f t="shared" si="43"/>
        <v>0</v>
      </c>
      <c r="O65" s="11"/>
      <c r="P65" s="6">
        <v>-97</v>
      </c>
      <c r="Q65" s="2"/>
      <c r="R65" s="7">
        <f t="shared" si="44"/>
        <v>0</v>
      </c>
      <c r="S65" s="2"/>
      <c r="T65" s="6">
        <v>5314.98</v>
      </c>
      <c r="U65" s="2"/>
      <c r="V65" s="7">
        <f t="shared" si="45"/>
        <v>0</v>
      </c>
      <c r="W65" s="2"/>
      <c r="X65" s="6">
        <f t="shared" si="46"/>
        <v>-5411.98</v>
      </c>
      <c r="Y65" s="2"/>
      <c r="Z65" s="7">
        <f t="shared" si="47"/>
        <v>-1.0182503038581519</v>
      </c>
    </row>
    <row r="66" spans="1:26" s="29" customFormat="1" outlineLevel="1" collapsed="1" x14ac:dyDescent="0.25">
      <c r="A66" s="27"/>
      <c r="B66" s="14" t="str">
        <f>CONCATENATE("     ","Travel                                            ")</f>
        <v xml:space="preserve">     Travel                                            </v>
      </c>
      <c r="C66" s="14"/>
      <c r="D66" s="1">
        <f>SUM(OSRRefD22_15x_0)</f>
        <v>0</v>
      </c>
      <c r="E66" s="1"/>
      <c r="F66" s="5">
        <f t="shared" si="40"/>
        <v>0</v>
      </c>
      <c r="G66" s="1"/>
      <c r="H66" s="1">
        <f>SUM(OSRRefH22_15x_0)</f>
        <v>0</v>
      </c>
      <c r="I66" s="1"/>
      <c r="J66" s="5">
        <f t="shared" si="41"/>
        <v>0</v>
      </c>
      <c r="K66" s="1"/>
      <c r="L66" s="1">
        <f t="shared" si="42"/>
        <v>0</v>
      </c>
      <c r="M66" s="1"/>
      <c r="N66" s="5">
        <f t="shared" si="43"/>
        <v>0</v>
      </c>
      <c r="O66" s="14"/>
      <c r="P66" s="1">
        <f>SUM(OSRRefP22_15x_0)</f>
        <v>0</v>
      </c>
      <c r="Q66" s="1"/>
      <c r="R66" s="5">
        <f t="shared" si="44"/>
        <v>0</v>
      </c>
      <c r="S66" s="1"/>
      <c r="T66" s="1">
        <f>SUM(OSRRefT22_15x_0)</f>
        <v>1435.88</v>
      </c>
      <c r="U66" s="1"/>
      <c r="V66" s="5">
        <f t="shared" si="45"/>
        <v>0</v>
      </c>
      <c r="W66" s="1"/>
      <c r="X66" s="1">
        <f t="shared" si="46"/>
        <v>-1435.88</v>
      </c>
      <c r="Y66" s="1"/>
      <c r="Z66" s="5">
        <f t="shared" si="47"/>
        <v>-1</v>
      </c>
    </row>
    <row r="67" spans="1:26" s="24" customFormat="1" hidden="1" outlineLevel="2" x14ac:dyDescent="0.25">
      <c r="A67" s="28"/>
      <c r="B67" s="11" t="str">
        <f>CONCATENATE("          ", "6292", " - ", "TRAVEL/CONFERENCE")</f>
        <v xml:space="preserve">          6292 - TRAVEL/CONFERENCE</v>
      </c>
      <c r="C67" s="11"/>
      <c r="D67" s="6"/>
      <c r="E67" s="2"/>
      <c r="F67" s="7">
        <f t="shared" si="40"/>
        <v>0</v>
      </c>
      <c r="G67" s="2"/>
      <c r="H67" s="6"/>
      <c r="I67" s="2"/>
      <c r="J67" s="7">
        <f t="shared" si="41"/>
        <v>0</v>
      </c>
      <c r="K67" s="2"/>
      <c r="L67" s="6">
        <f t="shared" si="42"/>
        <v>0</v>
      </c>
      <c r="M67" s="2"/>
      <c r="N67" s="7">
        <f t="shared" si="43"/>
        <v>0</v>
      </c>
      <c r="O67" s="11"/>
      <c r="P67" s="6"/>
      <c r="Q67" s="2"/>
      <c r="R67" s="7">
        <f t="shared" si="44"/>
        <v>0</v>
      </c>
      <c r="S67" s="2"/>
      <c r="T67" s="6">
        <v>1435.88</v>
      </c>
      <c r="U67" s="2"/>
      <c r="V67" s="7">
        <f t="shared" si="45"/>
        <v>0</v>
      </c>
      <c r="W67" s="2"/>
      <c r="X67" s="6">
        <f t="shared" si="46"/>
        <v>-1435.88</v>
      </c>
      <c r="Y67" s="2"/>
      <c r="Z67" s="7">
        <f t="shared" si="47"/>
        <v>-1</v>
      </c>
    </row>
    <row r="68" spans="1:26" s="57" customFormat="1" x14ac:dyDescent="0.25">
      <c r="A68" s="37"/>
      <c r="B68" s="37"/>
      <c r="C68" s="37"/>
      <c r="D68" s="1"/>
      <c r="E68" s="1"/>
      <c r="F68" s="5"/>
      <c r="G68" s="1"/>
      <c r="H68" s="1"/>
      <c r="I68" s="1"/>
      <c r="J68" s="5"/>
      <c r="K68" s="1"/>
      <c r="L68" s="1"/>
      <c r="M68" s="1"/>
      <c r="N68" s="5"/>
      <c r="O68" s="37"/>
      <c r="P68" s="1"/>
      <c r="Q68" s="1"/>
      <c r="R68" s="5"/>
      <c r="S68" s="1"/>
      <c r="T68" s="1"/>
      <c r="U68" s="1"/>
      <c r="V68" s="5"/>
      <c r="W68" s="1"/>
      <c r="X68" s="1"/>
      <c r="Y68" s="1"/>
      <c r="Z68" s="5"/>
    </row>
    <row r="69" spans="1:26" s="23" customFormat="1" x14ac:dyDescent="0.25">
      <c r="A69" s="10"/>
      <c r="B69" s="26" t="s">
        <v>0</v>
      </c>
      <c r="C69" s="10"/>
      <c r="D69" s="4">
        <f>SUM(0)</f>
        <v>0</v>
      </c>
      <c r="E69" s="4"/>
      <c r="F69" s="12">
        <f>IF(D$12=0,0,D69/D$12)</f>
        <v>0</v>
      </c>
      <c r="G69" s="4"/>
      <c r="H69" s="4">
        <f>SUM(0)</f>
        <v>0</v>
      </c>
      <c r="I69" s="4"/>
      <c r="J69" s="12">
        <f>IF(H$12=0,0,H69/H$12)</f>
        <v>0</v>
      </c>
      <c r="K69" s="4"/>
      <c r="L69" s="4">
        <f>+D69-H69</f>
        <v>0</v>
      </c>
      <c r="M69" s="4"/>
      <c r="N69" s="12">
        <f>IF(H69=0,0,L69/H69)</f>
        <v>0</v>
      </c>
      <c r="O69" s="10"/>
      <c r="P69" s="4">
        <f>SUM(0)</f>
        <v>0</v>
      </c>
      <c r="Q69" s="4"/>
      <c r="R69" s="12">
        <f>IF(P$12=0,0,P69/P$12)</f>
        <v>0</v>
      </c>
      <c r="S69" s="4"/>
      <c r="T69" s="4">
        <f>SUM(0)</f>
        <v>0</v>
      </c>
      <c r="U69" s="4"/>
      <c r="V69" s="12">
        <f>IF(T$12=0,0,T69/T$12)</f>
        <v>0</v>
      </c>
      <c r="W69" s="4"/>
      <c r="X69" s="4">
        <f>+P69-T69</f>
        <v>0</v>
      </c>
      <c r="Y69" s="4"/>
      <c r="Z69" s="12">
        <f>IF(T69=0,0,X69/T69)</f>
        <v>0</v>
      </c>
    </row>
    <row r="70" spans="1:26" x14ac:dyDescent="0.25">
      <c r="A70" s="9"/>
      <c r="B70" s="10"/>
      <c r="C70" s="10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O70" s="10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x14ac:dyDescent="0.25">
      <c r="A71" s="10"/>
      <c r="B71" s="25" t="s">
        <v>3</v>
      </c>
      <c r="C71" s="25"/>
      <c r="D71" s="20">
        <f>+D16-D18+D69</f>
        <v>-53720.339999999989</v>
      </c>
      <c r="E71" s="13"/>
      <c r="F71" s="21">
        <f>IF(D$12=0,0,D71/D$12)</f>
        <v>0</v>
      </c>
      <c r="G71" s="13"/>
      <c r="H71" s="20">
        <f>+H16-H18+H69</f>
        <v>-87993.24</v>
      </c>
      <c r="I71" s="13"/>
      <c r="J71" s="21">
        <f>IF(H$12=0,0,H71/H$12)</f>
        <v>0</v>
      </c>
      <c r="K71" s="15"/>
      <c r="L71" s="20">
        <f>+D71-H71</f>
        <v>34272.900000000016</v>
      </c>
      <c r="M71" s="15"/>
      <c r="N71" s="21">
        <f>IF(H71=0,0,L71/H71)</f>
        <v>-0.38949469300141709</v>
      </c>
      <c r="O71" s="26"/>
      <c r="P71" s="20">
        <f>+P16-P18+P69</f>
        <v>-188699.37999999998</v>
      </c>
      <c r="Q71" s="13"/>
      <c r="R71" s="21">
        <f>IF(P$12=0,0,P71/P$12)</f>
        <v>0</v>
      </c>
      <c r="S71" s="13"/>
      <c r="T71" s="20">
        <f>+T16-T18+T69</f>
        <v>-289587.59000000003</v>
      </c>
      <c r="U71" s="13"/>
      <c r="V71" s="21">
        <f>IF(T$12=0,0,T71/T$12)</f>
        <v>0</v>
      </c>
      <c r="W71" s="15"/>
      <c r="X71" s="20">
        <f>+P71-T71</f>
        <v>100888.21000000005</v>
      </c>
      <c r="Y71" s="15"/>
      <c r="Z71" s="21">
        <f>IF(T71=0,0,X71/T71)</f>
        <v>-0.34838581998627788</v>
      </c>
    </row>
    <row r="72" spans="1:26" x14ac:dyDescent="0.25">
      <c r="A72" s="9"/>
      <c r="B72" s="10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51"/>
      <c r="B73" s="10" t="s">
        <v>13</v>
      </c>
      <c r="C73" s="10"/>
      <c r="D73" s="4"/>
      <c r="E73" s="4"/>
      <c r="F73" s="12">
        <f>IF(D$12=0,0,D73/D$12)</f>
        <v>0</v>
      </c>
      <c r="G73" s="4"/>
      <c r="H73" s="4"/>
      <c r="I73" s="4"/>
      <c r="J73" s="12">
        <f>IF(H$12=0,0,H73/H$12)</f>
        <v>0</v>
      </c>
      <c r="K73" s="4"/>
      <c r="L73" s="4">
        <f>+D73-H73</f>
        <v>0</v>
      </c>
      <c r="M73" s="4"/>
      <c r="N73" s="12">
        <f>IF(H73=0,0,L73/H73)</f>
        <v>0</v>
      </c>
      <c r="O73" s="10"/>
      <c r="P73" s="4"/>
      <c r="Q73" s="4"/>
      <c r="R73" s="12">
        <f>IF(P$12=0,0,P73/P$12)</f>
        <v>0</v>
      </c>
      <c r="S73" s="4"/>
      <c r="T73" s="4"/>
      <c r="U73" s="4"/>
      <c r="V73" s="12">
        <f>IF(T$12=0,0,T73/T$12)</f>
        <v>0</v>
      </c>
      <c r="W73" s="4"/>
      <c r="X73" s="4">
        <f>+P73-T73</f>
        <v>0</v>
      </c>
      <c r="Y73" s="4"/>
      <c r="Z73" s="12">
        <f>IF(T73=0,0,X73/T73)</f>
        <v>0</v>
      </c>
    </row>
    <row r="74" spans="1:26" x14ac:dyDescent="0.25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ht="15.75" thickBot="1" x14ac:dyDescent="0.3">
      <c r="A75" s="10"/>
      <c r="B75" s="25" t="s">
        <v>4</v>
      </c>
      <c r="C75" s="25"/>
      <c r="D75" s="30">
        <f>+D71-D73</f>
        <v>-53720.339999999989</v>
      </c>
      <c r="E75" s="13"/>
      <c r="F75" s="33">
        <f>IF(D$12=0,0,D75/D$12)</f>
        <v>0</v>
      </c>
      <c r="G75" s="13"/>
      <c r="H75" s="30">
        <f>+H71-H73</f>
        <v>-87993.24</v>
      </c>
      <c r="I75" s="13"/>
      <c r="J75" s="33">
        <f>IF(H$12=0,0,H75/H$12)</f>
        <v>0</v>
      </c>
      <c r="K75" s="15"/>
      <c r="L75" s="30">
        <f>D75-H75</f>
        <v>34272.900000000016</v>
      </c>
      <c r="M75" s="15"/>
      <c r="N75" s="33">
        <f>IF(H75=0,0,L75/H75)</f>
        <v>-0.38949469300141709</v>
      </c>
      <c r="O75" s="26"/>
      <c r="P75" s="30">
        <f>+P71-P73</f>
        <v>-188699.37999999998</v>
      </c>
      <c r="Q75" s="13"/>
      <c r="R75" s="33">
        <f>IF(P$12=0,0,P75/P$12)</f>
        <v>0</v>
      </c>
      <c r="S75" s="13"/>
      <c r="T75" s="30">
        <f>+T71-T73</f>
        <v>-289587.59000000003</v>
      </c>
      <c r="U75" s="13"/>
      <c r="V75" s="33">
        <f>IF(T$12=0,0,T75/T$12)</f>
        <v>0</v>
      </c>
      <c r="W75" s="15"/>
      <c r="X75" s="30">
        <f>P75-T75</f>
        <v>100888.21000000005</v>
      </c>
      <c r="Y75" s="15"/>
      <c r="Z75" s="33">
        <f>IF(T75=0,0,X75/T75)</f>
        <v>-0.34838581998627788</v>
      </c>
    </row>
    <row r="76" spans="1:26" ht="15.75" thickTop="1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x14ac:dyDescent="0.25">
      <c r="A77" s="9"/>
      <c r="B77" s="9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ht="15.75" thickBot="1" x14ac:dyDescent="0.3">
      <c r="A78" s="10"/>
      <c r="B78" s="25" t="s">
        <v>5</v>
      </c>
      <c r="C78" s="25"/>
      <c r="D78" s="34">
        <f>SUM(D75:D77)</f>
        <v>-53720.339999999989</v>
      </c>
      <c r="E78" s="13"/>
      <c r="F78" s="35">
        <f>IF(D$12=0,0,D78/D$12)</f>
        <v>0</v>
      </c>
      <c r="G78" s="13"/>
      <c r="H78" s="34">
        <f>SUM(H75:H77)</f>
        <v>-87993.24</v>
      </c>
      <c r="I78" s="13"/>
      <c r="J78" s="35">
        <f>IF(H$12=0,0,H78/H$12)</f>
        <v>0</v>
      </c>
      <c r="K78" s="15"/>
      <c r="L78" s="34">
        <f>+D78-H78</f>
        <v>34272.900000000016</v>
      </c>
      <c r="M78" s="15"/>
      <c r="N78" s="35">
        <f>IF(H78=0,0,L78/H78)</f>
        <v>-0.38949469300141709</v>
      </c>
      <c r="O78" s="26"/>
      <c r="P78" s="34">
        <f>SUM(P75:P77)</f>
        <v>-188699.37999999998</v>
      </c>
      <c r="Q78" s="13"/>
      <c r="R78" s="35">
        <f>IF(P$12=0,0,P78/P$12)</f>
        <v>0</v>
      </c>
      <c r="S78" s="13"/>
      <c r="T78" s="34">
        <f>SUM(T75:T77)</f>
        <v>-289587.59000000003</v>
      </c>
      <c r="U78" s="13"/>
      <c r="V78" s="35">
        <f>IF(T$12=0,0,T78/T$12)</f>
        <v>0</v>
      </c>
      <c r="W78" s="15"/>
      <c r="X78" s="34">
        <f>+P78-T78</f>
        <v>100888.21000000005</v>
      </c>
      <c r="Y78" s="15"/>
      <c r="Z78" s="35">
        <f>IF(T78=0,0,X78/T78)</f>
        <v>-0.34838581998627788</v>
      </c>
    </row>
    <row r="79" spans="1:26" ht="15.75" thickTop="1" x14ac:dyDescent="0.25">
      <c r="A79" s="9"/>
      <c r="C79" s="9"/>
      <c r="D79" s="18"/>
      <c r="E79" s="18"/>
      <c r="G79" s="18"/>
      <c r="H79" s="18"/>
      <c r="I79" s="18"/>
      <c r="J79" s="43"/>
      <c r="K79" s="18"/>
      <c r="L79" s="18"/>
      <c r="M79" s="18"/>
      <c r="P79" s="18"/>
      <c r="Q79" s="18"/>
      <c r="R79" s="43"/>
      <c r="S79" s="18"/>
      <c r="T79" s="18"/>
      <c r="U79" s="18"/>
      <c r="V79" s="43"/>
      <c r="W79" s="18"/>
      <c r="X79" s="18"/>
    </row>
    <row r="80" spans="1:26" x14ac:dyDescent="0.25">
      <c r="A80" s="9"/>
      <c r="B80" s="56">
        <v>44151.572184837962</v>
      </c>
      <c r="D80" s="18"/>
      <c r="E80" s="18"/>
      <c r="G80" s="18"/>
      <c r="H80" s="18"/>
      <c r="I80" s="18"/>
      <c r="J80" s="43"/>
      <c r="K80" s="18"/>
      <c r="L80" s="18"/>
      <c r="M80" s="18"/>
      <c r="P80" s="18"/>
      <c r="Q80" s="18"/>
      <c r="R80" s="43"/>
      <c r="S80" s="18"/>
      <c r="T80" s="18"/>
      <c r="U80" s="18"/>
      <c r="V80" s="43"/>
      <c r="W80" s="18"/>
      <c r="X80" s="18"/>
    </row>
    <row r="81" spans="1:24" x14ac:dyDescent="0.25">
      <c r="A81" s="9"/>
      <c r="B81" s="62" t="s">
        <v>313</v>
      </c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  <row r="82" spans="1:24" x14ac:dyDescent="0.25">
      <c r="A82" s="9"/>
      <c r="B82" s="54"/>
      <c r="D82" s="18"/>
      <c r="E82" s="18"/>
      <c r="G82" s="18"/>
      <c r="H82" s="18"/>
      <c r="I82" s="18"/>
      <c r="J82" s="43"/>
      <c r="K82" s="18"/>
      <c r="L82" s="18"/>
      <c r="M82" s="18"/>
      <c r="P82" s="18"/>
      <c r="Q82" s="18"/>
      <c r="R82" s="43"/>
      <c r="S82" s="18"/>
      <c r="T82" s="18"/>
      <c r="U82" s="18"/>
      <c r="V82" s="43"/>
      <c r="W82" s="18"/>
      <c r="X82" s="18"/>
    </row>
    <row r="83" spans="1:24" x14ac:dyDescent="0.25">
      <c r="D83" s="18"/>
      <c r="E83" s="18"/>
      <c r="G83" s="18"/>
      <c r="H83" s="18"/>
      <c r="I83" s="18"/>
      <c r="J83" s="43"/>
      <c r="K83" s="18"/>
      <c r="L83" s="18"/>
      <c r="M83" s="18"/>
      <c r="P83" s="18"/>
      <c r="Q83" s="18"/>
      <c r="R83" s="43"/>
      <c r="S83" s="18"/>
      <c r="T83" s="18"/>
      <c r="U83" s="18"/>
      <c r="V83" s="43"/>
      <c r="W83" s="18"/>
      <c r="X83" s="18"/>
    </row>
  </sheetData>
  <pageMargins left="0.25" right="0.25" top="0.75" bottom="0.75" header="0.3" footer="0.3"/>
  <pageSetup scale="55" fitToWidth="2" orientation="landscape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",RIGHT(202104,2),", ",2021)</f>
        <v>Period 04,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44135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","204", " - ", "Information Technology")</f>
        <v>Department 204 - Information Technology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61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50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50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2"/>
      <c r="F10" s="31" t="s">
        <v>14</v>
      </c>
      <c r="G10" s="32"/>
      <c r="H10" s="49" t="s">
        <v>306</v>
      </c>
      <c r="I10" s="32"/>
      <c r="J10" s="31" t="s">
        <v>14</v>
      </c>
      <c r="K10" s="10"/>
      <c r="L10" s="42" t="s">
        <v>11</v>
      </c>
      <c r="M10" s="10"/>
      <c r="N10" s="31" t="s">
        <v>15</v>
      </c>
      <c r="O10" s="10"/>
      <c r="P10" s="59" t="s">
        <v>10</v>
      </c>
      <c r="Q10" s="32"/>
      <c r="R10" s="31" t="s">
        <v>14</v>
      </c>
      <c r="S10" s="32"/>
      <c r="T10" s="49" t="s">
        <v>306</v>
      </c>
      <c r="U10" s="32"/>
      <c r="V10" s="31" t="s">
        <v>14</v>
      </c>
      <c r="W10" s="10"/>
      <c r="X10" s="42" t="s">
        <v>11</v>
      </c>
      <c r="Y10" s="10"/>
      <c r="Z10" s="31" t="s">
        <v>15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6</v>
      </c>
      <c r="C16" s="25"/>
      <c r="D16" s="20">
        <f>D12-D14</f>
        <v>0</v>
      </c>
      <c r="E16" s="13"/>
      <c r="F16" s="21">
        <f>IF(D$12=0,0,D16/D$12)</f>
        <v>0</v>
      </c>
      <c r="G16" s="13"/>
      <c r="H16" s="20">
        <f>H12-H14</f>
        <v>0</v>
      </c>
      <c r="I16" s="13"/>
      <c r="J16" s="21">
        <f>IF(H$12=0,0,H16/H$12)</f>
        <v>0</v>
      </c>
      <c r="K16" s="15"/>
      <c r="L16" s="20">
        <f>+D16-H16</f>
        <v>0</v>
      </c>
      <c r="M16" s="15"/>
      <c r="N16" s="21">
        <f>IF(H16=0,0,L16/H16)</f>
        <v>0</v>
      </c>
      <c r="O16" s="26"/>
      <c r="P16" s="20">
        <f>P12-P14</f>
        <v>0</v>
      </c>
      <c r="Q16" s="13"/>
      <c r="R16" s="21">
        <f>IF(P$12=0,0,P16/P$12)</f>
        <v>0</v>
      </c>
      <c r="S16" s="13"/>
      <c r="T16" s="20">
        <f>T12-T14</f>
        <v>0</v>
      </c>
      <c r="U16" s="13"/>
      <c r="V16" s="21">
        <f>IF(T$12=0,0,T16/T$12)</f>
        <v>0</v>
      </c>
      <c r="W16" s="15"/>
      <c r="X16" s="20">
        <f>+P16-T16</f>
        <v>0</v>
      </c>
      <c r="Y16" s="15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9</v>
      </c>
      <c r="C18" s="10"/>
      <c r="D18" s="22">
        <f>SUM(OSRRefD22x_0)</f>
        <v>60340.259999999995</v>
      </c>
      <c r="E18" s="22"/>
      <c r="F18" s="36">
        <f t="shared" ref="F18:F28" si="0">IF(D$12=0,0,D18/D$12)</f>
        <v>0</v>
      </c>
      <c r="G18" s="22"/>
      <c r="H18" s="22">
        <f>SUM(OSRRefH22x_0)</f>
        <v>70163.089999999982</v>
      </c>
      <c r="I18" s="22"/>
      <c r="J18" s="36">
        <f t="shared" ref="J18:J28" si="1">IF(H$12=0,0,H18/H$12)</f>
        <v>0</v>
      </c>
      <c r="K18" s="4"/>
      <c r="L18" s="22">
        <f t="shared" ref="L18:L28" si="2">+D18-H18</f>
        <v>-9822.8299999999872</v>
      </c>
      <c r="M18" s="4"/>
      <c r="N18" s="36">
        <f t="shared" ref="N18:N28" si="3">IF(H18=0,0,L18/H18)</f>
        <v>-0.13999996294347911</v>
      </c>
      <c r="O18" s="10"/>
      <c r="P18" s="22">
        <f>SUM(OSRRefP22x_0)</f>
        <v>211107.58</v>
      </c>
      <c r="Q18" s="22"/>
      <c r="R18" s="36">
        <f t="shared" ref="R18:R28" si="4">IF(P$12=0,0,P18/P$12)</f>
        <v>0</v>
      </c>
      <c r="S18" s="22"/>
      <c r="T18" s="22">
        <f>SUM(OSRRefT22x_0)</f>
        <v>252829.10999999996</v>
      </c>
      <c r="U18" s="22"/>
      <c r="V18" s="36">
        <f t="shared" ref="V18:V28" si="5">IF(T$12=0,0,T18/T$12)</f>
        <v>0</v>
      </c>
      <c r="W18" s="4"/>
      <c r="X18" s="22">
        <f t="shared" ref="X18:X28" si="6">+P18-T18</f>
        <v>-41721.52999999997</v>
      </c>
      <c r="Y18" s="4"/>
      <c r="Z18" s="36">
        <f t="shared" ref="Z18:Z28" si="7">IF(T18=0,0,X18/T18)</f>
        <v>-0.16501869582976414</v>
      </c>
    </row>
    <row r="19" spans="1:26" s="29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15207.03</v>
      </c>
      <c r="E19" s="1"/>
      <c r="F19" s="5">
        <f t="shared" si="0"/>
        <v>0</v>
      </c>
      <c r="G19" s="1"/>
      <c r="H19" s="1">
        <f>SUM(OSRRefH22_0x_0)</f>
        <v>16996.349999999999</v>
      </c>
      <c r="I19" s="1"/>
      <c r="J19" s="5">
        <f t="shared" si="1"/>
        <v>0</v>
      </c>
      <c r="K19" s="1"/>
      <c r="L19" s="1">
        <f t="shared" si="2"/>
        <v>-1789.3199999999979</v>
      </c>
      <c r="M19" s="1"/>
      <c r="N19" s="5">
        <f t="shared" si="3"/>
        <v>-0.10527672117837053</v>
      </c>
      <c r="O19" s="14"/>
      <c r="P19" s="1">
        <f>SUM(OSRRefP22_0x_0)</f>
        <v>52428.029999999992</v>
      </c>
      <c r="Q19" s="1"/>
      <c r="R19" s="5">
        <f t="shared" si="4"/>
        <v>0</v>
      </c>
      <c r="S19" s="1"/>
      <c r="T19" s="1">
        <f>SUM(OSRRefT22_0x_0)</f>
        <v>53905.67</v>
      </c>
      <c r="U19" s="1"/>
      <c r="V19" s="5">
        <f t="shared" si="5"/>
        <v>0</v>
      </c>
      <c r="W19" s="1"/>
      <c r="X19" s="1">
        <f t="shared" si="6"/>
        <v>-1477.6400000000067</v>
      </c>
      <c r="Y19" s="1"/>
      <c r="Z19" s="5">
        <f t="shared" si="7"/>
        <v>-2.7411587686416043E-2</v>
      </c>
    </row>
    <row r="20" spans="1:26" s="24" customFormat="1" hidden="1" outlineLevel="2" x14ac:dyDescent="0.25">
      <c r="A20" s="28"/>
      <c r="B20" s="11" t="str">
        <f>CONCATENATE("          ", "6111", " - ", "F.I.C.A.")</f>
        <v xml:space="preserve">          6111 - F.I.C.A.</v>
      </c>
      <c r="C20" s="11"/>
      <c r="D20" s="6">
        <v>3477.59</v>
      </c>
      <c r="E20" s="2"/>
      <c r="F20" s="7">
        <f t="shared" si="0"/>
        <v>0</v>
      </c>
      <c r="G20" s="2"/>
      <c r="H20" s="6">
        <v>3989.36</v>
      </c>
      <c r="I20" s="2"/>
      <c r="J20" s="7">
        <f t="shared" si="1"/>
        <v>0</v>
      </c>
      <c r="K20" s="2"/>
      <c r="L20" s="6">
        <f t="shared" si="2"/>
        <v>-511.77</v>
      </c>
      <c r="M20" s="2"/>
      <c r="N20" s="7">
        <f t="shared" si="3"/>
        <v>-0.12828373473439347</v>
      </c>
      <c r="O20" s="11"/>
      <c r="P20" s="6">
        <v>8332.39</v>
      </c>
      <c r="Q20" s="2"/>
      <c r="R20" s="7">
        <f t="shared" si="4"/>
        <v>0</v>
      </c>
      <c r="S20" s="2"/>
      <c r="T20" s="6">
        <v>9544.2099999999991</v>
      </c>
      <c r="U20" s="2"/>
      <c r="V20" s="7">
        <f t="shared" si="5"/>
        <v>0</v>
      </c>
      <c r="W20" s="2"/>
      <c r="X20" s="6">
        <f t="shared" si="6"/>
        <v>-1211.8199999999997</v>
      </c>
      <c r="Y20" s="2"/>
      <c r="Z20" s="7">
        <f t="shared" si="7"/>
        <v>-0.12696912578411412</v>
      </c>
    </row>
    <row r="21" spans="1:26" s="24" customFormat="1" hidden="1" outlineLevel="2" x14ac:dyDescent="0.25">
      <c r="A21" s="28"/>
      <c r="B21" s="11" t="str">
        <f>CONCATENATE("          ", "6112", " - ", "COMPENSATION INSURANCE")</f>
        <v xml:space="preserve">          6112 - COMPENSATION INSURANCE</v>
      </c>
      <c r="C21" s="11"/>
      <c r="D21" s="6">
        <v>70.81</v>
      </c>
      <c r="E21" s="2"/>
      <c r="F21" s="7">
        <f t="shared" si="0"/>
        <v>0</v>
      </c>
      <c r="G21" s="2"/>
      <c r="H21" s="6">
        <v>-16.63</v>
      </c>
      <c r="I21" s="2"/>
      <c r="J21" s="7">
        <f t="shared" si="1"/>
        <v>0</v>
      </c>
      <c r="K21" s="2"/>
      <c r="L21" s="6">
        <f t="shared" si="2"/>
        <v>87.44</v>
      </c>
      <c r="M21" s="2"/>
      <c r="N21" s="7">
        <f t="shared" si="3"/>
        <v>-5.2579675285628387</v>
      </c>
      <c r="O21" s="11"/>
      <c r="P21" s="6">
        <v>284.72000000000003</v>
      </c>
      <c r="Q21" s="2"/>
      <c r="R21" s="7">
        <f t="shared" si="4"/>
        <v>0</v>
      </c>
      <c r="S21" s="2"/>
      <c r="T21" s="6">
        <v>245.96</v>
      </c>
      <c r="U21" s="2"/>
      <c r="V21" s="7">
        <f t="shared" si="5"/>
        <v>0</v>
      </c>
      <c r="W21" s="2"/>
      <c r="X21" s="6">
        <f t="shared" si="6"/>
        <v>38.760000000000019</v>
      </c>
      <c r="Y21" s="2"/>
      <c r="Z21" s="7">
        <f t="shared" si="7"/>
        <v>0.15758659944706463</v>
      </c>
    </row>
    <row r="22" spans="1:26" s="24" customFormat="1" hidden="1" outlineLevel="2" x14ac:dyDescent="0.25">
      <c r="A22" s="28"/>
      <c r="B22" s="11" t="str">
        <f>CONCATENATE("          ", "6113", " - ", "GROUP INSURANCE")</f>
        <v xml:space="preserve">          6113 - GROUP INSURANCE</v>
      </c>
      <c r="C22" s="11"/>
      <c r="D22" s="6">
        <v>5567.87</v>
      </c>
      <c r="E22" s="2"/>
      <c r="F22" s="7">
        <f t="shared" si="0"/>
        <v>0</v>
      </c>
      <c r="G22" s="2"/>
      <c r="H22" s="6">
        <v>5268.48</v>
      </c>
      <c r="I22" s="2"/>
      <c r="J22" s="7">
        <f t="shared" si="1"/>
        <v>0</v>
      </c>
      <c r="K22" s="2"/>
      <c r="L22" s="6">
        <f t="shared" si="2"/>
        <v>299.39000000000033</v>
      </c>
      <c r="M22" s="2"/>
      <c r="N22" s="7">
        <f t="shared" si="3"/>
        <v>5.6826636904761973E-2</v>
      </c>
      <c r="O22" s="11"/>
      <c r="P22" s="6">
        <v>22271.48</v>
      </c>
      <c r="Q22" s="2"/>
      <c r="R22" s="7">
        <f t="shared" si="4"/>
        <v>0</v>
      </c>
      <c r="S22" s="2"/>
      <c r="T22" s="6">
        <v>20438.82</v>
      </c>
      <c r="U22" s="2"/>
      <c r="V22" s="7">
        <f t="shared" si="5"/>
        <v>0</v>
      </c>
      <c r="W22" s="2"/>
      <c r="X22" s="6">
        <f t="shared" si="6"/>
        <v>1832.6599999999999</v>
      </c>
      <c r="Y22" s="2"/>
      <c r="Z22" s="7">
        <f t="shared" si="7"/>
        <v>8.9665646059801887E-2</v>
      </c>
    </row>
    <row r="23" spans="1:26" s="24" customFormat="1" hidden="1" outlineLevel="2" x14ac:dyDescent="0.25">
      <c r="A23" s="28"/>
      <c r="B23" s="11" t="str">
        <f>CONCATENATE("          ", "6114", " - ", "STATE UNEMPLOYMENT INSURANCE")</f>
        <v xml:space="preserve">          6114 - STATE UNEMPLOYMENT INSURANCE</v>
      </c>
      <c r="C23" s="11"/>
      <c r="D23" s="6">
        <v>55.79</v>
      </c>
      <c r="E23" s="2"/>
      <c r="F23" s="7">
        <f t="shared" si="0"/>
        <v>0</v>
      </c>
      <c r="G23" s="2"/>
      <c r="H23" s="6">
        <v>113.17</v>
      </c>
      <c r="I23" s="2"/>
      <c r="J23" s="7">
        <f t="shared" si="1"/>
        <v>0</v>
      </c>
      <c r="K23" s="2"/>
      <c r="L23" s="6">
        <f t="shared" si="2"/>
        <v>-57.38</v>
      </c>
      <c r="M23" s="2"/>
      <c r="N23" s="7">
        <f t="shared" si="3"/>
        <v>-0.50702482990191744</v>
      </c>
      <c r="O23" s="11"/>
      <c r="P23" s="6">
        <v>224.32</v>
      </c>
      <c r="Q23" s="2"/>
      <c r="R23" s="7">
        <f t="shared" si="4"/>
        <v>0</v>
      </c>
      <c r="S23" s="2"/>
      <c r="T23" s="6">
        <v>313.97000000000003</v>
      </c>
      <c r="U23" s="2"/>
      <c r="V23" s="7">
        <f t="shared" si="5"/>
        <v>0</v>
      </c>
      <c r="W23" s="2"/>
      <c r="X23" s="6">
        <f t="shared" si="6"/>
        <v>-89.650000000000034</v>
      </c>
      <c r="Y23" s="2"/>
      <c r="Z23" s="7">
        <f t="shared" si="7"/>
        <v>-0.28553683472943281</v>
      </c>
    </row>
    <row r="24" spans="1:26" s="24" customFormat="1" hidden="1" outlineLevel="2" x14ac:dyDescent="0.25">
      <c r="A24" s="28"/>
      <c r="B24" s="11" t="str">
        <f>CONCATENATE("          ", "6115", " - ", "P.E.R.S.")</f>
        <v xml:space="preserve">          6115 - P.E.R.S.</v>
      </c>
      <c r="C24" s="11"/>
      <c r="D24" s="6">
        <v>1861.21</v>
      </c>
      <c r="E24" s="2"/>
      <c r="F24" s="7">
        <f t="shared" si="0"/>
        <v>0</v>
      </c>
      <c r="G24" s="2"/>
      <c r="H24" s="6">
        <v>3079.81</v>
      </c>
      <c r="I24" s="2"/>
      <c r="J24" s="7">
        <f t="shared" si="1"/>
        <v>0</v>
      </c>
      <c r="K24" s="2"/>
      <c r="L24" s="6">
        <f t="shared" si="2"/>
        <v>-1218.5999999999999</v>
      </c>
      <c r="M24" s="2"/>
      <c r="N24" s="7">
        <f t="shared" si="3"/>
        <v>-0.3956737590955286</v>
      </c>
      <c r="O24" s="11"/>
      <c r="P24" s="6">
        <v>8375.44</v>
      </c>
      <c r="Q24" s="2"/>
      <c r="R24" s="7">
        <f t="shared" si="4"/>
        <v>0</v>
      </c>
      <c r="S24" s="2"/>
      <c r="T24" s="6">
        <v>7096.96</v>
      </c>
      <c r="U24" s="2"/>
      <c r="V24" s="7">
        <f t="shared" si="5"/>
        <v>0</v>
      </c>
      <c r="W24" s="2"/>
      <c r="X24" s="6">
        <f t="shared" si="6"/>
        <v>1278.4800000000005</v>
      </c>
      <c r="Y24" s="2"/>
      <c r="Z24" s="7">
        <f t="shared" si="7"/>
        <v>0.18014473802867714</v>
      </c>
    </row>
    <row r="25" spans="1:26" s="24" customFormat="1" hidden="1" outlineLevel="2" x14ac:dyDescent="0.25">
      <c r="A25" s="28"/>
      <c r="B25" s="11" t="str">
        <f>CONCATENATE("          ", "6117", " - ", "RETIREMENT STAFF HOURLY")</f>
        <v xml:space="preserve">          6117 - RETIREMENT STAFF HOURLY</v>
      </c>
      <c r="C25" s="11"/>
      <c r="D25" s="6">
        <v>160.72</v>
      </c>
      <c r="E25" s="2"/>
      <c r="F25" s="7">
        <f t="shared" si="0"/>
        <v>0</v>
      </c>
      <c r="G25" s="2"/>
      <c r="H25" s="6">
        <v>378.28</v>
      </c>
      <c r="I25" s="2"/>
      <c r="J25" s="7">
        <f t="shared" si="1"/>
        <v>0</v>
      </c>
      <c r="K25" s="2"/>
      <c r="L25" s="6">
        <f t="shared" si="2"/>
        <v>-217.55999999999997</v>
      </c>
      <c r="M25" s="2"/>
      <c r="N25" s="7">
        <f t="shared" si="3"/>
        <v>-0.57512953367875641</v>
      </c>
      <c r="O25" s="11"/>
      <c r="P25" s="6">
        <v>747.88</v>
      </c>
      <c r="Q25" s="2"/>
      <c r="R25" s="7">
        <f t="shared" si="4"/>
        <v>0</v>
      </c>
      <c r="S25" s="2"/>
      <c r="T25" s="6">
        <v>1514.22</v>
      </c>
      <c r="U25" s="2"/>
      <c r="V25" s="7">
        <f t="shared" si="5"/>
        <v>0</v>
      </c>
      <c r="W25" s="2"/>
      <c r="X25" s="6">
        <f t="shared" si="6"/>
        <v>-766.34</v>
      </c>
      <c r="Y25" s="2"/>
      <c r="Z25" s="7">
        <f t="shared" si="7"/>
        <v>-0.5060955475426292</v>
      </c>
    </row>
    <row r="26" spans="1:26" s="24" customFormat="1" hidden="1" outlineLevel="2" x14ac:dyDescent="0.25">
      <c r="A26" s="28"/>
      <c r="B26" s="11" t="str">
        <f>CONCATENATE("          ", "6118", " - ", "VACATION")</f>
        <v xml:space="preserve">          6118 - VACATION</v>
      </c>
      <c r="C26" s="11"/>
      <c r="D26" s="6">
        <v>2211.96</v>
      </c>
      <c r="E26" s="2"/>
      <c r="F26" s="7">
        <f t="shared" si="0"/>
        <v>0</v>
      </c>
      <c r="G26" s="2"/>
      <c r="H26" s="6">
        <v>2112.9299999999998</v>
      </c>
      <c r="I26" s="2"/>
      <c r="J26" s="7">
        <f t="shared" si="1"/>
        <v>0</v>
      </c>
      <c r="K26" s="2"/>
      <c r="L26" s="6">
        <f t="shared" si="2"/>
        <v>99.0300000000002</v>
      </c>
      <c r="M26" s="2"/>
      <c r="N26" s="7">
        <f t="shared" si="3"/>
        <v>4.6868566398319017E-2</v>
      </c>
      <c r="O26" s="11"/>
      <c r="P26" s="6">
        <v>6635.88</v>
      </c>
      <c r="Q26" s="2"/>
      <c r="R26" s="7">
        <f t="shared" si="4"/>
        <v>0</v>
      </c>
      <c r="S26" s="2"/>
      <c r="T26" s="6">
        <v>7353.56</v>
      </c>
      <c r="U26" s="2"/>
      <c r="V26" s="7">
        <f t="shared" si="5"/>
        <v>0</v>
      </c>
      <c r="W26" s="2"/>
      <c r="X26" s="6">
        <f t="shared" si="6"/>
        <v>-717.68000000000029</v>
      </c>
      <c r="Y26" s="2"/>
      <c r="Z26" s="7">
        <f t="shared" si="7"/>
        <v>-9.7596266298228374E-2</v>
      </c>
    </row>
    <row r="27" spans="1:26" s="24" customFormat="1" hidden="1" outlineLevel="2" x14ac:dyDescent="0.25">
      <c r="A27" s="28"/>
      <c r="B27" s="11" t="str">
        <f>CONCATENATE("          ", "6119", " - ", "SICK LEAVE")</f>
        <v xml:space="preserve">          6119 - SICK LEAVE</v>
      </c>
      <c r="C27" s="11"/>
      <c r="D27" s="6">
        <v>1498.56</v>
      </c>
      <c r="E27" s="2"/>
      <c r="F27" s="7">
        <f t="shared" si="0"/>
        <v>0</v>
      </c>
      <c r="G27" s="2"/>
      <c r="H27" s="6">
        <v>1412.55</v>
      </c>
      <c r="I27" s="2"/>
      <c r="J27" s="7">
        <f t="shared" si="1"/>
        <v>0</v>
      </c>
      <c r="K27" s="2"/>
      <c r="L27" s="6">
        <f t="shared" si="2"/>
        <v>86.009999999999991</v>
      </c>
      <c r="M27" s="2"/>
      <c r="N27" s="7">
        <f t="shared" si="3"/>
        <v>6.088988000424763E-2</v>
      </c>
      <c r="O27" s="11"/>
      <c r="P27" s="6">
        <v>4495.68</v>
      </c>
      <c r="Q27" s="2"/>
      <c r="R27" s="7">
        <f t="shared" si="4"/>
        <v>0</v>
      </c>
      <c r="S27" s="2"/>
      <c r="T27" s="6">
        <v>4923.26</v>
      </c>
      <c r="U27" s="2"/>
      <c r="V27" s="7">
        <f t="shared" si="5"/>
        <v>0</v>
      </c>
      <c r="W27" s="2"/>
      <c r="X27" s="6">
        <f t="shared" si="6"/>
        <v>-427.57999999999993</v>
      </c>
      <c r="Y27" s="2"/>
      <c r="Z27" s="7">
        <f t="shared" si="7"/>
        <v>-8.6848957804381635E-2</v>
      </c>
    </row>
    <row r="28" spans="1:26" s="24" customFormat="1" hidden="1" outlineLevel="2" x14ac:dyDescent="0.25">
      <c r="A28" s="28"/>
      <c r="B28" s="11" t="str">
        <f>CONCATENATE("          ", "6156", " - ", "EMPLOYEE MEALS")</f>
        <v xml:space="preserve">          6156 - EMPLOYEE MEALS</v>
      </c>
      <c r="C28" s="11"/>
      <c r="D28" s="6">
        <v>302.52</v>
      </c>
      <c r="E28" s="2"/>
      <c r="F28" s="7">
        <f t="shared" si="0"/>
        <v>0</v>
      </c>
      <c r="G28" s="2"/>
      <c r="H28" s="6">
        <v>658.4</v>
      </c>
      <c r="I28" s="2"/>
      <c r="J28" s="7">
        <f t="shared" si="1"/>
        <v>0</v>
      </c>
      <c r="K28" s="2"/>
      <c r="L28" s="6">
        <f t="shared" si="2"/>
        <v>-355.88</v>
      </c>
      <c r="M28" s="2"/>
      <c r="N28" s="7">
        <f t="shared" si="3"/>
        <v>-0.54052247873633052</v>
      </c>
      <c r="O28" s="11"/>
      <c r="P28" s="6">
        <v>1060.24</v>
      </c>
      <c r="Q28" s="2"/>
      <c r="R28" s="7">
        <f t="shared" si="4"/>
        <v>0</v>
      </c>
      <c r="S28" s="2"/>
      <c r="T28" s="6">
        <v>2474.71</v>
      </c>
      <c r="U28" s="2"/>
      <c r="V28" s="7">
        <f t="shared" si="5"/>
        <v>0</v>
      </c>
      <c r="W28" s="2"/>
      <c r="X28" s="6">
        <f t="shared" si="6"/>
        <v>-1414.47</v>
      </c>
      <c r="Y28" s="2"/>
      <c r="Z28" s="7">
        <f t="shared" si="7"/>
        <v>-0.57157000214166509</v>
      </c>
    </row>
    <row r="29" spans="1:26" s="29" customFormat="1" outlineLevel="1" collapsed="1" x14ac:dyDescent="0.25">
      <c r="A29" s="27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24666.68</v>
      </c>
      <c r="E29" s="1"/>
      <c r="F29" s="5">
        <f t="shared" ref="F29:F34" si="8">IF(D$12=0,0,D29/D$12)</f>
        <v>0</v>
      </c>
      <c r="G29" s="1"/>
      <c r="H29" s="1">
        <f>SUM(OSRRefH22_1x_0)</f>
        <v>31366.809999999998</v>
      </c>
      <c r="I29" s="1"/>
      <c r="J29" s="5">
        <f t="shared" ref="J29:J34" si="9">IF(H$12=0,0,H29/H$12)</f>
        <v>0</v>
      </c>
      <c r="K29" s="1"/>
      <c r="L29" s="1">
        <f t="shared" ref="L29:L34" si="10">+D29-H29</f>
        <v>-6700.1299999999974</v>
      </c>
      <c r="M29" s="1"/>
      <c r="N29" s="5">
        <f t="shared" ref="N29:N34" si="11">IF(H29=0,0,L29/H29)</f>
        <v>-0.2136057189111675</v>
      </c>
      <c r="O29" s="14"/>
      <c r="P29" s="1">
        <f>SUM(OSRRefP22_1x_0)</f>
        <v>89461.43</v>
      </c>
      <c r="Q29" s="1"/>
      <c r="R29" s="5">
        <f t="shared" ref="R29:R34" si="12">IF(P$12=0,0,P29/P$12)</f>
        <v>0</v>
      </c>
      <c r="S29" s="1"/>
      <c r="T29" s="1">
        <f>SUM(OSRRefT22_1x_0)</f>
        <v>109586.15</v>
      </c>
      <c r="U29" s="1"/>
      <c r="V29" s="5">
        <f t="shared" ref="V29:V34" si="13">IF(T$12=0,0,T29/T$12)</f>
        <v>0</v>
      </c>
      <c r="W29" s="1"/>
      <c r="X29" s="1">
        <f t="shared" ref="X29:X34" si="14">+P29-T29</f>
        <v>-20124.72</v>
      </c>
      <c r="Y29" s="1"/>
      <c r="Z29" s="5">
        <f t="shared" ref="Z29:Z34" si="15">IF(T29=0,0,X29/T29)</f>
        <v>-0.18364291472964422</v>
      </c>
    </row>
    <row r="30" spans="1:26" s="24" customFormat="1" hidden="1" outlineLevel="2" x14ac:dyDescent="0.25">
      <c r="A30" s="28"/>
      <c r="B30" s="11" t="str">
        <f>CONCATENATE("          ", "6002", " - ", "STAFF SALARIES")</f>
        <v xml:space="preserve">          6002 - STAFF SALARIES</v>
      </c>
      <c r="C30" s="11"/>
      <c r="D30" s="6">
        <v>20606.53</v>
      </c>
      <c r="E30" s="2"/>
      <c r="F30" s="7">
        <f t="shared" si="8"/>
        <v>0</v>
      </c>
      <c r="G30" s="2"/>
      <c r="H30" s="6">
        <v>15005.529999999999</v>
      </c>
      <c r="I30" s="2"/>
      <c r="J30" s="7">
        <f t="shared" si="9"/>
        <v>0</v>
      </c>
      <c r="K30" s="2"/>
      <c r="L30" s="6">
        <f t="shared" si="10"/>
        <v>5601</v>
      </c>
      <c r="M30" s="2"/>
      <c r="N30" s="7">
        <f t="shared" si="11"/>
        <v>0.37326239059866601</v>
      </c>
      <c r="O30" s="11"/>
      <c r="P30" s="6">
        <v>76850.39</v>
      </c>
      <c r="Q30" s="2"/>
      <c r="R30" s="7">
        <f t="shared" si="12"/>
        <v>0</v>
      </c>
      <c r="S30" s="2"/>
      <c r="T30" s="6">
        <v>52106.729999999996</v>
      </c>
      <c r="U30" s="2"/>
      <c r="V30" s="7">
        <f t="shared" si="13"/>
        <v>0</v>
      </c>
      <c r="W30" s="2"/>
      <c r="X30" s="6">
        <f t="shared" si="14"/>
        <v>24743.660000000003</v>
      </c>
      <c r="Y30" s="2"/>
      <c r="Z30" s="7">
        <f t="shared" si="15"/>
        <v>0.47486495506434589</v>
      </c>
    </row>
    <row r="31" spans="1:26" s="24" customFormat="1" hidden="1" outlineLevel="2" x14ac:dyDescent="0.25">
      <c r="A31" s="28"/>
      <c r="B31" s="11" t="str">
        <f>CONCATENATE("          ", "6004", " - ", "STAFF HOURLY")</f>
        <v xml:space="preserve">          6004 - STAFF HOURLY</v>
      </c>
      <c r="C31" s="11"/>
      <c r="D31" s="6">
        <v>4900.1499999999996</v>
      </c>
      <c r="E31" s="2"/>
      <c r="F31" s="7">
        <f t="shared" si="8"/>
        <v>0</v>
      </c>
      <c r="G31" s="2"/>
      <c r="H31" s="6">
        <v>11011.27</v>
      </c>
      <c r="I31" s="2"/>
      <c r="J31" s="7">
        <f t="shared" si="9"/>
        <v>0</v>
      </c>
      <c r="K31" s="2"/>
      <c r="L31" s="6">
        <f t="shared" si="10"/>
        <v>-6111.1200000000008</v>
      </c>
      <c r="M31" s="2"/>
      <c r="N31" s="7">
        <f t="shared" si="11"/>
        <v>-0.55498775345623175</v>
      </c>
      <c r="O31" s="11"/>
      <c r="P31" s="6">
        <v>12611.04</v>
      </c>
      <c r="Q31" s="2"/>
      <c r="R31" s="7">
        <f t="shared" si="12"/>
        <v>0</v>
      </c>
      <c r="S31" s="2"/>
      <c r="T31" s="6">
        <v>32325.41</v>
      </c>
      <c r="U31" s="2"/>
      <c r="V31" s="7">
        <f t="shared" si="13"/>
        <v>0</v>
      </c>
      <c r="W31" s="2"/>
      <c r="X31" s="6">
        <f t="shared" si="14"/>
        <v>-19714.37</v>
      </c>
      <c r="Y31" s="2"/>
      <c r="Z31" s="7">
        <f t="shared" si="15"/>
        <v>-0.60987223363910925</v>
      </c>
    </row>
    <row r="32" spans="1:26" s="24" customFormat="1" hidden="1" outlineLevel="2" x14ac:dyDescent="0.25">
      <c r="A32" s="28"/>
      <c r="B32" s="11" t="str">
        <f>CONCATENATE("          ", "6005", " - ", "TEMPORARY WAGES-HOURLY")</f>
        <v xml:space="preserve">          6005 - TEMPORARY WAGES-HOURLY</v>
      </c>
      <c r="C32" s="11"/>
      <c r="D32" s="6"/>
      <c r="E32" s="2"/>
      <c r="F32" s="7">
        <f t="shared" si="8"/>
        <v>0</v>
      </c>
      <c r="G32" s="2"/>
      <c r="H32" s="6">
        <v>3891.25</v>
      </c>
      <c r="I32" s="2"/>
      <c r="J32" s="7">
        <f t="shared" si="9"/>
        <v>0</v>
      </c>
      <c r="K32" s="2"/>
      <c r="L32" s="6">
        <f t="shared" si="10"/>
        <v>-3891.25</v>
      </c>
      <c r="M32" s="2"/>
      <c r="N32" s="7">
        <f t="shared" si="11"/>
        <v>-1</v>
      </c>
      <c r="O32" s="11"/>
      <c r="P32" s="6"/>
      <c r="Q32" s="2"/>
      <c r="R32" s="7">
        <f t="shared" si="12"/>
        <v>0</v>
      </c>
      <c r="S32" s="2"/>
      <c r="T32" s="6">
        <v>10502.5</v>
      </c>
      <c r="U32" s="2"/>
      <c r="V32" s="7">
        <f t="shared" si="13"/>
        <v>0</v>
      </c>
      <c r="W32" s="2"/>
      <c r="X32" s="6">
        <f t="shared" si="14"/>
        <v>-10502.5</v>
      </c>
      <c r="Y32" s="2"/>
      <c r="Z32" s="7">
        <f t="shared" si="15"/>
        <v>-1</v>
      </c>
    </row>
    <row r="33" spans="1:26" s="24" customFormat="1" hidden="1" outlineLevel="2" x14ac:dyDescent="0.25">
      <c r="A33" s="28"/>
      <c r="B33" s="11" t="str">
        <f>CONCATENATE("          ", "6007", " - ", "STUDENT HOURLY")</f>
        <v xml:space="preserve">          6007 - STUDENT HOURLY</v>
      </c>
      <c r="C33" s="11"/>
      <c r="D33" s="6">
        <v>-840</v>
      </c>
      <c r="E33" s="2"/>
      <c r="F33" s="7">
        <f t="shared" si="8"/>
        <v>0</v>
      </c>
      <c r="G33" s="2"/>
      <c r="H33" s="6">
        <v>1458.76</v>
      </c>
      <c r="I33" s="2"/>
      <c r="J33" s="7">
        <f t="shared" si="9"/>
        <v>0</v>
      </c>
      <c r="K33" s="2"/>
      <c r="L33" s="6">
        <f t="shared" si="10"/>
        <v>-2298.7600000000002</v>
      </c>
      <c r="M33" s="2"/>
      <c r="N33" s="7">
        <f t="shared" si="11"/>
        <v>-1.5758315281471937</v>
      </c>
      <c r="O33" s="11"/>
      <c r="P33" s="6">
        <v>0</v>
      </c>
      <c r="Q33" s="2"/>
      <c r="R33" s="7">
        <f t="shared" si="12"/>
        <v>0</v>
      </c>
      <c r="S33" s="2"/>
      <c r="T33" s="6">
        <v>12131.51</v>
      </c>
      <c r="U33" s="2"/>
      <c r="V33" s="7">
        <f t="shared" si="13"/>
        <v>0</v>
      </c>
      <c r="W33" s="2"/>
      <c r="X33" s="6">
        <f t="shared" si="14"/>
        <v>-12131.51</v>
      </c>
      <c r="Y33" s="2"/>
      <c r="Z33" s="7">
        <f t="shared" si="15"/>
        <v>-1</v>
      </c>
    </row>
    <row r="34" spans="1:26" s="24" customFormat="1" hidden="1" outlineLevel="2" x14ac:dyDescent="0.25">
      <c r="A34" s="28"/>
      <c r="B34" s="11" t="str">
        <f>CONCATENATE("          ", "6008", " - ", "STUDENT HOURLY-FICA EXEMPT")</f>
        <v xml:space="preserve">          6008 - STUDENT HOURLY-FICA EXEMPT</v>
      </c>
      <c r="C34" s="11"/>
      <c r="D34" s="6"/>
      <c r="E34" s="2"/>
      <c r="F34" s="7">
        <f t="shared" si="8"/>
        <v>0</v>
      </c>
      <c r="G34" s="2"/>
      <c r="H34" s="6"/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/>
      <c r="Q34" s="2"/>
      <c r="R34" s="7">
        <f t="shared" si="12"/>
        <v>0</v>
      </c>
      <c r="S34" s="2"/>
      <c r="T34" s="6">
        <v>2520</v>
      </c>
      <c r="U34" s="2"/>
      <c r="V34" s="7">
        <f t="shared" si="13"/>
        <v>0</v>
      </c>
      <c r="W34" s="2"/>
      <c r="X34" s="6">
        <f t="shared" si="14"/>
        <v>-2520</v>
      </c>
      <c r="Y34" s="2"/>
      <c r="Z34" s="7">
        <f t="shared" si="15"/>
        <v>-1</v>
      </c>
    </row>
    <row r="35" spans="1:26" s="29" customFormat="1" outlineLevel="1" collapsed="1" x14ac:dyDescent="0.25">
      <c r="A35" s="27"/>
      <c r="B35" s="14" t="str">
        <f>CONCATENATE("     ","Advertising/Promo                                 ")</f>
        <v xml:space="preserve">     Advertising/Promo                                 </v>
      </c>
      <c r="C35" s="14"/>
      <c r="D35" s="1">
        <f>SUM(OSRRefD22_2x_0)</f>
        <v>0</v>
      </c>
      <c r="E35" s="1"/>
      <c r="F35" s="5">
        <f t="shared" ref="F35:F44" si="16">IF(D$12=0,0,D35/D$12)</f>
        <v>0</v>
      </c>
      <c r="G35" s="1"/>
      <c r="H35" s="1">
        <f>SUM(OSRRefH22_2x_0)</f>
        <v>0</v>
      </c>
      <c r="I35" s="1"/>
      <c r="J35" s="5">
        <f t="shared" ref="J35:J44" si="17">IF(H$12=0,0,H35/H$12)</f>
        <v>0</v>
      </c>
      <c r="K35" s="1"/>
      <c r="L35" s="1">
        <f t="shared" ref="L35:L44" si="18">+D35-H35</f>
        <v>0</v>
      </c>
      <c r="M35" s="1"/>
      <c r="N35" s="5">
        <f t="shared" ref="N35:N44" si="19">IF(H35=0,0,L35/H35)</f>
        <v>0</v>
      </c>
      <c r="O35" s="14"/>
      <c r="P35" s="1">
        <f>SUM(OSRRefP22_2x_0)</f>
        <v>0</v>
      </c>
      <c r="Q35" s="1"/>
      <c r="R35" s="5">
        <f t="shared" ref="R35:R44" si="20">IF(P$12=0,0,P35/P$12)</f>
        <v>0</v>
      </c>
      <c r="S35" s="1"/>
      <c r="T35" s="1">
        <f>SUM(OSRRefT22_2x_0)</f>
        <v>9.99</v>
      </c>
      <c r="U35" s="1"/>
      <c r="V35" s="5">
        <f t="shared" ref="V35:V44" si="21">IF(T$12=0,0,T35/T$12)</f>
        <v>0</v>
      </c>
      <c r="W35" s="1"/>
      <c r="X35" s="1">
        <f t="shared" ref="X35:X44" si="22">+P35-T35</f>
        <v>-9.99</v>
      </c>
      <c r="Y35" s="1"/>
      <c r="Z35" s="5">
        <f t="shared" ref="Z35:Z44" si="23">IF(T35=0,0,X35/T35)</f>
        <v>-1</v>
      </c>
    </row>
    <row r="36" spans="1:26" s="24" customFormat="1" hidden="1" outlineLevel="2" x14ac:dyDescent="0.25">
      <c r="A36" s="28"/>
      <c r="B36" s="11" t="str">
        <f>CONCATENATE("          ", "6362", " - ", "ADVERTISING EXPENSE")</f>
        <v xml:space="preserve">          6362 - ADVERTISING EXPENSE</v>
      </c>
      <c r="C36" s="11"/>
      <c r="D36" s="6"/>
      <c r="E36" s="2"/>
      <c r="F36" s="7">
        <f t="shared" si="16"/>
        <v>0</v>
      </c>
      <c r="G36" s="2"/>
      <c r="H36" s="6"/>
      <c r="I36" s="2"/>
      <c r="J36" s="7">
        <f t="shared" si="17"/>
        <v>0</v>
      </c>
      <c r="K36" s="2"/>
      <c r="L36" s="6">
        <f t="shared" si="18"/>
        <v>0</v>
      </c>
      <c r="M36" s="2"/>
      <c r="N36" s="7">
        <f t="shared" si="19"/>
        <v>0</v>
      </c>
      <c r="O36" s="11"/>
      <c r="P36" s="6"/>
      <c r="Q36" s="2"/>
      <c r="R36" s="7">
        <f t="shared" si="20"/>
        <v>0</v>
      </c>
      <c r="S36" s="2"/>
      <c r="T36" s="6">
        <v>9.99</v>
      </c>
      <c r="U36" s="2"/>
      <c r="V36" s="7">
        <f t="shared" si="21"/>
        <v>0</v>
      </c>
      <c r="W36" s="2"/>
      <c r="X36" s="6">
        <f t="shared" si="22"/>
        <v>-9.99</v>
      </c>
      <c r="Y36" s="2"/>
      <c r="Z36" s="7">
        <f t="shared" si="23"/>
        <v>-1</v>
      </c>
    </row>
    <row r="37" spans="1:26" s="29" customFormat="1" outlineLevel="1" collapsed="1" x14ac:dyDescent="0.25">
      <c r="A37" s="27"/>
      <c r="B37" s="14" t="str">
        <f>CONCATENATE("     ","Depreciation                                      ")</f>
        <v xml:space="preserve">     Depreciation                                      </v>
      </c>
      <c r="C37" s="14"/>
      <c r="D37" s="1">
        <f>SUM(OSRRefD22_3x_0)</f>
        <v>5077.13</v>
      </c>
      <c r="E37" s="1"/>
      <c r="F37" s="5">
        <f t="shared" si="16"/>
        <v>0</v>
      </c>
      <c r="G37" s="1"/>
      <c r="H37" s="1">
        <f>SUM(OSRRefH22_3x_0)</f>
        <v>6175.97</v>
      </c>
      <c r="I37" s="1"/>
      <c r="J37" s="5">
        <f t="shared" si="17"/>
        <v>0</v>
      </c>
      <c r="K37" s="1"/>
      <c r="L37" s="1">
        <f t="shared" si="18"/>
        <v>-1098.8400000000001</v>
      </c>
      <c r="M37" s="1"/>
      <c r="N37" s="5">
        <f t="shared" si="19"/>
        <v>-0.17792184871364339</v>
      </c>
      <c r="O37" s="14"/>
      <c r="P37" s="1">
        <f>SUM(OSRRefP22_3x_0)</f>
        <v>21463.54</v>
      </c>
      <c r="Q37" s="1"/>
      <c r="R37" s="5">
        <f t="shared" si="20"/>
        <v>0</v>
      </c>
      <c r="S37" s="1"/>
      <c r="T37" s="1">
        <f>SUM(OSRRefT22_3x_0)</f>
        <v>24703.88</v>
      </c>
      <c r="U37" s="1"/>
      <c r="V37" s="5">
        <f t="shared" si="21"/>
        <v>0</v>
      </c>
      <c r="W37" s="1"/>
      <c r="X37" s="1">
        <f t="shared" si="22"/>
        <v>-3240.34</v>
      </c>
      <c r="Y37" s="1"/>
      <c r="Z37" s="5">
        <f t="shared" si="23"/>
        <v>-0.13116724984091568</v>
      </c>
    </row>
    <row r="38" spans="1:26" s="24" customFormat="1" hidden="1" outlineLevel="2" x14ac:dyDescent="0.25">
      <c r="A38" s="28"/>
      <c r="B38" s="11" t="str">
        <f>CONCATENATE("          ", "6322", " - ", "EQUIPMENT DEPRECIATION EXPENSE")</f>
        <v xml:space="preserve">          6322 - EQUIPMENT DEPRECIATION EXPENSE</v>
      </c>
      <c r="C38" s="11"/>
      <c r="D38" s="6">
        <v>5077.13</v>
      </c>
      <c r="E38" s="2"/>
      <c r="F38" s="7">
        <f t="shared" si="16"/>
        <v>0</v>
      </c>
      <c r="G38" s="2"/>
      <c r="H38" s="6">
        <v>6175.97</v>
      </c>
      <c r="I38" s="2"/>
      <c r="J38" s="7">
        <f t="shared" si="17"/>
        <v>0</v>
      </c>
      <c r="K38" s="2"/>
      <c r="L38" s="6">
        <f t="shared" si="18"/>
        <v>-1098.8400000000001</v>
      </c>
      <c r="M38" s="2"/>
      <c r="N38" s="7">
        <f t="shared" si="19"/>
        <v>-0.17792184871364339</v>
      </c>
      <c r="O38" s="11"/>
      <c r="P38" s="6">
        <v>21463.54</v>
      </c>
      <c r="Q38" s="2"/>
      <c r="R38" s="7">
        <f t="shared" si="20"/>
        <v>0</v>
      </c>
      <c r="S38" s="2"/>
      <c r="T38" s="6">
        <v>24703.88</v>
      </c>
      <c r="U38" s="2"/>
      <c r="V38" s="7">
        <f t="shared" si="21"/>
        <v>0</v>
      </c>
      <c r="W38" s="2"/>
      <c r="X38" s="6">
        <f t="shared" si="22"/>
        <v>-3240.34</v>
      </c>
      <c r="Y38" s="2"/>
      <c r="Z38" s="7">
        <f t="shared" si="23"/>
        <v>-0.13116724984091568</v>
      </c>
    </row>
    <row r="39" spans="1:26" s="29" customFormat="1" outlineLevel="1" collapsed="1" x14ac:dyDescent="0.25">
      <c r="A39" s="27"/>
      <c r="B39" s="14" t="str">
        <f>CONCATENATE("     ","Insurance                                         ")</f>
        <v xml:space="preserve">     Insurance                                         </v>
      </c>
      <c r="C39" s="14"/>
      <c r="D39" s="1">
        <f>SUM(OSRRefD22_4x_0)</f>
        <v>56.34</v>
      </c>
      <c r="E39" s="1"/>
      <c r="F39" s="5">
        <f t="shared" si="16"/>
        <v>0</v>
      </c>
      <c r="G39" s="1"/>
      <c r="H39" s="1">
        <f>SUM(OSRRefH22_4x_0)</f>
        <v>56.34</v>
      </c>
      <c r="I39" s="1"/>
      <c r="J39" s="5">
        <f t="shared" si="17"/>
        <v>0</v>
      </c>
      <c r="K39" s="1"/>
      <c r="L39" s="1">
        <f t="shared" si="18"/>
        <v>0</v>
      </c>
      <c r="M39" s="1"/>
      <c r="N39" s="5">
        <f t="shared" si="19"/>
        <v>0</v>
      </c>
      <c r="O39" s="14"/>
      <c r="P39" s="1">
        <f>SUM(OSRRefP22_4x_0)</f>
        <v>225.36</v>
      </c>
      <c r="Q39" s="1"/>
      <c r="R39" s="5">
        <f t="shared" si="20"/>
        <v>0</v>
      </c>
      <c r="S39" s="1"/>
      <c r="T39" s="1">
        <f>SUM(OSRRefT22_4x_0)</f>
        <v>225.36</v>
      </c>
      <c r="U39" s="1"/>
      <c r="V39" s="5">
        <f t="shared" si="21"/>
        <v>0</v>
      </c>
      <c r="W39" s="1"/>
      <c r="X39" s="1">
        <f t="shared" si="22"/>
        <v>0</v>
      </c>
      <c r="Y39" s="1"/>
      <c r="Z39" s="5">
        <f t="shared" si="23"/>
        <v>0</v>
      </c>
    </row>
    <row r="40" spans="1:26" s="24" customFormat="1" hidden="1" outlineLevel="2" x14ac:dyDescent="0.25">
      <c r="A40" s="28"/>
      <c r="B40" s="11" t="str">
        <f>CONCATENATE("          ", "6314", " - ", "LIABILITY INSURANCE")</f>
        <v xml:space="preserve">          6314 - LIABILITY INSURANCE</v>
      </c>
      <c r="C40" s="11"/>
      <c r="D40" s="6">
        <v>56.34</v>
      </c>
      <c r="E40" s="2"/>
      <c r="F40" s="7">
        <f t="shared" si="16"/>
        <v>0</v>
      </c>
      <c r="G40" s="2"/>
      <c r="H40" s="6">
        <v>56.34</v>
      </c>
      <c r="I40" s="2"/>
      <c r="J40" s="7">
        <f t="shared" si="17"/>
        <v>0</v>
      </c>
      <c r="K40" s="2"/>
      <c r="L40" s="6">
        <f t="shared" si="18"/>
        <v>0</v>
      </c>
      <c r="M40" s="2"/>
      <c r="N40" s="7">
        <f t="shared" si="19"/>
        <v>0</v>
      </c>
      <c r="O40" s="11"/>
      <c r="P40" s="6">
        <v>225.36</v>
      </c>
      <c r="Q40" s="2"/>
      <c r="R40" s="7">
        <f t="shared" si="20"/>
        <v>0</v>
      </c>
      <c r="S40" s="2"/>
      <c r="T40" s="6">
        <v>225.36</v>
      </c>
      <c r="U40" s="2"/>
      <c r="V40" s="7">
        <f t="shared" si="21"/>
        <v>0</v>
      </c>
      <c r="W40" s="2"/>
      <c r="X40" s="6">
        <f t="shared" si="22"/>
        <v>0</v>
      </c>
      <c r="Y40" s="2"/>
      <c r="Z40" s="7">
        <f t="shared" si="23"/>
        <v>0</v>
      </c>
    </row>
    <row r="41" spans="1:26" s="29" customFormat="1" outlineLevel="1" collapsed="1" x14ac:dyDescent="0.25">
      <c r="A41" s="27"/>
      <c r="B41" s="14" t="str">
        <f>CONCATENATE("     ","Repair and Maintenance                            ")</f>
        <v xml:space="preserve">     Repair and Maintenance                            </v>
      </c>
      <c r="C41" s="14"/>
      <c r="D41" s="1">
        <f>SUM(OSRRefD22_5x_0)</f>
        <v>14428.16</v>
      </c>
      <c r="E41" s="1"/>
      <c r="F41" s="5">
        <f t="shared" si="16"/>
        <v>0</v>
      </c>
      <c r="G41" s="1"/>
      <c r="H41" s="1">
        <f>SUM(OSRRefH22_5x_0)</f>
        <v>9475.9500000000007</v>
      </c>
      <c r="I41" s="1"/>
      <c r="J41" s="5">
        <f t="shared" si="17"/>
        <v>0</v>
      </c>
      <c r="K41" s="1"/>
      <c r="L41" s="1">
        <f t="shared" si="18"/>
        <v>4952.2099999999991</v>
      </c>
      <c r="M41" s="1"/>
      <c r="N41" s="5">
        <f t="shared" si="19"/>
        <v>0.52260828729573272</v>
      </c>
      <c r="O41" s="14"/>
      <c r="P41" s="1">
        <f>SUM(OSRRefP22_5x_0)</f>
        <v>48604.160000000003</v>
      </c>
      <c r="Q41" s="1"/>
      <c r="R41" s="5">
        <f t="shared" si="20"/>
        <v>0</v>
      </c>
      <c r="S41" s="1"/>
      <c r="T41" s="1">
        <f>SUM(OSRRefT22_5x_0)</f>
        <v>38164.310000000005</v>
      </c>
      <c r="U41" s="1"/>
      <c r="V41" s="5">
        <f t="shared" si="21"/>
        <v>0</v>
      </c>
      <c r="W41" s="1"/>
      <c r="X41" s="1">
        <f t="shared" si="22"/>
        <v>10439.849999999999</v>
      </c>
      <c r="Y41" s="1"/>
      <c r="Z41" s="5">
        <f t="shared" si="23"/>
        <v>0.27355007859437253</v>
      </c>
    </row>
    <row r="42" spans="1:26" s="24" customFormat="1" hidden="1" outlineLevel="2" x14ac:dyDescent="0.25">
      <c r="A42" s="28"/>
      <c r="B42" s="11" t="str">
        <f>CONCATENATE("          ", "6371", " - ", "COMPUTER SOFTWARE MAINTENANCE")</f>
        <v xml:space="preserve">          6371 - COMPUTER SOFTWARE MAINTENANCE</v>
      </c>
      <c r="C42" s="11"/>
      <c r="D42" s="6">
        <v>2436.16</v>
      </c>
      <c r="E42" s="2"/>
      <c r="F42" s="7">
        <f t="shared" si="16"/>
        <v>0</v>
      </c>
      <c r="G42" s="2"/>
      <c r="H42" s="6">
        <v>90.95</v>
      </c>
      <c r="I42" s="2"/>
      <c r="J42" s="7">
        <f t="shared" si="17"/>
        <v>0</v>
      </c>
      <c r="K42" s="2"/>
      <c r="L42" s="6">
        <f t="shared" si="18"/>
        <v>2345.21</v>
      </c>
      <c r="M42" s="2"/>
      <c r="N42" s="7">
        <f t="shared" si="19"/>
        <v>25.785706432105552</v>
      </c>
      <c r="O42" s="11"/>
      <c r="P42" s="6">
        <v>2436.16</v>
      </c>
      <c r="Q42" s="2"/>
      <c r="R42" s="7">
        <f t="shared" si="20"/>
        <v>0</v>
      </c>
      <c r="S42" s="2"/>
      <c r="T42" s="6">
        <v>363.8</v>
      </c>
      <c r="U42" s="2"/>
      <c r="V42" s="7">
        <f t="shared" si="21"/>
        <v>0</v>
      </c>
      <c r="W42" s="2"/>
      <c r="X42" s="6">
        <f t="shared" si="22"/>
        <v>2072.3599999999997</v>
      </c>
      <c r="Y42" s="2"/>
      <c r="Z42" s="7">
        <f t="shared" si="23"/>
        <v>5.6964266080263872</v>
      </c>
    </row>
    <row r="43" spans="1:26" s="24" customFormat="1" hidden="1" outlineLevel="2" x14ac:dyDescent="0.25">
      <c r="A43" s="28"/>
      <c r="B43" s="11" t="str">
        <f>CONCATENATE("          ", "6373", " - ", "MAINTENANCE CONTRACTS")</f>
        <v xml:space="preserve">          6373 - MAINTENANCE CONTRACTS</v>
      </c>
      <c r="C43" s="11"/>
      <c r="D43" s="6">
        <v>11992</v>
      </c>
      <c r="E43" s="2"/>
      <c r="F43" s="7">
        <f t="shared" si="16"/>
        <v>0</v>
      </c>
      <c r="G43" s="2"/>
      <c r="H43" s="6">
        <v>9407</v>
      </c>
      <c r="I43" s="2"/>
      <c r="J43" s="7">
        <f t="shared" si="17"/>
        <v>0</v>
      </c>
      <c r="K43" s="2"/>
      <c r="L43" s="6">
        <f t="shared" si="18"/>
        <v>2585</v>
      </c>
      <c r="M43" s="2"/>
      <c r="N43" s="7">
        <f t="shared" si="19"/>
        <v>0.27479536515360903</v>
      </c>
      <c r="O43" s="11"/>
      <c r="P43" s="6">
        <v>46168</v>
      </c>
      <c r="Q43" s="2"/>
      <c r="R43" s="7">
        <f t="shared" si="20"/>
        <v>0</v>
      </c>
      <c r="S43" s="2"/>
      <c r="T43" s="6">
        <v>37737.15</v>
      </c>
      <c r="U43" s="2"/>
      <c r="V43" s="7">
        <f t="shared" si="21"/>
        <v>0</v>
      </c>
      <c r="W43" s="2"/>
      <c r="X43" s="6">
        <f t="shared" si="22"/>
        <v>8430.8499999999985</v>
      </c>
      <c r="Y43" s="2"/>
      <c r="Z43" s="7">
        <f t="shared" si="23"/>
        <v>0.22340982294635386</v>
      </c>
    </row>
    <row r="44" spans="1:26" s="24" customFormat="1" hidden="1" outlineLevel="2" x14ac:dyDescent="0.25">
      <c r="A44" s="28"/>
      <c r="B44" s="11" t="str">
        <f>CONCATENATE("          ", "6375", " - ", "OUTSIDE REPAIRS &amp; MAINTENANCE")</f>
        <v xml:space="preserve">          6375 - OUTSIDE REPAIRS &amp; MAINTENANCE</v>
      </c>
      <c r="C44" s="11"/>
      <c r="D44" s="6"/>
      <c r="E44" s="2"/>
      <c r="F44" s="7">
        <f t="shared" si="16"/>
        <v>0</v>
      </c>
      <c r="G44" s="2"/>
      <c r="H44" s="6">
        <v>-22</v>
      </c>
      <c r="I44" s="2"/>
      <c r="J44" s="7">
        <f t="shared" si="17"/>
        <v>0</v>
      </c>
      <c r="K44" s="2"/>
      <c r="L44" s="6">
        <f t="shared" si="18"/>
        <v>22</v>
      </c>
      <c r="M44" s="2"/>
      <c r="N44" s="7">
        <f t="shared" si="19"/>
        <v>-1</v>
      </c>
      <c r="O44" s="11"/>
      <c r="P44" s="6"/>
      <c r="Q44" s="2"/>
      <c r="R44" s="7">
        <f t="shared" si="20"/>
        <v>0</v>
      </c>
      <c r="S44" s="2"/>
      <c r="T44" s="6">
        <v>63.36</v>
      </c>
      <c r="U44" s="2"/>
      <c r="V44" s="7">
        <f t="shared" si="21"/>
        <v>0</v>
      </c>
      <c r="W44" s="2"/>
      <c r="X44" s="6">
        <f t="shared" si="22"/>
        <v>-63.36</v>
      </c>
      <c r="Y44" s="2"/>
      <c r="Z44" s="7">
        <f t="shared" si="23"/>
        <v>-1</v>
      </c>
    </row>
    <row r="45" spans="1:26" s="29" customFormat="1" outlineLevel="1" collapsed="1" x14ac:dyDescent="0.25">
      <c r="A45" s="27"/>
      <c r="B45" s="14" t="str">
        <f>CONCATENATE("     ","Supplies                                          ")</f>
        <v xml:space="preserve">     Supplies                                          </v>
      </c>
      <c r="C45" s="14"/>
      <c r="D45" s="1">
        <f>SUM(OSRRefD22_6x_0)</f>
        <v>60.63</v>
      </c>
      <c r="E45" s="1"/>
      <c r="F45" s="5">
        <f t="shared" ref="F45:F49" si="24">IF(D$12=0,0,D45/D$12)</f>
        <v>0</v>
      </c>
      <c r="G45" s="1"/>
      <c r="H45" s="1">
        <f>SUM(OSRRefH22_6x_0)</f>
        <v>4812.3</v>
      </c>
      <c r="I45" s="1"/>
      <c r="J45" s="5">
        <f t="shared" ref="J45:J49" si="25">IF(H$12=0,0,H45/H$12)</f>
        <v>0</v>
      </c>
      <c r="K45" s="1"/>
      <c r="L45" s="1">
        <f t="shared" ref="L45:L49" si="26">+D45-H45</f>
        <v>-4751.67</v>
      </c>
      <c r="M45" s="1"/>
      <c r="N45" s="5">
        <f t="shared" ref="N45:N49" si="27">IF(H45=0,0,L45/H45)</f>
        <v>-0.98740103484820141</v>
      </c>
      <c r="O45" s="14"/>
      <c r="P45" s="1">
        <f>SUM(OSRRefP22_6x_0)</f>
        <v>-4441.42</v>
      </c>
      <c r="Q45" s="1"/>
      <c r="R45" s="5">
        <f t="shared" ref="R45:R49" si="28">IF(P$12=0,0,P45/P$12)</f>
        <v>0</v>
      </c>
      <c r="S45" s="1"/>
      <c r="T45" s="1">
        <f>SUM(OSRRefT22_6x_0)</f>
        <v>18354.939999999999</v>
      </c>
      <c r="U45" s="1"/>
      <c r="V45" s="5">
        <f t="shared" ref="V45:V49" si="29">IF(T$12=0,0,T45/T$12)</f>
        <v>0</v>
      </c>
      <c r="W45" s="1"/>
      <c r="X45" s="1">
        <f t="shared" ref="X45:X49" si="30">+P45-T45</f>
        <v>-22796.36</v>
      </c>
      <c r="Y45" s="1"/>
      <c r="Z45" s="5">
        <f t="shared" ref="Z45:Z49" si="31">IF(T45=0,0,X45/T45)</f>
        <v>-1.2419740952571898</v>
      </c>
    </row>
    <row r="46" spans="1:26" s="24" customFormat="1" hidden="1" outlineLevel="2" x14ac:dyDescent="0.25">
      <c r="A46" s="28"/>
      <c r="B46" s="11" t="str">
        <f>CONCATENATE("          ", "6241", " - ", "OFFICE EXPENSE")</f>
        <v xml:space="preserve">          6241 - OFFICE EXPENSE</v>
      </c>
      <c r="C46" s="11"/>
      <c r="D46" s="6">
        <v>60.63</v>
      </c>
      <c r="E46" s="2"/>
      <c r="F46" s="7">
        <f t="shared" si="24"/>
        <v>0</v>
      </c>
      <c r="G46" s="2"/>
      <c r="H46" s="6">
        <v>4812.3</v>
      </c>
      <c r="I46" s="2"/>
      <c r="J46" s="7">
        <f t="shared" si="25"/>
        <v>0</v>
      </c>
      <c r="K46" s="2"/>
      <c r="L46" s="6">
        <f t="shared" si="26"/>
        <v>-4751.67</v>
      </c>
      <c r="M46" s="2"/>
      <c r="N46" s="7">
        <f t="shared" si="27"/>
        <v>-0.98740103484820141</v>
      </c>
      <c r="O46" s="11"/>
      <c r="P46" s="6">
        <v>-4441.42</v>
      </c>
      <c r="Q46" s="2"/>
      <c r="R46" s="7">
        <f t="shared" si="28"/>
        <v>0</v>
      </c>
      <c r="S46" s="2"/>
      <c r="T46" s="6">
        <v>18354.939999999999</v>
      </c>
      <c r="U46" s="2"/>
      <c r="V46" s="7">
        <f t="shared" si="29"/>
        <v>0</v>
      </c>
      <c r="W46" s="2"/>
      <c r="X46" s="6">
        <f t="shared" si="30"/>
        <v>-22796.36</v>
      </c>
      <c r="Y46" s="2"/>
      <c r="Z46" s="7">
        <f t="shared" si="31"/>
        <v>-1.2419740952571898</v>
      </c>
    </row>
    <row r="47" spans="1:26" s="29" customFormat="1" outlineLevel="1" collapsed="1" x14ac:dyDescent="0.25">
      <c r="A47" s="27"/>
      <c r="B47" s="14" t="str">
        <f>CONCATENATE("     ","Telephone/Data Lines                              ")</f>
        <v xml:space="preserve">     Telephone/Data Lines                              </v>
      </c>
      <c r="C47" s="14"/>
      <c r="D47" s="1">
        <f>SUM(OSRRefD22_7x_0)</f>
        <v>844.29</v>
      </c>
      <c r="E47" s="1"/>
      <c r="F47" s="5">
        <f t="shared" si="24"/>
        <v>0</v>
      </c>
      <c r="G47" s="1"/>
      <c r="H47" s="1">
        <f>SUM(OSRRefH22_7x_0)</f>
        <v>1127.1500000000001</v>
      </c>
      <c r="I47" s="1"/>
      <c r="J47" s="5">
        <f t="shared" si="25"/>
        <v>0</v>
      </c>
      <c r="K47" s="1"/>
      <c r="L47" s="1">
        <f t="shared" si="26"/>
        <v>-282.86000000000013</v>
      </c>
      <c r="M47" s="1"/>
      <c r="N47" s="5">
        <f t="shared" si="27"/>
        <v>-0.25095151488266876</v>
      </c>
      <c r="O47" s="14"/>
      <c r="P47" s="1">
        <f>SUM(OSRRefP22_7x_0)</f>
        <v>3366.48</v>
      </c>
      <c r="Q47" s="1"/>
      <c r="R47" s="5">
        <f t="shared" si="28"/>
        <v>0</v>
      </c>
      <c r="S47" s="1"/>
      <c r="T47" s="1">
        <f>SUM(OSRRefT22_7x_0)</f>
        <v>6960.69</v>
      </c>
      <c r="U47" s="1"/>
      <c r="V47" s="5">
        <f t="shared" si="29"/>
        <v>0</v>
      </c>
      <c r="W47" s="1"/>
      <c r="X47" s="1">
        <f t="shared" si="30"/>
        <v>-3594.2099999999996</v>
      </c>
      <c r="Y47" s="1"/>
      <c r="Z47" s="5">
        <f t="shared" si="31"/>
        <v>-0.5163582920658728</v>
      </c>
    </row>
    <row r="48" spans="1:26" s="24" customFormat="1" hidden="1" outlineLevel="2" x14ac:dyDescent="0.25">
      <c r="A48" s="28"/>
      <c r="B48" s="11" t="str">
        <f>CONCATENATE("          ", "6303", " - ", "DATA PHONE LINES")</f>
        <v xml:space="preserve">          6303 - DATA PHONE LINES</v>
      </c>
      <c r="C48" s="11"/>
      <c r="D48" s="6">
        <v>143.97999999999999</v>
      </c>
      <c r="E48" s="2"/>
      <c r="F48" s="7">
        <f t="shared" si="24"/>
        <v>0</v>
      </c>
      <c r="G48" s="2"/>
      <c r="H48" s="6">
        <v>232.79</v>
      </c>
      <c r="I48" s="2"/>
      <c r="J48" s="7">
        <f t="shared" si="25"/>
        <v>0</v>
      </c>
      <c r="K48" s="2"/>
      <c r="L48" s="6">
        <f t="shared" si="26"/>
        <v>-88.81</v>
      </c>
      <c r="M48" s="2"/>
      <c r="N48" s="7">
        <f t="shared" si="27"/>
        <v>-0.38150264186605959</v>
      </c>
      <c r="O48" s="11"/>
      <c r="P48" s="6">
        <v>380.95</v>
      </c>
      <c r="Q48" s="2"/>
      <c r="R48" s="7">
        <f t="shared" si="28"/>
        <v>0</v>
      </c>
      <c r="S48" s="2"/>
      <c r="T48" s="6">
        <v>740.41</v>
      </c>
      <c r="U48" s="2"/>
      <c r="V48" s="7">
        <f t="shared" si="29"/>
        <v>0</v>
      </c>
      <c r="W48" s="2"/>
      <c r="X48" s="6">
        <f t="shared" si="30"/>
        <v>-359.46</v>
      </c>
      <c r="Y48" s="2"/>
      <c r="Z48" s="7">
        <f t="shared" si="31"/>
        <v>-0.48548777028943424</v>
      </c>
    </row>
    <row r="49" spans="1:26" s="24" customFormat="1" hidden="1" outlineLevel="2" x14ac:dyDescent="0.25">
      <c r="A49" s="28"/>
      <c r="B49" s="11" t="str">
        <f>CONCATENATE("          ", "6309", " - ", "TELEPHONE")</f>
        <v xml:space="preserve">          6309 - TELEPHONE</v>
      </c>
      <c r="C49" s="11"/>
      <c r="D49" s="6">
        <v>700.31</v>
      </c>
      <c r="E49" s="2"/>
      <c r="F49" s="7">
        <f t="shared" si="24"/>
        <v>0</v>
      </c>
      <c r="G49" s="2"/>
      <c r="H49" s="6">
        <v>894.36</v>
      </c>
      <c r="I49" s="2"/>
      <c r="J49" s="7">
        <f t="shared" si="25"/>
        <v>0</v>
      </c>
      <c r="K49" s="2"/>
      <c r="L49" s="6">
        <f t="shared" si="26"/>
        <v>-194.05000000000007</v>
      </c>
      <c r="M49" s="2"/>
      <c r="N49" s="7">
        <f t="shared" si="27"/>
        <v>-0.21697079475826297</v>
      </c>
      <c r="O49" s="11"/>
      <c r="P49" s="6">
        <v>2985.53</v>
      </c>
      <c r="Q49" s="2"/>
      <c r="R49" s="7">
        <f t="shared" si="28"/>
        <v>0</v>
      </c>
      <c r="S49" s="2"/>
      <c r="T49" s="6">
        <v>6220.28</v>
      </c>
      <c r="U49" s="2"/>
      <c r="V49" s="7">
        <f t="shared" si="29"/>
        <v>0</v>
      </c>
      <c r="W49" s="2"/>
      <c r="X49" s="6">
        <f t="shared" si="30"/>
        <v>-3234.7499999999995</v>
      </c>
      <c r="Y49" s="2"/>
      <c r="Z49" s="7">
        <f t="shared" si="31"/>
        <v>-0.5200328602570945</v>
      </c>
    </row>
    <row r="50" spans="1:26" s="29" customFormat="1" outlineLevel="1" collapsed="1" x14ac:dyDescent="0.25">
      <c r="A50" s="27"/>
      <c r="B50" s="14" t="str">
        <f>CONCATENATE("     ","Training                                          ")</f>
        <v xml:space="preserve">     Training                                          </v>
      </c>
      <c r="C50" s="14"/>
      <c r="D50" s="1">
        <f>SUM(OSRRefD22_8x_0)</f>
        <v>0</v>
      </c>
      <c r="E50" s="1"/>
      <c r="F50" s="5">
        <f t="shared" ref="F50:F54" si="32">IF(D$12=0,0,D50/D$12)</f>
        <v>0</v>
      </c>
      <c r="G50" s="1"/>
      <c r="H50" s="1">
        <f>SUM(OSRRefH22_8x_0)</f>
        <v>152.22</v>
      </c>
      <c r="I50" s="1"/>
      <c r="J50" s="5">
        <f t="shared" ref="J50:J54" si="33">IF(H$12=0,0,H50/H$12)</f>
        <v>0</v>
      </c>
      <c r="K50" s="1"/>
      <c r="L50" s="1">
        <f t="shared" ref="L50:L54" si="34">+D50-H50</f>
        <v>-152.22</v>
      </c>
      <c r="M50" s="1"/>
      <c r="N50" s="5">
        <f t="shared" ref="N50:N54" si="35">IF(H50=0,0,L50/H50)</f>
        <v>-1</v>
      </c>
      <c r="O50" s="14"/>
      <c r="P50" s="1">
        <f>SUM(OSRRefP22_8x_0)</f>
        <v>0</v>
      </c>
      <c r="Q50" s="1"/>
      <c r="R50" s="5">
        <f t="shared" ref="R50:R54" si="36">IF(P$12=0,0,P50/P$12)</f>
        <v>0</v>
      </c>
      <c r="S50" s="1"/>
      <c r="T50" s="1">
        <f>SUM(OSRRefT22_8x_0)</f>
        <v>299.22000000000003</v>
      </c>
      <c r="U50" s="1"/>
      <c r="V50" s="5">
        <f t="shared" ref="V50:V54" si="37">IF(T$12=0,0,T50/T$12)</f>
        <v>0</v>
      </c>
      <c r="W50" s="1"/>
      <c r="X50" s="1">
        <f t="shared" ref="X50:X54" si="38">+P50-T50</f>
        <v>-299.22000000000003</v>
      </c>
      <c r="Y50" s="1"/>
      <c r="Z50" s="5">
        <f t="shared" ref="Z50:Z54" si="39">IF(T50=0,0,X50/T50)</f>
        <v>-1</v>
      </c>
    </row>
    <row r="51" spans="1:26" s="24" customFormat="1" hidden="1" outlineLevel="2" x14ac:dyDescent="0.25">
      <c r="A51" s="28"/>
      <c r="B51" s="11" t="str">
        <f>CONCATENATE("          ", "6376", " - ", "TRAINING")</f>
        <v xml:space="preserve">          6376 - TRAINING</v>
      </c>
      <c r="C51" s="11"/>
      <c r="D51" s="6"/>
      <c r="E51" s="2"/>
      <c r="F51" s="7">
        <f t="shared" si="32"/>
        <v>0</v>
      </c>
      <c r="G51" s="2"/>
      <c r="H51" s="6">
        <v>152.22</v>
      </c>
      <c r="I51" s="2"/>
      <c r="J51" s="7">
        <f t="shared" si="33"/>
        <v>0</v>
      </c>
      <c r="K51" s="2"/>
      <c r="L51" s="6">
        <f t="shared" si="34"/>
        <v>-152.22</v>
      </c>
      <c r="M51" s="2"/>
      <c r="N51" s="7">
        <f t="shared" si="35"/>
        <v>-1</v>
      </c>
      <c r="O51" s="11"/>
      <c r="P51" s="6"/>
      <c r="Q51" s="2"/>
      <c r="R51" s="7">
        <f t="shared" si="36"/>
        <v>0</v>
      </c>
      <c r="S51" s="2"/>
      <c r="T51" s="6">
        <v>299.22000000000003</v>
      </c>
      <c r="U51" s="2"/>
      <c r="V51" s="7">
        <f t="shared" si="37"/>
        <v>0</v>
      </c>
      <c r="W51" s="2"/>
      <c r="X51" s="6">
        <f t="shared" si="38"/>
        <v>-299.22000000000003</v>
      </c>
      <c r="Y51" s="2"/>
      <c r="Z51" s="7">
        <f t="shared" si="39"/>
        <v>-1</v>
      </c>
    </row>
    <row r="52" spans="1:26" s="29" customFormat="1" outlineLevel="1" collapsed="1" x14ac:dyDescent="0.25">
      <c r="A52" s="27"/>
      <c r="B52" s="14" t="str">
        <f>CONCATENATE("     ","Travel                                            ")</f>
        <v xml:space="preserve">     Travel                                            </v>
      </c>
      <c r="C52" s="14"/>
      <c r="D52" s="1">
        <f>SUM(OSRRefD22_9x_0)</f>
        <v>0</v>
      </c>
      <c r="E52" s="1"/>
      <c r="F52" s="5">
        <f t="shared" si="32"/>
        <v>0</v>
      </c>
      <c r="G52" s="1"/>
      <c r="H52" s="1">
        <f>SUM(OSRRefH22_9x_0)</f>
        <v>0</v>
      </c>
      <c r="I52" s="1"/>
      <c r="J52" s="5">
        <f t="shared" si="33"/>
        <v>0</v>
      </c>
      <c r="K52" s="1"/>
      <c r="L52" s="1">
        <f t="shared" si="34"/>
        <v>0</v>
      </c>
      <c r="M52" s="1"/>
      <c r="N52" s="5">
        <f t="shared" si="35"/>
        <v>0</v>
      </c>
      <c r="O52" s="14"/>
      <c r="P52" s="1">
        <f>SUM(OSRRefP22_9x_0)</f>
        <v>0</v>
      </c>
      <c r="Q52" s="1"/>
      <c r="R52" s="5">
        <f t="shared" si="36"/>
        <v>0</v>
      </c>
      <c r="S52" s="1"/>
      <c r="T52" s="1">
        <f>SUM(OSRRefT22_9x_0)</f>
        <v>618.9</v>
      </c>
      <c r="U52" s="1"/>
      <c r="V52" s="5">
        <f t="shared" si="37"/>
        <v>0</v>
      </c>
      <c r="W52" s="1"/>
      <c r="X52" s="1">
        <f t="shared" si="38"/>
        <v>-618.9</v>
      </c>
      <c r="Y52" s="1"/>
      <c r="Z52" s="5">
        <f t="shared" si="39"/>
        <v>-1</v>
      </c>
    </row>
    <row r="53" spans="1:26" s="24" customFormat="1" hidden="1" outlineLevel="2" x14ac:dyDescent="0.25">
      <c r="A53" s="28"/>
      <c r="B53" s="11" t="str">
        <f>CONCATENATE("          ", "6292", " - ", "TRAVEL/CONFERENCE")</f>
        <v xml:space="preserve">          6292 - TRAVEL/CONFERENCE</v>
      </c>
      <c r="C53" s="11"/>
      <c r="D53" s="6"/>
      <c r="E53" s="2"/>
      <c r="F53" s="7">
        <f t="shared" si="32"/>
        <v>0</v>
      </c>
      <c r="G53" s="2"/>
      <c r="H53" s="6"/>
      <c r="I53" s="2"/>
      <c r="J53" s="7">
        <f t="shared" si="33"/>
        <v>0</v>
      </c>
      <c r="K53" s="2"/>
      <c r="L53" s="6">
        <f t="shared" si="34"/>
        <v>0</v>
      </c>
      <c r="M53" s="2"/>
      <c r="N53" s="7">
        <f t="shared" si="35"/>
        <v>0</v>
      </c>
      <c r="O53" s="11"/>
      <c r="P53" s="6"/>
      <c r="Q53" s="2"/>
      <c r="R53" s="7">
        <f t="shared" si="36"/>
        <v>0</v>
      </c>
      <c r="S53" s="2"/>
      <c r="T53" s="6">
        <v>595</v>
      </c>
      <c r="U53" s="2"/>
      <c r="V53" s="7">
        <f t="shared" si="37"/>
        <v>0</v>
      </c>
      <c r="W53" s="2"/>
      <c r="X53" s="6">
        <f t="shared" si="38"/>
        <v>-595</v>
      </c>
      <c r="Y53" s="2"/>
      <c r="Z53" s="7">
        <f t="shared" si="39"/>
        <v>-1</v>
      </c>
    </row>
    <row r="54" spans="1:26" s="24" customFormat="1" hidden="1" outlineLevel="2" x14ac:dyDescent="0.25">
      <c r="A54" s="28"/>
      <c r="B54" s="11" t="str">
        <f>CONCATENATE("          ", "6294", " - ", "TRAVEL OPERATIONAL")</f>
        <v xml:space="preserve">          6294 - TRAVEL OPERATIONAL</v>
      </c>
      <c r="C54" s="11"/>
      <c r="D54" s="6"/>
      <c r="E54" s="2"/>
      <c r="F54" s="7">
        <f t="shared" si="32"/>
        <v>0</v>
      </c>
      <c r="G54" s="2"/>
      <c r="H54" s="6"/>
      <c r="I54" s="2"/>
      <c r="J54" s="7">
        <f t="shared" si="33"/>
        <v>0</v>
      </c>
      <c r="K54" s="2"/>
      <c r="L54" s="6">
        <f t="shared" si="34"/>
        <v>0</v>
      </c>
      <c r="M54" s="2"/>
      <c r="N54" s="7">
        <f t="shared" si="35"/>
        <v>0</v>
      </c>
      <c r="O54" s="11"/>
      <c r="P54" s="6"/>
      <c r="Q54" s="2"/>
      <c r="R54" s="7">
        <f t="shared" si="36"/>
        <v>0</v>
      </c>
      <c r="S54" s="2"/>
      <c r="T54" s="6">
        <v>23.9</v>
      </c>
      <c r="U54" s="2"/>
      <c r="V54" s="7">
        <f t="shared" si="37"/>
        <v>0</v>
      </c>
      <c r="W54" s="2"/>
      <c r="X54" s="6">
        <f t="shared" si="38"/>
        <v>-23.9</v>
      </c>
      <c r="Y54" s="2"/>
      <c r="Z54" s="7">
        <f t="shared" si="39"/>
        <v>-1</v>
      </c>
    </row>
    <row r="55" spans="1:26" s="57" customFormat="1" x14ac:dyDescent="0.25">
      <c r="A55" s="37"/>
      <c r="B55" s="37"/>
      <c r="C55" s="37"/>
      <c r="D55" s="1"/>
      <c r="E55" s="1"/>
      <c r="F55" s="5"/>
      <c r="G55" s="1"/>
      <c r="H55" s="1"/>
      <c r="I55" s="1"/>
      <c r="J55" s="5"/>
      <c r="K55" s="1"/>
      <c r="L55" s="1"/>
      <c r="M55" s="1"/>
      <c r="N55" s="5"/>
      <c r="O55" s="37"/>
      <c r="P55" s="1"/>
      <c r="Q55" s="1"/>
      <c r="R55" s="5"/>
      <c r="S55" s="1"/>
      <c r="T55" s="1"/>
      <c r="U55" s="1"/>
      <c r="V55" s="5"/>
      <c r="W55" s="1"/>
      <c r="X55" s="1"/>
      <c r="Y55" s="1"/>
      <c r="Z55" s="5"/>
    </row>
    <row r="56" spans="1:26" s="23" customFormat="1" x14ac:dyDescent="0.25">
      <c r="A56" s="10"/>
      <c r="B56" s="26" t="s">
        <v>0</v>
      </c>
      <c r="C56" s="10"/>
      <c r="D56" s="4">
        <f>SUM(0)</f>
        <v>0</v>
      </c>
      <c r="E56" s="4"/>
      <c r="F56" s="12">
        <f>IF(D$12=0,0,D56/D$12)</f>
        <v>0</v>
      </c>
      <c r="G56" s="4"/>
      <c r="H56" s="4">
        <f>SUM(0)</f>
        <v>0</v>
      </c>
      <c r="I56" s="4"/>
      <c r="J56" s="12">
        <f>IF(H$12=0,0,H56/H$12)</f>
        <v>0</v>
      </c>
      <c r="K56" s="4"/>
      <c r="L56" s="4">
        <f>+D56-H56</f>
        <v>0</v>
      </c>
      <c r="M56" s="4"/>
      <c r="N56" s="12">
        <f>IF(H56=0,0,L56/H56)</f>
        <v>0</v>
      </c>
      <c r="O56" s="10"/>
      <c r="P56" s="4">
        <f>SUM(0)</f>
        <v>0</v>
      </c>
      <c r="Q56" s="4"/>
      <c r="R56" s="12">
        <f>IF(P$12=0,0,P56/P$12)</f>
        <v>0</v>
      </c>
      <c r="S56" s="4"/>
      <c r="T56" s="4">
        <f>SUM(0)</f>
        <v>0</v>
      </c>
      <c r="U56" s="4"/>
      <c r="V56" s="12">
        <f>IF(T$12=0,0,T56/T$12)</f>
        <v>0</v>
      </c>
      <c r="W56" s="4"/>
      <c r="X56" s="4">
        <f>+P56-T56</f>
        <v>0</v>
      </c>
      <c r="Y56" s="4"/>
      <c r="Z56" s="12">
        <f>IF(T56=0,0,X56/T56)</f>
        <v>0</v>
      </c>
    </row>
    <row r="57" spans="1:26" x14ac:dyDescent="0.25">
      <c r="A57" s="9"/>
      <c r="B57" s="10"/>
      <c r="C57" s="10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O57" s="10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s="23" customFormat="1" x14ac:dyDescent="0.25">
      <c r="A58" s="10"/>
      <c r="B58" s="25" t="s">
        <v>3</v>
      </c>
      <c r="C58" s="25"/>
      <c r="D58" s="20">
        <f>+D16-D18+D56</f>
        <v>-60340.259999999995</v>
      </c>
      <c r="E58" s="13"/>
      <c r="F58" s="21">
        <f>IF(D$12=0,0,D58/D$12)</f>
        <v>0</v>
      </c>
      <c r="G58" s="13"/>
      <c r="H58" s="20">
        <f>+H16-H18+H56</f>
        <v>-70163.089999999982</v>
      </c>
      <c r="I58" s="13"/>
      <c r="J58" s="21">
        <f>IF(H$12=0,0,H58/H$12)</f>
        <v>0</v>
      </c>
      <c r="K58" s="15"/>
      <c r="L58" s="20">
        <f>+D58-H58</f>
        <v>9822.8299999999872</v>
      </c>
      <c r="M58" s="15"/>
      <c r="N58" s="21">
        <f>IF(H58=0,0,L58/H58)</f>
        <v>-0.13999996294347911</v>
      </c>
      <c r="O58" s="26"/>
      <c r="P58" s="20">
        <f>+P16-P18+P56</f>
        <v>-211107.58</v>
      </c>
      <c r="Q58" s="13"/>
      <c r="R58" s="21">
        <f>IF(P$12=0,0,P58/P$12)</f>
        <v>0</v>
      </c>
      <c r="S58" s="13"/>
      <c r="T58" s="20">
        <f>+T16-T18+T56</f>
        <v>-252829.10999999996</v>
      </c>
      <c r="U58" s="13"/>
      <c r="V58" s="21">
        <f>IF(T$12=0,0,T58/T$12)</f>
        <v>0</v>
      </c>
      <c r="W58" s="15"/>
      <c r="X58" s="20">
        <f>+P58-T58</f>
        <v>41721.52999999997</v>
      </c>
      <c r="Y58" s="15"/>
      <c r="Z58" s="21">
        <f>IF(T58=0,0,X58/T58)</f>
        <v>-0.16501869582976414</v>
      </c>
    </row>
    <row r="59" spans="1:26" x14ac:dyDescent="0.25">
      <c r="A59" s="9"/>
      <c r="B59" s="10"/>
      <c r="C59" s="9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3" customFormat="1" x14ac:dyDescent="0.25">
      <c r="A60" s="51"/>
      <c r="B60" s="10" t="s">
        <v>13</v>
      </c>
      <c r="C60" s="10"/>
      <c r="D60" s="4"/>
      <c r="E60" s="4"/>
      <c r="F60" s="12">
        <f>IF(D$12=0,0,D60/D$12)</f>
        <v>0</v>
      </c>
      <c r="G60" s="4"/>
      <c r="H60" s="4"/>
      <c r="I60" s="4"/>
      <c r="J60" s="12">
        <f>IF(H$12=0,0,H60/H$12)</f>
        <v>0</v>
      </c>
      <c r="K60" s="4"/>
      <c r="L60" s="4">
        <f>+D60-H60</f>
        <v>0</v>
      </c>
      <c r="M60" s="4"/>
      <c r="N60" s="12">
        <f>IF(H60=0,0,L60/H60)</f>
        <v>0</v>
      </c>
      <c r="O60" s="10"/>
      <c r="P60" s="4"/>
      <c r="Q60" s="4"/>
      <c r="R60" s="12">
        <f>IF(P$12=0,0,P60/P$12)</f>
        <v>0</v>
      </c>
      <c r="S60" s="4"/>
      <c r="T60" s="4"/>
      <c r="U60" s="4"/>
      <c r="V60" s="12">
        <f>IF(T$12=0,0,T60/T$12)</f>
        <v>0</v>
      </c>
      <c r="W60" s="4"/>
      <c r="X60" s="4">
        <f>+P60-T60</f>
        <v>0</v>
      </c>
      <c r="Y60" s="4"/>
      <c r="Z60" s="12">
        <f>IF(T60=0,0,X60/T60)</f>
        <v>0</v>
      </c>
    </row>
    <row r="61" spans="1:26" x14ac:dyDescent="0.25">
      <c r="A61" s="9"/>
      <c r="B61" s="10"/>
      <c r="C61" s="10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O61" s="10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ht="15.75" thickBot="1" x14ac:dyDescent="0.3">
      <c r="A62" s="10"/>
      <c r="B62" s="25" t="s">
        <v>4</v>
      </c>
      <c r="C62" s="25"/>
      <c r="D62" s="30">
        <f>+D58-D60</f>
        <v>-60340.259999999995</v>
      </c>
      <c r="E62" s="13"/>
      <c r="F62" s="33">
        <f>IF(D$12=0,0,D62/D$12)</f>
        <v>0</v>
      </c>
      <c r="G62" s="13"/>
      <c r="H62" s="30">
        <f>+H58-H60</f>
        <v>-70163.089999999982</v>
      </c>
      <c r="I62" s="13"/>
      <c r="J62" s="33">
        <f>IF(H$12=0,0,H62/H$12)</f>
        <v>0</v>
      </c>
      <c r="K62" s="15"/>
      <c r="L62" s="30">
        <f>D62-H62</f>
        <v>9822.8299999999872</v>
      </c>
      <c r="M62" s="15"/>
      <c r="N62" s="33">
        <f>IF(H62=0,0,L62/H62)</f>
        <v>-0.13999996294347911</v>
      </c>
      <c r="O62" s="26"/>
      <c r="P62" s="30">
        <f>+P58-P60</f>
        <v>-211107.58</v>
      </c>
      <c r="Q62" s="13"/>
      <c r="R62" s="33">
        <f>IF(P$12=0,0,P62/P$12)</f>
        <v>0</v>
      </c>
      <c r="S62" s="13"/>
      <c r="T62" s="30">
        <f>+T58-T60</f>
        <v>-252829.10999999996</v>
      </c>
      <c r="U62" s="13"/>
      <c r="V62" s="33">
        <f>IF(T$12=0,0,T62/T$12)</f>
        <v>0</v>
      </c>
      <c r="W62" s="15"/>
      <c r="X62" s="30">
        <f>P62-T62</f>
        <v>41721.52999999997</v>
      </c>
      <c r="Y62" s="15"/>
      <c r="Z62" s="33">
        <f>IF(T62=0,0,X62/T62)</f>
        <v>-0.16501869582976414</v>
      </c>
    </row>
    <row r="63" spans="1:26" ht="15.75" thickTop="1" x14ac:dyDescent="0.25">
      <c r="A63" s="9"/>
      <c r="B63" s="9"/>
      <c r="C63" s="9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x14ac:dyDescent="0.25">
      <c r="A64" s="9"/>
      <c r="B64" s="9"/>
      <c r="C64" s="9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ht="15.75" thickBot="1" x14ac:dyDescent="0.3">
      <c r="A65" s="10"/>
      <c r="B65" s="25" t="s">
        <v>5</v>
      </c>
      <c r="C65" s="25"/>
      <c r="D65" s="34">
        <f>SUM(D62:D64)</f>
        <v>-60340.259999999995</v>
      </c>
      <c r="E65" s="13"/>
      <c r="F65" s="35">
        <f>IF(D$12=0,0,D65/D$12)</f>
        <v>0</v>
      </c>
      <c r="G65" s="13"/>
      <c r="H65" s="34">
        <f>SUM(H62:H64)</f>
        <v>-70163.089999999982</v>
      </c>
      <c r="I65" s="13"/>
      <c r="J65" s="35">
        <f>IF(H$12=0,0,H65/H$12)</f>
        <v>0</v>
      </c>
      <c r="K65" s="15"/>
      <c r="L65" s="34">
        <f>+D65-H65</f>
        <v>9822.8299999999872</v>
      </c>
      <c r="M65" s="15"/>
      <c r="N65" s="35">
        <f>IF(H65=0,0,L65/H65)</f>
        <v>-0.13999996294347911</v>
      </c>
      <c r="O65" s="26"/>
      <c r="P65" s="34">
        <f>SUM(P62:P64)</f>
        <v>-211107.58</v>
      </c>
      <c r="Q65" s="13"/>
      <c r="R65" s="35">
        <f>IF(P$12=0,0,P65/P$12)</f>
        <v>0</v>
      </c>
      <c r="S65" s="13"/>
      <c r="T65" s="34">
        <f>SUM(T62:T64)</f>
        <v>-252829.10999999996</v>
      </c>
      <c r="U65" s="13"/>
      <c r="V65" s="35">
        <f>IF(T$12=0,0,T65/T$12)</f>
        <v>0</v>
      </c>
      <c r="W65" s="15"/>
      <c r="X65" s="34">
        <f>+P65-T65</f>
        <v>41721.52999999997</v>
      </c>
      <c r="Y65" s="15"/>
      <c r="Z65" s="35">
        <f>IF(T65=0,0,X65/T65)</f>
        <v>-0.16501869582976414</v>
      </c>
    </row>
    <row r="66" spans="1:26" ht="15.75" thickTop="1" x14ac:dyDescent="0.25">
      <c r="A66" s="9"/>
      <c r="C66" s="9"/>
      <c r="D66" s="18"/>
      <c r="E66" s="18"/>
      <c r="G66" s="18"/>
      <c r="H66" s="18"/>
      <c r="I66" s="18"/>
      <c r="J66" s="43"/>
      <c r="K66" s="18"/>
      <c r="L66" s="18"/>
      <c r="M66" s="18"/>
      <c r="P66" s="18"/>
      <c r="Q66" s="18"/>
      <c r="R66" s="43"/>
      <c r="S66" s="18"/>
      <c r="T66" s="18"/>
      <c r="U66" s="18"/>
      <c r="V66" s="43"/>
      <c r="W66" s="18"/>
      <c r="X66" s="18"/>
    </row>
    <row r="67" spans="1:26" x14ac:dyDescent="0.25">
      <c r="A67" s="9"/>
      <c r="B67" s="56">
        <v>44151.572201620373</v>
      </c>
      <c r="D67" s="18"/>
      <c r="E67" s="18"/>
      <c r="G67" s="18"/>
      <c r="H67" s="18"/>
      <c r="I67" s="18"/>
      <c r="J67" s="43"/>
      <c r="K67" s="18"/>
      <c r="L67" s="18"/>
      <c r="M67" s="18"/>
      <c r="P67" s="18"/>
      <c r="Q67" s="18"/>
      <c r="R67" s="43"/>
      <c r="S67" s="18"/>
      <c r="T67" s="18"/>
      <c r="U67" s="18"/>
      <c r="V67" s="43"/>
      <c r="W67" s="18"/>
      <c r="X67" s="18"/>
    </row>
    <row r="68" spans="1:26" x14ac:dyDescent="0.25">
      <c r="A68" s="9"/>
      <c r="B68" s="62" t="s">
        <v>313</v>
      </c>
      <c r="D68" s="18"/>
      <c r="E68" s="18"/>
      <c r="G68" s="18"/>
      <c r="H68" s="18"/>
      <c r="I68" s="18"/>
      <c r="J68" s="43"/>
      <c r="K68" s="18"/>
      <c r="L68" s="18"/>
      <c r="M68" s="18"/>
      <c r="P68" s="18"/>
      <c r="Q68" s="18"/>
      <c r="R68" s="43"/>
      <c r="S68" s="18"/>
      <c r="T68" s="18"/>
      <c r="U68" s="18"/>
      <c r="V68" s="43"/>
      <c r="W68" s="18"/>
      <c r="X68" s="18"/>
    </row>
    <row r="69" spans="1:26" x14ac:dyDescent="0.25">
      <c r="A69" s="9"/>
      <c r="B69" s="54"/>
      <c r="D69" s="18"/>
      <c r="E69" s="18"/>
      <c r="G69" s="18"/>
      <c r="H69" s="18"/>
      <c r="I69" s="18"/>
      <c r="J69" s="43"/>
      <c r="K69" s="18"/>
      <c r="L69" s="18"/>
      <c r="M69" s="18"/>
      <c r="P69" s="18"/>
      <c r="Q69" s="18"/>
      <c r="R69" s="43"/>
      <c r="S69" s="18"/>
      <c r="T69" s="18"/>
      <c r="U69" s="18"/>
      <c r="V69" s="43"/>
      <c r="W69" s="18"/>
      <c r="X69" s="18"/>
    </row>
    <row r="70" spans="1:26" x14ac:dyDescent="0.25">
      <c r="D70" s="18"/>
      <c r="E70" s="18"/>
      <c r="G70" s="18"/>
      <c r="H70" s="18"/>
      <c r="I70" s="18"/>
      <c r="J70" s="43"/>
      <c r="K70" s="18"/>
      <c r="L70" s="18"/>
      <c r="M70" s="18"/>
      <c r="P70" s="18"/>
      <c r="Q70" s="18"/>
      <c r="R70" s="43"/>
      <c r="S70" s="18"/>
      <c r="T70" s="18"/>
      <c r="U70" s="18"/>
      <c r="V70" s="43"/>
      <c r="W70" s="18"/>
      <c r="X70" s="18"/>
    </row>
  </sheetData>
  <pageMargins left="0.25" right="0.25" top="0.75" bottom="0.75" header="0.3" footer="0.3"/>
  <pageSetup scale="55" fitToWidth="2" orientation="landscape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",RIGHT(202104,2),", ",2021)</f>
        <v>Period 04,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44135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","205", " - ", "Maintenance")</f>
        <v>Department 205 - Maintenance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61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50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50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2"/>
      <c r="F10" s="31" t="s">
        <v>14</v>
      </c>
      <c r="G10" s="32"/>
      <c r="H10" s="49" t="s">
        <v>306</v>
      </c>
      <c r="I10" s="32"/>
      <c r="J10" s="31" t="s">
        <v>14</v>
      </c>
      <c r="K10" s="10"/>
      <c r="L10" s="42" t="s">
        <v>11</v>
      </c>
      <c r="M10" s="10"/>
      <c r="N10" s="31" t="s">
        <v>15</v>
      </c>
      <c r="O10" s="10"/>
      <c r="P10" s="59" t="s">
        <v>10</v>
      </c>
      <c r="Q10" s="32"/>
      <c r="R10" s="31" t="s">
        <v>14</v>
      </c>
      <c r="S10" s="32"/>
      <c r="T10" s="49" t="s">
        <v>306</v>
      </c>
      <c r="U10" s="32"/>
      <c r="V10" s="31" t="s">
        <v>14</v>
      </c>
      <c r="W10" s="10"/>
      <c r="X10" s="42" t="s">
        <v>11</v>
      </c>
      <c r="Y10" s="10"/>
      <c r="Z10" s="31" t="s">
        <v>15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6</v>
      </c>
      <c r="C16" s="25"/>
      <c r="D16" s="20">
        <f>D12-D14</f>
        <v>0</v>
      </c>
      <c r="E16" s="13"/>
      <c r="F16" s="21">
        <f>IF(D$12=0,0,D16/D$12)</f>
        <v>0</v>
      </c>
      <c r="G16" s="13"/>
      <c r="H16" s="20">
        <f>H12-H14</f>
        <v>0</v>
      </c>
      <c r="I16" s="13"/>
      <c r="J16" s="21">
        <f>IF(H$12=0,0,H16/H$12)</f>
        <v>0</v>
      </c>
      <c r="K16" s="15"/>
      <c r="L16" s="20">
        <f>+D16-H16</f>
        <v>0</v>
      </c>
      <c r="M16" s="15"/>
      <c r="N16" s="21">
        <f>IF(H16=0,0,L16/H16)</f>
        <v>0</v>
      </c>
      <c r="O16" s="26"/>
      <c r="P16" s="20">
        <f>P12-P14</f>
        <v>0</v>
      </c>
      <c r="Q16" s="13"/>
      <c r="R16" s="21">
        <f>IF(P$12=0,0,P16/P$12)</f>
        <v>0</v>
      </c>
      <c r="S16" s="13"/>
      <c r="T16" s="20">
        <f>T12-T14</f>
        <v>0</v>
      </c>
      <c r="U16" s="13"/>
      <c r="V16" s="21">
        <f>IF(T$12=0,0,T16/T$12)</f>
        <v>0</v>
      </c>
      <c r="W16" s="15"/>
      <c r="X16" s="20">
        <f>+P16-T16</f>
        <v>0</v>
      </c>
      <c r="Y16" s="15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9</v>
      </c>
      <c r="C18" s="10"/>
      <c r="D18" s="22">
        <f>SUM(OSRRefD22x_0)</f>
        <v>9324.8100000000013</v>
      </c>
      <c r="E18" s="22"/>
      <c r="F18" s="36">
        <f t="shared" ref="F18:F27" si="0">IF(D$12=0,0,D18/D$12)</f>
        <v>0</v>
      </c>
      <c r="G18" s="22"/>
      <c r="H18" s="22">
        <f>SUM(OSRRefH22x_0)</f>
        <v>10289.439999999999</v>
      </c>
      <c r="I18" s="22"/>
      <c r="J18" s="36">
        <f t="shared" ref="J18:J27" si="1">IF(H$12=0,0,H18/H$12)</f>
        <v>0</v>
      </c>
      <c r="K18" s="4"/>
      <c r="L18" s="22">
        <f t="shared" ref="L18:L27" si="2">+D18-H18</f>
        <v>-964.62999999999738</v>
      </c>
      <c r="M18" s="4"/>
      <c r="N18" s="36">
        <f t="shared" ref="N18:N27" si="3">IF(H18=0,0,L18/H18)</f>
        <v>-9.3749514064905143E-2</v>
      </c>
      <c r="O18" s="10"/>
      <c r="P18" s="22">
        <f>SUM(OSRRefP22x_0)</f>
        <v>33452.769999999997</v>
      </c>
      <c r="Q18" s="22"/>
      <c r="R18" s="36">
        <f t="shared" ref="R18:R27" si="4">IF(P$12=0,0,P18/P$12)</f>
        <v>0</v>
      </c>
      <c r="S18" s="22"/>
      <c r="T18" s="22">
        <f>SUM(OSRRefT22x_0)</f>
        <v>34413.019999999997</v>
      </c>
      <c r="U18" s="22"/>
      <c r="V18" s="36">
        <f t="shared" ref="V18:V27" si="5">IF(T$12=0,0,T18/T$12)</f>
        <v>0</v>
      </c>
      <c r="W18" s="4"/>
      <c r="X18" s="22">
        <f t="shared" ref="X18:X27" si="6">+P18-T18</f>
        <v>-960.25</v>
      </c>
      <c r="Y18" s="4"/>
      <c r="Z18" s="36">
        <f t="shared" ref="Z18:Z27" si="7">IF(T18=0,0,X18/T18)</f>
        <v>-2.7903682966505122E-2</v>
      </c>
    </row>
    <row r="19" spans="1:26" s="29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2395.64</v>
      </c>
      <c r="E19" s="1"/>
      <c r="F19" s="5">
        <f t="shared" si="0"/>
        <v>0</v>
      </c>
      <c r="G19" s="1"/>
      <c r="H19" s="1">
        <f>SUM(OSRRefH22_0x_0)</f>
        <v>2618.2999999999997</v>
      </c>
      <c r="I19" s="1"/>
      <c r="J19" s="5">
        <f t="shared" si="1"/>
        <v>0</v>
      </c>
      <c r="K19" s="1"/>
      <c r="L19" s="1">
        <f t="shared" si="2"/>
        <v>-222.65999999999985</v>
      </c>
      <c r="M19" s="1"/>
      <c r="N19" s="5">
        <f t="shared" si="3"/>
        <v>-8.5039911392888468E-2</v>
      </c>
      <c r="O19" s="14"/>
      <c r="P19" s="1">
        <f>SUM(OSRRefP22_0x_0)</f>
        <v>9649.56</v>
      </c>
      <c r="Q19" s="1"/>
      <c r="R19" s="5">
        <f t="shared" si="4"/>
        <v>0</v>
      </c>
      <c r="S19" s="1"/>
      <c r="T19" s="1">
        <f>SUM(OSRRefT22_0x_0)</f>
        <v>11211.02</v>
      </c>
      <c r="U19" s="1"/>
      <c r="V19" s="5">
        <f t="shared" si="5"/>
        <v>0</v>
      </c>
      <c r="W19" s="1"/>
      <c r="X19" s="1">
        <f t="shared" si="6"/>
        <v>-1561.4600000000009</v>
      </c>
      <c r="Y19" s="1"/>
      <c r="Z19" s="5">
        <f t="shared" si="7"/>
        <v>-0.13927903081075593</v>
      </c>
    </row>
    <row r="20" spans="1:26" s="24" customFormat="1" hidden="1" outlineLevel="2" x14ac:dyDescent="0.25">
      <c r="A20" s="28"/>
      <c r="B20" s="11" t="str">
        <f>CONCATENATE("          ", "6111", " - ", "F.I.C.A.")</f>
        <v xml:space="preserve">          6111 - F.I.C.A.</v>
      </c>
      <c r="C20" s="11"/>
      <c r="D20" s="6">
        <v>473.76</v>
      </c>
      <c r="E20" s="2"/>
      <c r="F20" s="7">
        <f t="shared" si="0"/>
        <v>0</v>
      </c>
      <c r="G20" s="2"/>
      <c r="H20" s="6">
        <v>495.46</v>
      </c>
      <c r="I20" s="2"/>
      <c r="J20" s="7">
        <f t="shared" si="1"/>
        <v>0</v>
      </c>
      <c r="K20" s="2"/>
      <c r="L20" s="6">
        <f t="shared" si="2"/>
        <v>-21.699999999999989</v>
      </c>
      <c r="M20" s="2"/>
      <c r="N20" s="7">
        <f t="shared" si="3"/>
        <v>-4.3797682961288477E-2</v>
      </c>
      <c r="O20" s="11"/>
      <c r="P20" s="6">
        <v>1424</v>
      </c>
      <c r="Q20" s="2"/>
      <c r="R20" s="7">
        <f t="shared" si="4"/>
        <v>0</v>
      </c>
      <c r="S20" s="2"/>
      <c r="T20" s="6">
        <v>1480.39</v>
      </c>
      <c r="U20" s="2"/>
      <c r="V20" s="7">
        <f t="shared" si="5"/>
        <v>0</v>
      </c>
      <c r="W20" s="2"/>
      <c r="X20" s="6">
        <f t="shared" si="6"/>
        <v>-56.3900000000001</v>
      </c>
      <c r="Y20" s="2"/>
      <c r="Z20" s="7">
        <f t="shared" si="7"/>
        <v>-3.8091313775424109E-2</v>
      </c>
    </row>
    <row r="21" spans="1:26" s="24" customFormat="1" hidden="1" outlineLevel="2" x14ac:dyDescent="0.25">
      <c r="A21" s="28"/>
      <c r="B21" s="11" t="str">
        <f>CONCATENATE("          ", "6112", " - ", "COMPENSATION INSURANCE")</f>
        <v xml:space="preserve">          6112 - COMPENSATION INSURANCE</v>
      </c>
      <c r="C21" s="11"/>
      <c r="D21" s="6">
        <v>286.13</v>
      </c>
      <c r="E21" s="2"/>
      <c r="F21" s="7">
        <f t="shared" si="0"/>
        <v>0</v>
      </c>
      <c r="G21" s="2"/>
      <c r="H21" s="6">
        <v>-50.39</v>
      </c>
      <c r="I21" s="2"/>
      <c r="J21" s="7">
        <f t="shared" si="1"/>
        <v>0</v>
      </c>
      <c r="K21" s="2"/>
      <c r="L21" s="6">
        <f t="shared" si="2"/>
        <v>336.52</v>
      </c>
      <c r="M21" s="2"/>
      <c r="N21" s="7">
        <f t="shared" si="3"/>
        <v>-6.6783091883310179</v>
      </c>
      <c r="O21" s="11"/>
      <c r="P21" s="6">
        <v>1146.98</v>
      </c>
      <c r="Q21" s="2"/>
      <c r="R21" s="7">
        <f t="shared" si="4"/>
        <v>0</v>
      </c>
      <c r="S21" s="2"/>
      <c r="T21" s="6">
        <v>810.61</v>
      </c>
      <c r="U21" s="2"/>
      <c r="V21" s="7">
        <f t="shared" si="5"/>
        <v>0</v>
      </c>
      <c r="W21" s="2"/>
      <c r="X21" s="6">
        <f t="shared" si="6"/>
        <v>336.37</v>
      </c>
      <c r="Y21" s="2"/>
      <c r="Z21" s="7">
        <f t="shared" si="7"/>
        <v>0.41495910487163989</v>
      </c>
    </row>
    <row r="22" spans="1:26" s="24" customFormat="1" hidden="1" outlineLevel="2" x14ac:dyDescent="0.25">
      <c r="A22" s="28"/>
      <c r="B22" s="11" t="str">
        <f>CONCATENATE("          ", "6113", " - ", "GROUP INSURANCE")</f>
        <v xml:space="preserve">          6113 - GROUP INSURANCE</v>
      </c>
      <c r="C22" s="11"/>
      <c r="D22" s="6">
        <v>696.16</v>
      </c>
      <c r="E22" s="2"/>
      <c r="F22" s="7">
        <f t="shared" si="0"/>
        <v>0</v>
      </c>
      <c r="G22" s="2"/>
      <c r="H22" s="6">
        <v>695.14</v>
      </c>
      <c r="I22" s="2"/>
      <c r="J22" s="7">
        <f t="shared" si="1"/>
        <v>0</v>
      </c>
      <c r="K22" s="2"/>
      <c r="L22" s="6">
        <f t="shared" si="2"/>
        <v>1.0199999999999818</v>
      </c>
      <c r="M22" s="2"/>
      <c r="N22" s="7">
        <f t="shared" si="3"/>
        <v>1.4673303219495091E-3</v>
      </c>
      <c r="O22" s="11"/>
      <c r="P22" s="6">
        <v>2784.64</v>
      </c>
      <c r="Q22" s="2"/>
      <c r="R22" s="7">
        <f t="shared" si="4"/>
        <v>0</v>
      </c>
      <c r="S22" s="2"/>
      <c r="T22" s="6">
        <v>2780.56</v>
      </c>
      <c r="U22" s="2"/>
      <c r="V22" s="7">
        <f t="shared" si="5"/>
        <v>0</v>
      </c>
      <c r="W22" s="2"/>
      <c r="X22" s="6">
        <f t="shared" si="6"/>
        <v>4.0799999999999272</v>
      </c>
      <c r="Y22" s="2"/>
      <c r="Z22" s="7">
        <f t="shared" si="7"/>
        <v>1.4673303219495091E-3</v>
      </c>
    </row>
    <row r="23" spans="1:26" s="24" customFormat="1" hidden="1" outlineLevel="2" x14ac:dyDescent="0.25">
      <c r="A23" s="28"/>
      <c r="B23" s="11" t="str">
        <f>CONCATENATE("          ", "6114", " - ", "STATE UNEMPLOYMENT INSURANCE")</f>
        <v xml:space="preserve">          6114 - STATE UNEMPLOYMENT INSURANCE</v>
      </c>
      <c r="C23" s="11"/>
      <c r="D23" s="6">
        <v>10.74</v>
      </c>
      <c r="E23" s="2"/>
      <c r="F23" s="7">
        <f t="shared" si="0"/>
        <v>0</v>
      </c>
      <c r="G23" s="2"/>
      <c r="H23" s="6">
        <v>11.09</v>
      </c>
      <c r="I23" s="2"/>
      <c r="J23" s="7">
        <f t="shared" si="1"/>
        <v>0</v>
      </c>
      <c r="K23" s="2"/>
      <c r="L23" s="6">
        <f t="shared" si="2"/>
        <v>-0.34999999999999964</v>
      </c>
      <c r="M23" s="2"/>
      <c r="N23" s="7">
        <f t="shared" si="3"/>
        <v>-3.1559963931469759E-2</v>
      </c>
      <c r="O23" s="11"/>
      <c r="P23" s="6">
        <v>43.05</v>
      </c>
      <c r="Q23" s="2"/>
      <c r="R23" s="7">
        <f t="shared" si="4"/>
        <v>0</v>
      </c>
      <c r="S23" s="2"/>
      <c r="T23" s="6">
        <v>44.16</v>
      </c>
      <c r="U23" s="2"/>
      <c r="V23" s="7">
        <f t="shared" si="5"/>
        <v>0</v>
      </c>
      <c r="W23" s="2"/>
      <c r="X23" s="6">
        <f t="shared" si="6"/>
        <v>-1.1099999999999994</v>
      </c>
      <c r="Y23" s="2"/>
      <c r="Z23" s="7">
        <f t="shared" si="7"/>
        <v>-2.5135869565217381E-2</v>
      </c>
    </row>
    <row r="24" spans="1:26" s="24" customFormat="1" hidden="1" outlineLevel="2" x14ac:dyDescent="0.25">
      <c r="A24" s="28"/>
      <c r="B24" s="11" t="str">
        <f>CONCATENATE("          ", "6115", " - ", "P.E.R.S.")</f>
        <v xml:space="preserve">          6115 - P.E.R.S.</v>
      </c>
      <c r="C24" s="11"/>
      <c r="D24" s="6">
        <v>463.27</v>
      </c>
      <c r="E24" s="2"/>
      <c r="F24" s="7">
        <f t="shared" si="0"/>
        <v>0</v>
      </c>
      <c r="G24" s="2"/>
      <c r="H24" s="6">
        <v>429.26</v>
      </c>
      <c r="I24" s="2"/>
      <c r="J24" s="7">
        <f t="shared" si="1"/>
        <v>0</v>
      </c>
      <c r="K24" s="2"/>
      <c r="L24" s="6">
        <f t="shared" si="2"/>
        <v>34.009999999999991</v>
      </c>
      <c r="M24" s="2"/>
      <c r="N24" s="7">
        <f t="shared" si="3"/>
        <v>7.9229371476494406E-2</v>
      </c>
      <c r="O24" s="11"/>
      <c r="P24" s="6">
        <v>2084.7199999999998</v>
      </c>
      <c r="Q24" s="2"/>
      <c r="R24" s="7">
        <f t="shared" si="4"/>
        <v>0</v>
      </c>
      <c r="S24" s="2"/>
      <c r="T24" s="6">
        <v>1717.04</v>
      </c>
      <c r="U24" s="2"/>
      <c r="V24" s="7">
        <f t="shared" si="5"/>
        <v>0</v>
      </c>
      <c r="W24" s="2"/>
      <c r="X24" s="6">
        <f t="shared" si="6"/>
        <v>367.67999999999984</v>
      </c>
      <c r="Y24" s="2"/>
      <c r="Z24" s="7">
        <f t="shared" si="7"/>
        <v>0.21413595489912865</v>
      </c>
    </row>
    <row r="25" spans="1:26" s="24" customFormat="1" hidden="1" outlineLevel="2" x14ac:dyDescent="0.25">
      <c r="A25" s="28"/>
      <c r="B25" s="11" t="str">
        <f>CONCATENATE("          ", "6118", " - ", "VACATION")</f>
        <v xml:space="preserve">          6118 - VACATION</v>
      </c>
      <c r="C25" s="11"/>
      <c r="D25" s="6"/>
      <c r="E25" s="2"/>
      <c r="F25" s="7">
        <f t="shared" si="0"/>
        <v>0</v>
      </c>
      <c r="G25" s="2"/>
      <c r="H25" s="6">
        <v>581.94000000000005</v>
      </c>
      <c r="I25" s="2"/>
      <c r="J25" s="7">
        <f t="shared" si="1"/>
        <v>0</v>
      </c>
      <c r="K25" s="2"/>
      <c r="L25" s="6">
        <f t="shared" si="2"/>
        <v>-581.94000000000005</v>
      </c>
      <c r="M25" s="2"/>
      <c r="N25" s="7">
        <f t="shared" si="3"/>
        <v>-1</v>
      </c>
      <c r="O25" s="11"/>
      <c r="P25" s="6">
        <v>645.98</v>
      </c>
      <c r="Q25" s="2"/>
      <c r="R25" s="7">
        <f t="shared" si="4"/>
        <v>0</v>
      </c>
      <c r="S25" s="2"/>
      <c r="T25" s="6">
        <v>2061.0500000000002</v>
      </c>
      <c r="U25" s="2"/>
      <c r="V25" s="7">
        <f t="shared" si="5"/>
        <v>0</v>
      </c>
      <c r="W25" s="2"/>
      <c r="X25" s="6">
        <f t="shared" si="6"/>
        <v>-1415.0700000000002</v>
      </c>
      <c r="Y25" s="2"/>
      <c r="Z25" s="7">
        <f t="shared" si="7"/>
        <v>-0.68657723005264304</v>
      </c>
    </row>
    <row r="26" spans="1:26" s="24" customFormat="1" hidden="1" outlineLevel="2" x14ac:dyDescent="0.25">
      <c r="A26" s="28"/>
      <c r="B26" s="11" t="str">
        <f>CONCATENATE("          ", "6119", " - ", "SICK LEAVE")</f>
        <v xml:space="preserve">          6119 - SICK LEAVE</v>
      </c>
      <c r="C26" s="11"/>
      <c r="D26" s="6">
        <v>290.58</v>
      </c>
      <c r="E26" s="2"/>
      <c r="F26" s="7">
        <f t="shared" si="0"/>
        <v>0</v>
      </c>
      <c r="G26" s="2"/>
      <c r="H26" s="6">
        <v>290.58</v>
      </c>
      <c r="I26" s="2"/>
      <c r="J26" s="7">
        <f t="shared" si="1"/>
        <v>0</v>
      </c>
      <c r="K26" s="2"/>
      <c r="L26" s="6">
        <f t="shared" si="2"/>
        <v>0</v>
      </c>
      <c r="M26" s="2"/>
      <c r="N26" s="7">
        <f t="shared" si="3"/>
        <v>0</v>
      </c>
      <c r="O26" s="11"/>
      <c r="P26" s="6">
        <v>871.74</v>
      </c>
      <c r="Q26" s="2"/>
      <c r="R26" s="7">
        <f t="shared" si="4"/>
        <v>0</v>
      </c>
      <c r="S26" s="2"/>
      <c r="T26" s="6">
        <v>1716.78</v>
      </c>
      <c r="U26" s="2"/>
      <c r="V26" s="7">
        <f t="shared" si="5"/>
        <v>0</v>
      </c>
      <c r="W26" s="2"/>
      <c r="X26" s="6">
        <f t="shared" si="6"/>
        <v>-845.04</v>
      </c>
      <c r="Y26" s="2"/>
      <c r="Z26" s="7">
        <f t="shared" si="7"/>
        <v>-0.49222381435012058</v>
      </c>
    </row>
    <row r="27" spans="1:26" s="24" customFormat="1" hidden="1" outlineLevel="2" x14ac:dyDescent="0.25">
      <c r="A27" s="28"/>
      <c r="B27" s="11" t="str">
        <f>CONCATENATE("          ", "6156", " - ", "EMPLOYEE MEALS")</f>
        <v xml:space="preserve">          6156 - EMPLOYEE MEALS</v>
      </c>
      <c r="C27" s="11"/>
      <c r="D27" s="6">
        <v>175</v>
      </c>
      <c r="E27" s="2"/>
      <c r="F27" s="7">
        <f t="shared" si="0"/>
        <v>0</v>
      </c>
      <c r="G27" s="2"/>
      <c r="H27" s="6">
        <v>165.22</v>
      </c>
      <c r="I27" s="2"/>
      <c r="J27" s="7">
        <f t="shared" si="1"/>
        <v>0</v>
      </c>
      <c r="K27" s="2"/>
      <c r="L27" s="6">
        <f t="shared" si="2"/>
        <v>9.7800000000000011</v>
      </c>
      <c r="M27" s="2"/>
      <c r="N27" s="7">
        <f t="shared" si="3"/>
        <v>5.9193802203123119E-2</v>
      </c>
      <c r="O27" s="11"/>
      <c r="P27" s="6">
        <v>648.45000000000005</v>
      </c>
      <c r="Q27" s="2"/>
      <c r="R27" s="7">
        <f t="shared" si="4"/>
        <v>0</v>
      </c>
      <c r="S27" s="2"/>
      <c r="T27" s="6">
        <v>600.42999999999995</v>
      </c>
      <c r="U27" s="2"/>
      <c r="V27" s="7">
        <f t="shared" si="5"/>
        <v>0</v>
      </c>
      <c r="W27" s="2"/>
      <c r="X27" s="6">
        <f t="shared" si="6"/>
        <v>48.020000000000095</v>
      </c>
      <c r="Y27" s="2"/>
      <c r="Z27" s="7">
        <f t="shared" si="7"/>
        <v>7.9976017187682324E-2</v>
      </c>
    </row>
    <row r="28" spans="1:26" s="29" customFormat="1" outlineLevel="1" collapsed="1" x14ac:dyDescent="0.25">
      <c r="A28" s="27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SUM(OSRRefD22_1x_0)</f>
        <v>5249.61</v>
      </c>
      <c r="E28" s="1"/>
      <c r="F28" s="5">
        <f t="shared" ref="F28:F36" si="8">IF(D$12=0,0,D28/D$12)</f>
        <v>0</v>
      </c>
      <c r="G28" s="1"/>
      <c r="H28" s="1">
        <f>SUM(OSRRefH22_1x_0)</f>
        <v>5525.24</v>
      </c>
      <c r="I28" s="1"/>
      <c r="J28" s="5">
        <f t="shared" ref="J28:J36" si="9">IF(H$12=0,0,H28/H$12)</f>
        <v>0</v>
      </c>
      <c r="K28" s="1"/>
      <c r="L28" s="1">
        <f t="shared" ref="L28:L36" si="10">+D28-H28</f>
        <v>-275.63000000000011</v>
      </c>
      <c r="M28" s="1"/>
      <c r="N28" s="5">
        <f t="shared" ref="N28:N36" si="11">IF(H28=0,0,L28/H28)</f>
        <v>-4.9885615828452724E-2</v>
      </c>
      <c r="O28" s="14"/>
      <c r="P28" s="1">
        <f>SUM(OSRRefP22_1x_0)</f>
        <v>18268.86</v>
      </c>
      <c r="Q28" s="1"/>
      <c r="R28" s="5">
        <f t="shared" ref="R28:R36" si="12">IF(P$12=0,0,P28/P$12)</f>
        <v>0</v>
      </c>
      <c r="S28" s="1"/>
      <c r="T28" s="1">
        <f>SUM(OSRRefT22_1x_0)</f>
        <v>17547.09</v>
      </c>
      <c r="U28" s="1"/>
      <c r="V28" s="5">
        <f t="shared" ref="V28:V36" si="13">IF(T$12=0,0,T28/T$12)</f>
        <v>0</v>
      </c>
      <c r="W28" s="1"/>
      <c r="X28" s="1">
        <f t="shared" ref="X28:X36" si="14">+P28-T28</f>
        <v>721.77000000000044</v>
      </c>
      <c r="Y28" s="1"/>
      <c r="Z28" s="5">
        <f t="shared" ref="Z28:Z36" si="15">IF(T28=0,0,X28/T28)</f>
        <v>4.1133316122502386E-2</v>
      </c>
    </row>
    <row r="29" spans="1:26" s="24" customFormat="1" hidden="1" outlineLevel="2" x14ac:dyDescent="0.25">
      <c r="A29" s="28"/>
      <c r="B29" s="11" t="str">
        <f>CONCATENATE("          ", "6002", " - ", "STAFF SALARIES")</f>
        <v xml:space="preserve">          6002 - STAFF SALARIES</v>
      </c>
      <c r="C29" s="11"/>
      <c r="D29" s="6">
        <v>5249.61</v>
      </c>
      <c r="E29" s="2"/>
      <c r="F29" s="7">
        <f t="shared" si="8"/>
        <v>0</v>
      </c>
      <c r="G29" s="2"/>
      <c r="H29" s="6">
        <v>5525.24</v>
      </c>
      <c r="I29" s="2"/>
      <c r="J29" s="7">
        <f t="shared" si="9"/>
        <v>0</v>
      </c>
      <c r="K29" s="2"/>
      <c r="L29" s="6">
        <f t="shared" si="10"/>
        <v>-275.63000000000011</v>
      </c>
      <c r="M29" s="2"/>
      <c r="N29" s="7">
        <f t="shared" si="11"/>
        <v>-4.9885615828452724E-2</v>
      </c>
      <c r="O29" s="11"/>
      <c r="P29" s="6">
        <v>18268.86</v>
      </c>
      <c r="Q29" s="2"/>
      <c r="R29" s="7">
        <f t="shared" si="12"/>
        <v>0</v>
      </c>
      <c r="S29" s="2"/>
      <c r="T29" s="6">
        <v>17547.09</v>
      </c>
      <c r="U29" s="2"/>
      <c r="V29" s="7">
        <f t="shared" si="13"/>
        <v>0</v>
      </c>
      <c r="W29" s="2"/>
      <c r="X29" s="6">
        <f t="shared" si="14"/>
        <v>721.77000000000044</v>
      </c>
      <c r="Y29" s="2"/>
      <c r="Z29" s="7">
        <f t="shared" si="15"/>
        <v>4.1133316122502386E-2</v>
      </c>
    </row>
    <row r="30" spans="1:26" s="29" customFormat="1" outlineLevel="1" collapsed="1" x14ac:dyDescent="0.25">
      <c r="A30" s="27"/>
      <c r="B30" s="14" t="str">
        <f>CONCATENATE("     ","General                                           ")</f>
        <v xml:space="preserve">     General                                           </v>
      </c>
      <c r="C30" s="14"/>
      <c r="D30" s="1">
        <f>SUM(OSRRefD22_2x_0)</f>
        <v>0</v>
      </c>
      <c r="E30" s="1"/>
      <c r="F30" s="5">
        <f t="shared" si="8"/>
        <v>0</v>
      </c>
      <c r="G30" s="1"/>
      <c r="H30" s="1">
        <f>SUM(OSRRefH22_2x_0)</f>
        <v>-146.75</v>
      </c>
      <c r="I30" s="1"/>
      <c r="J30" s="5">
        <f t="shared" si="9"/>
        <v>0</v>
      </c>
      <c r="K30" s="1"/>
      <c r="L30" s="1">
        <f t="shared" si="10"/>
        <v>146.75</v>
      </c>
      <c r="M30" s="1"/>
      <c r="N30" s="5">
        <f t="shared" si="11"/>
        <v>-1</v>
      </c>
      <c r="O30" s="14"/>
      <c r="P30" s="1">
        <f>SUM(OSRRefP22_2x_0)</f>
        <v>0</v>
      </c>
      <c r="Q30" s="1"/>
      <c r="R30" s="5">
        <f t="shared" si="12"/>
        <v>0</v>
      </c>
      <c r="S30" s="1"/>
      <c r="T30" s="1">
        <f>SUM(OSRRefT22_2x_0)</f>
        <v>-327.64999999999998</v>
      </c>
      <c r="U30" s="1"/>
      <c r="V30" s="5">
        <f t="shared" si="13"/>
        <v>0</v>
      </c>
      <c r="W30" s="1"/>
      <c r="X30" s="1">
        <f t="shared" si="14"/>
        <v>327.64999999999998</v>
      </c>
      <c r="Y30" s="1"/>
      <c r="Z30" s="5">
        <f t="shared" si="15"/>
        <v>-1</v>
      </c>
    </row>
    <row r="31" spans="1:26" s="24" customFormat="1" hidden="1" outlineLevel="2" x14ac:dyDescent="0.25">
      <c r="A31" s="28"/>
      <c r="B31" s="11" t="str">
        <f>CONCATENATE("          ", "6279", " - ", "GENERAL EXPENSE")</f>
        <v xml:space="preserve">          6279 - GENERAL EXPENSE</v>
      </c>
      <c r="C31" s="11"/>
      <c r="D31" s="6"/>
      <c r="E31" s="2"/>
      <c r="F31" s="7">
        <f t="shared" si="8"/>
        <v>0</v>
      </c>
      <c r="G31" s="2"/>
      <c r="H31" s="6">
        <v>-146.75</v>
      </c>
      <c r="I31" s="2"/>
      <c r="J31" s="7">
        <f t="shared" si="9"/>
        <v>0</v>
      </c>
      <c r="K31" s="2"/>
      <c r="L31" s="6">
        <f t="shared" si="10"/>
        <v>146.75</v>
      </c>
      <c r="M31" s="2"/>
      <c r="N31" s="7">
        <f t="shared" si="11"/>
        <v>-1</v>
      </c>
      <c r="O31" s="11"/>
      <c r="P31" s="6"/>
      <c r="Q31" s="2"/>
      <c r="R31" s="7">
        <f t="shared" si="12"/>
        <v>0</v>
      </c>
      <c r="S31" s="2"/>
      <c r="T31" s="6">
        <v>-327.64999999999998</v>
      </c>
      <c r="U31" s="2"/>
      <c r="V31" s="7">
        <f t="shared" si="13"/>
        <v>0</v>
      </c>
      <c r="W31" s="2"/>
      <c r="X31" s="6">
        <f t="shared" si="14"/>
        <v>327.64999999999998</v>
      </c>
      <c r="Y31" s="2"/>
      <c r="Z31" s="7">
        <f t="shared" si="15"/>
        <v>-1</v>
      </c>
    </row>
    <row r="32" spans="1:26" s="29" customFormat="1" outlineLevel="1" collapsed="1" x14ac:dyDescent="0.25">
      <c r="A32" s="27"/>
      <c r="B32" s="14" t="str">
        <f>CONCATENATE("     ","Insurance                                         ")</f>
        <v xml:space="preserve">     Insurance                                         </v>
      </c>
      <c r="C32" s="14"/>
      <c r="D32" s="1">
        <f>SUM(OSRRefD22_3x_0)</f>
        <v>24.56</v>
      </c>
      <c r="E32" s="1"/>
      <c r="F32" s="5">
        <f t="shared" si="8"/>
        <v>0</v>
      </c>
      <c r="G32" s="1"/>
      <c r="H32" s="1">
        <f>SUM(OSRRefH22_3x_0)</f>
        <v>24.56</v>
      </c>
      <c r="I32" s="1"/>
      <c r="J32" s="5">
        <f t="shared" si="9"/>
        <v>0</v>
      </c>
      <c r="K32" s="1"/>
      <c r="L32" s="1">
        <f t="shared" si="10"/>
        <v>0</v>
      </c>
      <c r="M32" s="1"/>
      <c r="N32" s="5">
        <f t="shared" si="11"/>
        <v>0</v>
      </c>
      <c r="O32" s="14"/>
      <c r="P32" s="1">
        <f>SUM(OSRRefP22_3x_0)</f>
        <v>98.24</v>
      </c>
      <c r="Q32" s="1"/>
      <c r="R32" s="5">
        <f t="shared" si="12"/>
        <v>0</v>
      </c>
      <c r="S32" s="1"/>
      <c r="T32" s="1">
        <f>SUM(OSRRefT22_3x_0)</f>
        <v>98.24</v>
      </c>
      <c r="U32" s="1"/>
      <c r="V32" s="5">
        <f t="shared" si="13"/>
        <v>0</v>
      </c>
      <c r="W32" s="1"/>
      <c r="X32" s="1">
        <f t="shared" si="14"/>
        <v>0</v>
      </c>
      <c r="Y32" s="1"/>
      <c r="Z32" s="5">
        <f t="shared" si="15"/>
        <v>0</v>
      </c>
    </row>
    <row r="33" spans="1:26" s="24" customFormat="1" hidden="1" outlineLevel="2" x14ac:dyDescent="0.25">
      <c r="A33" s="28"/>
      <c r="B33" s="11" t="str">
        <f>CONCATENATE("          ", "6314", " - ", "LIABILITY INSURANCE")</f>
        <v xml:space="preserve">          6314 - LIABILITY INSURANCE</v>
      </c>
      <c r="C33" s="11"/>
      <c r="D33" s="6">
        <v>24.56</v>
      </c>
      <c r="E33" s="2"/>
      <c r="F33" s="7">
        <f t="shared" si="8"/>
        <v>0</v>
      </c>
      <c r="G33" s="2"/>
      <c r="H33" s="6">
        <v>24.56</v>
      </c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>
        <v>98.24</v>
      </c>
      <c r="Q33" s="2"/>
      <c r="R33" s="7">
        <f t="shared" si="12"/>
        <v>0</v>
      </c>
      <c r="S33" s="2"/>
      <c r="T33" s="6">
        <v>98.24</v>
      </c>
      <c r="U33" s="2"/>
      <c r="V33" s="7">
        <f t="shared" si="13"/>
        <v>0</v>
      </c>
      <c r="W33" s="2"/>
      <c r="X33" s="6">
        <f t="shared" si="14"/>
        <v>0</v>
      </c>
      <c r="Y33" s="2"/>
      <c r="Z33" s="7">
        <f t="shared" si="15"/>
        <v>0</v>
      </c>
    </row>
    <row r="34" spans="1:26" s="29" customFormat="1" outlineLevel="1" collapsed="1" x14ac:dyDescent="0.25">
      <c r="A34" s="27"/>
      <c r="B34" s="14" t="str">
        <f>CONCATENATE("     ","Repair and Maintenance                            ")</f>
        <v xml:space="preserve">     Repair and Maintenance                            </v>
      </c>
      <c r="C34" s="14"/>
      <c r="D34" s="1">
        <f>SUM(OSRRefD22_4x_0)</f>
        <v>1732</v>
      </c>
      <c r="E34" s="1"/>
      <c r="F34" s="5">
        <f t="shared" si="8"/>
        <v>0</v>
      </c>
      <c r="G34" s="1"/>
      <c r="H34" s="1">
        <f>SUM(OSRRefH22_4x_0)</f>
        <v>1642.66</v>
      </c>
      <c r="I34" s="1"/>
      <c r="J34" s="5">
        <f t="shared" si="9"/>
        <v>0</v>
      </c>
      <c r="K34" s="1"/>
      <c r="L34" s="1">
        <f t="shared" si="10"/>
        <v>89.339999999999918</v>
      </c>
      <c r="M34" s="1"/>
      <c r="N34" s="5">
        <f t="shared" si="11"/>
        <v>5.4387396052743668E-2</v>
      </c>
      <c r="O34" s="14"/>
      <c r="P34" s="1">
        <f>SUM(OSRRefP22_4x_0)</f>
        <v>5149.1900000000005</v>
      </c>
      <c r="Q34" s="1"/>
      <c r="R34" s="5">
        <f t="shared" si="12"/>
        <v>0</v>
      </c>
      <c r="S34" s="1"/>
      <c r="T34" s="1">
        <f>SUM(OSRRefT22_4x_0)</f>
        <v>4454.5600000000004</v>
      </c>
      <c r="U34" s="1"/>
      <c r="V34" s="5">
        <f t="shared" si="13"/>
        <v>0</v>
      </c>
      <c r="W34" s="1"/>
      <c r="X34" s="1">
        <f t="shared" si="14"/>
        <v>694.63000000000011</v>
      </c>
      <c r="Y34" s="1"/>
      <c r="Z34" s="5">
        <f t="shared" si="15"/>
        <v>0.15593683775726447</v>
      </c>
    </row>
    <row r="35" spans="1:26" s="24" customFormat="1" hidden="1" outlineLevel="2" x14ac:dyDescent="0.25">
      <c r="A35" s="28"/>
      <c r="B35" s="11" t="str">
        <f>CONCATENATE("          ", "6373", " - ", "MAINTENANCE CONTRACTS")</f>
        <v xml:space="preserve">          6373 - MAINTENANCE CONTRACTS</v>
      </c>
      <c r="C35" s="11"/>
      <c r="D35" s="6">
        <v>866</v>
      </c>
      <c r="E35" s="2"/>
      <c r="F35" s="7">
        <f t="shared" si="8"/>
        <v>0</v>
      </c>
      <c r="G35" s="2"/>
      <c r="H35" s="6">
        <v>1405.95</v>
      </c>
      <c r="I35" s="2"/>
      <c r="J35" s="7">
        <f t="shared" si="9"/>
        <v>0</v>
      </c>
      <c r="K35" s="2"/>
      <c r="L35" s="6">
        <f t="shared" si="10"/>
        <v>-539.95000000000005</v>
      </c>
      <c r="M35" s="2"/>
      <c r="N35" s="7">
        <f t="shared" si="11"/>
        <v>-0.3840463743376365</v>
      </c>
      <c r="O35" s="11"/>
      <c r="P35" s="6">
        <v>3464</v>
      </c>
      <c r="Q35" s="2"/>
      <c r="R35" s="7">
        <f t="shared" si="12"/>
        <v>0</v>
      </c>
      <c r="S35" s="2"/>
      <c r="T35" s="6">
        <v>4217.8500000000004</v>
      </c>
      <c r="U35" s="2"/>
      <c r="V35" s="7">
        <f t="shared" si="13"/>
        <v>0</v>
      </c>
      <c r="W35" s="2"/>
      <c r="X35" s="6">
        <f t="shared" si="14"/>
        <v>-753.85000000000036</v>
      </c>
      <c r="Y35" s="2"/>
      <c r="Z35" s="7">
        <f t="shared" si="15"/>
        <v>-0.17872849911684871</v>
      </c>
    </row>
    <row r="36" spans="1:26" s="24" customFormat="1" hidden="1" outlineLevel="2" x14ac:dyDescent="0.25">
      <c r="A36" s="28"/>
      <c r="B36" s="11" t="str">
        <f>CONCATENATE("          ", "6375", " - ", "OUTSIDE REPAIRS &amp; MAINTENANCE")</f>
        <v xml:space="preserve">          6375 - OUTSIDE REPAIRS &amp; MAINTENANCE</v>
      </c>
      <c r="C36" s="11"/>
      <c r="D36" s="6">
        <v>866</v>
      </c>
      <c r="E36" s="2"/>
      <c r="F36" s="7">
        <f t="shared" si="8"/>
        <v>0</v>
      </c>
      <c r="G36" s="2"/>
      <c r="H36" s="6">
        <v>236.71</v>
      </c>
      <c r="I36" s="2"/>
      <c r="J36" s="7">
        <f t="shared" si="9"/>
        <v>0</v>
      </c>
      <c r="K36" s="2"/>
      <c r="L36" s="6">
        <f t="shared" si="10"/>
        <v>629.29</v>
      </c>
      <c r="M36" s="2"/>
      <c r="N36" s="7">
        <f t="shared" si="11"/>
        <v>2.6584850661146548</v>
      </c>
      <c r="O36" s="11"/>
      <c r="P36" s="6">
        <v>1685.19</v>
      </c>
      <c r="Q36" s="2"/>
      <c r="R36" s="7">
        <f t="shared" si="12"/>
        <v>0</v>
      </c>
      <c r="S36" s="2"/>
      <c r="T36" s="6">
        <v>236.71</v>
      </c>
      <c r="U36" s="2"/>
      <c r="V36" s="7">
        <f t="shared" si="13"/>
        <v>0</v>
      </c>
      <c r="W36" s="2"/>
      <c r="X36" s="6">
        <f t="shared" si="14"/>
        <v>1448.48</v>
      </c>
      <c r="Y36" s="2"/>
      <c r="Z36" s="7">
        <f t="shared" si="15"/>
        <v>6.1192176080435976</v>
      </c>
    </row>
    <row r="37" spans="1:26" s="29" customFormat="1" outlineLevel="1" collapsed="1" x14ac:dyDescent="0.25">
      <c r="A37" s="27"/>
      <c r="B37" s="14" t="str">
        <f>CONCATENATE("     ","Services                                          ")</f>
        <v xml:space="preserve">     Services                                          </v>
      </c>
      <c r="C37" s="14"/>
      <c r="D37" s="1">
        <f>SUM(OSRRefD22_5x_0)</f>
        <v>0</v>
      </c>
      <c r="E37" s="1"/>
      <c r="F37" s="5">
        <f t="shared" ref="F37:F41" si="16">IF(D$12=0,0,D37/D$12)</f>
        <v>0</v>
      </c>
      <c r="G37" s="1"/>
      <c r="H37" s="1">
        <f>SUM(OSRRefH22_5x_0)</f>
        <v>13.26</v>
      </c>
      <c r="I37" s="1"/>
      <c r="J37" s="5">
        <f t="shared" ref="J37:J41" si="17">IF(H$12=0,0,H37/H$12)</f>
        <v>0</v>
      </c>
      <c r="K37" s="1"/>
      <c r="L37" s="1">
        <f t="shared" ref="L37:L41" si="18">+D37-H37</f>
        <v>-13.26</v>
      </c>
      <c r="M37" s="1"/>
      <c r="N37" s="5">
        <f t="shared" ref="N37:N41" si="19">IF(H37=0,0,L37/H37)</f>
        <v>-1</v>
      </c>
      <c r="O37" s="14"/>
      <c r="P37" s="1">
        <f>SUM(OSRRefP22_5x_0)</f>
        <v>0</v>
      </c>
      <c r="Q37" s="1"/>
      <c r="R37" s="5">
        <f t="shared" ref="R37:R41" si="20">IF(P$12=0,0,P37/P$12)</f>
        <v>0</v>
      </c>
      <c r="S37" s="1"/>
      <c r="T37" s="1">
        <f>SUM(OSRRefT22_5x_0)</f>
        <v>39.78</v>
      </c>
      <c r="U37" s="1"/>
      <c r="V37" s="5">
        <f t="shared" ref="V37:V41" si="21">IF(T$12=0,0,T37/T$12)</f>
        <v>0</v>
      </c>
      <c r="W37" s="1"/>
      <c r="X37" s="1">
        <f t="shared" ref="X37:X41" si="22">+P37-T37</f>
        <v>-39.78</v>
      </c>
      <c r="Y37" s="1"/>
      <c r="Z37" s="5">
        <f t="shared" ref="Z37:Z41" si="23">IF(T37=0,0,X37/T37)</f>
        <v>-1</v>
      </c>
    </row>
    <row r="38" spans="1:26" s="24" customFormat="1" hidden="1" outlineLevel="2" x14ac:dyDescent="0.25">
      <c r="A38" s="28"/>
      <c r="B38" s="11" t="str">
        <f>CONCATENATE("          ", "6286", " - ", "LAUNDRY EXPENSE")</f>
        <v xml:space="preserve">          6286 - LAUNDRY EXPENSE</v>
      </c>
      <c r="C38" s="11"/>
      <c r="D38" s="6"/>
      <c r="E38" s="2"/>
      <c r="F38" s="7">
        <f t="shared" si="16"/>
        <v>0</v>
      </c>
      <c r="G38" s="2"/>
      <c r="H38" s="6">
        <v>13.26</v>
      </c>
      <c r="I38" s="2"/>
      <c r="J38" s="7">
        <f t="shared" si="17"/>
        <v>0</v>
      </c>
      <c r="K38" s="2"/>
      <c r="L38" s="6">
        <f t="shared" si="18"/>
        <v>-13.26</v>
      </c>
      <c r="M38" s="2"/>
      <c r="N38" s="7">
        <f t="shared" si="19"/>
        <v>-1</v>
      </c>
      <c r="O38" s="11"/>
      <c r="P38" s="6"/>
      <c r="Q38" s="2"/>
      <c r="R38" s="7">
        <f t="shared" si="20"/>
        <v>0</v>
      </c>
      <c r="S38" s="2"/>
      <c r="T38" s="6">
        <v>39.78</v>
      </c>
      <c r="U38" s="2"/>
      <c r="V38" s="7">
        <f t="shared" si="21"/>
        <v>0</v>
      </c>
      <c r="W38" s="2"/>
      <c r="X38" s="6">
        <f t="shared" si="22"/>
        <v>-39.78</v>
      </c>
      <c r="Y38" s="2"/>
      <c r="Z38" s="7">
        <f t="shared" si="23"/>
        <v>-1</v>
      </c>
    </row>
    <row r="39" spans="1:26" s="29" customFormat="1" outlineLevel="1" collapsed="1" x14ac:dyDescent="0.25">
      <c r="A39" s="27"/>
      <c r="B39" s="14" t="str">
        <f>CONCATENATE("     ","Supplies                                          ")</f>
        <v xml:space="preserve">     Supplies                                          </v>
      </c>
      <c r="C39" s="14"/>
      <c r="D39" s="1">
        <f>SUM(OSRRefD22_6x_0)</f>
        <v>0</v>
      </c>
      <c r="E39" s="1"/>
      <c r="F39" s="5">
        <f t="shared" si="16"/>
        <v>0</v>
      </c>
      <c r="G39" s="1"/>
      <c r="H39" s="1">
        <f>SUM(OSRRefH22_6x_0)</f>
        <v>147.56</v>
      </c>
      <c r="I39" s="1"/>
      <c r="J39" s="5">
        <f t="shared" si="17"/>
        <v>0</v>
      </c>
      <c r="K39" s="1"/>
      <c r="L39" s="1">
        <f t="shared" si="18"/>
        <v>-147.56</v>
      </c>
      <c r="M39" s="1"/>
      <c r="N39" s="5">
        <f t="shared" si="19"/>
        <v>-1</v>
      </c>
      <c r="O39" s="14"/>
      <c r="P39" s="1">
        <f>SUM(OSRRefP22_6x_0)</f>
        <v>15.92</v>
      </c>
      <c r="Q39" s="1"/>
      <c r="R39" s="5">
        <f t="shared" si="20"/>
        <v>0</v>
      </c>
      <c r="S39" s="1"/>
      <c r="T39" s="1">
        <f>SUM(OSRRefT22_6x_0)</f>
        <v>744.92</v>
      </c>
      <c r="U39" s="1"/>
      <c r="V39" s="5">
        <f t="shared" si="21"/>
        <v>0</v>
      </c>
      <c r="W39" s="1"/>
      <c r="X39" s="1">
        <f t="shared" si="22"/>
        <v>-729</v>
      </c>
      <c r="Y39" s="1"/>
      <c r="Z39" s="5">
        <f t="shared" si="23"/>
        <v>-0.97862857756537625</v>
      </c>
    </row>
    <row r="40" spans="1:26" s="24" customFormat="1" hidden="1" outlineLevel="2" x14ac:dyDescent="0.25">
      <c r="A40" s="28"/>
      <c r="B40" s="11" t="str">
        <f>CONCATENATE("          ", "6234", " - ", "EXPENDABLE SUPPLIES &amp; EQUIPMEN")</f>
        <v xml:space="preserve">          6234 - EXPENDABLE SUPPLIES &amp; EQUIPMEN</v>
      </c>
      <c r="C40" s="11"/>
      <c r="D40" s="6"/>
      <c r="E40" s="2"/>
      <c r="F40" s="7">
        <f t="shared" si="16"/>
        <v>0</v>
      </c>
      <c r="G40" s="2"/>
      <c r="H40" s="6">
        <v>133.56</v>
      </c>
      <c r="I40" s="2"/>
      <c r="J40" s="7">
        <f t="shared" si="17"/>
        <v>0</v>
      </c>
      <c r="K40" s="2"/>
      <c r="L40" s="6">
        <f t="shared" si="18"/>
        <v>-133.56</v>
      </c>
      <c r="M40" s="2"/>
      <c r="N40" s="7">
        <f t="shared" si="19"/>
        <v>-1</v>
      </c>
      <c r="O40" s="11"/>
      <c r="P40" s="6"/>
      <c r="Q40" s="2"/>
      <c r="R40" s="7">
        <f t="shared" si="20"/>
        <v>0</v>
      </c>
      <c r="S40" s="2"/>
      <c r="T40" s="6">
        <v>693.5</v>
      </c>
      <c r="U40" s="2"/>
      <c r="V40" s="7">
        <f t="shared" si="21"/>
        <v>0</v>
      </c>
      <c r="W40" s="2"/>
      <c r="X40" s="6">
        <f t="shared" si="22"/>
        <v>-693.5</v>
      </c>
      <c r="Y40" s="2"/>
      <c r="Z40" s="7">
        <f t="shared" si="23"/>
        <v>-1</v>
      </c>
    </row>
    <row r="41" spans="1:26" s="24" customFormat="1" hidden="1" outlineLevel="2" x14ac:dyDescent="0.25">
      <c r="A41" s="28"/>
      <c r="B41" s="11" t="str">
        <f>CONCATENATE("          ", "6241", " - ", "OFFICE EXPENSE")</f>
        <v xml:space="preserve">          6241 - OFFICE EXPENSE</v>
      </c>
      <c r="C41" s="11"/>
      <c r="D41" s="6"/>
      <c r="E41" s="2"/>
      <c r="F41" s="7">
        <f t="shared" si="16"/>
        <v>0</v>
      </c>
      <c r="G41" s="2"/>
      <c r="H41" s="6">
        <v>14</v>
      </c>
      <c r="I41" s="2"/>
      <c r="J41" s="7">
        <f t="shared" si="17"/>
        <v>0</v>
      </c>
      <c r="K41" s="2"/>
      <c r="L41" s="6">
        <f t="shared" si="18"/>
        <v>-14</v>
      </c>
      <c r="M41" s="2"/>
      <c r="N41" s="7">
        <f t="shared" si="19"/>
        <v>-1</v>
      </c>
      <c r="O41" s="11"/>
      <c r="P41" s="6">
        <v>15.92</v>
      </c>
      <c r="Q41" s="2"/>
      <c r="R41" s="7">
        <f t="shared" si="20"/>
        <v>0</v>
      </c>
      <c r="S41" s="2"/>
      <c r="T41" s="6">
        <v>51.42</v>
      </c>
      <c r="U41" s="2"/>
      <c r="V41" s="7">
        <f t="shared" si="21"/>
        <v>0</v>
      </c>
      <c r="W41" s="2"/>
      <c r="X41" s="6">
        <f t="shared" si="22"/>
        <v>-35.5</v>
      </c>
      <c r="Y41" s="2"/>
      <c r="Z41" s="7">
        <f t="shared" si="23"/>
        <v>-0.69039284325165307</v>
      </c>
    </row>
    <row r="42" spans="1:26" s="29" customFormat="1" outlineLevel="1" collapsed="1" x14ac:dyDescent="0.25">
      <c r="A42" s="27"/>
      <c r="B42" s="14" t="str">
        <f>CONCATENATE("     ","Telephone/Data Lines                              ")</f>
        <v xml:space="preserve">     Telephone/Data Lines                              </v>
      </c>
      <c r="C42" s="14"/>
      <c r="D42" s="1">
        <f>SUM(OSRRefD22_7x_0)</f>
        <v>-77</v>
      </c>
      <c r="E42" s="1"/>
      <c r="F42" s="5">
        <f t="shared" ref="F42:F45" si="24">IF(D$12=0,0,D42/D$12)</f>
        <v>0</v>
      </c>
      <c r="G42" s="1"/>
      <c r="H42" s="1">
        <f>SUM(OSRRefH22_7x_0)</f>
        <v>223.85</v>
      </c>
      <c r="I42" s="1"/>
      <c r="J42" s="5">
        <f t="shared" ref="J42:J45" si="25">IF(H$12=0,0,H42/H$12)</f>
        <v>0</v>
      </c>
      <c r="K42" s="1"/>
      <c r="L42" s="1">
        <f t="shared" ref="L42:L45" si="26">+D42-H42</f>
        <v>-300.85000000000002</v>
      </c>
      <c r="M42" s="1"/>
      <c r="N42" s="5">
        <f t="shared" ref="N42:N45" si="27">IF(H42=0,0,L42/H42)</f>
        <v>-1.3439803439803442</v>
      </c>
      <c r="O42" s="14"/>
      <c r="P42" s="1">
        <f>SUM(OSRRefP22_7x_0)</f>
        <v>271</v>
      </c>
      <c r="Q42" s="1"/>
      <c r="R42" s="5">
        <f t="shared" ref="R42:R45" si="28">IF(P$12=0,0,P42/P$12)</f>
        <v>0</v>
      </c>
      <c r="S42" s="1"/>
      <c r="T42" s="1">
        <f>SUM(OSRRefT22_7x_0)</f>
        <v>388.2</v>
      </c>
      <c r="U42" s="1"/>
      <c r="V42" s="5">
        <f t="shared" ref="V42:V45" si="29">IF(T$12=0,0,T42/T$12)</f>
        <v>0</v>
      </c>
      <c r="W42" s="1"/>
      <c r="X42" s="1">
        <f t="shared" ref="X42:X45" si="30">+P42-T42</f>
        <v>-117.19999999999999</v>
      </c>
      <c r="Y42" s="1"/>
      <c r="Z42" s="5">
        <f t="shared" ref="Z42:Z45" si="31">IF(T42=0,0,X42/T42)</f>
        <v>-0.3019062339000515</v>
      </c>
    </row>
    <row r="43" spans="1:26" s="24" customFormat="1" hidden="1" outlineLevel="2" x14ac:dyDescent="0.25">
      <c r="A43" s="28"/>
      <c r="B43" s="11" t="str">
        <f>CONCATENATE("          ", "6309", " - ", "TELEPHONE")</f>
        <v xml:space="preserve">          6309 - TELEPHONE</v>
      </c>
      <c r="C43" s="11"/>
      <c r="D43" s="6">
        <v>-77</v>
      </c>
      <c r="E43" s="2"/>
      <c r="F43" s="7">
        <f t="shared" si="24"/>
        <v>0</v>
      </c>
      <c r="G43" s="2"/>
      <c r="H43" s="6">
        <v>223.85</v>
      </c>
      <c r="I43" s="2"/>
      <c r="J43" s="7">
        <f t="shared" si="25"/>
        <v>0</v>
      </c>
      <c r="K43" s="2"/>
      <c r="L43" s="6">
        <f t="shared" si="26"/>
        <v>-300.85000000000002</v>
      </c>
      <c r="M43" s="2"/>
      <c r="N43" s="7">
        <f t="shared" si="27"/>
        <v>-1.3439803439803442</v>
      </c>
      <c r="O43" s="11"/>
      <c r="P43" s="6">
        <v>271</v>
      </c>
      <c r="Q43" s="2"/>
      <c r="R43" s="7">
        <f t="shared" si="28"/>
        <v>0</v>
      </c>
      <c r="S43" s="2"/>
      <c r="T43" s="6">
        <v>388.2</v>
      </c>
      <c r="U43" s="2"/>
      <c r="V43" s="7">
        <f t="shared" si="29"/>
        <v>0</v>
      </c>
      <c r="W43" s="2"/>
      <c r="X43" s="6">
        <f t="shared" si="30"/>
        <v>-117.19999999999999</v>
      </c>
      <c r="Y43" s="2"/>
      <c r="Z43" s="7">
        <f t="shared" si="31"/>
        <v>-0.3019062339000515</v>
      </c>
    </row>
    <row r="44" spans="1:26" s="29" customFormat="1" outlineLevel="1" collapsed="1" x14ac:dyDescent="0.25">
      <c r="A44" s="27"/>
      <c r="B44" s="14" t="str">
        <f>CONCATENATE("     ","Travel                                            ")</f>
        <v xml:space="preserve">     Travel                                            </v>
      </c>
      <c r="C44" s="14"/>
      <c r="D44" s="1">
        <f>SUM(OSRRefD22_8x_0)</f>
        <v>0</v>
      </c>
      <c r="E44" s="1"/>
      <c r="F44" s="5">
        <f t="shared" si="24"/>
        <v>0</v>
      </c>
      <c r="G44" s="1"/>
      <c r="H44" s="1">
        <f>SUM(OSRRefH22_8x_0)</f>
        <v>240.76</v>
      </c>
      <c r="I44" s="1"/>
      <c r="J44" s="5">
        <f t="shared" si="25"/>
        <v>0</v>
      </c>
      <c r="K44" s="1"/>
      <c r="L44" s="1">
        <f t="shared" si="26"/>
        <v>-240.76</v>
      </c>
      <c r="M44" s="1"/>
      <c r="N44" s="5">
        <f t="shared" si="27"/>
        <v>-1</v>
      </c>
      <c r="O44" s="14"/>
      <c r="P44" s="1">
        <f>SUM(OSRRefP22_8x_0)</f>
        <v>0</v>
      </c>
      <c r="Q44" s="1"/>
      <c r="R44" s="5">
        <f t="shared" si="28"/>
        <v>0</v>
      </c>
      <c r="S44" s="1"/>
      <c r="T44" s="1">
        <f>SUM(OSRRefT22_8x_0)</f>
        <v>256.86</v>
      </c>
      <c r="U44" s="1"/>
      <c r="V44" s="5">
        <f t="shared" si="29"/>
        <v>0</v>
      </c>
      <c r="W44" s="1"/>
      <c r="X44" s="1">
        <f t="shared" si="30"/>
        <v>-256.86</v>
      </c>
      <c r="Y44" s="1"/>
      <c r="Z44" s="5">
        <f t="shared" si="31"/>
        <v>-1</v>
      </c>
    </row>
    <row r="45" spans="1:26" s="24" customFormat="1" hidden="1" outlineLevel="2" x14ac:dyDescent="0.25">
      <c r="A45" s="28"/>
      <c r="B45" s="11" t="str">
        <f>CONCATENATE("          ", "6292", " - ", "TRAVEL/CONFERENCE")</f>
        <v xml:space="preserve">          6292 - TRAVEL/CONFERENCE</v>
      </c>
      <c r="C45" s="11"/>
      <c r="D45" s="6"/>
      <c r="E45" s="2"/>
      <c r="F45" s="7">
        <f t="shared" si="24"/>
        <v>0</v>
      </c>
      <c r="G45" s="2"/>
      <c r="H45" s="6">
        <v>240.76</v>
      </c>
      <c r="I45" s="2"/>
      <c r="J45" s="7">
        <f t="shared" si="25"/>
        <v>0</v>
      </c>
      <c r="K45" s="2"/>
      <c r="L45" s="6">
        <f t="shared" si="26"/>
        <v>-240.76</v>
      </c>
      <c r="M45" s="2"/>
      <c r="N45" s="7">
        <f t="shared" si="27"/>
        <v>-1</v>
      </c>
      <c r="O45" s="11"/>
      <c r="P45" s="6"/>
      <c r="Q45" s="2"/>
      <c r="R45" s="7">
        <f t="shared" si="28"/>
        <v>0</v>
      </c>
      <c r="S45" s="2"/>
      <c r="T45" s="6">
        <v>256.86</v>
      </c>
      <c r="U45" s="2"/>
      <c r="V45" s="7">
        <f t="shared" si="29"/>
        <v>0</v>
      </c>
      <c r="W45" s="2"/>
      <c r="X45" s="6">
        <f t="shared" si="30"/>
        <v>-256.86</v>
      </c>
      <c r="Y45" s="2"/>
      <c r="Z45" s="7">
        <f t="shared" si="31"/>
        <v>-1</v>
      </c>
    </row>
    <row r="46" spans="1:26" s="57" customFormat="1" x14ac:dyDescent="0.25">
      <c r="A46" s="37"/>
      <c r="B46" s="37"/>
      <c r="C46" s="37"/>
      <c r="D46" s="1"/>
      <c r="E46" s="1"/>
      <c r="F46" s="5"/>
      <c r="G46" s="1"/>
      <c r="H46" s="1"/>
      <c r="I46" s="1"/>
      <c r="J46" s="5"/>
      <c r="K46" s="1"/>
      <c r="L46" s="1"/>
      <c r="M46" s="1"/>
      <c r="N46" s="5"/>
      <c r="O46" s="37"/>
      <c r="P46" s="1"/>
      <c r="Q46" s="1"/>
      <c r="R46" s="5"/>
      <c r="S46" s="1"/>
      <c r="T46" s="1"/>
      <c r="U46" s="1"/>
      <c r="V46" s="5"/>
      <c r="W46" s="1"/>
      <c r="X46" s="1"/>
      <c r="Y46" s="1"/>
      <c r="Z46" s="5"/>
    </row>
    <row r="47" spans="1:26" s="23" customFormat="1" x14ac:dyDescent="0.25">
      <c r="A47" s="10"/>
      <c r="B47" s="26" t="s">
        <v>0</v>
      </c>
      <c r="C47" s="10"/>
      <c r="D47" s="4">
        <f>SUM(0)</f>
        <v>0</v>
      </c>
      <c r="E47" s="4"/>
      <c r="F47" s="12">
        <f>IF(D$12=0,0,D47/D$12)</f>
        <v>0</v>
      </c>
      <c r="G47" s="4"/>
      <c r="H47" s="4">
        <f>SUM(0)</f>
        <v>0</v>
      </c>
      <c r="I47" s="4"/>
      <c r="J47" s="12">
        <f>IF(H$12=0,0,H47/H$12)</f>
        <v>0</v>
      </c>
      <c r="K47" s="4"/>
      <c r="L47" s="4">
        <f>+D47-H47</f>
        <v>0</v>
      </c>
      <c r="M47" s="4"/>
      <c r="N47" s="12">
        <f>IF(H47=0,0,L47/H47)</f>
        <v>0</v>
      </c>
      <c r="O47" s="10"/>
      <c r="P47" s="4">
        <f>SUM(0)</f>
        <v>0</v>
      </c>
      <c r="Q47" s="4"/>
      <c r="R47" s="12">
        <f>IF(P$12=0,0,P47/P$12)</f>
        <v>0</v>
      </c>
      <c r="S47" s="4"/>
      <c r="T47" s="4">
        <f>SUM(0)</f>
        <v>0</v>
      </c>
      <c r="U47" s="4"/>
      <c r="V47" s="12">
        <f>IF(T$12=0,0,T47/T$12)</f>
        <v>0</v>
      </c>
      <c r="W47" s="4"/>
      <c r="X47" s="4">
        <f>+P47-T47</f>
        <v>0</v>
      </c>
      <c r="Y47" s="4"/>
      <c r="Z47" s="12">
        <f>IF(T47=0,0,X47/T47)</f>
        <v>0</v>
      </c>
    </row>
    <row r="48" spans="1:26" x14ac:dyDescent="0.25">
      <c r="A48" s="9"/>
      <c r="B48" s="10"/>
      <c r="C48" s="10"/>
      <c r="D48" s="3"/>
      <c r="E48" s="3"/>
      <c r="F48" s="8"/>
      <c r="G48" s="3"/>
      <c r="H48" s="3"/>
      <c r="I48" s="3"/>
      <c r="J48" s="8"/>
      <c r="K48" s="3"/>
      <c r="L48" s="3"/>
      <c r="M48" s="3"/>
      <c r="N48" s="8"/>
      <c r="O48" s="10"/>
      <c r="P48" s="3"/>
      <c r="Q48" s="3"/>
      <c r="R48" s="8"/>
      <c r="S48" s="3"/>
      <c r="T48" s="3"/>
      <c r="U48" s="3"/>
      <c r="V48" s="8"/>
      <c r="W48" s="3"/>
      <c r="X48" s="3"/>
      <c r="Y48" s="3"/>
      <c r="Z48" s="8"/>
    </row>
    <row r="49" spans="1:26" s="23" customFormat="1" x14ac:dyDescent="0.25">
      <c r="A49" s="10"/>
      <c r="B49" s="25" t="s">
        <v>3</v>
      </c>
      <c r="C49" s="25"/>
      <c r="D49" s="20">
        <f>+D16-D18+D47</f>
        <v>-9324.8100000000013</v>
      </c>
      <c r="E49" s="13"/>
      <c r="F49" s="21">
        <f>IF(D$12=0,0,D49/D$12)</f>
        <v>0</v>
      </c>
      <c r="G49" s="13"/>
      <c r="H49" s="20">
        <f>+H16-H18+H47</f>
        <v>-10289.439999999999</v>
      </c>
      <c r="I49" s="13"/>
      <c r="J49" s="21">
        <f>IF(H$12=0,0,H49/H$12)</f>
        <v>0</v>
      </c>
      <c r="K49" s="15"/>
      <c r="L49" s="20">
        <f>+D49-H49</f>
        <v>964.62999999999738</v>
      </c>
      <c r="M49" s="15"/>
      <c r="N49" s="21">
        <f>IF(H49=0,0,L49/H49)</f>
        <v>-9.3749514064905143E-2</v>
      </c>
      <c r="O49" s="26"/>
      <c r="P49" s="20">
        <f>+P16-P18+P47</f>
        <v>-33452.769999999997</v>
      </c>
      <c r="Q49" s="13"/>
      <c r="R49" s="21">
        <f>IF(P$12=0,0,P49/P$12)</f>
        <v>0</v>
      </c>
      <c r="S49" s="13"/>
      <c r="T49" s="20">
        <f>+T16-T18+T47</f>
        <v>-34413.019999999997</v>
      </c>
      <c r="U49" s="13"/>
      <c r="V49" s="21">
        <f>IF(T$12=0,0,T49/T$12)</f>
        <v>0</v>
      </c>
      <c r="W49" s="15"/>
      <c r="X49" s="20">
        <f>+P49-T49</f>
        <v>960.25</v>
      </c>
      <c r="Y49" s="15"/>
      <c r="Z49" s="21">
        <f>IF(T49=0,0,X49/T49)</f>
        <v>-2.7903682966505122E-2</v>
      </c>
    </row>
    <row r="50" spans="1:26" x14ac:dyDescent="0.25">
      <c r="A50" s="9"/>
      <c r="B50" s="10"/>
      <c r="C50" s="9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3" customFormat="1" x14ac:dyDescent="0.25">
      <c r="A51" s="51"/>
      <c r="B51" s="10" t="s">
        <v>13</v>
      </c>
      <c r="C51" s="10"/>
      <c r="D51" s="4"/>
      <c r="E51" s="4"/>
      <c r="F51" s="12">
        <f>IF(D$12=0,0,D51/D$12)</f>
        <v>0</v>
      </c>
      <c r="G51" s="4"/>
      <c r="H51" s="4"/>
      <c r="I51" s="4"/>
      <c r="J51" s="12">
        <f>IF(H$12=0,0,H51/H$12)</f>
        <v>0</v>
      </c>
      <c r="K51" s="4"/>
      <c r="L51" s="4">
        <f>+D51-H51</f>
        <v>0</v>
      </c>
      <c r="M51" s="4"/>
      <c r="N51" s="12">
        <f>IF(H51=0,0,L51/H51)</f>
        <v>0</v>
      </c>
      <c r="O51" s="10"/>
      <c r="P51" s="4"/>
      <c r="Q51" s="4"/>
      <c r="R51" s="12">
        <f>IF(P$12=0,0,P51/P$12)</f>
        <v>0</v>
      </c>
      <c r="S51" s="4"/>
      <c r="T51" s="4"/>
      <c r="U51" s="4"/>
      <c r="V51" s="12">
        <f>IF(T$12=0,0,T51/T$12)</f>
        <v>0</v>
      </c>
      <c r="W51" s="4"/>
      <c r="X51" s="4">
        <f>+P51-T51</f>
        <v>0</v>
      </c>
      <c r="Y51" s="4"/>
      <c r="Z51" s="12">
        <f>IF(T51=0,0,X51/T51)</f>
        <v>0</v>
      </c>
    </row>
    <row r="52" spans="1:26" x14ac:dyDescent="0.25">
      <c r="A52" s="9"/>
      <c r="B52" s="10"/>
      <c r="C52" s="10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O52" s="10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ht="15.75" thickBot="1" x14ac:dyDescent="0.3">
      <c r="A53" s="10"/>
      <c r="B53" s="25" t="s">
        <v>4</v>
      </c>
      <c r="C53" s="25"/>
      <c r="D53" s="30">
        <f>+D49-D51</f>
        <v>-9324.8100000000013</v>
      </c>
      <c r="E53" s="13"/>
      <c r="F53" s="33">
        <f>IF(D$12=0,0,D53/D$12)</f>
        <v>0</v>
      </c>
      <c r="G53" s="13"/>
      <c r="H53" s="30">
        <f>+H49-H51</f>
        <v>-10289.439999999999</v>
      </c>
      <c r="I53" s="13"/>
      <c r="J53" s="33">
        <f>IF(H$12=0,0,H53/H$12)</f>
        <v>0</v>
      </c>
      <c r="K53" s="15"/>
      <c r="L53" s="30">
        <f>D53-H53</f>
        <v>964.62999999999738</v>
      </c>
      <c r="M53" s="15"/>
      <c r="N53" s="33">
        <f>IF(H53=0,0,L53/H53)</f>
        <v>-9.3749514064905143E-2</v>
      </c>
      <c r="O53" s="26"/>
      <c r="P53" s="30">
        <f>+P49-P51</f>
        <v>-33452.769999999997</v>
      </c>
      <c r="Q53" s="13"/>
      <c r="R53" s="33">
        <f>IF(P$12=0,0,P53/P$12)</f>
        <v>0</v>
      </c>
      <c r="S53" s="13"/>
      <c r="T53" s="30">
        <f>+T49-T51</f>
        <v>-34413.019999999997</v>
      </c>
      <c r="U53" s="13"/>
      <c r="V53" s="33">
        <f>IF(T$12=0,0,T53/T$12)</f>
        <v>0</v>
      </c>
      <c r="W53" s="15"/>
      <c r="X53" s="30">
        <f>P53-T53</f>
        <v>960.25</v>
      </c>
      <c r="Y53" s="15"/>
      <c r="Z53" s="33">
        <f>IF(T53=0,0,X53/T53)</f>
        <v>-2.7903682966505122E-2</v>
      </c>
    </row>
    <row r="54" spans="1:26" ht="15.75" thickTop="1" x14ac:dyDescent="0.25">
      <c r="A54" s="9"/>
      <c r="B54" s="9"/>
      <c r="C54" s="9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x14ac:dyDescent="0.25">
      <c r="A55" s="9"/>
      <c r="B55" s="9"/>
      <c r="C55" s="9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s="23" customFormat="1" ht="15.75" thickBot="1" x14ac:dyDescent="0.3">
      <c r="A56" s="10"/>
      <c r="B56" s="25" t="s">
        <v>5</v>
      </c>
      <c r="C56" s="25"/>
      <c r="D56" s="34">
        <f>SUM(D53:D55)</f>
        <v>-9324.8100000000013</v>
      </c>
      <c r="E56" s="13"/>
      <c r="F56" s="35">
        <f>IF(D$12=0,0,D56/D$12)</f>
        <v>0</v>
      </c>
      <c r="G56" s="13"/>
      <c r="H56" s="34">
        <f>SUM(H53:H55)</f>
        <v>-10289.439999999999</v>
      </c>
      <c r="I56" s="13"/>
      <c r="J56" s="35">
        <f>IF(H$12=0,0,H56/H$12)</f>
        <v>0</v>
      </c>
      <c r="K56" s="15"/>
      <c r="L56" s="34">
        <f>+D56-H56</f>
        <v>964.62999999999738</v>
      </c>
      <c r="M56" s="15"/>
      <c r="N56" s="35">
        <f>IF(H56=0,0,L56/H56)</f>
        <v>-9.3749514064905143E-2</v>
      </c>
      <c r="O56" s="26"/>
      <c r="P56" s="34">
        <f>SUM(P53:P55)</f>
        <v>-33452.769999999997</v>
      </c>
      <c r="Q56" s="13"/>
      <c r="R56" s="35">
        <f>IF(P$12=0,0,P56/P$12)</f>
        <v>0</v>
      </c>
      <c r="S56" s="13"/>
      <c r="T56" s="34">
        <f>SUM(T53:T55)</f>
        <v>-34413.019999999997</v>
      </c>
      <c r="U56" s="13"/>
      <c r="V56" s="35">
        <f>IF(T$12=0,0,T56/T$12)</f>
        <v>0</v>
      </c>
      <c r="W56" s="15"/>
      <c r="X56" s="34">
        <f>+P56-T56</f>
        <v>960.25</v>
      </c>
      <c r="Y56" s="15"/>
      <c r="Z56" s="35">
        <f>IF(T56=0,0,X56/T56)</f>
        <v>-2.7903682966505122E-2</v>
      </c>
    </row>
    <row r="57" spans="1:26" ht="15.75" thickTop="1" x14ac:dyDescent="0.25">
      <c r="A57" s="9"/>
      <c r="C57" s="9"/>
      <c r="D57" s="18"/>
      <c r="E57" s="18"/>
      <c r="G57" s="18"/>
      <c r="H57" s="18"/>
      <c r="I57" s="18"/>
      <c r="J57" s="43"/>
      <c r="K57" s="18"/>
      <c r="L57" s="18"/>
      <c r="M57" s="18"/>
      <c r="P57" s="18"/>
      <c r="Q57" s="18"/>
      <c r="R57" s="43"/>
      <c r="S57" s="18"/>
      <c r="T57" s="18"/>
      <c r="U57" s="18"/>
      <c r="V57" s="43"/>
      <c r="W57" s="18"/>
      <c r="X57" s="18"/>
    </row>
    <row r="58" spans="1:26" x14ac:dyDescent="0.25">
      <c r="A58" s="9"/>
      <c r="B58" s="56">
        <v>44151.572218136571</v>
      </c>
      <c r="D58" s="18"/>
      <c r="E58" s="18"/>
      <c r="G58" s="18"/>
      <c r="H58" s="18"/>
      <c r="I58" s="18"/>
      <c r="J58" s="43"/>
      <c r="K58" s="18"/>
      <c r="L58" s="18"/>
      <c r="M58" s="18"/>
      <c r="P58" s="18"/>
      <c r="Q58" s="18"/>
      <c r="R58" s="43"/>
      <c r="S58" s="18"/>
      <c r="T58" s="18"/>
      <c r="U58" s="18"/>
      <c r="V58" s="43"/>
      <c r="W58" s="18"/>
      <c r="X58" s="18"/>
    </row>
    <row r="59" spans="1:26" x14ac:dyDescent="0.25">
      <c r="A59" s="9"/>
      <c r="B59" s="62" t="s">
        <v>313</v>
      </c>
      <c r="D59" s="18"/>
      <c r="E59" s="18"/>
      <c r="G59" s="18"/>
      <c r="H59" s="18"/>
      <c r="I59" s="18"/>
      <c r="J59" s="43"/>
      <c r="K59" s="18"/>
      <c r="L59" s="18"/>
      <c r="M59" s="18"/>
      <c r="P59" s="18"/>
      <c r="Q59" s="18"/>
      <c r="R59" s="43"/>
      <c r="S59" s="18"/>
      <c r="T59" s="18"/>
      <c r="U59" s="18"/>
      <c r="V59" s="43"/>
      <c r="W59" s="18"/>
      <c r="X59" s="18"/>
    </row>
    <row r="60" spans="1:26" x14ac:dyDescent="0.25">
      <c r="A60" s="9"/>
      <c r="B60" s="54"/>
      <c r="D60" s="18"/>
      <c r="E60" s="18"/>
      <c r="G60" s="18"/>
      <c r="H60" s="18"/>
      <c r="I60" s="18"/>
      <c r="J60" s="43"/>
      <c r="K60" s="18"/>
      <c r="L60" s="18"/>
      <c r="M60" s="18"/>
      <c r="P60" s="18"/>
      <c r="Q60" s="18"/>
      <c r="R60" s="43"/>
      <c r="S60" s="18"/>
      <c r="T60" s="18"/>
      <c r="U60" s="18"/>
      <c r="V60" s="43"/>
      <c r="W60" s="18"/>
      <c r="X60" s="18"/>
    </row>
    <row r="61" spans="1:26" x14ac:dyDescent="0.25">
      <c r="D61" s="18"/>
      <c r="E61" s="18"/>
      <c r="G61" s="18"/>
      <c r="H61" s="18"/>
      <c r="I61" s="18"/>
      <c r="J61" s="43"/>
      <c r="K61" s="18"/>
      <c r="L61" s="18"/>
      <c r="M61" s="18"/>
      <c r="P61" s="18"/>
      <c r="Q61" s="18"/>
      <c r="R61" s="43"/>
      <c r="S61" s="18"/>
      <c r="T61" s="18"/>
      <c r="U61" s="18"/>
      <c r="V61" s="43"/>
      <c r="W61" s="18"/>
      <c r="X61" s="18"/>
    </row>
  </sheetData>
  <pageMargins left="0.25" right="0.25" top="0.75" bottom="0.75" header="0.3" footer="0.3"/>
  <pageSetup scale="55" fitToWidth="2" orientation="landscape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",RIGHT(202104,2),", ",2021)</f>
        <v>Period 04,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44135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","206", " - ", "Graphics")</f>
        <v>Department 206 - Graphics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61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50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50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2"/>
      <c r="F10" s="31" t="s">
        <v>14</v>
      </c>
      <c r="G10" s="32"/>
      <c r="H10" s="49" t="s">
        <v>306</v>
      </c>
      <c r="I10" s="32"/>
      <c r="J10" s="31" t="s">
        <v>14</v>
      </c>
      <c r="K10" s="10"/>
      <c r="L10" s="42" t="s">
        <v>11</v>
      </c>
      <c r="M10" s="10"/>
      <c r="N10" s="31" t="s">
        <v>15</v>
      </c>
      <c r="O10" s="10"/>
      <c r="P10" s="59" t="s">
        <v>10</v>
      </c>
      <c r="Q10" s="32"/>
      <c r="R10" s="31" t="s">
        <v>14</v>
      </c>
      <c r="S10" s="32"/>
      <c r="T10" s="49" t="s">
        <v>306</v>
      </c>
      <c r="U10" s="32"/>
      <c r="V10" s="31" t="s">
        <v>14</v>
      </c>
      <c r="W10" s="10"/>
      <c r="X10" s="42" t="s">
        <v>11</v>
      </c>
      <c r="Y10" s="10"/>
      <c r="Z10" s="31" t="s">
        <v>15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6</v>
      </c>
      <c r="C16" s="25"/>
      <c r="D16" s="20">
        <f>D12-D14</f>
        <v>0</v>
      </c>
      <c r="E16" s="13"/>
      <c r="F16" s="21">
        <f>IF(D$12=0,0,D16/D$12)</f>
        <v>0</v>
      </c>
      <c r="G16" s="13"/>
      <c r="H16" s="20">
        <f>H12-H14</f>
        <v>0</v>
      </c>
      <c r="I16" s="13"/>
      <c r="J16" s="21">
        <f>IF(H$12=0,0,H16/H$12)</f>
        <v>0</v>
      </c>
      <c r="K16" s="15"/>
      <c r="L16" s="20">
        <f>+D16-H16</f>
        <v>0</v>
      </c>
      <c r="M16" s="15"/>
      <c r="N16" s="21">
        <f>IF(H16=0,0,L16/H16)</f>
        <v>0</v>
      </c>
      <c r="O16" s="26"/>
      <c r="P16" s="20">
        <f>P12-P14</f>
        <v>0</v>
      </c>
      <c r="Q16" s="13"/>
      <c r="R16" s="21">
        <f>IF(P$12=0,0,P16/P$12)</f>
        <v>0</v>
      </c>
      <c r="S16" s="13"/>
      <c r="T16" s="20">
        <f>T12-T14</f>
        <v>0</v>
      </c>
      <c r="U16" s="13"/>
      <c r="V16" s="21">
        <f>IF(T$12=0,0,T16/T$12)</f>
        <v>0</v>
      </c>
      <c r="W16" s="15"/>
      <c r="X16" s="20">
        <f>+P16-T16</f>
        <v>0</v>
      </c>
      <c r="Y16" s="15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9</v>
      </c>
      <c r="C18" s="10"/>
      <c r="D18" s="22">
        <f>SUM(OSRRefD22x_0)</f>
        <v>10192.200000000001</v>
      </c>
      <c r="E18" s="22"/>
      <c r="F18" s="36">
        <f t="shared" ref="F18:F26" si="0">IF(D$12=0,0,D18/D$12)</f>
        <v>0</v>
      </c>
      <c r="G18" s="22"/>
      <c r="H18" s="22">
        <f>SUM(OSRRefH22x_0)</f>
        <v>4657.3600000000006</v>
      </c>
      <c r="I18" s="22"/>
      <c r="J18" s="36">
        <f t="shared" ref="J18:J26" si="1">IF(H$12=0,0,H18/H$12)</f>
        <v>0</v>
      </c>
      <c r="K18" s="4"/>
      <c r="L18" s="22">
        <f t="shared" ref="L18:L26" si="2">+D18-H18</f>
        <v>5534.84</v>
      </c>
      <c r="M18" s="4"/>
      <c r="N18" s="36">
        <f t="shared" ref="N18:N26" si="3">IF(H18=0,0,L18/H18)</f>
        <v>1.1884071662916329</v>
      </c>
      <c r="O18" s="10"/>
      <c r="P18" s="22">
        <f>SUM(OSRRefP22x_0)</f>
        <v>36655.49</v>
      </c>
      <c r="Q18" s="22"/>
      <c r="R18" s="36">
        <f t="shared" ref="R18:R26" si="4">IF(P$12=0,0,P18/P$12)</f>
        <v>0</v>
      </c>
      <c r="S18" s="22"/>
      <c r="T18" s="22">
        <f>SUM(OSRRefT22x_0)</f>
        <v>30083.409999999993</v>
      </c>
      <c r="U18" s="22"/>
      <c r="V18" s="36">
        <f t="shared" ref="V18:V26" si="5">IF(T$12=0,0,T18/T$12)</f>
        <v>0</v>
      </c>
      <c r="W18" s="4"/>
      <c r="X18" s="22">
        <f t="shared" ref="X18:X26" si="6">+P18-T18</f>
        <v>6572.0800000000054</v>
      </c>
      <c r="Y18" s="4"/>
      <c r="Z18" s="36">
        <f t="shared" ref="Z18:Z26" si="7">IF(T18=0,0,X18/T18)</f>
        <v>0.21846193632969158</v>
      </c>
    </row>
    <row r="19" spans="1:26" s="29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1891.0900000000001</v>
      </c>
      <c r="E19" s="1"/>
      <c r="F19" s="5">
        <f t="shared" si="0"/>
        <v>0</v>
      </c>
      <c r="G19" s="1"/>
      <c r="H19" s="1">
        <f>SUM(OSRRefH22_0x_0)</f>
        <v>1976.42</v>
      </c>
      <c r="I19" s="1"/>
      <c r="J19" s="5">
        <f t="shared" si="1"/>
        <v>0</v>
      </c>
      <c r="K19" s="1"/>
      <c r="L19" s="1">
        <f t="shared" si="2"/>
        <v>-85.329999999999927</v>
      </c>
      <c r="M19" s="1"/>
      <c r="N19" s="5">
        <f t="shared" si="3"/>
        <v>-4.3174021716031977E-2</v>
      </c>
      <c r="O19" s="14"/>
      <c r="P19" s="1">
        <f>SUM(OSRRefP22_0x_0)</f>
        <v>6459.3200000000006</v>
      </c>
      <c r="Q19" s="1"/>
      <c r="R19" s="5">
        <f t="shared" si="4"/>
        <v>0</v>
      </c>
      <c r="S19" s="1"/>
      <c r="T19" s="1">
        <f>SUM(OSRRefT22_0x_0)</f>
        <v>7809.5700000000015</v>
      </c>
      <c r="U19" s="1"/>
      <c r="V19" s="5">
        <f t="shared" si="5"/>
        <v>0</v>
      </c>
      <c r="W19" s="1"/>
      <c r="X19" s="1">
        <f t="shared" si="6"/>
        <v>-1350.2500000000009</v>
      </c>
      <c r="Y19" s="1"/>
      <c r="Z19" s="5">
        <f t="shared" si="7"/>
        <v>-0.17289684323208585</v>
      </c>
    </row>
    <row r="20" spans="1:26" s="24" customFormat="1" hidden="1" outlineLevel="2" x14ac:dyDescent="0.25">
      <c r="A20" s="28"/>
      <c r="B20" s="11" t="str">
        <f>CONCATENATE("          ", "6111", " - ", "F.I.C.A.")</f>
        <v xml:space="preserve">          6111 - F.I.C.A.</v>
      </c>
      <c r="C20" s="11"/>
      <c r="D20" s="6">
        <v>546.95000000000005</v>
      </c>
      <c r="E20" s="2"/>
      <c r="F20" s="7">
        <f t="shared" si="0"/>
        <v>0</v>
      </c>
      <c r="G20" s="2"/>
      <c r="H20" s="6">
        <v>534.96</v>
      </c>
      <c r="I20" s="2"/>
      <c r="J20" s="7">
        <f t="shared" si="1"/>
        <v>0</v>
      </c>
      <c r="K20" s="2"/>
      <c r="L20" s="6">
        <f t="shared" si="2"/>
        <v>11.990000000000009</v>
      </c>
      <c r="M20" s="2"/>
      <c r="N20" s="7">
        <f t="shared" si="3"/>
        <v>2.2412890683415596E-2</v>
      </c>
      <c r="O20" s="11"/>
      <c r="P20" s="6">
        <v>1685.17</v>
      </c>
      <c r="Q20" s="2"/>
      <c r="R20" s="7">
        <f t="shared" si="4"/>
        <v>0</v>
      </c>
      <c r="S20" s="2"/>
      <c r="T20" s="6">
        <v>2413.17</v>
      </c>
      <c r="U20" s="2"/>
      <c r="V20" s="7">
        <f t="shared" si="5"/>
        <v>0</v>
      </c>
      <c r="W20" s="2"/>
      <c r="X20" s="6">
        <f t="shared" si="6"/>
        <v>-728</v>
      </c>
      <c r="Y20" s="2"/>
      <c r="Z20" s="7">
        <f t="shared" si="7"/>
        <v>-0.30167787598884455</v>
      </c>
    </row>
    <row r="21" spans="1:26" s="24" customFormat="1" hidden="1" outlineLevel="2" x14ac:dyDescent="0.25">
      <c r="A21" s="28"/>
      <c r="B21" s="11" t="str">
        <f>CONCATENATE("          ", "6112", " - ", "COMPENSATION INSURANCE")</f>
        <v xml:space="preserve">          6112 - COMPENSATION INSURANCE</v>
      </c>
      <c r="C21" s="11"/>
      <c r="D21" s="6">
        <v>19</v>
      </c>
      <c r="E21" s="2"/>
      <c r="F21" s="7">
        <f t="shared" si="0"/>
        <v>0</v>
      </c>
      <c r="G21" s="2"/>
      <c r="H21" s="6">
        <v>-66.92</v>
      </c>
      <c r="I21" s="2"/>
      <c r="J21" s="7">
        <f t="shared" si="1"/>
        <v>0</v>
      </c>
      <c r="K21" s="2"/>
      <c r="L21" s="6">
        <f t="shared" si="2"/>
        <v>85.92</v>
      </c>
      <c r="M21" s="2"/>
      <c r="N21" s="7">
        <f t="shared" si="3"/>
        <v>-1.2839210998206814</v>
      </c>
      <c r="O21" s="11"/>
      <c r="P21" s="6">
        <v>79.849999999999994</v>
      </c>
      <c r="Q21" s="2"/>
      <c r="R21" s="7">
        <f t="shared" si="4"/>
        <v>0</v>
      </c>
      <c r="S21" s="2"/>
      <c r="T21" s="6">
        <v>30.3</v>
      </c>
      <c r="U21" s="2"/>
      <c r="V21" s="7">
        <f t="shared" si="5"/>
        <v>0</v>
      </c>
      <c r="W21" s="2"/>
      <c r="X21" s="6">
        <f t="shared" si="6"/>
        <v>49.55</v>
      </c>
      <c r="Y21" s="2"/>
      <c r="Z21" s="7">
        <f t="shared" si="7"/>
        <v>1.6353135313531353</v>
      </c>
    </row>
    <row r="22" spans="1:26" s="24" customFormat="1" hidden="1" outlineLevel="2" x14ac:dyDescent="0.25">
      <c r="A22" s="28"/>
      <c r="B22" s="11" t="str">
        <f>CONCATENATE("          ", "6113", " - ", "GROUP INSURANCE")</f>
        <v xml:space="preserve">          6113 - GROUP INSURANCE</v>
      </c>
      <c r="C22" s="11"/>
      <c r="D22" s="6">
        <v>700.87</v>
      </c>
      <c r="E22" s="2"/>
      <c r="F22" s="7">
        <f t="shared" si="0"/>
        <v>0</v>
      </c>
      <c r="G22" s="2"/>
      <c r="H22" s="6">
        <v>700.91</v>
      </c>
      <c r="I22" s="2"/>
      <c r="J22" s="7">
        <f t="shared" si="1"/>
        <v>0</v>
      </c>
      <c r="K22" s="2"/>
      <c r="L22" s="6">
        <f t="shared" si="2"/>
        <v>-3.999999999996362E-2</v>
      </c>
      <c r="M22" s="2"/>
      <c r="N22" s="7">
        <f t="shared" si="3"/>
        <v>-5.7068667874568234E-5</v>
      </c>
      <c r="O22" s="11"/>
      <c r="P22" s="6">
        <v>2803.48</v>
      </c>
      <c r="Q22" s="2"/>
      <c r="R22" s="7">
        <f t="shared" si="4"/>
        <v>0</v>
      </c>
      <c r="S22" s="2"/>
      <c r="T22" s="6">
        <v>2803.64</v>
      </c>
      <c r="U22" s="2"/>
      <c r="V22" s="7">
        <f t="shared" si="5"/>
        <v>0</v>
      </c>
      <c r="W22" s="2"/>
      <c r="X22" s="6">
        <f t="shared" si="6"/>
        <v>-0.15999999999985448</v>
      </c>
      <c r="Y22" s="2"/>
      <c r="Z22" s="7">
        <f t="shared" si="7"/>
        <v>-5.7068667874568234E-5</v>
      </c>
    </row>
    <row r="23" spans="1:26" s="24" customFormat="1" hidden="1" outlineLevel="2" x14ac:dyDescent="0.25">
      <c r="A23" s="28"/>
      <c r="B23" s="11" t="str">
        <f>CONCATENATE("          ", "6114", " - ", "STATE UNEMPLOYMENT INSURANCE")</f>
        <v xml:space="preserve">          6114 - STATE UNEMPLOYMENT INSURANCE</v>
      </c>
      <c r="C23" s="11"/>
      <c r="D23" s="6">
        <v>14.97</v>
      </c>
      <c r="E23" s="2"/>
      <c r="F23" s="7">
        <f t="shared" si="0"/>
        <v>0</v>
      </c>
      <c r="G23" s="2"/>
      <c r="H23" s="6">
        <v>24.98</v>
      </c>
      <c r="I23" s="2"/>
      <c r="J23" s="7">
        <f t="shared" si="1"/>
        <v>0</v>
      </c>
      <c r="K23" s="2"/>
      <c r="L23" s="6">
        <f t="shared" si="2"/>
        <v>-10.01</v>
      </c>
      <c r="M23" s="2"/>
      <c r="N23" s="7">
        <f t="shared" si="3"/>
        <v>-0.40072057646116893</v>
      </c>
      <c r="O23" s="11"/>
      <c r="P23" s="6">
        <v>62.92</v>
      </c>
      <c r="Q23" s="2"/>
      <c r="R23" s="7">
        <f t="shared" si="4"/>
        <v>0</v>
      </c>
      <c r="S23" s="2"/>
      <c r="T23" s="6">
        <v>99.33</v>
      </c>
      <c r="U23" s="2"/>
      <c r="V23" s="7">
        <f t="shared" si="5"/>
        <v>0</v>
      </c>
      <c r="W23" s="2"/>
      <c r="X23" s="6">
        <f t="shared" si="6"/>
        <v>-36.409999999999997</v>
      </c>
      <c r="Y23" s="2"/>
      <c r="Z23" s="7">
        <f t="shared" si="7"/>
        <v>-0.36655592469545956</v>
      </c>
    </row>
    <row r="24" spans="1:26" s="24" customFormat="1" hidden="1" outlineLevel="2" x14ac:dyDescent="0.25">
      <c r="A24" s="28"/>
      <c r="B24" s="11" t="str">
        <f>CONCATENATE("          ", "6118", " - ", "VACATION")</f>
        <v xml:space="preserve">          6118 - VACATION</v>
      </c>
      <c r="C24" s="11"/>
      <c r="D24" s="6">
        <v>277.2</v>
      </c>
      <c r="E24" s="2"/>
      <c r="F24" s="7">
        <f t="shared" si="0"/>
        <v>0</v>
      </c>
      <c r="G24" s="2"/>
      <c r="H24" s="6">
        <v>277.2</v>
      </c>
      <c r="I24" s="2"/>
      <c r="J24" s="7">
        <f t="shared" si="1"/>
        <v>0</v>
      </c>
      <c r="K24" s="2"/>
      <c r="L24" s="6">
        <f t="shared" si="2"/>
        <v>0</v>
      </c>
      <c r="M24" s="2"/>
      <c r="N24" s="7">
        <f t="shared" si="3"/>
        <v>0</v>
      </c>
      <c r="O24" s="11"/>
      <c r="P24" s="6">
        <v>831.6</v>
      </c>
      <c r="Q24" s="2"/>
      <c r="R24" s="7">
        <f t="shared" si="4"/>
        <v>0</v>
      </c>
      <c r="S24" s="2"/>
      <c r="T24" s="6">
        <v>831.6</v>
      </c>
      <c r="U24" s="2"/>
      <c r="V24" s="7">
        <f t="shared" si="5"/>
        <v>0</v>
      </c>
      <c r="W24" s="2"/>
      <c r="X24" s="6">
        <f t="shared" si="6"/>
        <v>0</v>
      </c>
      <c r="Y24" s="2"/>
      <c r="Z24" s="7">
        <f t="shared" si="7"/>
        <v>0</v>
      </c>
    </row>
    <row r="25" spans="1:26" s="24" customFormat="1" hidden="1" outlineLevel="2" x14ac:dyDescent="0.25">
      <c r="A25" s="28"/>
      <c r="B25" s="11" t="str">
        <f>CONCATENATE("          ", "6119", " - ", "SICK LEAVE")</f>
        <v xml:space="preserve">          6119 - SICK LEAVE</v>
      </c>
      <c r="C25" s="11"/>
      <c r="D25" s="6">
        <v>332.1</v>
      </c>
      <c r="E25" s="2"/>
      <c r="F25" s="7">
        <f t="shared" si="0"/>
        <v>0</v>
      </c>
      <c r="G25" s="2"/>
      <c r="H25" s="6">
        <v>332.1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>
        <v>996.3</v>
      </c>
      <c r="Q25" s="2"/>
      <c r="R25" s="7">
        <f t="shared" si="4"/>
        <v>0</v>
      </c>
      <c r="S25" s="2"/>
      <c r="T25" s="6">
        <v>996.3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8"/>
      <c r="B26" s="11" t="str">
        <f>CONCATENATE("          ", "6156", " - ", "EMPLOYEE MEALS")</f>
        <v xml:space="preserve">          6156 - EMPLOYEE MEALS</v>
      </c>
      <c r="C26" s="11"/>
      <c r="D26" s="6"/>
      <c r="E26" s="2"/>
      <c r="F26" s="7">
        <f t="shared" si="0"/>
        <v>0</v>
      </c>
      <c r="G26" s="2"/>
      <c r="H26" s="6">
        <v>173.19</v>
      </c>
      <c r="I26" s="2"/>
      <c r="J26" s="7">
        <f t="shared" si="1"/>
        <v>0</v>
      </c>
      <c r="K26" s="2"/>
      <c r="L26" s="6">
        <f t="shared" si="2"/>
        <v>-173.19</v>
      </c>
      <c r="M26" s="2"/>
      <c r="N26" s="7">
        <f t="shared" si="3"/>
        <v>-1</v>
      </c>
      <c r="O26" s="11"/>
      <c r="P26" s="6"/>
      <c r="Q26" s="2"/>
      <c r="R26" s="7">
        <f t="shared" si="4"/>
        <v>0</v>
      </c>
      <c r="S26" s="2"/>
      <c r="T26" s="6">
        <v>635.23</v>
      </c>
      <c r="U26" s="2"/>
      <c r="V26" s="7">
        <f t="shared" si="5"/>
        <v>0</v>
      </c>
      <c r="W26" s="2"/>
      <c r="X26" s="6">
        <f t="shared" si="6"/>
        <v>-635.23</v>
      </c>
      <c r="Y26" s="2"/>
      <c r="Z26" s="7">
        <f t="shared" si="7"/>
        <v>-1</v>
      </c>
    </row>
    <row r="27" spans="1:26" s="29" customFormat="1" outlineLevel="1" collapsed="1" x14ac:dyDescent="0.25">
      <c r="A27" s="27"/>
      <c r="B27" s="14" t="str">
        <f>CONCATENATE("     ","*Payroll                                          ")</f>
        <v xml:space="preserve">     *Payroll                                          </v>
      </c>
      <c r="C27" s="14"/>
      <c r="D27" s="1">
        <f>SUM(OSRRefD22_1x_0)</f>
        <v>7820.63</v>
      </c>
      <c r="E27" s="1"/>
      <c r="F27" s="5">
        <f t="shared" ref="F27:F31" si="8">IF(D$12=0,0,D27/D$12)</f>
        <v>0</v>
      </c>
      <c r="G27" s="1"/>
      <c r="H27" s="1">
        <f>SUM(OSRRefH22_1x_0)</f>
        <v>12636.369999999999</v>
      </c>
      <c r="I27" s="1"/>
      <c r="J27" s="5">
        <f t="shared" ref="J27:J31" si="9">IF(H$12=0,0,H27/H$12)</f>
        <v>0</v>
      </c>
      <c r="K27" s="1"/>
      <c r="L27" s="1">
        <f t="shared" ref="L27:L31" si="10">+D27-H27</f>
        <v>-4815.7399999999989</v>
      </c>
      <c r="M27" s="1"/>
      <c r="N27" s="5">
        <f t="shared" ref="N27:N31" si="11">IF(H27=0,0,L27/H27)</f>
        <v>-0.38110153469706881</v>
      </c>
      <c r="O27" s="14"/>
      <c r="P27" s="1">
        <f>SUM(OSRRefP22_1x_0)</f>
        <v>28483.46</v>
      </c>
      <c r="Q27" s="1"/>
      <c r="R27" s="5">
        <f t="shared" ref="R27:R31" si="12">IF(P$12=0,0,P27/P$12)</f>
        <v>0</v>
      </c>
      <c r="S27" s="1"/>
      <c r="T27" s="1">
        <f>SUM(OSRRefT22_1x_0)</f>
        <v>44163.97</v>
      </c>
      <c r="U27" s="1"/>
      <c r="V27" s="5">
        <f t="shared" ref="V27:V31" si="13">IF(T$12=0,0,T27/T$12)</f>
        <v>0</v>
      </c>
      <c r="W27" s="1"/>
      <c r="X27" s="1">
        <f t="shared" ref="X27:X31" si="14">+P27-T27</f>
        <v>-15680.510000000002</v>
      </c>
      <c r="Y27" s="1"/>
      <c r="Z27" s="5">
        <f t="shared" ref="Z27:Z31" si="15">IF(T27=0,0,X27/T27)</f>
        <v>-0.35505209336932347</v>
      </c>
    </row>
    <row r="28" spans="1:26" s="24" customFormat="1" hidden="1" outlineLevel="2" x14ac:dyDescent="0.25">
      <c r="A28" s="28"/>
      <c r="B28" s="11" t="str">
        <f>CONCATENATE("          ", "6004", " - ", "STAFF HOURLY")</f>
        <v xml:space="preserve">          6004 - STAFF HOURLY</v>
      </c>
      <c r="C28" s="11"/>
      <c r="D28" s="6">
        <v>7320</v>
      </c>
      <c r="E28" s="2"/>
      <c r="F28" s="7">
        <f t="shared" si="8"/>
        <v>0</v>
      </c>
      <c r="G28" s="2"/>
      <c r="H28" s="6">
        <v>7128.75</v>
      </c>
      <c r="I28" s="2"/>
      <c r="J28" s="7">
        <f t="shared" si="9"/>
        <v>0</v>
      </c>
      <c r="K28" s="2"/>
      <c r="L28" s="6">
        <f t="shared" si="10"/>
        <v>191.25</v>
      </c>
      <c r="M28" s="2"/>
      <c r="N28" s="7">
        <f t="shared" si="11"/>
        <v>2.6827985270910047E-2</v>
      </c>
      <c r="O28" s="11"/>
      <c r="P28" s="6">
        <v>22522.5</v>
      </c>
      <c r="Q28" s="2"/>
      <c r="R28" s="7">
        <f t="shared" si="12"/>
        <v>0</v>
      </c>
      <c r="S28" s="2"/>
      <c r="T28" s="6">
        <v>21847.5</v>
      </c>
      <c r="U28" s="2"/>
      <c r="V28" s="7">
        <f t="shared" si="13"/>
        <v>0</v>
      </c>
      <c r="W28" s="2"/>
      <c r="X28" s="6">
        <f t="shared" si="14"/>
        <v>675</v>
      </c>
      <c r="Y28" s="2"/>
      <c r="Z28" s="7">
        <f t="shared" si="15"/>
        <v>3.0895983522142123E-2</v>
      </c>
    </row>
    <row r="29" spans="1:26" s="24" customFormat="1" hidden="1" outlineLevel="2" x14ac:dyDescent="0.25">
      <c r="A29" s="28"/>
      <c r="B29" s="11" t="str">
        <f>CONCATENATE("          ", "6006", " - ", "TEMPORARY PART TIME")</f>
        <v xml:space="preserve">          6006 - TEMPORARY PART TIME</v>
      </c>
      <c r="C29" s="11"/>
      <c r="D29" s="6"/>
      <c r="E29" s="2"/>
      <c r="F29" s="7">
        <f t="shared" si="8"/>
        <v>0</v>
      </c>
      <c r="G29" s="2"/>
      <c r="H29" s="6"/>
      <c r="I29" s="2"/>
      <c r="J29" s="7">
        <f t="shared" si="9"/>
        <v>0</v>
      </c>
      <c r="K29" s="2"/>
      <c r="L29" s="6">
        <f t="shared" si="10"/>
        <v>0</v>
      </c>
      <c r="M29" s="2"/>
      <c r="N29" s="7">
        <f t="shared" si="11"/>
        <v>0</v>
      </c>
      <c r="O29" s="11"/>
      <c r="P29" s="6"/>
      <c r="Q29" s="2"/>
      <c r="R29" s="7">
        <f t="shared" si="12"/>
        <v>0</v>
      </c>
      <c r="S29" s="2"/>
      <c r="T29" s="6">
        <v>2361.4299999999998</v>
      </c>
      <c r="U29" s="2"/>
      <c r="V29" s="7">
        <f t="shared" si="13"/>
        <v>0</v>
      </c>
      <c r="W29" s="2"/>
      <c r="X29" s="6">
        <f t="shared" si="14"/>
        <v>-2361.4299999999998</v>
      </c>
      <c r="Y29" s="2"/>
      <c r="Z29" s="7">
        <f t="shared" si="15"/>
        <v>-1</v>
      </c>
    </row>
    <row r="30" spans="1:26" s="24" customFormat="1" hidden="1" outlineLevel="2" x14ac:dyDescent="0.25">
      <c r="A30" s="28"/>
      <c r="B30" s="11" t="str">
        <f>CONCATENATE("          ", "6007", " - ", "STUDENT HOURLY")</f>
        <v xml:space="preserve">          6007 - STUDENT HOURLY</v>
      </c>
      <c r="C30" s="11"/>
      <c r="D30" s="6">
        <v>-1251</v>
      </c>
      <c r="E30" s="2"/>
      <c r="F30" s="7">
        <f t="shared" si="8"/>
        <v>0</v>
      </c>
      <c r="G30" s="2"/>
      <c r="H30" s="6">
        <v>3951.74</v>
      </c>
      <c r="I30" s="2"/>
      <c r="J30" s="7">
        <f t="shared" si="9"/>
        <v>0</v>
      </c>
      <c r="K30" s="2"/>
      <c r="L30" s="6">
        <f t="shared" si="10"/>
        <v>-5202.74</v>
      </c>
      <c r="M30" s="2"/>
      <c r="N30" s="7">
        <f t="shared" si="11"/>
        <v>-1.3165694099308154</v>
      </c>
      <c r="O30" s="11"/>
      <c r="P30" s="6">
        <v>0</v>
      </c>
      <c r="Q30" s="2"/>
      <c r="R30" s="7">
        <f t="shared" si="12"/>
        <v>0</v>
      </c>
      <c r="S30" s="2"/>
      <c r="T30" s="6">
        <v>17141.59</v>
      </c>
      <c r="U30" s="2"/>
      <c r="V30" s="7">
        <f t="shared" si="13"/>
        <v>0</v>
      </c>
      <c r="W30" s="2"/>
      <c r="X30" s="6">
        <f t="shared" si="14"/>
        <v>-17141.59</v>
      </c>
      <c r="Y30" s="2"/>
      <c r="Z30" s="7">
        <f t="shared" si="15"/>
        <v>-1</v>
      </c>
    </row>
    <row r="31" spans="1:26" s="24" customFormat="1" hidden="1" outlineLevel="2" x14ac:dyDescent="0.25">
      <c r="A31" s="28"/>
      <c r="B31" s="11" t="str">
        <f>CONCATENATE("          ", "6008", " - ", "STUDENT HOURLY-FICA EXEMPT")</f>
        <v xml:space="preserve">          6008 - STUDENT HOURLY-FICA EXEMPT</v>
      </c>
      <c r="C31" s="11"/>
      <c r="D31" s="6">
        <v>1751.63</v>
      </c>
      <c r="E31" s="2"/>
      <c r="F31" s="7">
        <f t="shared" si="8"/>
        <v>0</v>
      </c>
      <c r="G31" s="2"/>
      <c r="H31" s="6">
        <v>1555.88</v>
      </c>
      <c r="I31" s="2"/>
      <c r="J31" s="7">
        <f t="shared" si="9"/>
        <v>0</v>
      </c>
      <c r="K31" s="2"/>
      <c r="L31" s="6">
        <f t="shared" si="10"/>
        <v>195.75</v>
      </c>
      <c r="M31" s="2"/>
      <c r="N31" s="7">
        <f t="shared" si="11"/>
        <v>0.12581304470781807</v>
      </c>
      <c r="O31" s="11"/>
      <c r="P31" s="6">
        <v>5960.96</v>
      </c>
      <c r="Q31" s="2"/>
      <c r="R31" s="7">
        <f t="shared" si="12"/>
        <v>0</v>
      </c>
      <c r="S31" s="2"/>
      <c r="T31" s="6">
        <v>2813.45</v>
      </c>
      <c r="U31" s="2"/>
      <c r="V31" s="7">
        <f t="shared" si="13"/>
        <v>0</v>
      </c>
      <c r="W31" s="2"/>
      <c r="X31" s="6">
        <f t="shared" si="14"/>
        <v>3147.51</v>
      </c>
      <c r="Y31" s="2"/>
      <c r="Z31" s="7">
        <f t="shared" si="15"/>
        <v>1.1187367822424428</v>
      </c>
    </row>
    <row r="32" spans="1:26" s="29" customFormat="1" outlineLevel="1" collapsed="1" x14ac:dyDescent="0.25">
      <c r="A32" s="27"/>
      <c r="B32" s="14" t="str">
        <f>CONCATENATE("     ","Advertising/Promo                                 ")</f>
        <v xml:space="preserve">     Advertising/Promo                                 </v>
      </c>
      <c r="C32" s="14"/>
      <c r="D32" s="1">
        <f>SUM(OSRRefD22_2x_0)</f>
        <v>173.21</v>
      </c>
      <c r="E32" s="1"/>
      <c r="F32" s="5">
        <f t="shared" ref="F32:F40" si="16">IF(D$12=0,0,D32/D$12)</f>
        <v>0</v>
      </c>
      <c r="G32" s="1"/>
      <c r="H32" s="1">
        <f>SUM(OSRRefH22_2x_0)</f>
        <v>-10524.95</v>
      </c>
      <c r="I32" s="1"/>
      <c r="J32" s="5">
        <f t="shared" ref="J32:J40" si="17">IF(H$12=0,0,H32/H$12)</f>
        <v>0</v>
      </c>
      <c r="K32" s="1"/>
      <c r="L32" s="1">
        <f t="shared" ref="L32:L40" si="18">+D32-H32</f>
        <v>10698.16</v>
      </c>
      <c r="M32" s="1"/>
      <c r="N32" s="5">
        <f t="shared" ref="N32:N40" si="19">IF(H32=0,0,L32/H32)</f>
        <v>-1.0164570853068184</v>
      </c>
      <c r="O32" s="14"/>
      <c r="P32" s="1">
        <f>SUM(OSRRefP22_2x_0)</f>
        <v>519.63</v>
      </c>
      <c r="Q32" s="1"/>
      <c r="R32" s="5">
        <f t="shared" ref="R32:R40" si="20">IF(P$12=0,0,P32/P$12)</f>
        <v>0</v>
      </c>
      <c r="S32" s="1"/>
      <c r="T32" s="1">
        <f>SUM(OSRRefT22_2x_0)</f>
        <v>-24721.89</v>
      </c>
      <c r="U32" s="1"/>
      <c r="V32" s="5">
        <f t="shared" ref="V32:V40" si="21">IF(T$12=0,0,T32/T$12)</f>
        <v>0</v>
      </c>
      <c r="W32" s="1"/>
      <c r="X32" s="1">
        <f t="shared" ref="X32:X40" si="22">+P32-T32</f>
        <v>25241.52</v>
      </c>
      <c r="Y32" s="1"/>
      <c r="Z32" s="5">
        <f t="shared" ref="Z32:Z40" si="23">IF(T32=0,0,X32/T32)</f>
        <v>-1.0210190240309298</v>
      </c>
    </row>
    <row r="33" spans="1:26" s="24" customFormat="1" hidden="1" outlineLevel="2" x14ac:dyDescent="0.25">
      <c r="A33" s="28"/>
      <c r="B33" s="11" t="str">
        <f>CONCATENATE("          ", "6362", " - ", "ADVERTISING EXPENSE")</f>
        <v xml:space="preserve">          6362 - ADVERTISING EXPENSE</v>
      </c>
      <c r="C33" s="11"/>
      <c r="D33" s="6">
        <v>173.21</v>
      </c>
      <c r="E33" s="2"/>
      <c r="F33" s="7">
        <f t="shared" si="16"/>
        <v>0</v>
      </c>
      <c r="G33" s="2"/>
      <c r="H33" s="6">
        <v>-10524.95</v>
      </c>
      <c r="I33" s="2"/>
      <c r="J33" s="7">
        <f t="shared" si="17"/>
        <v>0</v>
      </c>
      <c r="K33" s="2"/>
      <c r="L33" s="6">
        <f t="shared" si="18"/>
        <v>10698.16</v>
      </c>
      <c r="M33" s="2"/>
      <c r="N33" s="7">
        <f t="shared" si="19"/>
        <v>-1.0164570853068184</v>
      </c>
      <c r="O33" s="11"/>
      <c r="P33" s="6">
        <v>519.63</v>
      </c>
      <c r="Q33" s="2"/>
      <c r="R33" s="7">
        <f t="shared" si="20"/>
        <v>0</v>
      </c>
      <c r="S33" s="2"/>
      <c r="T33" s="6">
        <v>-24721.89</v>
      </c>
      <c r="U33" s="2"/>
      <c r="V33" s="7">
        <f t="shared" si="21"/>
        <v>0</v>
      </c>
      <c r="W33" s="2"/>
      <c r="X33" s="6">
        <f t="shared" si="22"/>
        <v>25241.52</v>
      </c>
      <c r="Y33" s="2"/>
      <c r="Z33" s="7">
        <f t="shared" si="23"/>
        <v>-1.0210190240309298</v>
      </c>
    </row>
    <row r="34" spans="1:26" s="29" customFormat="1" outlineLevel="1" collapsed="1" x14ac:dyDescent="0.25">
      <c r="A34" s="27"/>
      <c r="B34" s="14" t="str">
        <f>CONCATENATE("     ","Depreciation                                      ")</f>
        <v xml:space="preserve">     Depreciation                                      </v>
      </c>
      <c r="C34" s="14"/>
      <c r="D34" s="1">
        <f>SUM(OSRRefD22_3x_0)</f>
        <v>271.27</v>
      </c>
      <c r="E34" s="1"/>
      <c r="F34" s="5">
        <f t="shared" si="16"/>
        <v>0</v>
      </c>
      <c r="G34" s="1"/>
      <c r="H34" s="1">
        <f>SUM(OSRRefH22_3x_0)</f>
        <v>295.67</v>
      </c>
      <c r="I34" s="1"/>
      <c r="J34" s="5">
        <f t="shared" si="17"/>
        <v>0</v>
      </c>
      <c r="K34" s="1"/>
      <c r="L34" s="1">
        <f t="shared" si="18"/>
        <v>-24.400000000000034</v>
      </c>
      <c r="M34" s="1"/>
      <c r="N34" s="5">
        <f t="shared" si="19"/>
        <v>-8.2524436026651452E-2</v>
      </c>
      <c r="O34" s="14"/>
      <c r="P34" s="1">
        <f>SUM(OSRRefP22_3x_0)</f>
        <v>1085.08</v>
      </c>
      <c r="Q34" s="1"/>
      <c r="R34" s="5">
        <f t="shared" si="20"/>
        <v>0</v>
      </c>
      <c r="S34" s="1"/>
      <c r="T34" s="1">
        <f>SUM(OSRRefT22_3x_0)</f>
        <v>1182.68</v>
      </c>
      <c r="U34" s="1"/>
      <c r="V34" s="5">
        <f t="shared" si="21"/>
        <v>0</v>
      </c>
      <c r="W34" s="1"/>
      <c r="X34" s="1">
        <f t="shared" si="22"/>
        <v>-97.600000000000136</v>
      </c>
      <c r="Y34" s="1"/>
      <c r="Z34" s="5">
        <f t="shared" si="23"/>
        <v>-8.2524436026651452E-2</v>
      </c>
    </row>
    <row r="35" spans="1:26" s="24" customFormat="1" hidden="1" outlineLevel="2" x14ac:dyDescent="0.25">
      <c r="A35" s="28"/>
      <c r="B35" s="11" t="str">
        <f>CONCATENATE("          ", "6322", " - ", "EQUIPMENT DEPRECIATION EXPENSE")</f>
        <v xml:space="preserve">          6322 - EQUIPMENT DEPRECIATION EXPENSE</v>
      </c>
      <c r="C35" s="11"/>
      <c r="D35" s="6">
        <v>271.27</v>
      </c>
      <c r="E35" s="2"/>
      <c r="F35" s="7">
        <f t="shared" si="16"/>
        <v>0</v>
      </c>
      <c r="G35" s="2"/>
      <c r="H35" s="6">
        <v>295.67</v>
      </c>
      <c r="I35" s="2"/>
      <c r="J35" s="7">
        <f t="shared" si="17"/>
        <v>0</v>
      </c>
      <c r="K35" s="2"/>
      <c r="L35" s="6">
        <f t="shared" si="18"/>
        <v>-24.400000000000034</v>
      </c>
      <c r="M35" s="2"/>
      <c r="N35" s="7">
        <f t="shared" si="19"/>
        <v>-8.2524436026651452E-2</v>
      </c>
      <c r="O35" s="11"/>
      <c r="P35" s="6">
        <v>1085.08</v>
      </c>
      <c r="Q35" s="2"/>
      <c r="R35" s="7">
        <f t="shared" si="20"/>
        <v>0</v>
      </c>
      <c r="S35" s="2"/>
      <c r="T35" s="6">
        <v>1182.68</v>
      </c>
      <c r="U35" s="2"/>
      <c r="V35" s="7">
        <f t="shared" si="21"/>
        <v>0</v>
      </c>
      <c r="W35" s="2"/>
      <c r="X35" s="6">
        <f t="shared" si="22"/>
        <v>-97.600000000000136</v>
      </c>
      <c r="Y35" s="2"/>
      <c r="Z35" s="7">
        <f t="shared" si="23"/>
        <v>-8.2524436026651452E-2</v>
      </c>
    </row>
    <row r="36" spans="1:26" s="29" customFormat="1" outlineLevel="1" collapsed="1" x14ac:dyDescent="0.25">
      <c r="A36" s="27"/>
      <c r="B36" s="14" t="str">
        <f>CONCATENATE("     ","General                                           ")</f>
        <v xml:space="preserve">     General                                           </v>
      </c>
      <c r="C36" s="14"/>
      <c r="D36" s="1">
        <f>SUM(OSRRefD22_4x_0)</f>
        <v>0</v>
      </c>
      <c r="E36" s="1"/>
      <c r="F36" s="5">
        <f t="shared" si="16"/>
        <v>0</v>
      </c>
      <c r="G36" s="1"/>
      <c r="H36" s="1">
        <f>SUM(OSRRefH22_4x_0)</f>
        <v>173.21</v>
      </c>
      <c r="I36" s="1"/>
      <c r="J36" s="5">
        <f t="shared" si="17"/>
        <v>0</v>
      </c>
      <c r="K36" s="1"/>
      <c r="L36" s="1">
        <f t="shared" si="18"/>
        <v>-173.21</v>
      </c>
      <c r="M36" s="1"/>
      <c r="N36" s="5">
        <f t="shared" si="19"/>
        <v>-1</v>
      </c>
      <c r="O36" s="14"/>
      <c r="P36" s="1">
        <f>SUM(OSRRefP22_4x_0)</f>
        <v>0</v>
      </c>
      <c r="Q36" s="1"/>
      <c r="R36" s="5">
        <f t="shared" si="20"/>
        <v>0</v>
      </c>
      <c r="S36" s="1"/>
      <c r="T36" s="1">
        <f>SUM(OSRRefT22_4x_0)</f>
        <v>507.17</v>
      </c>
      <c r="U36" s="1"/>
      <c r="V36" s="5">
        <f t="shared" si="21"/>
        <v>0</v>
      </c>
      <c r="W36" s="1"/>
      <c r="X36" s="1">
        <f t="shared" si="22"/>
        <v>-507.17</v>
      </c>
      <c r="Y36" s="1"/>
      <c r="Z36" s="5">
        <f t="shared" si="23"/>
        <v>-1</v>
      </c>
    </row>
    <row r="37" spans="1:26" s="24" customFormat="1" hidden="1" outlineLevel="2" x14ac:dyDescent="0.25">
      <c r="A37" s="28"/>
      <c r="B37" s="11" t="str">
        <f>CONCATENATE("          ", "6279", " - ", "GENERAL EXPENSE")</f>
        <v xml:space="preserve">          6279 - GENERAL EXPENSE</v>
      </c>
      <c r="C37" s="11"/>
      <c r="D37" s="6"/>
      <c r="E37" s="2"/>
      <c r="F37" s="7">
        <f t="shared" si="16"/>
        <v>0</v>
      </c>
      <c r="G37" s="2"/>
      <c r="H37" s="6">
        <v>173.21</v>
      </c>
      <c r="I37" s="2"/>
      <c r="J37" s="7">
        <f t="shared" si="17"/>
        <v>0</v>
      </c>
      <c r="K37" s="2"/>
      <c r="L37" s="6">
        <f t="shared" si="18"/>
        <v>-173.21</v>
      </c>
      <c r="M37" s="2"/>
      <c r="N37" s="7">
        <f t="shared" si="19"/>
        <v>-1</v>
      </c>
      <c r="O37" s="11"/>
      <c r="P37" s="6"/>
      <c r="Q37" s="2"/>
      <c r="R37" s="7">
        <f t="shared" si="20"/>
        <v>0</v>
      </c>
      <c r="S37" s="2"/>
      <c r="T37" s="6">
        <v>507.17</v>
      </c>
      <c r="U37" s="2"/>
      <c r="V37" s="7">
        <f t="shared" si="21"/>
        <v>0</v>
      </c>
      <c r="W37" s="2"/>
      <c r="X37" s="6">
        <f t="shared" si="22"/>
        <v>-507.17</v>
      </c>
      <c r="Y37" s="2"/>
      <c r="Z37" s="7">
        <f t="shared" si="23"/>
        <v>-1</v>
      </c>
    </row>
    <row r="38" spans="1:26" s="29" customFormat="1" outlineLevel="1" collapsed="1" x14ac:dyDescent="0.25">
      <c r="A38" s="27"/>
      <c r="B38" s="14" t="str">
        <f>CONCATENATE("     ","Supplies                                          ")</f>
        <v xml:space="preserve">     Supplies                                          </v>
      </c>
      <c r="C38" s="14"/>
      <c r="D38" s="1">
        <f>SUM(OSRRefD22_5x_0)</f>
        <v>0</v>
      </c>
      <c r="E38" s="1"/>
      <c r="F38" s="5">
        <f t="shared" si="16"/>
        <v>0</v>
      </c>
      <c r="G38" s="1"/>
      <c r="H38" s="1">
        <f>SUM(OSRRefH22_5x_0)</f>
        <v>28.64</v>
      </c>
      <c r="I38" s="1"/>
      <c r="J38" s="5">
        <f t="shared" si="17"/>
        <v>0</v>
      </c>
      <c r="K38" s="1"/>
      <c r="L38" s="1">
        <f t="shared" si="18"/>
        <v>-28.64</v>
      </c>
      <c r="M38" s="1"/>
      <c r="N38" s="5">
        <f t="shared" si="19"/>
        <v>-1</v>
      </c>
      <c r="O38" s="14"/>
      <c r="P38" s="1">
        <f>SUM(OSRRefP22_5x_0)</f>
        <v>0</v>
      </c>
      <c r="Q38" s="1"/>
      <c r="R38" s="5">
        <f t="shared" si="20"/>
        <v>0</v>
      </c>
      <c r="S38" s="1"/>
      <c r="T38" s="1">
        <f>SUM(OSRRefT22_5x_0)</f>
        <v>726.1400000000001</v>
      </c>
      <c r="U38" s="1"/>
      <c r="V38" s="5">
        <f t="shared" si="21"/>
        <v>0</v>
      </c>
      <c r="W38" s="1"/>
      <c r="X38" s="1">
        <f t="shared" si="22"/>
        <v>-726.1400000000001</v>
      </c>
      <c r="Y38" s="1"/>
      <c r="Z38" s="5">
        <f t="shared" si="23"/>
        <v>-1</v>
      </c>
    </row>
    <row r="39" spans="1:26" s="24" customFormat="1" hidden="1" outlineLevel="2" x14ac:dyDescent="0.25">
      <c r="A39" s="28"/>
      <c r="B39" s="11" t="str">
        <f>CONCATENATE("          ", "6241", " - ", "OFFICE EXPENSE")</f>
        <v xml:space="preserve">          6241 - OFFICE EXPENSE</v>
      </c>
      <c r="C39" s="11"/>
      <c r="D39" s="6"/>
      <c r="E39" s="2"/>
      <c r="F39" s="7">
        <f t="shared" si="16"/>
        <v>0</v>
      </c>
      <c r="G39" s="2"/>
      <c r="H39" s="6">
        <v>28.64</v>
      </c>
      <c r="I39" s="2"/>
      <c r="J39" s="7">
        <f t="shared" si="17"/>
        <v>0</v>
      </c>
      <c r="K39" s="2"/>
      <c r="L39" s="6">
        <f t="shared" si="18"/>
        <v>-28.64</v>
      </c>
      <c r="M39" s="2"/>
      <c r="N39" s="7">
        <f t="shared" si="19"/>
        <v>-1</v>
      </c>
      <c r="O39" s="11"/>
      <c r="P39" s="6"/>
      <c r="Q39" s="2"/>
      <c r="R39" s="7">
        <f t="shared" si="20"/>
        <v>0</v>
      </c>
      <c r="S39" s="2"/>
      <c r="T39" s="6">
        <v>379.72</v>
      </c>
      <c r="U39" s="2"/>
      <c r="V39" s="7">
        <f t="shared" si="21"/>
        <v>0</v>
      </c>
      <c r="W39" s="2"/>
      <c r="X39" s="6">
        <f t="shared" si="22"/>
        <v>-379.72</v>
      </c>
      <c r="Y39" s="2"/>
      <c r="Z39" s="7">
        <f t="shared" si="23"/>
        <v>-1</v>
      </c>
    </row>
    <row r="40" spans="1:26" s="24" customFormat="1" hidden="1" outlineLevel="2" x14ac:dyDescent="0.25">
      <c r="A40" s="28"/>
      <c r="B40" s="11" t="str">
        <f>CONCATENATE("          ", "6245", " - ", "PRINTING")</f>
        <v xml:space="preserve">          6245 - PRINTING</v>
      </c>
      <c r="C40" s="11"/>
      <c r="D40" s="6"/>
      <c r="E40" s="2"/>
      <c r="F40" s="7">
        <f t="shared" si="16"/>
        <v>0</v>
      </c>
      <c r="G40" s="2"/>
      <c r="H40" s="6"/>
      <c r="I40" s="2"/>
      <c r="J40" s="7">
        <f t="shared" si="17"/>
        <v>0</v>
      </c>
      <c r="K40" s="2"/>
      <c r="L40" s="6">
        <f t="shared" si="18"/>
        <v>0</v>
      </c>
      <c r="M40" s="2"/>
      <c r="N40" s="7">
        <f t="shared" si="19"/>
        <v>0</v>
      </c>
      <c r="O40" s="11"/>
      <c r="P40" s="6"/>
      <c r="Q40" s="2"/>
      <c r="R40" s="7">
        <f t="shared" si="20"/>
        <v>0</v>
      </c>
      <c r="S40" s="2"/>
      <c r="T40" s="6">
        <v>346.42</v>
      </c>
      <c r="U40" s="2"/>
      <c r="V40" s="7">
        <f t="shared" si="21"/>
        <v>0</v>
      </c>
      <c r="W40" s="2"/>
      <c r="X40" s="6">
        <f t="shared" si="22"/>
        <v>-346.42</v>
      </c>
      <c r="Y40" s="2"/>
      <c r="Z40" s="7">
        <f t="shared" si="23"/>
        <v>-1</v>
      </c>
    </row>
    <row r="41" spans="1:26" s="29" customFormat="1" outlineLevel="1" collapsed="1" x14ac:dyDescent="0.25">
      <c r="A41" s="27"/>
      <c r="B41" s="14" t="str">
        <f>CONCATENATE("     ","Telephone/Data Lines                              ")</f>
        <v xml:space="preserve">     Telephone/Data Lines                              </v>
      </c>
      <c r="C41" s="14"/>
      <c r="D41" s="1">
        <f>SUM(OSRRefD22_6x_0)</f>
        <v>36</v>
      </c>
      <c r="E41" s="1"/>
      <c r="F41" s="5">
        <f t="shared" ref="F41:F44" si="24">IF(D$12=0,0,D41/D$12)</f>
        <v>0</v>
      </c>
      <c r="G41" s="1"/>
      <c r="H41" s="1">
        <f>SUM(OSRRefH22_6x_0)</f>
        <v>72</v>
      </c>
      <c r="I41" s="1"/>
      <c r="J41" s="5">
        <f t="shared" ref="J41:J44" si="25">IF(H$12=0,0,H41/H$12)</f>
        <v>0</v>
      </c>
      <c r="K41" s="1"/>
      <c r="L41" s="1">
        <f t="shared" ref="L41:L44" si="26">+D41-H41</f>
        <v>-36</v>
      </c>
      <c r="M41" s="1"/>
      <c r="N41" s="5">
        <f t="shared" ref="N41:N44" si="27">IF(H41=0,0,L41/H41)</f>
        <v>-0.5</v>
      </c>
      <c r="O41" s="14"/>
      <c r="P41" s="1">
        <f>SUM(OSRRefP22_6x_0)</f>
        <v>108</v>
      </c>
      <c r="Q41" s="1"/>
      <c r="R41" s="5">
        <f t="shared" ref="R41:R44" si="28">IF(P$12=0,0,P41/P$12)</f>
        <v>0</v>
      </c>
      <c r="S41" s="1"/>
      <c r="T41" s="1">
        <f>SUM(OSRRefT22_6x_0)</f>
        <v>297.45</v>
      </c>
      <c r="U41" s="1"/>
      <c r="V41" s="5">
        <f t="shared" ref="V41:V44" si="29">IF(T$12=0,0,T41/T$12)</f>
        <v>0</v>
      </c>
      <c r="W41" s="1"/>
      <c r="X41" s="1">
        <f t="shared" ref="X41:X44" si="30">+P41-T41</f>
        <v>-189.45</v>
      </c>
      <c r="Y41" s="1"/>
      <c r="Z41" s="5">
        <f t="shared" ref="Z41:Z44" si="31">IF(T41=0,0,X41/T41)</f>
        <v>-0.63691376701966718</v>
      </c>
    </row>
    <row r="42" spans="1:26" s="24" customFormat="1" hidden="1" outlineLevel="2" x14ac:dyDescent="0.25">
      <c r="A42" s="28"/>
      <c r="B42" s="11" t="str">
        <f>CONCATENATE("          ", "6309", " - ", "TELEPHONE")</f>
        <v xml:space="preserve">          6309 - TELEPHONE</v>
      </c>
      <c r="C42" s="11"/>
      <c r="D42" s="6">
        <v>36</v>
      </c>
      <c r="E42" s="2"/>
      <c r="F42" s="7">
        <f t="shared" si="24"/>
        <v>0</v>
      </c>
      <c r="G42" s="2"/>
      <c r="H42" s="6">
        <v>72</v>
      </c>
      <c r="I42" s="2"/>
      <c r="J42" s="7">
        <f t="shared" si="25"/>
        <v>0</v>
      </c>
      <c r="K42" s="2"/>
      <c r="L42" s="6">
        <f t="shared" si="26"/>
        <v>-36</v>
      </c>
      <c r="M42" s="2"/>
      <c r="N42" s="7">
        <f t="shared" si="27"/>
        <v>-0.5</v>
      </c>
      <c r="O42" s="11"/>
      <c r="P42" s="6">
        <v>108</v>
      </c>
      <c r="Q42" s="2"/>
      <c r="R42" s="7">
        <f t="shared" si="28"/>
        <v>0</v>
      </c>
      <c r="S42" s="2"/>
      <c r="T42" s="6">
        <v>297.45</v>
      </c>
      <c r="U42" s="2"/>
      <c r="V42" s="7">
        <f t="shared" si="29"/>
        <v>0</v>
      </c>
      <c r="W42" s="2"/>
      <c r="X42" s="6">
        <f t="shared" si="30"/>
        <v>-189.45</v>
      </c>
      <c r="Y42" s="2"/>
      <c r="Z42" s="7">
        <f t="shared" si="31"/>
        <v>-0.63691376701966718</v>
      </c>
    </row>
    <row r="43" spans="1:26" s="29" customFormat="1" outlineLevel="1" collapsed="1" x14ac:dyDescent="0.25">
      <c r="A43" s="27"/>
      <c r="B43" s="14" t="str">
        <f>CONCATENATE("     ","Travel                                            ")</f>
        <v xml:space="preserve">     Travel                                            </v>
      </c>
      <c r="C43" s="14"/>
      <c r="D43" s="1">
        <f>SUM(OSRRefD22_7x_0)</f>
        <v>0</v>
      </c>
      <c r="E43" s="1"/>
      <c r="F43" s="5">
        <f t="shared" si="24"/>
        <v>0</v>
      </c>
      <c r="G43" s="1"/>
      <c r="H43" s="1">
        <f>SUM(OSRRefH22_7x_0)</f>
        <v>0</v>
      </c>
      <c r="I43" s="1"/>
      <c r="J43" s="5">
        <f t="shared" si="25"/>
        <v>0</v>
      </c>
      <c r="K43" s="1"/>
      <c r="L43" s="1">
        <f t="shared" si="26"/>
        <v>0</v>
      </c>
      <c r="M43" s="1"/>
      <c r="N43" s="5">
        <f t="shared" si="27"/>
        <v>0</v>
      </c>
      <c r="O43" s="14"/>
      <c r="P43" s="1">
        <f>SUM(OSRRefP22_7x_0)</f>
        <v>0</v>
      </c>
      <c r="Q43" s="1"/>
      <c r="R43" s="5">
        <f t="shared" si="28"/>
        <v>0</v>
      </c>
      <c r="S43" s="1"/>
      <c r="T43" s="1">
        <f>SUM(OSRRefT22_7x_0)</f>
        <v>118.32</v>
      </c>
      <c r="U43" s="1"/>
      <c r="V43" s="5">
        <f t="shared" si="29"/>
        <v>0</v>
      </c>
      <c r="W43" s="1"/>
      <c r="X43" s="1">
        <f t="shared" si="30"/>
        <v>-118.32</v>
      </c>
      <c r="Y43" s="1"/>
      <c r="Z43" s="5">
        <f t="shared" si="31"/>
        <v>-1</v>
      </c>
    </row>
    <row r="44" spans="1:26" s="24" customFormat="1" hidden="1" outlineLevel="2" x14ac:dyDescent="0.25">
      <c r="A44" s="28"/>
      <c r="B44" s="11" t="str">
        <f>CONCATENATE("          ", "6292", " - ", "TRAVEL/CONFERENCE")</f>
        <v xml:space="preserve">          6292 - TRAVEL/CONFERENCE</v>
      </c>
      <c r="C44" s="11"/>
      <c r="D44" s="6"/>
      <c r="E44" s="2"/>
      <c r="F44" s="7">
        <f t="shared" si="24"/>
        <v>0</v>
      </c>
      <c r="G44" s="2"/>
      <c r="H44" s="6"/>
      <c r="I44" s="2"/>
      <c r="J44" s="7">
        <f t="shared" si="25"/>
        <v>0</v>
      </c>
      <c r="K44" s="2"/>
      <c r="L44" s="6">
        <f t="shared" si="26"/>
        <v>0</v>
      </c>
      <c r="M44" s="2"/>
      <c r="N44" s="7">
        <f t="shared" si="27"/>
        <v>0</v>
      </c>
      <c r="O44" s="11"/>
      <c r="P44" s="6"/>
      <c r="Q44" s="2"/>
      <c r="R44" s="7">
        <f t="shared" si="28"/>
        <v>0</v>
      </c>
      <c r="S44" s="2"/>
      <c r="T44" s="6">
        <v>118.32</v>
      </c>
      <c r="U44" s="2"/>
      <c r="V44" s="7">
        <f t="shared" si="29"/>
        <v>0</v>
      </c>
      <c r="W44" s="2"/>
      <c r="X44" s="6">
        <f t="shared" si="30"/>
        <v>-118.32</v>
      </c>
      <c r="Y44" s="2"/>
      <c r="Z44" s="7">
        <f t="shared" si="31"/>
        <v>-1</v>
      </c>
    </row>
    <row r="45" spans="1:26" s="57" customFormat="1" x14ac:dyDescent="0.25">
      <c r="A45" s="37"/>
      <c r="B45" s="37"/>
      <c r="C45" s="37"/>
      <c r="D45" s="1"/>
      <c r="E45" s="1"/>
      <c r="F45" s="5"/>
      <c r="G45" s="1"/>
      <c r="H45" s="1"/>
      <c r="I45" s="1"/>
      <c r="J45" s="5"/>
      <c r="K45" s="1"/>
      <c r="L45" s="1"/>
      <c r="M45" s="1"/>
      <c r="N45" s="5"/>
      <c r="O45" s="37"/>
      <c r="P45" s="1"/>
      <c r="Q45" s="1"/>
      <c r="R45" s="5"/>
      <c r="S45" s="1"/>
      <c r="T45" s="1"/>
      <c r="U45" s="1"/>
      <c r="V45" s="5"/>
      <c r="W45" s="1"/>
      <c r="X45" s="1"/>
      <c r="Y45" s="1"/>
      <c r="Z45" s="5"/>
    </row>
    <row r="46" spans="1:26" s="23" customFormat="1" x14ac:dyDescent="0.25">
      <c r="A46" s="10"/>
      <c r="B46" s="26" t="s">
        <v>0</v>
      </c>
      <c r="C46" s="10"/>
      <c r="D46" s="4">
        <f>SUM(0)</f>
        <v>0</v>
      </c>
      <c r="E46" s="4"/>
      <c r="F46" s="12">
        <f>IF(D$12=0,0,D46/D$12)</f>
        <v>0</v>
      </c>
      <c r="G46" s="4"/>
      <c r="H46" s="4">
        <f>SUM(0)</f>
        <v>0</v>
      </c>
      <c r="I46" s="4"/>
      <c r="J46" s="12">
        <f>IF(H$12=0,0,H46/H$12)</f>
        <v>0</v>
      </c>
      <c r="K46" s="4"/>
      <c r="L46" s="4">
        <f>+D46-H46</f>
        <v>0</v>
      </c>
      <c r="M46" s="4"/>
      <c r="N46" s="12">
        <f>IF(H46=0,0,L46/H46)</f>
        <v>0</v>
      </c>
      <c r="O46" s="10"/>
      <c r="P46" s="4">
        <f>SUM(0)</f>
        <v>0</v>
      </c>
      <c r="Q46" s="4"/>
      <c r="R46" s="12">
        <f>IF(P$12=0,0,P46/P$12)</f>
        <v>0</v>
      </c>
      <c r="S46" s="4"/>
      <c r="T46" s="4">
        <f>SUM(0)</f>
        <v>0</v>
      </c>
      <c r="U46" s="4"/>
      <c r="V46" s="12">
        <f>IF(T$12=0,0,T46/T$12)</f>
        <v>0</v>
      </c>
      <c r="W46" s="4"/>
      <c r="X46" s="4">
        <f>+P46-T46</f>
        <v>0</v>
      </c>
      <c r="Y46" s="4"/>
      <c r="Z46" s="12">
        <f>IF(T46=0,0,X46/T46)</f>
        <v>0</v>
      </c>
    </row>
    <row r="47" spans="1:26" x14ac:dyDescent="0.25">
      <c r="A47" s="9"/>
      <c r="B47" s="10"/>
      <c r="C47" s="10"/>
      <c r="D47" s="3"/>
      <c r="E47" s="3"/>
      <c r="F47" s="8"/>
      <c r="G47" s="3"/>
      <c r="H47" s="3"/>
      <c r="I47" s="3"/>
      <c r="J47" s="8"/>
      <c r="K47" s="3"/>
      <c r="L47" s="3"/>
      <c r="M47" s="3"/>
      <c r="N47" s="8"/>
      <c r="O47" s="10"/>
      <c r="P47" s="3"/>
      <c r="Q47" s="3"/>
      <c r="R47" s="8"/>
      <c r="S47" s="3"/>
      <c r="T47" s="3"/>
      <c r="U47" s="3"/>
      <c r="V47" s="8"/>
      <c r="W47" s="3"/>
      <c r="X47" s="3"/>
      <c r="Y47" s="3"/>
      <c r="Z47" s="8"/>
    </row>
    <row r="48" spans="1:26" s="23" customFormat="1" x14ac:dyDescent="0.25">
      <c r="A48" s="10"/>
      <c r="B48" s="25" t="s">
        <v>3</v>
      </c>
      <c r="C48" s="25"/>
      <c r="D48" s="20">
        <f>+D16-D18+D46</f>
        <v>-10192.200000000001</v>
      </c>
      <c r="E48" s="13"/>
      <c r="F48" s="21">
        <f>IF(D$12=0,0,D48/D$12)</f>
        <v>0</v>
      </c>
      <c r="G48" s="13"/>
      <c r="H48" s="20">
        <f>+H16-H18+H46</f>
        <v>-4657.3600000000006</v>
      </c>
      <c r="I48" s="13"/>
      <c r="J48" s="21">
        <f>IF(H$12=0,0,H48/H$12)</f>
        <v>0</v>
      </c>
      <c r="K48" s="15"/>
      <c r="L48" s="20">
        <f>+D48-H48</f>
        <v>-5534.84</v>
      </c>
      <c r="M48" s="15"/>
      <c r="N48" s="21">
        <f>IF(H48=0,0,L48/H48)</f>
        <v>1.1884071662916329</v>
      </c>
      <c r="O48" s="26"/>
      <c r="P48" s="20">
        <f>+P16-P18+P46</f>
        <v>-36655.49</v>
      </c>
      <c r="Q48" s="13"/>
      <c r="R48" s="21">
        <f>IF(P$12=0,0,P48/P$12)</f>
        <v>0</v>
      </c>
      <c r="S48" s="13"/>
      <c r="T48" s="20">
        <f>+T16-T18+T46</f>
        <v>-30083.409999999993</v>
      </c>
      <c r="U48" s="13"/>
      <c r="V48" s="21">
        <f>IF(T$12=0,0,T48/T$12)</f>
        <v>0</v>
      </c>
      <c r="W48" s="15"/>
      <c r="X48" s="20">
        <f>+P48-T48</f>
        <v>-6572.0800000000054</v>
      </c>
      <c r="Y48" s="15"/>
      <c r="Z48" s="21">
        <f>IF(T48=0,0,X48/T48)</f>
        <v>0.21846193632969158</v>
      </c>
    </row>
    <row r="49" spans="1:26" x14ac:dyDescent="0.25">
      <c r="A49" s="9"/>
      <c r="B49" s="10"/>
      <c r="C49" s="9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x14ac:dyDescent="0.25">
      <c r="A50" s="51"/>
      <c r="B50" s="10" t="s">
        <v>13</v>
      </c>
      <c r="C50" s="10"/>
      <c r="D50" s="4"/>
      <c r="E50" s="4"/>
      <c r="F50" s="12">
        <f>IF(D$12=0,0,D50/D$12)</f>
        <v>0</v>
      </c>
      <c r="G50" s="4"/>
      <c r="H50" s="4"/>
      <c r="I50" s="4"/>
      <c r="J50" s="12">
        <f>IF(H$12=0,0,H50/H$12)</f>
        <v>0</v>
      </c>
      <c r="K50" s="4"/>
      <c r="L50" s="4">
        <f>+D50-H50</f>
        <v>0</v>
      </c>
      <c r="M50" s="4"/>
      <c r="N50" s="12">
        <f>IF(H50=0,0,L50/H50)</f>
        <v>0</v>
      </c>
      <c r="O50" s="10"/>
      <c r="P50" s="4"/>
      <c r="Q50" s="4"/>
      <c r="R50" s="12">
        <f>IF(P$12=0,0,P50/P$12)</f>
        <v>0</v>
      </c>
      <c r="S50" s="4"/>
      <c r="T50" s="4"/>
      <c r="U50" s="4"/>
      <c r="V50" s="12">
        <f>IF(T$12=0,0,T50/T$12)</f>
        <v>0</v>
      </c>
      <c r="W50" s="4"/>
      <c r="X50" s="4">
        <f>+P50-T50</f>
        <v>0</v>
      </c>
      <c r="Y50" s="4"/>
      <c r="Z50" s="12">
        <f>IF(T50=0,0,X50/T50)</f>
        <v>0</v>
      </c>
    </row>
    <row r="51" spans="1:26" x14ac:dyDescent="0.25">
      <c r="A51" s="9"/>
      <c r="B51" s="10"/>
      <c r="C51" s="10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O51" s="10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3" customFormat="1" ht="15.75" thickBot="1" x14ac:dyDescent="0.3">
      <c r="A52" s="10"/>
      <c r="B52" s="25" t="s">
        <v>4</v>
      </c>
      <c r="C52" s="25"/>
      <c r="D52" s="30">
        <f>+D48-D50</f>
        <v>-10192.200000000001</v>
      </c>
      <c r="E52" s="13"/>
      <c r="F52" s="33">
        <f>IF(D$12=0,0,D52/D$12)</f>
        <v>0</v>
      </c>
      <c r="G52" s="13"/>
      <c r="H52" s="30">
        <f>+H48-H50</f>
        <v>-4657.3600000000006</v>
      </c>
      <c r="I52" s="13"/>
      <c r="J52" s="33">
        <f>IF(H$12=0,0,H52/H$12)</f>
        <v>0</v>
      </c>
      <c r="K52" s="15"/>
      <c r="L52" s="30">
        <f>D52-H52</f>
        <v>-5534.84</v>
      </c>
      <c r="M52" s="15"/>
      <c r="N52" s="33">
        <f>IF(H52=0,0,L52/H52)</f>
        <v>1.1884071662916329</v>
      </c>
      <c r="O52" s="26"/>
      <c r="P52" s="30">
        <f>+P48-P50</f>
        <v>-36655.49</v>
      </c>
      <c r="Q52" s="13"/>
      <c r="R52" s="33">
        <f>IF(P$12=0,0,P52/P$12)</f>
        <v>0</v>
      </c>
      <c r="S52" s="13"/>
      <c r="T52" s="30">
        <f>+T48-T50</f>
        <v>-30083.409999999993</v>
      </c>
      <c r="U52" s="13"/>
      <c r="V52" s="33">
        <f>IF(T$12=0,0,T52/T$12)</f>
        <v>0</v>
      </c>
      <c r="W52" s="15"/>
      <c r="X52" s="30">
        <f>P52-T52</f>
        <v>-6572.0800000000054</v>
      </c>
      <c r="Y52" s="15"/>
      <c r="Z52" s="33">
        <f>IF(T52=0,0,X52/T52)</f>
        <v>0.21846193632969158</v>
      </c>
    </row>
    <row r="53" spans="1:26" ht="15.75" thickTop="1" x14ac:dyDescent="0.25">
      <c r="A53" s="9"/>
      <c r="B53" s="9"/>
      <c r="C53" s="9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x14ac:dyDescent="0.25">
      <c r="A54" s="9"/>
      <c r="B54" s="9"/>
      <c r="C54" s="9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3" customFormat="1" ht="15.75" thickBot="1" x14ac:dyDescent="0.3">
      <c r="A55" s="10"/>
      <c r="B55" s="25" t="s">
        <v>5</v>
      </c>
      <c r="C55" s="25"/>
      <c r="D55" s="34">
        <f>SUM(D52:D54)</f>
        <v>-10192.200000000001</v>
      </c>
      <c r="E55" s="13"/>
      <c r="F55" s="35">
        <f>IF(D$12=0,0,D55/D$12)</f>
        <v>0</v>
      </c>
      <c r="G55" s="13"/>
      <c r="H55" s="34">
        <f>SUM(H52:H54)</f>
        <v>-4657.3600000000006</v>
      </c>
      <c r="I55" s="13"/>
      <c r="J55" s="35">
        <f>IF(H$12=0,0,H55/H$12)</f>
        <v>0</v>
      </c>
      <c r="K55" s="15"/>
      <c r="L55" s="34">
        <f>+D55-H55</f>
        <v>-5534.84</v>
      </c>
      <c r="M55" s="15"/>
      <c r="N55" s="35">
        <f>IF(H55=0,0,L55/H55)</f>
        <v>1.1884071662916329</v>
      </c>
      <c r="O55" s="26"/>
      <c r="P55" s="34">
        <f>SUM(P52:P54)</f>
        <v>-36655.49</v>
      </c>
      <c r="Q55" s="13"/>
      <c r="R55" s="35">
        <f>IF(P$12=0,0,P55/P$12)</f>
        <v>0</v>
      </c>
      <c r="S55" s="13"/>
      <c r="T55" s="34">
        <f>SUM(T52:T54)</f>
        <v>-30083.409999999993</v>
      </c>
      <c r="U55" s="13"/>
      <c r="V55" s="35">
        <f>IF(T$12=0,0,T55/T$12)</f>
        <v>0</v>
      </c>
      <c r="W55" s="15"/>
      <c r="X55" s="34">
        <f>+P55-T55</f>
        <v>-6572.0800000000054</v>
      </c>
      <c r="Y55" s="15"/>
      <c r="Z55" s="35">
        <f>IF(T55=0,0,X55/T55)</f>
        <v>0.21846193632969158</v>
      </c>
    </row>
    <row r="56" spans="1:26" ht="15.75" thickTop="1" x14ac:dyDescent="0.25">
      <c r="A56" s="9"/>
      <c r="C56" s="9"/>
      <c r="D56" s="18"/>
      <c r="E56" s="18"/>
      <c r="G56" s="18"/>
      <c r="H56" s="18"/>
      <c r="I56" s="18"/>
      <c r="J56" s="43"/>
      <c r="K56" s="18"/>
      <c r="L56" s="18"/>
      <c r="M56" s="18"/>
      <c r="P56" s="18"/>
      <c r="Q56" s="18"/>
      <c r="R56" s="43"/>
      <c r="S56" s="18"/>
      <c r="T56" s="18"/>
      <c r="U56" s="18"/>
      <c r="V56" s="43"/>
      <c r="W56" s="18"/>
      <c r="X56" s="18"/>
    </row>
    <row r="57" spans="1:26" x14ac:dyDescent="0.25">
      <c r="A57" s="9"/>
      <c r="B57" s="56">
        <v>44151.57223445602</v>
      </c>
      <c r="D57" s="18"/>
      <c r="E57" s="18"/>
      <c r="G57" s="18"/>
      <c r="H57" s="18"/>
      <c r="I57" s="18"/>
      <c r="J57" s="43"/>
      <c r="K57" s="18"/>
      <c r="L57" s="18"/>
      <c r="M57" s="18"/>
      <c r="P57" s="18"/>
      <c r="Q57" s="18"/>
      <c r="R57" s="43"/>
      <c r="S57" s="18"/>
      <c r="T57" s="18"/>
      <c r="U57" s="18"/>
      <c r="V57" s="43"/>
      <c r="W57" s="18"/>
      <c r="X57" s="18"/>
    </row>
    <row r="58" spans="1:26" x14ac:dyDescent="0.25">
      <c r="A58" s="9"/>
      <c r="B58" s="62" t="s">
        <v>313</v>
      </c>
      <c r="D58" s="18"/>
      <c r="E58" s="18"/>
      <c r="G58" s="18"/>
      <c r="H58" s="18"/>
      <c r="I58" s="18"/>
      <c r="J58" s="43"/>
      <c r="K58" s="18"/>
      <c r="L58" s="18"/>
      <c r="M58" s="18"/>
      <c r="P58" s="18"/>
      <c r="Q58" s="18"/>
      <c r="R58" s="43"/>
      <c r="S58" s="18"/>
      <c r="T58" s="18"/>
      <c r="U58" s="18"/>
      <c r="V58" s="43"/>
      <c r="W58" s="18"/>
      <c r="X58" s="18"/>
    </row>
    <row r="59" spans="1:26" x14ac:dyDescent="0.25">
      <c r="A59" s="9"/>
      <c r="B59" s="54"/>
      <c r="D59" s="18"/>
      <c r="E59" s="18"/>
      <c r="G59" s="18"/>
      <c r="H59" s="18"/>
      <c r="I59" s="18"/>
      <c r="J59" s="43"/>
      <c r="K59" s="18"/>
      <c r="L59" s="18"/>
      <c r="M59" s="18"/>
      <c r="P59" s="18"/>
      <c r="Q59" s="18"/>
      <c r="R59" s="43"/>
      <c r="S59" s="18"/>
      <c r="T59" s="18"/>
      <c r="U59" s="18"/>
      <c r="V59" s="43"/>
      <c r="W59" s="18"/>
      <c r="X59" s="18"/>
    </row>
    <row r="60" spans="1:26" x14ac:dyDescent="0.25">
      <c r="D60" s="18"/>
      <c r="E60" s="18"/>
      <c r="G60" s="18"/>
      <c r="H60" s="18"/>
      <c r="I60" s="18"/>
      <c r="J60" s="43"/>
      <c r="K60" s="18"/>
      <c r="L60" s="18"/>
      <c r="M60" s="18"/>
      <c r="P60" s="18"/>
      <c r="Q60" s="18"/>
      <c r="R60" s="43"/>
      <c r="S60" s="18"/>
      <c r="T60" s="18"/>
      <c r="U60" s="18"/>
      <c r="V60" s="43"/>
      <c r="W60" s="18"/>
      <c r="X60" s="18"/>
    </row>
  </sheetData>
  <pageMargins left="0.25" right="0.25" top="0.75" bottom="0.75" header="0.3" footer="0.3"/>
  <pageSetup scale="55" fitToWidth="2" orientation="landscape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276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",RIGHT(202104,2),", ",2021)</f>
        <v>Period 04,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44135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307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61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50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50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2"/>
      <c r="F10" s="31" t="s">
        <v>14</v>
      </c>
      <c r="G10" s="32"/>
      <c r="H10" s="49" t="s">
        <v>306</v>
      </c>
      <c r="I10" s="32"/>
      <c r="J10" s="31" t="s">
        <v>14</v>
      </c>
      <c r="K10" s="10"/>
      <c r="L10" s="42" t="s">
        <v>11</v>
      </c>
      <c r="M10" s="10"/>
      <c r="N10" s="31" t="s">
        <v>15</v>
      </c>
      <c r="O10" s="10"/>
      <c r="P10" s="59" t="s">
        <v>10</v>
      </c>
      <c r="Q10" s="32"/>
      <c r="R10" s="31" t="s">
        <v>14</v>
      </c>
      <c r="S10" s="32"/>
      <c r="T10" s="49" t="s">
        <v>306</v>
      </c>
      <c r="U10" s="32"/>
      <c r="V10" s="31" t="s">
        <v>14</v>
      </c>
      <c r="W10" s="10"/>
      <c r="X10" s="42" t="s">
        <v>11</v>
      </c>
      <c r="Y10" s="10"/>
      <c r="Z10" s="31" t="s">
        <v>15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160109.03000000003</v>
      </c>
      <c r="E12" s="4"/>
      <c r="F12" s="12"/>
      <c r="G12" s="4"/>
      <c r="H12" s="4">
        <f>SUM(OSRRefH13x_0)</f>
        <v>1008399.3400000003</v>
      </c>
      <c r="I12" s="4"/>
      <c r="J12" s="12"/>
      <c r="K12" s="4"/>
      <c r="L12" s="4">
        <f t="shared" ref="L12:L106" si="0">+D12-H12</f>
        <v>-848290.31000000029</v>
      </c>
      <c r="M12" s="4"/>
      <c r="N12" s="12">
        <f t="shared" ref="N12:N106" si="1">IF(H12=0,0,L12/H12)</f>
        <v>-0.84122457874674927</v>
      </c>
      <c r="O12" s="10"/>
      <c r="P12" s="4">
        <f>SUM(OSRRefP13x_0)</f>
        <v>2356596.73</v>
      </c>
      <c r="Q12" s="4"/>
      <c r="R12" s="12"/>
      <c r="S12" s="4"/>
      <c r="T12" s="4">
        <f>SUM(OSRRefT13x_0)</f>
        <v>5738888.5099999988</v>
      </c>
      <c r="U12" s="4"/>
      <c r="V12" s="12"/>
      <c r="W12" s="4"/>
      <c r="X12" s="4">
        <f t="shared" ref="X12:X106" si="2">+P12-T12</f>
        <v>-3382291.7799999989</v>
      </c>
      <c r="Y12" s="4"/>
      <c r="Z12" s="12">
        <f t="shared" ref="Z12:Z106" si="3">IF(T12=0,0,X12/T12)</f>
        <v>-0.58936356301509674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-11383.24</f>
        <v>-11383.24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-11383.24</v>
      </c>
      <c r="M13" s="2"/>
      <c r="N13" s="19">
        <f t="shared" si="1"/>
        <v>0</v>
      </c>
      <c r="O13" s="11"/>
      <c r="P13" s="2">
        <f>-47460.32</f>
        <v>-47460.32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-47460.32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--17630.93</f>
        <v>17630.93</v>
      </c>
      <c r="E14" s="2"/>
      <c r="F14" s="19"/>
      <c r="G14" s="2"/>
      <c r="H14" s="2">
        <f>--31204.32</f>
        <v>31204.32</v>
      </c>
      <c r="I14" s="2"/>
      <c r="J14" s="19"/>
      <c r="K14" s="2"/>
      <c r="L14" s="2">
        <f t="shared" si="0"/>
        <v>-13573.39</v>
      </c>
      <c r="M14" s="2"/>
      <c r="N14" s="19">
        <f t="shared" si="1"/>
        <v>-0.43498432268352588</v>
      </c>
      <c r="O14" s="11"/>
      <c r="P14" s="2">
        <f>--712327.57</f>
        <v>712327.57</v>
      </c>
      <c r="Q14" s="2"/>
      <c r="R14" s="19"/>
      <c r="S14" s="2"/>
      <c r="T14" s="2">
        <f>--1495159.74</f>
        <v>1495159.74</v>
      </c>
      <c r="U14" s="2"/>
      <c r="V14" s="19"/>
      <c r="W14" s="2"/>
      <c r="X14" s="2">
        <f t="shared" si="2"/>
        <v>-782832.17</v>
      </c>
      <c r="Y14" s="2"/>
      <c r="Z14" s="19">
        <f t="shared" si="3"/>
        <v>-0.52357761452298068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--2483.62</f>
        <v>2483.62</v>
      </c>
      <c r="E15" s="2"/>
      <c r="F15" s="19"/>
      <c r="G15" s="2"/>
      <c r="H15" s="2">
        <f>--8985.78</f>
        <v>8985.7800000000007</v>
      </c>
      <c r="I15" s="2"/>
      <c r="J15" s="19"/>
      <c r="K15" s="2"/>
      <c r="L15" s="2">
        <f t="shared" si="0"/>
        <v>-6502.1600000000008</v>
      </c>
      <c r="M15" s="2"/>
      <c r="N15" s="19">
        <f t="shared" si="1"/>
        <v>-0.72360551894215086</v>
      </c>
      <c r="O15" s="11"/>
      <c r="P15" s="2">
        <f>--319139.52</f>
        <v>319139.52</v>
      </c>
      <c r="Q15" s="2"/>
      <c r="R15" s="19"/>
      <c r="S15" s="2"/>
      <c r="T15" s="2">
        <f>--666296.36</f>
        <v>666296.36</v>
      </c>
      <c r="U15" s="2"/>
      <c r="V15" s="19"/>
      <c r="W15" s="2"/>
      <c r="X15" s="2">
        <f t="shared" si="2"/>
        <v>-347156.83999999997</v>
      </c>
      <c r="Y15" s="2"/>
      <c r="Z15" s="19">
        <f t="shared" si="3"/>
        <v>-0.52102466836228845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--70</f>
        <v>70</v>
      </c>
      <c r="E16" s="2"/>
      <c r="F16" s="19"/>
      <c r="G16" s="2"/>
      <c r="H16" s="2">
        <f>--307.97</f>
        <v>307.97000000000003</v>
      </c>
      <c r="I16" s="2"/>
      <c r="J16" s="19"/>
      <c r="K16" s="2"/>
      <c r="L16" s="2">
        <f t="shared" si="0"/>
        <v>-237.97000000000003</v>
      </c>
      <c r="M16" s="2"/>
      <c r="N16" s="19">
        <f t="shared" si="1"/>
        <v>-0.77270513361691073</v>
      </c>
      <c r="O16" s="11"/>
      <c r="P16" s="2">
        <f>--10665.63</f>
        <v>10665.63</v>
      </c>
      <c r="Q16" s="2"/>
      <c r="R16" s="19"/>
      <c r="S16" s="2"/>
      <c r="T16" s="2">
        <f>--15844.66</f>
        <v>15844.66</v>
      </c>
      <c r="U16" s="2"/>
      <c r="V16" s="19"/>
      <c r="W16" s="2"/>
      <c r="X16" s="2">
        <f t="shared" si="2"/>
        <v>-5179.0300000000007</v>
      </c>
      <c r="Y16" s="2"/>
      <c r="Z16" s="19">
        <f t="shared" si="3"/>
        <v>-0.32686280425076969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>--354.45</f>
        <v>354.45</v>
      </c>
      <c r="E17" s="2"/>
      <c r="F17" s="19"/>
      <c r="G17" s="2"/>
      <c r="H17" s="2">
        <f>--460.04</f>
        <v>460.04</v>
      </c>
      <c r="I17" s="2"/>
      <c r="J17" s="19"/>
      <c r="K17" s="2"/>
      <c r="L17" s="2">
        <f t="shared" si="0"/>
        <v>-105.59000000000003</v>
      </c>
      <c r="M17" s="2"/>
      <c r="N17" s="19">
        <f t="shared" si="1"/>
        <v>-0.22952351969393972</v>
      </c>
      <c r="O17" s="11"/>
      <c r="P17" s="2">
        <f>--2459.56</f>
        <v>2459.56</v>
      </c>
      <c r="Q17" s="2"/>
      <c r="R17" s="19"/>
      <c r="S17" s="2"/>
      <c r="T17" s="2">
        <f>--30160.48</f>
        <v>30160.48</v>
      </c>
      <c r="U17" s="2"/>
      <c r="V17" s="19"/>
      <c r="W17" s="2"/>
      <c r="X17" s="2">
        <f t="shared" si="2"/>
        <v>-27700.92</v>
      </c>
      <c r="Y17" s="2"/>
      <c r="Z17" s="19">
        <f t="shared" si="3"/>
        <v>-0.91845089998567653</v>
      </c>
    </row>
    <row r="18" spans="1:26" s="24" customFormat="1" hidden="1" outlineLevel="1" x14ac:dyDescent="0.25">
      <c r="A18" s="44"/>
      <c r="B18" s="11" t="str">
        <f>CONCATENATE("          ", "4011", " - ", "TAXABLE SALES-NO VALUE TEXT")</f>
        <v xml:space="preserve">          4011 - TAXABLE SALES-NO VALUE TEXT</v>
      </c>
      <c r="C18" s="11"/>
      <c r="D18" s="2">
        <f>0</f>
        <v>0</v>
      </c>
      <c r="E18" s="2"/>
      <c r="F18" s="19"/>
      <c r="G18" s="2"/>
      <c r="H18" s="2">
        <f>0</f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0</f>
        <v>0</v>
      </c>
      <c r="Q18" s="2"/>
      <c r="R18" s="19"/>
      <c r="S18" s="2"/>
      <c r="T18" s="2">
        <f>--9.6</f>
        <v>9.6</v>
      </c>
      <c r="U18" s="2"/>
      <c r="V18" s="19"/>
      <c r="W18" s="2"/>
      <c r="X18" s="2">
        <f t="shared" si="2"/>
        <v>-9.6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"4013", " - ", "TAXABLE SALES-TRADE BOOKS")</f>
        <v xml:space="preserve">          4013 - TAXABLE SALES-TRADE BOOKS</v>
      </c>
      <c r="C19" s="11"/>
      <c r="D19" s="2">
        <f>--157.47</f>
        <v>157.47</v>
      </c>
      <c r="E19" s="2"/>
      <c r="F19" s="19"/>
      <c r="G19" s="2"/>
      <c r="H19" s="2">
        <f>--686.63</f>
        <v>686.63</v>
      </c>
      <c r="I19" s="2"/>
      <c r="J19" s="19"/>
      <c r="K19" s="2"/>
      <c r="L19" s="2">
        <f t="shared" si="0"/>
        <v>-529.16</v>
      </c>
      <c r="M19" s="2"/>
      <c r="N19" s="19">
        <f t="shared" si="1"/>
        <v>-0.77066251110496187</v>
      </c>
      <c r="O19" s="11"/>
      <c r="P19" s="2">
        <f>--197.37</f>
        <v>197.37</v>
      </c>
      <c r="Q19" s="2"/>
      <c r="R19" s="19"/>
      <c r="S19" s="2"/>
      <c r="T19" s="2">
        <f>--827.39</f>
        <v>827.39</v>
      </c>
      <c r="U19" s="2"/>
      <c r="V19" s="19"/>
      <c r="W19" s="2"/>
      <c r="X19" s="2">
        <f t="shared" si="2"/>
        <v>-630.02</v>
      </c>
      <c r="Y19" s="2"/>
      <c r="Z19" s="19">
        <f t="shared" si="3"/>
        <v>-0.76145469488391204</v>
      </c>
    </row>
    <row r="20" spans="1:26" s="24" customFormat="1" hidden="1" outlineLevel="1" x14ac:dyDescent="0.25">
      <c r="A20" s="44"/>
      <c r="B20" s="11" t="str">
        <f>CONCATENATE("          ", "4014", " - ", "TAXABLE SALES-REMAINDERS")</f>
        <v xml:space="preserve">          4014 - TAXABLE SALES-REMAINDERS</v>
      </c>
      <c r="C20" s="11"/>
      <c r="D20" s="2">
        <f>--35.8</f>
        <v>35.799999999999997</v>
      </c>
      <c r="E20" s="2"/>
      <c r="F20" s="19"/>
      <c r="G20" s="2"/>
      <c r="H20" s="2">
        <f>--171.13</f>
        <v>171.13</v>
      </c>
      <c r="I20" s="2"/>
      <c r="J20" s="19"/>
      <c r="K20" s="2"/>
      <c r="L20" s="2">
        <f t="shared" si="0"/>
        <v>-135.32999999999998</v>
      </c>
      <c r="M20" s="2"/>
      <c r="N20" s="19">
        <f t="shared" si="1"/>
        <v>-0.79080231403026935</v>
      </c>
      <c r="O20" s="11"/>
      <c r="P20" s="2">
        <f>--340.24</f>
        <v>340.24</v>
      </c>
      <c r="Q20" s="2"/>
      <c r="R20" s="19"/>
      <c r="S20" s="2"/>
      <c r="T20" s="2">
        <f>--694.22</f>
        <v>694.22</v>
      </c>
      <c r="U20" s="2"/>
      <c r="V20" s="19"/>
      <c r="W20" s="2"/>
      <c r="X20" s="2">
        <f t="shared" si="2"/>
        <v>-353.98</v>
      </c>
      <c r="Y20" s="2"/>
      <c r="Z20" s="19">
        <f t="shared" si="3"/>
        <v>-0.50989599838667854</v>
      </c>
    </row>
    <row r="21" spans="1:26" s="24" customFormat="1" hidden="1" outlineLevel="1" x14ac:dyDescent="0.25">
      <c r="A21" s="44"/>
      <c r="B21" s="11" t="str">
        <f>CONCATENATE("          ", "4017", " - ", "TAXABLE SALES-DORM/HOUSEWARES")</f>
        <v xml:space="preserve">          4017 - TAXABLE SALES-DORM/HOUSEWARES</v>
      </c>
      <c r="C21" s="11"/>
      <c r="D21" s="2">
        <f t="shared" ref="D21:D24" si="4">0</f>
        <v>0</v>
      </c>
      <c r="E21" s="2"/>
      <c r="F21" s="19"/>
      <c r="G21" s="2"/>
      <c r="H21" s="2">
        <f>--2.98</f>
        <v>2.98</v>
      </c>
      <c r="I21" s="2"/>
      <c r="J21" s="19"/>
      <c r="K21" s="2"/>
      <c r="L21" s="2">
        <f t="shared" si="0"/>
        <v>-2.98</v>
      </c>
      <c r="M21" s="2"/>
      <c r="N21" s="19">
        <f t="shared" si="1"/>
        <v>-1</v>
      </c>
      <c r="O21" s="11"/>
      <c r="P21" s="2">
        <f>0</f>
        <v>0</v>
      </c>
      <c r="Q21" s="2"/>
      <c r="R21" s="19"/>
      <c r="S21" s="2"/>
      <c r="T21" s="2">
        <f>--225.67</f>
        <v>225.67</v>
      </c>
      <c r="U21" s="2"/>
      <c r="V21" s="19"/>
      <c r="W21" s="2"/>
      <c r="X21" s="2">
        <f t="shared" si="2"/>
        <v>-225.67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"4018", " - ", "TAXABLE SALES-STUDY GUIDES")</f>
        <v xml:space="preserve">          4018 - TAXABLE SALES-STUDY GUIDES</v>
      </c>
      <c r="C22" s="11"/>
      <c r="D22" s="2">
        <f t="shared" si="4"/>
        <v>0</v>
      </c>
      <c r="E22" s="2"/>
      <c r="F22" s="19"/>
      <c r="G22" s="2"/>
      <c r="H22" s="2">
        <f>--394.68</f>
        <v>394.68</v>
      </c>
      <c r="I22" s="2"/>
      <c r="J22" s="19"/>
      <c r="K22" s="2"/>
      <c r="L22" s="2">
        <f t="shared" si="0"/>
        <v>-394.68</v>
      </c>
      <c r="M22" s="2"/>
      <c r="N22" s="19">
        <f t="shared" si="1"/>
        <v>-1</v>
      </c>
      <c r="O22" s="11"/>
      <c r="P22" s="2">
        <f>--183.89</f>
        <v>183.89</v>
      </c>
      <c r="Q22" s="2"/>
      <c r="R22" s="19"/>
      <c r="S22" s="2"/>
      <c r="T22" s="2">
        <f>--2454.83</f>
        <v>2454.83</v>
      </c>
      <c r="U22" s="2"/>
      <c r="V22" s="19"/>
      <c r="W22" s="2"/>
      <c r="X22" s="2">
        <f t="shared" si="2"/>
        <v>-2270.94</v>
      </c>
      <c r="Y22" s="2"/>
      <c r="Z22" s="19">
        <f t="shared" si="3"/>
        <v>-0.92509053580084977</v>
      </c>
    </row>
    <row r="23" spans="1:26" s="24" customFormat="1" hidden="1" outlineLevel="1" x14ac:dyDescent="0.25">
      <c r="A23" s="44"/>
      <c r="B23" s="11" t="str">
        <f>CONCATENATE("          ", "4019", " - ", "TAXABLE SALES-BOOK RELATED")</f>
        <v xml:space="preserve">          4019 - TAXABLE SALES-BOOK RELATED</v>
      </c>
      <c r="C23" s="11"/>
      <c r="D23" s="2">
        <f t="shared" si="4"/>
        <v>0</v>
      </c>
      <c r="E23" s="2"/>
      <c r="F23" s="19"/>
      <c r="G23" s="2"/>
      <c r="H23" s="2">
        <f>--14.95</f>
        <v>14.95</v>
      </c>
      <c r="I23" s="2"/>
      <c r="J23" s="19"/>
      <c r="K23" s="2"/>
      <c r="L23" s="2">
        <f t="shared" si="0"/>
        <v>-14.95</v>
      </c>
      <c r="M23" s="2"/>
      <c r="N23" s="19">
        <f t="shared" si="1"/>
        <v>-1</v>
      </c>
      <c r="O23" s="11"/>
      <c r="P23" s="2">
        <f t="shared" ref="P23:P24" si="5">0</f>
        <v>0</v>
      </c>
      <c r="Q23" s="2"/>
      <c r="R23" s="19"/>
      <c r="S23" s="2"/>
      <c r="T23" s="2">
        <f>--29.9</f>
        <v>29.9</v>
      </c>
      <c r="U23" s="2"/>
      <c r="V23" s="19"/>
      <c r="W23" s="2"/>
      <c r="X23" s="2">
        <f t="shared" si="2"/>
        <v>-29.9</v>
      </c>
      <c r="Y23" s="2"/>
      <c r="Z23" s="19">
        <f t="shared" si="3"/>
        <v>-1</v>
      </c>
    </row>
    <row r="24" spans="1:26" s="24" customFormat="1" hidden="1" outlineLevel="1" x14ac:dyDescent="0.25">
      <c r="A24" s="44"/>
      <c r="B24" s="11" t="str">
        <f>CONCATENATE("          ", "4025", " - ", "TAXABLE SALES-TEST FORMS")</f>
        <v xml:space="preserve">          4025 - TAXABLE SALES-TEST FORMS</v>
      </c>
      <c r="C24" s="11"/>
      <c r="D24" s="2">
        <f t="shared" si="4"/>
        <v>0</v>
      </c>
      <c r="E24" s="2"/>
      <c r="F24" s="19"/>
      <c r="G24" s="2"/>
      <c r="H24" s="2">
        <f>--10035.97</f>
        <v>10035.969999999999</v>
      </c>
      <c r="I24" s="2"/>
      <c r="J24" s="19"/>
      <c r="K24" s="2"/>
      <c r="L24" s="2">
        <f t="shared" si="0"/>
        <v>-10035.969999999999</v>
      </c>
      <c r="M24" s="2"/>
      <c r="N24" s="19">
        <f t="shared" si="1"/>
        <v>-1</v>
      </c>
      <c r="O24" s="11"/>
      <c r="P24" s="2">
        <f t="shared" si="5"/>
        <v>0</v>
      </c>
      <c r="Q24" s="2"/>
      <c r="R24" s="19"/>
      <c r="S24" s="2"/>
      <c r="T24" s="2">
        <f>--26332.04</f>
        <v>26332.04</v>
      </c>
      <c r="U24" s="2"/>
      <c r="V24" s="19"/>
      <c r="W24" s="2"/>
      <c r="X24" s="2">
        <f t="shared" si="2"/>
        <v>-26332.04</v>
      </c>
      <c r="Y24" s="2"/>
      <c r="Z24" s="19">
        <f t="shared" si="3"/>
        <v>-1</v>
      </c>
    </row>
    <row r="25" spans="1:26" s="24" customFormat="1" hidden="1" outlineLevel="1" x14ac:dyDescent="0.25">
      <c r="A25" s="44"/>
      <c r="B25" s="11" t="str">
        <f>CONCATENATE("          ", "4026", " - ", "TAXABLE SALES-WRITING INSTRUME")</f>
        <v xml:space="preserve">          4026 - TAXABLE SALES-WRITING INSTRUME</v>
      </c>
      <c r="C25" s="11"/>
      <c r="D25" s="2">
        <f>--20.8</f>
        <v>20.8</v>
      </c>
      <c r="E25" s="2"/>
      <c r="F25" s="19"/>
      <c r="G25" s="2"/>
      <c r="H25" s="2">
        <f>--12565.24</f>
        <v>12565.24</v>
      </c>
      <c r="I25" s="2"/>
      <c r="J25" s="19"/>
      <c r="K25" s="2"/>
      <c r="L25" s="2">
        <f t="shared" si="0"/>
        <v>-12544.44</v>
      </c>
      <c r="M25" s="2"/>
      <c r="N25" s="19">
        <f t="shared" si="1"/>
        <v>-0.99834463965670384</v>
      </c>
      <c r="O25" s="11"/>
      <c r="P25" s="2">
        <f>--278.83</f>
        <v>278.83</v>
      </c>
      <c r="Q25" s="2"/>
      <c r="R25" s="19"/>
      <c r="S25" s="2"/>
      <c r="T25" s="2">
        <f>--37064.54</f>
        <v>37064.54</v>
      </c>
      <c r="U25" s="2"/>
      <c r="V25" s="19"/>
      <c r="W25" s="2"/>
      <c r="X25" s="2">
        <f t="shared" si="2"/>
        <v>-36785.71</v>
      </c>
      <c r="Y25" s="2"/>
      <c r="Z25" s="19">
        <f t="shared" si="3"/>
        <v>-0.99247717629842425</v>
      </c>
    </row>
    <row r="26" spans="1:26" s="24" customFormat="1" hidden="1" outlineLevel="1" x14ac:dyDescent="0.25">
      <c r="A26" s="44"/>
      <c r="B26" s="11" t="str">
        <f>CONCATENATE("          ", "4027", " - ", "TAXABLE SALES-SCHOOL SUPPLIES")</f>
        <v xml:space="preserve">          4027 - TAXABLE SALES-SCHOOL SUPPLIES</v>
      </c>
      <c r="C26" s="11"/>
      <c r="D26" s="2">
        <f>--2328.89</f>
        <v>2328.89</v>
      </c>
      <c r="E26" s="2"/>
      <c r="F26" s="19"/>
      <c r="G26" s="2"/>
      <c r="H26" s="2">
        <f>--20952.95</f>
        <v>20952.95</v>
      </c>
      <c r="I26" s="2"/>
      <c r="J26" s="19"/>
      <c r="K26" s="2"/>
      <c r="L26" s="2">
        <f t="shared" si="0"/>
        <v>-18624.060000000001</v>
      </c>
      <c r="M26" s="2"/>
      <c r="N26" s="19">
        <f t="shared" si="1"/>
        <v>-0.88885145051174186</v>
      </c>
      <c r="O26" s="11"/>
      <c r="P26" s="2">
        <f>--35003.5</f>
        <v>35003.5</v>
      </c>
      <c r="Q26" s="2"/>
      <c r="R26" s="19"/>
      <c r="S26" s="2"/>
      <c r="T26" s="2">
        <f>--144273.54</f>
        <v>144273.54</v>
      </c>
      <c r="U26" s="2"/>
      <c r="V26" s="19"/>
      <c r="W26" s="2"/>
      <c r="X26" s="2">
        <f t="shared" si="2"/>
        <v>-109270.04000000001</v>
      </c>
      <c r="Y26" s="2"/>
      <c r="Z26" s="19">
        <f t="shared" si="3"/>
        <v>-0.7573810138712892</v>
      </c>
    </row>
    <row r="27" spans="1:26" s="24" customFormat="1" hidden="1" outlineLevel="1" x14ac:dyDescent="0.25">
      <c r="A27" s="44"/>
      <c r="B27" s="11" t="str">
        <f>CONCATENATE("          ", "4028", " - ", "TAXABLE SALES-ART/TECH")</f>
        <v xml:space="preserve">          4028 - TAXABLE SALES-ART/TECH</v>
      </c>
      <c r="C27" s="11"/>
      <c r="D27" s="2">
        <f>--1769.95</f>
        <v>1769.95</v>
      </c>
      <c r="E27" s="2"/>
      <c r="F27" s="19"/>
      <c r="G27" s="2"/>
      <c r="H27" s="2">
        <f>--45836.99</f>
        <v>45836.99</v>
      </c>
      <c r="I27" s="2"/>
      <c r="J27" s="19"/>
      <c r="K27" s="2"/>
      <c r="L27" s="2">
        <f t="shared" si="0"/>
        <v>-44067.040000000001</v>
      </c>
      <c r="M27" s="2"/>
      <c r="N27" s="19">
        <f t="shared" si="1"/>
        <v>-0.9613859897868513</v>
      </c>
      <c r="O27" s="11"/>
      <c r="P27" s="2">
        <f>--14268.85</f>
        <v>14268.85</v>
      </c>
      <c r="Q27" s="2"/>
      <c r="R27" s="19"/>
      <c r="S27" s="2"/>
      <c r="T27" s="2">
        <f>--146564.67</f>
        <v>146564.67000000001</v>
      </c>
      <c r="U27" s="2"/>
      <c r="V27" s="19"/>
      <c r="W27" s="2"/>
      <c r="X27" s="2">
        <f t="shared" si="2"/>
        <v>-132295.82</v>
      </c>
      <c r="Y27" s="2"/>
      <c r="Z27" s="19">
        <f t="shared" si="3"/>
        <v>-0.90264468237809281</v>
      </c>
    </row>
    <row r="28" spans="1:26" s="24" customFormat="1" hidden="1" outlineLevel="1" x14ac:dyDescent="0.25">
      <c r="A28" s="44"/>
      <c r="B28" s="11" t="str">
        <f>CONCATENATE("          ", "4031", " - ", "TAXABLE SALES-FOOD")</f>
        <v xml:space="preserve">          4031 - TAXABLE SALES-FOOD</v>
      </c>
      <c r="C28" s="11"/>
      <c r="D28" s="2">
        <f>--429.8</f>
        <v>429.8</v>
      </c>
      <c r="E28" s="2"/>
      <c r="F28" s="19"/>
      <c r="G28" s="2"/>
      <c r="H28" s="2">
        <f>--100.46</f>
        <v>100.46</v>
      </c>
      <c r="I28" s="2"/>
      <c r="J28" s="19"/>
      <c r="K28" s="2"/>
      <c r="L28" s="2">
        <f t="shared" si="0"/>
        <v>329.34000000000003</v>
      </c>
      <c r="M28" s="2"/>
      <c r="N28" s="19">
        <f t="shared" si="1"/>
        <v>3.2783197292454713</v>
      </c>
      <c r="O28" s="11"/>
      <c r="P28" s="2">
        <f>--1667.96</f>
        <v>1667.96</v>
      </c>
      <c r="Q28" s="2"/>
      <c r="R28" s="19"/>
      <c r="S28" s="2"/>
      <c r="T28" s="2">
        <f>--221.28</f>
        <v>221.28</v>
      </c>
      <c r="U28" s="2"/>
      <c r="V28" s="19"/>
      <c r="W28" s="2"/>
      <c r="X28" s="2">
        <f t="shared" si="2"/>
        <v>1446.68</v>
      </c>
      <c r="Y28" s="2"/>
      <c r="Z28" s="19">
        <f t="shared" si="3"/>
        <v>6.5377801879971082</v>
      </c>
    </row>
    <row r="29" spans="1:26" s="24" customFormat="1" hidden="1" outlineLevel="1" x14ac:dyDescent="0.25">
      <c r="A29" s="44"/>
      <c r="B29" s="11" t="str">
        <f>CONCATENATE("          ", "4032", " - ", "TAXABLE SALES-JUICE")</f>
        <v xml:space="preserve">          4032 - TAXABLE SALES-JUICE</v>
      </c>
      <c r="C29" s="11"/>
      <c r="D29" s="2">
        <f t="shared" ref="D29:D33" si="6">0</f>
        <v>0</v>
      </c>
      <c r="E29" s="2"/>
      <c r="F29" s="19"/>
      <c r="G29" s="2"/>
      <c r="H29" s="2">
        <f>--59190.6</f>
        <v>59190.6</v>
      </c>
      <c r="I29" s="2"/>
      <c r="J29" s="19"/>
      <c r="K29" s="2"/>
      <c r="L29" s="2">
        <f t="shared" si="0"/>
        <v>-59190.6</v>
      </c>
      <c r="M29" s="2"/>
      <c r="N29" s="19">
        <f t="shared" si="1"/>
        <v>-1</v>
      </c>
      <c r="O29" s="11"/>
      <c r="P29" s="2">
        <f>--444.59</f>
        <v>444.59</v>
      </c>
      <c r="Q29" s="2"/>
      <c r="R29" s="19"/>
      <c r="S29" s="2"/>
      <c r="T29" s="2">
        <f>--131868.29</f>
        <v>131868.29</v>
      </c>
      <c r="U29" s="2"/>
      <c r="V29" s="19"/>
      <c r="W29" s="2"/>
      <c r="X29" s="2">
        <f t="shared" si="2"/>
        <v>-131423.70000000001</v>
      </c>
      <c r="Y29" s="2"/>
      <c r="Z29" s="19">
        <f t="shared" si="3"/>
        <v>-0.99662852987628792</v>
      </c>
    </row>
    <row r="30" spans="1:26" s="24" customFormat="1" hidden="1" outlineLevel="1" x14ac:dyDescent="0.25">
      <c r="A30" s="44"/>
      <c r="B30" s="11" t="str">
        <f>CONCATENATE("          ", "4033", " - ", "TAXABLE SALES-CANDY")</f>
        <v xml:space="preserve">          4033 - TAXABLE SALES-CANDY</v>
      </c>
      <c r="C30" s="11"/>
      <c r="D30" s="2">
        <f t="shared" si="6"/>
        <v>0</v>
      </c>
      <c r="E30" s="2"/>
      <c r="F30" s="19"/>
      <c r="G30" s="2"/>
      <c r="H30" s="2">
        <f>--44.43</f>
        <v>44.43</v>
      </c>
      <c r="I30" s="2"/>
      <c r="J30" s="19"/>
      <c r="K30" s="2"/>
      <c r="L30" s="2">
        <f t="shared" si="0"/>
        <v>-44.43</v>
      </c>
      <c r="M30" s="2"/>
      <c r="N30" s="19">
        <f t="shared" si="1"/>
        <v>-1</v>
      </c>
      <c r="O30" s="11"/>
      <c r="P30" s="2">
        <f>0</f>
        <v>0</v>
      </c>
      <c r="Q30" s="2"/>
      <c r="R30" s="19"/>
      <c r="S30" s="2"/>
      <c r="T30" s="2">
        <f>--85.4</f>
        <v>85.4</v>
      </c>
      <c r="U30" s="2"/>
      <c r="V30" s="19"/>
      <c r="W30" s="2"/>
      <c r="X30" s="2">
        <f t="shared" si="2"/>
        <v>-85.4</v>
      </c>
      <c r="Y30" s="2"/>
      <c r="Z30" s="19">
        <f t="shared" si="3"/>
        <v>-1</v>
      </c>
    </row>
    <row r="31" spans="1:26" s="24" customFormat="1" hidden="1" outlineLevel="1" x14ac:dyDescent="0.25">
      <c r="A31" s="44"/>
      <c r="B31" s="11" t="str">
        <f>CONCATENATE("          ", "4034", " - ", "TAXABLE SALES-SODA")</f>
        <v xml:space="preserve">          4034 - TAXABLE SALES-SODA</v>
      </c>
      <c r="C31" s="11"/>
      <c r="D31" s="2">
        <f t="shared" si="6"/>
        <v>0</v>
      </c>
      <c r="E31" s="2"/>
      <c r="F31" s="19"/>
      <c r="G31" s="2"/>
      <c r="H31" s="2">
        <f>--2386.44</f>
        <v>2386.44</v>
      </c>
      <c r="I31" s="2"/>
      <c r="J31" s="19"/>
      <c r="K31" s="2"/>
      <c r="L31" s="2">
        <f t="shared" si="0"/>
        <v>-2386.44</v>
      </c>
      <c r="M31" s="2"/>
      <c r="N31" s="19">
        <f t="shared" si="1"/>
        <v>-1</v>
      </c>
      <c r="O31" s="11"/>
      <c r="P31" s="2">
        <f>--6.78</f>
        <v>6.78</v>
      </c>
      <c r="Q31" s="2"/>
      <c r="R31" s="19"/>
      <c r="S31" s="2"/>
      <c r="T31" s="2">
        <f>--5396.32</f>
        <v>5396.32</v>
      </c>
      <c r="U31" s="2"/>
      <c r="V31" s="19"/>
      <c r="W31" s="2"/>
      <c r="X31" s="2">
        <f t="shared" si="2"/>
        <v>-5389.54</v>
      </c>
      <c r="Y31" s="2"/>
      <c r="Z31" s="19">
        <f t="shared" si="3"/>
        <v>-0.9987435882230854</v>
      </c>
    </row>
    <row r="32" spans="1:26" s="24" customFormat="1" hidden="1" outlineLevel="1" x14ac:dyDescent="0.25">
      <c r="A32" s="44"/>
      <c r="B32" s="11" t="str">
        <f>CONCATENATE("          ", "4035", " - ", "TAXABLE SALES-HEALTH &amp; BEAUTY")</f>
        <v xml:space="preserve">          4035 - TAXABLE SALES-HEALTH &amp; BEAUTY</v>
      </c>
      <c r="C32" s="11"/>
      <c r="D32" s="2">
        <f t="shared" si="6"/>
        <v>0</v>
      </c>
      <c r="E32" s="2"/>
      <c r="F32" s="19"/>
      <c r="G32" s="2"/>
      <c r="H32" s="2">
        <f>--425.93</f>
        <v>425.93</v>
      </c>
      <c r="I32" s="2"/>
      <c r="J32" s="19"/>
      <c r="K32" s="2"/>
      <c r="L32" s="2">
        <f t="shared" si="0"/>
        <v>-425.93</v>
      </c>
      <c r="M32" s="2"/>
      <c r="N32" s="19">
        <f t="shared" si="1"/>
        <v>-1</v>
      </c>
      <c r="O32" s="11"/>
      <c r="P32" s="2">
        <f t="shared" ref="P32:P33" si="7">0</f>
        <v>0</v>
      </c>
      <c r="Q32" s="2"/>
      <c r="R32" s="19"/>
      <c r="S32" s="2"/>
      <c r="T32" s="2">
        <f>--864.36</f>
        <v>864.36</v>
      </c>
      <c r="U32" s="2"/>
      <c r="V32" s="19"/>
      <c r="W32" s="2"/>
      <c r="X32" s="2">
        <f t="shared" si="2"/>
        <v>-864.36</v>
      </c>
      <c r="Y32" s="2"/>
      <c r="Z32" s="19">
        <f t="shared" si="3"/>
        <v>-1</v>
      </c>
    </row>
    <row r="33" spans="1:26" s="24" customFormat="1" hidden="1" outlineLevel="1" x14ac:dyDescent="0.25">
      <c r="A33" s="44"/>
      <c r="B33" s="11" t="str">
        <f>CONCATENATE("          ", "4037", " - ", "TAXABLE SALES-WATER")</f>
        <v xml:space="preserve">          4037 - TAXABLE SALES-WATER</v>
      </c>
      <c r="C33" s="11"/>
      <c r="D33" s="2">
        <f t="shared" si="6"/>
        <v>0</v>
      </c>
      <c r="E33" s="2"/>
      <c r="F33" s="19"/>
      <c r="G33" s="2"/>
      <c r="H33" s="2">
        <f>--128.42</f>
        <v>128.41999999999999</v>
      </c>
      <c r="I33" s="2"/>
      <c r="J33" s="19"/>
      <c r="K33" s="2"/>
      <c r="L33" s="2">
        <f t="shared" si="0"/>
        <v>-128.41999999999999</v>
      </c>
      <c r="M33" s="2"/>
      <c r="N33" s="19">
        <f t="shared" si="1"/>
        <v>-1</v>
      </c>
      <c r="O33" s="11"/>
      <c r="P33" s="2">
        <f t="shared" si="7"/>
        <v>0</v>
      </c>
      <c r="Q33" s="2"/>
      <c r="R33" s="19"/>
      <c r="S33" s="2"/>
      <c r="T33" s="2">
        <f>--302.57</f>
        <v>302.57</v>
      </c>
      <c r="U33" s="2"/>
      <c r="V33" s="19"/>
      <c r="W33" s="2"/>
      <c r="X33" s="2">
        <f t="shared" si="2"/>
        <v>-302.57</v>
      </c>
      <c r="Y33" s="2"/>
      <c r="Z33" s="19">
        <f t="shared" si="3"/>
        <v>-1</v>
      </c>
    </row>
    <row r="34" spans="1:26" s="24" customFormat="1" hidden="1" outlineLevel="1" x14ac:dyDescent="0.25">
      <c r="A34" s="44"/>
      <c r="B34" s="11" t="str">
        <f>CONCATENATE("          ", "4040", " - ", "TAXABLE SALES-LOGO CLOTHING")</f>
        <v xml:space="preserve">          4040 - TAXABLE SALES-LOGO CLOTHING</v>
      </c>
      <c r="C34" s="11"/>
      <c r="D34" s="2">
        <f>--54384.72</f>
        <v>54384.72</v>
      </c>
      <c r="E34" s="2"/>
      <c r="F34" s="19"/>
      <c r="G34" s="2"/>
      <c r="H34" s="2">
        <f>--215340.93</f>
        <v>215340.93</v>
      </c>
      <c r="I34" s="2"/>
      <c r="J34" s="19"/>
      <c r="K34" s="2"/>
      <c r="L34" s="2">
        <f t="shared" si="0"/>
        <v>-160956.21</v>
      </c>
      <c r="M34" s="2"/>
      <c r="N34" s="19">
        <f t="shared" si="1"/>
        <v>-0.74744829048523198</v>
      </c>
      <c r="O34" s="11"/>
      <c r="P34" s="2">
        <f>--382804.91</f>
        <v>382804.91</v>
      </c>
      <c r="Q34" s="2"/>
      <c r="R34" s="19"/>
      <c r="S34" s="2"/>
      <c r="T34" s="2">
        <f>--848240.45</f>
        <v>848240.45</v>
      </c>
      <c r="U34" s="2"/>
      <c r="V34" s="19"/>
      <c r="W34" s="2"/>
      <c r="X34" s="2">
        <f t="shared" si="2"/>
        <v>-465435.54</v>
      </c>
      <c r="Y34" s="2"/>
      <c r="Z34" s="19">
        <f t="shared" si="3"/>
        <v>-0.54870707946078257</v>
      </c>
    </row>
    <row r="35" spans="1:26" s="24" customFormat="1" hidden="1" outlineLevel="1" x14ac:dyDescent="0.25">
      <c r="A35" s="44"/>
      <c r="B35" s="11" t="str">
        <f>CONCATENATE("          ", "4041", " - ", "TAXABLE SALES-LOGO GIFTS")</f>
        <v xml:space="preserve">          4041 - TAXABLE SALES-LOGO GIFTS</v>
      </c>
      <c r="C35" s="11"/>
      <c r="D35" s="2">
        <f>--22053.6</f>
        <v>22053.599999999999</v>
      </c>
      <c r="E35" s="2"/>
      <c r="F35" s="19"/>
      <c r="G35" s="2"/>
      <c r="H35" s="2">
        <f>--27181.29</f>
        <v>27181.29</v>
      </c>
      <c r="I35" s="2"/>
      <c r="J35" s="19"/>
      <c r="K35" s="2"/>
      <c r="L35" s="2">
        <f t="shared" si="0"/>
        <v>-5127.6900000000023</v>
      </c>
      <c r="M35" s="2"/>
      <c r="N35" s="19">
        <f t="shared" si="1"/>
        <v>-0.18864777941002808</v>
      </c>
      <c r="O35" s="11"/>
      <c r="P35" s="2">
        <f>--153087.22</f>
        <v>153087.22</v>
      </c>
      <c r="Q35" s="2"/>
      <c r="R35" s="19"/>
      <c r="S35" s="2"/>
      <c r="T35" s="2">
        <f>--228813.9</f>
        <v>228813.9</v>
      </c>
      <c r="U35" s="2"/>
      <c r="V35" s="19"/>
      <c r="W35" s="2"/>
      <c r="X35" s="2">
        <f t="shared" si="2"/>
        <v>-75726.679999999993</v>
      </c>
      <c r="Y35" s="2"/>
      <c r="Z35" s="19">
        <f t="shared" si="3"/>
        <v>-0.330953145766057</v>
      </c>
    </row>
    <row r="36" spans="1:26" s="24" customFormat="1" hidden="1" outlineLevel="1" x14ac:dyDescent="0.25">
      <c r="A36" s="44"/>
      <c r="B36" s="11" t="str">
        <f>CONCATENATE("          ", "4042", " - ", "TAXABLE SALES-EVERYDAY GIFTS")</f>
        <v xml:space="preserve">          4042 - TAXABLE SALES-EVERYDAY GIFTS</v>
      </c>
      <c r="C36" s="11"/>
      <c r="D36" s="2">
        <f>--6854.18</f>
        <v>6854.18</v>
      </c>
      <c r="E36" s="2"/>
      <c r="F36" s="19"/>
      <c r="G36" s="2"/>
      <c r="H36" s="2">
        <f>--29192.1</f>
        <v>29192.1</v>
      </c>
      <c r="I36" s="2"/>
      <c r="J36" s="19"/>
      <c r="K36" s="2"/>
      <c r="L36" s="2">
        <f t="shared" si="0"/>
        <v>-22337.919999999998</v>
      </c>
      <c r="M36" s="2"/>
      <c r="N36" s="19">
        <f t="shared" si="1"/>
        <v>-0.76520428472086621</v>
      </c>
      <c r="O36" s="11"/>
      <c r="P36" s="2">
        <f>--54783.68</f>
        <v>54783.68</v>
      </c>
      <c r="Q36" s="2"/>
      <c r="R36" s="19"/>
      <c r="S36" s="2"/>
      <c r="T36" s="2">
        <f>--124310.37</f>
        <v>124310.37</v>
      </c>
      <c r="U36" s="2"/>
      <c r="V36" s="19"/>
      <c r="W36" s="2"/>
      <c r="X36" s="2">
        <f t="shared" si="2"/>
        <v>-69526.69</v>
      </c>
      <c r="Y36" s="2"/>
      <c r="Z36" s="19">
        <f t="shared" si="3"/>
        <v>-0.55929919603650124</v>
      </c>
    </row>
    <row r="37" spans="1:26" s="24" customFormat="1" hidden="1" outlineLevel="1" x14ac:dyDescent="0.25">
      <c r="A37" s="44"/>
      <c r="B37" s="11" t="str">
        <f>CONCATENATE("          ", "4043", " - ", "TAXABLE SALES-CARDS")</f>
        <v xml:space="preserve">          4043 - TAXABLE SALES-CARDS</v>
      </c>
      <c r="C37" s="11"/>
      <c r="D37" s="2">
        <f>--30454.88</f>
        <v>30454.880000000001</v>
      </c>
      <c r="E37" s="2"/>
      <c r="F37" s="19"/>
      <c r="G37" s="2"/>
      <c r="H37" s="2">
        <f>--63.04</f>
        <v>63.04</v>
      </c>
      <c r="I37" s="2"/>
      <c r="J37" s="19"/>
      <c r="K37" s="2"/>
      <c r="L37" s="2">
        <f t="shared" si="0"/>
        <v>30391.84</v>
      </c>
      <c r="M37" s="2"/>
      <c r="N37" s="19">
        <f t="shared" si="1"/>
        <v>482.10406091370561</v>
      </c>
      <c r="O37" s="11"/>
      <c r="P37" s="2">
        <f>--40246.04</f>
        <v>40246.04</v>
      </c>
      <c r="Q37" s="2"/>
      <c r="R37" s="19"/>
      <c r="S37" s="2"/>
      <c r="T37" s="2">
        <f>--520.85</f>
        <v>520.85</v>
      </c>
      <c r="U37" s="2"/>
      <c r="V37" s="19"/>
      <c r="W37" s="2"/>
      <c r="X37" s="2">
        <f t="shared" si="2"/>
        <v>39725.19</v>
      </c>
      <c r="Y37" s="2"/>
      <c r="Z37" s="19">
        <f t="shared" si="3"/>
        <v>76.269924162426804</v>
      </c>
    </row>
    <row r="38" spans="1:26" s="24" customFormat="1" hidden="1" outlineLevel="1" x14ac:dyDescent="0.25">
      <c r="A38" s="44"/>
      <c r="B38" s="11" t="str">
        <f>CONCATENATE("          ", "4044", " - ", "TAXABLE SALES-ACCESSORIES")</f>
        <v xml:space="preserve">          4044 - TAXABLE SALES-ACCESSORIES</v>
      </c>
      <c r="C38" s="11"/>
      <c r="D38" s="2">
        <f>--1157.64</f>
        <v>1157.6400000000001</v>
      </c>
      <c r="E38" s="2"/>
      <c r="F38" s="19"/>
      <c r="G38" s="2"/>
      <c r="H38" s="2">
        <f>--4838.74</f>
        <v>4838.74</v>
      </c>
      <c r="I38" s="2"/>
      <c r="J38" s="19"/>
      <c r="K38" s="2"/>
      <c r="L38" s="2">
        <f t="shared" si="0"/>
        <v>-3681.0999999999995</v>
      </c>
      <c r="M38" s="2"/>
      <c r="N38" s="19">
        <f t="shared" si="1"/>
        <v>-0.76075589926303122</v>
      </c>
      <c r="O38" s="11"/>
      <c r="P38" s="2">
        <f>--12489.16</f>
        <v>12489.16</v>
      </c>
      <c r="Q38" s="2"/>
      <c r="R38" s="19"/>
      <c r="S38" s="2"/>
      <c r="T38" s="2">
        <f>--33067.15</f>
        <v>33067.15</v>
      </c>
      <c r="U38" s="2"/>
      <c r="V38" s="19"/>
      <c r="W38" s="2"/>
      <c r="X38" s="2">
        <f t="shared" si="2"/>
        <v>-20577.990000000002</v>
      </c>
      <c r="Y38" s="2"/>
      <c r="Z38" s="19">
        <f t="shared" si="3"/>
        <v>-0.62230914971504958</v>
      </c>
    </row>
    <row r="39" spans="1:26" s="24" customFormat="1" hidden="1" outlineLevel="1" x14ac:dyDescent="0.25">
      <c r="A39" s="44"/>
      <c r="B39" s="11" t="str">
        <f>CONCATENATE("          ", "4045", " - ", "TAXABLE SALES-SPECIAL ORDERS")</f>
        <v xml:space="preserve">          4045 - TAXABLE SALES-SPECIAL ORDERS</v>
      </c>
      <c r="C39" s="11"/>
      <c r="D39" s="2">
        <f>--4950.17</f>
        <v>4950.17</v>
      </c>
      <c r="E39" s="2"/>
      <c r="F39" s="19"/>
      <c r="G39" s="2"/>
      <c r="H39" s="2">
        <f>--4525.99</f>
        <v>4525.99</v>
      </c>
      <c r="I39" s="2"/>
      <c r="J39" s="19"/>
      <c r="K39" s="2"/>
      <c r="L39" s="2">
        <f t="shared" si="0"/>
        <v>424.18000000000029</v>
      </c>
      <c r="M39" s="2"/>
      <c r="N39" s="19">
        <f t="shared" si="1"/>
        <v>9.3720931774042879E-2</v>
      </c>
      <c r="O39" s="11"/>
      <c r="P39" s="2">
        <f>--96956.61</f>
        <v>96956.61</v>
      </c>
      <c r="Q39" s="2"/>
      <c r="R39" s="19"/>
      <c r="S39" s="2"/>
      <c r="T39" s="2">
        <f>--35853.1</f>
        <v>35853.1</v>
      </c>
      <c r="U39" s="2"/>
      <c r="V39" s="19"/>
      <c r="W39" s="2"/>
      <c r="X39" s="2">
        <f t="shared" si="2"/>
        <v>61103.51</v>
      </c>
      <c r="Y39" s="2"/>
      <c r="Z39" s="19">
        <f t="shared" si="3"/>
        <v>1.7042741073993604</v>
      </c>
    </row>
    <row r="40" spans="1:26" s="24" customFormat="1" hidden="1" outlineLevel="1" x14ac:dyDescent="0.25">
      <c r="A40" s="44"/>
      <c r="B40" s="11" t="str">
        <f>CONCATENATE("          ", "4047", " - ", "TAXABLE SALES-MISC")</f>
        <v xml:space="preserve">          4047 - TAXABLE SALES-MISC</v>
      </c>
      <c r="C40" s="11"/>
      <c r="D40" s="2">
        <f t="shared" ref="D40:D47" si="8">0</f>
        <v>0</v>
      </c>
      <c r="E40" s="2"/>
      <c r="F40" s="19"/>
      <c r="G40" s="2"/>
      <c r="H40" s="2">
        <f>--402.65</f>
        <v>402.65</v>
      </c>
      <c r="I40" s="2"/>
      <c r="J40" s="19"/>
      <c r="K40" s="2"/>
      <c r="L40" s="2">
        <f t="shared" si="0"/>
        <v>-402.65</v>
      </c>
      <c r="M40" s="2"/>
      <c r="N40" s="19">
        <f t="shared" si="1"/>
        <v>-1</v>
      </c>
      <c r="O40" s="11"/>
      <c r="P40" s="2">
        <f t="shared" ref="P40:P41" si="9">0</f>
        <v>0</v>
      </c>
      <c r="Q40" s="2"/>
      <c r="R40" s="19"/>
      <c r="S40" s="2"/>
      <c r="T40" s="2">
        <f>--1374</f>
        <v>1374</v>
      </c>
      <c r="U40" s="2"/>
      <c r="V40" s="19"/>
      <c r="W40" s="2"/>
      <c r="X40" s="2">
        <f t="shared" si="2"/>
        <v>-1374</v>
      </c>
      <c r="Y40" s="2"/>
      <c r="Z40" s="19">
        <f t="shared" si="3"/>
        <v>-1</v>
      </c>
    </row>
    <row r="41" spans="1:26" s="24" customFormat="1" hidden="1" outlineLevel="1" x14ac:dyDescent="0.25">
      <c r="A41" s="44"/>
      <c r="B41" s="11" t="str">
        <f>CONCATENATE("          ", "4051", " - ", "TAXABLE SALES-FOOD")</f>
        <v xml:space="preserve">          4051 - TAXABLE SALES-FOOD</v>
      </c>
      <c r="C41" s="11"/>
      <c r="D41" s="2">
        <f t="shared" si="8"/>
        <v>0</v>
      </c>
      <c r="E41" s="2"/>
      <c r="F41" s="19"/>
      <c r="G41" s="2"/>
      <c r="H41" s="2">
        <f>--35500.4</f>
        <v>35500.400000000001</v>
      </c>
      <c r="I41" s="2"/>
      <c r="J41" s="19"/>
      <c r="K41" s="2"/>
      <c r="L41" s="2">
        <f t="shared" si="0"/>
        <v>-35500.400000000001</v>
      </c>
      <c r="M41" s="2"/>
      <c r="N41" s="19">
        <f t="shared" si="1"/>
        <v>-1</v>
      </c>
      <c r="O41" s="11"/>
      <c r="P41" s="2">
        <f t="shared" si="9"/>
        <v>0</v>
      </c>
      <c r="Q41" s="2"/>
      <c r="R41" s="19"/>
      <c r="S41" s="2"/>
      <c r="T41" s="2">
        <f>--74419.27</f>
        <v>74419.27</v>
      </c>
      <c r="U41" s="2"/>
      <c r="V41" s="19"/>
      <c r="W41" s="2"/>
      <c r="X41" s="2">
        <f t="shared" si="2"/>
        <v>-74419.27</v>
      </c>
      <c r="Y41" s="2"/>
      <c r="Z41" s="19">
        <f t="shared" si="3"/>
        <v>-1</v>
      </c>
    </row>
    <row r="42" spans="1:26" s="24" customFormat="1" hidden="1" outlineLevel="1" x14ac:dyDescent="0.25">
      <c r="A42" s="44"/>
      <c r="B42" s="11" t="str">
        <f>CONCATENATE("          ", "4081", " - ", "TAXABLE SALES-ELECTRONICS")</f>
        <v xml:space="preserve">          4081 - TAXABLE SALES-ELECTRONICS</v>
      </c>
      <c r="C42" s="11"/>
      <c r="D42" s="2">
        <f t="shared" si="8"/>
        <v>0</v>
      </c>
      <c r="E42" s="2"/>
      <c r="F42" s="19"/>
      <c r="G42" s="2"/>
      <c r="H42" s="2">
        <f>--873.49</f>
        <v>873.49</v>
      </c>
      <c r="I42" s="2"/>
      <c r="J42" s="19"/>
      <c r="K42" s="2"/>
      <c r="L42" s="2">
        <f t="shared" si="0"/>
        <v>-873.49</v>
      </c>
      <c r="M42" s="2"/>
      <c r="N42" s="19">
        <f t="shared" si="1"/>
        <v>-1</v>
      </c>
      <c r="O42" s="11"/>
      <c r="P42" s="2">
        <f>--71.95</f>
        <v>71.95</v>
      </c>
      <c r="Q42" s="2"/>
      <c r="R42" s="19"/>
      <c r="S42" s="2"/>
      <c r="T42" s="2">
        <f>--1792.91</f>
        <v>1792.91</v>
      </c>
      <c r="U42" s="2"/>
      <c r="V42" s="19"/>
      <c r="W42" s="2"/>
      <c r="X42" s="2">
        <f t="shared" si="2"/>
        <v>-1720.96</v>
      </c>
      <c r="Y42" s="2"/>
      <c r="Z42" s="19">
        <f t="shared" si="3"/>
        <v>-0.95986970902053081</v>
      </c>
    </row>
    <row r="43" spans="1:26" s="24" customFormat="1" hidden="1" outlineLevel="1" x14ac:dyDescent="0.25">
      <c r="A43" s="44"/>
      <c r="B43" s="11" t="str">
        <f>CONCATENATE("          ", "4082", " - ", "TAXABLE SALES-COMPUTER HARDWAR")</f>
        <v xml:space="preserve">          4082 - TAXABLE SALES-COMPUTER HARDWAR</v>
      </c>
      <c r="C43" s="11"/>
      <c r="D43" s="2">
        <f t="shared" si="8"/>
        <v>0</v>
      </c>
      <c r="E43" s="2"/>
      <c r="F43" s="19"/>
      <c r="G43" s="2"/>
      <c r="H43" s="2">
        <f>0</f>
        <v>0</v>
      </c>
      <c r="I43" s="2"/>
      <c r="J43" s="19"/>
      <c r="K43" s="2"/>
      <c r="L43" s="2">
        <f t="shared" si="0"/>
        <v>0</v>
      </c>
      <c r="M43" s="2"/>
      <c r="N43" s="19">
        <f t="shared" si="1"/>
        <v>0</v>
      </c>
      <c r="O43" s="11"/>
      <c r="P43" s="2">
        <f>0</f>
        <v>0</v>
      </c>
      <c r="Q43" s="2"/>
      <c r="R43" s="19"/>
      <c r="S43" s="2"/>
      <c r="T43" s="2">
        <f>--162</f>
        <v>162</v>
      </c>
      <c r="U43" s="2"/>
      <c r="V43" s="19"/>
      <c r="W43" s="2"/>
      <c r="X43" s="2">
        <f t="shared" si="2"/>
        <v>-162</v>
      </c>
      <c r="Y43" s="2"/>
      <c r="Z43" s="19">
        <f t="shared" si="3"/>
        <v>-1</v>
      </c>
    </row>
    <row r="44" spans="1:26" s="24" customFormat="1" hidden="1" outlineLevel="1" x14ac:dyDescent="0.25">
      <c r="A44" s="44"/>
      <c r="B44" s="11" t="str">
        <f>CONCATENATE("          ", "4083", " - ", "TAXABLE SALES-COMPUTER EQUIPME")</f>
        <v xml:space="preserve">          4083 - TAXABLE SALES-COMPUTER EQUIPME</v>
      </c>
      <c r="C44" s="11"/>
      <c r="D44" s="2">
        <f t="shared" si="8"/>
        <v>0</v>
      </c>
      <c r="E44" s="2"/>
      <c r="F44" s="19"/>
      <c r="G44" s="2"/>
      <c r="H44" s="2">
        <f>--129.89</f>
        <v>129.88999999999999</v>
      </c>
      <c r="I44" s="2"/>
      <c r="J44" s="19"/>
      <c r="K44" s="2"/>
      <c r="L44" s="2">
        <f t="shared" si="0"/>
        <v>-129.88999999999999</v>
      </c>
      <c r="M44" s="2"/>
      <c r="N44" s="19">
        <f t="shared" si="1"/>
        <v>-1</v>
      </c>
      <c r="O44" s="11"/>
      <c r="P44" s="2">
        <f>--9.99</f>
        <v>9.99</v>
      </c>
      <c r="Q44" s="2"/>
      <c r="R44" s="19"/>
      <c r="S44" s="2"/>
      <c r="T44" s="2">
        <f>--429.69</f>
        <v>429.69</v>
      </c>
      <c r="U44" s="2"/>
      <c r="V44" s="19"/>
      <c r="W44" s="2"/>
      <c r="X44" s="2">
        <f t="shared" si="2"/>
        <v>-419.7</v>
      </c>
      <c r="Y44" s="2"/>
      <c r="Z44" s="19">
        <f t="shared" si="3"/>
        <v>-0.97675068072331217</v>
      </c>
    </row>
    <row r="45" spans="1:26" s="24" customFormat="1" hidden="1" outlineLevel="1" x14ac:dyDescent="0.25">
      <c r="A45" s="44"/>
      <c r="B45" s="11" t="str">
        <f>CONCATENATE("          ", "4086", " - ", "TAXABLE SALES-COMPUTER SUPPLIE")</f>
        <v xml:space="preserve">          4086 - TAXABLE SALES-COMPUTER SUPPLIE</v>
      </c>
      <c r="C45" s="11"/>
      <c r="D45" s="2">
        <f t="shared" si="8"/>
        <v>0</v>
      </c>
      <c r="E45" s="2"/>
      <c r="F45" s="19"/>
      <c r="G45" s="2"/>
      <c r="H45" s="2">
        <f>--80.97</f>
        <v>80.97</v>
      </c>
      <c r="I45" s="2"/>
      <c r="J45" s="19"/>
      <c r="K45" s="2"/>
      <c r="L45" s="2">
        <f t="shared" si="0"/>
        <v>-80.97</v>
      </c>
      <c r="M45" s="2"/>
      <c r="N45" s="19">
        <f t="shared" si="1"/>
        <v>-1</v>
      </c>
      <c r="O45" s="11"/>
      <c r="P45" s="2">
        <f t="shared" ref="P45:P47" si="10">0</f>
        <v>0</v>
      </c>
      <c r="Q45" s="2"/>
      <c r="R45" s="19"/>
      <c r="S45" s="2"/>
      <c r="T45" s="2">
        <f>--534.79</f>
        <v>534.79</v>
      </c>
      <c r="U45" s="2"/>
      <c r="V45" s="19"/>
      <c r="W45" s="2"/>
      <c r="X45" s="2">
        <f t="shared" si="2"/>
        <v>-534.79</v>
      </c>
      <c r="Y45" s="2"/>
      <c r="Z45" s="19">
        <f t="shared" si="3"/>
        <v>-1</v>
      </c>
    </row>
    <row r="46" spans="1:26" s="24" customFormat="1" hidden="1" outlineLevel="1" x14ac:dyDescent="0.25">
      <c r="A46" s="44"/>
      <c r="B46" s="11" t="str">
        <f>CONCATENATE("          ", "4092", " - ", "TAXABLE SALES-GRAD MERCH")</f>
        <v xml:space="preserve">          4092 - TAXABLE SALES-GRAD MERCH</v>
      </c>
      <c r="C46" s="11"/>
      <c r="D46" s="2">
        <f t="shared" si="8"/>
        <v>0</v>
      </c>
      <c r="E46" s="2"/>
      <c r="F46" s="19"/>
      <c r="G46" s="2"/>
      <c r="H46" s="2">
        <f>--1178.45</f>
        <v>1178.45</v>
      </c>
      <c r="I46" s="2"/>
      <c r="J46" s="19"/>
      <c r="K46" s="2"/>
      <c r="L46" s="2">
        <f t="shared" si="0"/>
        <v>-1178.45</v>
      </c>
      <c r="M46" s="2"/>
      <c r="N46" s="19">
        <f t="shared" si="1"/>
        <v>-1</v>
      </c>
      <c r="O46" s="11"/>
      <c r="P46" s="2">
        <f t="shared" si="10"/>
        <v>0</v>
      </c>
      <c r="Q46" s="2"/>
      <c r="R46" s="19"/>
      <c r="S46" s="2"/>
      <c r="T46" s="2">
        <f>--5051.08</f>
        <v>5051.08</v>
      </c>
      <c r="U46" s="2"/>
      <c r="V46" s="19"/>
      <c r="W46" s="2"/>
      <c r="X46" s="2">
        <f t="shared" si="2"/>
        <v>-5051.08</v>
      </c>
      <c r="Y46" s="2"/>
      <c r="Z46" s="19">
        <f t="shared" si="3"/>
        <v>-1</v>
      </c>
    </row>
    <row r="47" spans="1:26" s="24" customFormat="1" hidden="1" outlineLevel="1" x14ac:dyDescent="0.25">
      <c r="A47" s="44"/>
      <c r="B47" s="11" t="str">
        <f>CONCATENATE("          ", "4095", " - ", "TAXABLE SALES-CUSTOMER SERVICE")</f>
        <v xml:space="preserve">          4095 - TAXABLE SALES-CUSTOMER SERVICE</v>
      </c>
      <c r="C47" s="11"/>
      <c r="D47" s="2">
        <f t="shared" si="8"/>
        <v>0</v>
      </c>
      <c r="E47" s="2"/>
      <c r="F47" s="19"/>
      <c r="G47" s="2"/>
      <c r="H47" s="2">
        <f>--43.76</f>
        <v>43.76</v>
      </c>
      <c r="I47" s="2"/>
      <c r="J47" s="19"/>
      <c r="K47" s="2"/>
      <c r="L47" s="2">
        <f t="shared" si="0"/>
        <v>-43.76</v>
      </c>
      <c r="M47" s="2"/>
      <c r="N47" s="19">
        <f t="shared" si="1"/>
        <v>-1</v>
      </c>
      <c r="O47" s="11"/>
      <c r="P47" s="2">
        <f t="shared" si="10"/>
        <v>0</v>
      </c>
      <c r="Q47" s="2"/>
      <c r="R47" s="19"/>
      <c r="S47" s="2"/>
      <c r="T47" s="2">
        <f>--244.61</f>
        <v>244.61</v>
      </c>
      <c r="U47" s="2"/>
      <c r="V47" s="19"/>
      <c r="W47" s="2"/>
      <c r="X47" s="2">
        <f t="shared" si="2"/>
        <v>-244.61</v>
      </c>
      <c r="Y47" s="2"/>
      <c r="Z47" s="19">
        <f t="shared" si="3"/>
        <v>-1</v>
      </c>
    </row>
    <row r="48" spans="1:26" s="24" customFormat="1" hidden="1" outlineLevel="1" x14ac:dyDescent="0.25">
      <c r="A48" s="44"/>
      <c r="B48" s="11" t="str">
        <f>CONCATENATE("          ", "4100", " - ", "NON-TAXABLE SALES")</f>
        <v xml:space="preserve">          4100 - NON-TAXABLE SALES</v>
      </c>
      <c r="C48" s="11"/>
      <c r="D48" s="2">
        <f>--135.79</f>
        <v>135.79</v>
      </c>
      <c r="E48" s="2"/>
      <c r="F48" s="19"/>
      <c r="G48" s="2"/>
      <c r="H48" s="2">
        <f>--3713.9</f>
        <v>3713.9</v>
      </c>
      <c r="I48" s="2"/>
      <c r="J48" s="19"/>
      <c r="K48" s="2"/>
      <c r="L48" s="2">
        <f t="shared" si="0"/>
        <v>-3578.11</v>
      </c>
      <c r="M48" s="2"/>
      <c r="N48" s="19">
        <f t="shared" si="1"/>
        <v>-0.96343735695629928</v>
      </c>
      <c r="O48" s="11"/>
      <c r="P48" s="2">
        <f>--164479.81</f>
        <v>164479.81</v>
      </c>
      <c r="Q48" s="2"/>
      <c r="R48" s="19"/>
      <c r="S48" s="2"/>
      <c r="T48" s="2">
        <f>--335381.67</f>
        <v>335381.67</v>
      </c>
      <c r="U48" s="2"/>
      <c r="V48" s="19"/>
      <c r="W48" s="2"/>
      <c r="X48" s="2">
        <f t="shared" si="2"/>
        <v>-170901.86</v>
      </c>
      <c r="Y48" s="2"/>
      <c r="Z48" s="19">
        <f t="shared" si="3"/>
        <v>-0.5095742411921319</v>
      </c>
    </row>
    <row r="49" spans="1:26" s="24" customFormat="1" hidden="1" outlineLevel="1" x14ac:dyDescent="0.25">
      <c r="A49" s="44"/>
      <c r="B49" s="11" t="str">
        <f>CONCATENATE("          ", "4101", " - ", "NON-TAXABLE SALES-NEW TEXT")</f>
        <v xml:space="preserve">          4101 - NON-TAXABLE SALES-NEW TEXT</v>
      </c>
      <c r="C49" s="11"/>
      <c r="D49" s="2">
        <f>--7260.05</f>
        <v>7260.05</v>
      </c>
      <c r="E49" s="2"/>
      <c r="F49" s="19"/>
      <c r="G49" s="2"/>
      <c r="H49" s="2">
        <f>--8438.54</f>
        <v>8438.5400000000009</v>
      </c>
      <c r="I49" s="2"/>
      <c r="J49" s="19"/>
      <c r="K49" s="2"/>
      <c r="L49" s="2">
        <f t="shared" si="0"/>
        <v>-1178.4900000000007</v>
      </c>
      <c r="M49" s="2"/>
      <c r="N49" s="19">
        <f t="shared" si="1"/>
        <v>-0.13965567503383294</v>
      </c>
      <c r="O49" s="11"/>
      <c r="P49" s="2">
        <f>--77664.89</f>
        <v>77664.89</v>
      </c>
      <c r="Q49" s="2"/>
      <c r="R49" s="19"/>
      <c r="S49" s="2"/>
      <c r="T49" s="2">
        <f>--92331.09</f>
        <v>92331.09</v>
      </c>
      <c r="U49" s="2"/>
      <c r="V49" s="19"/>
      <c r="W49" s="2"/>
      <c r="X49" s="2">
        <f t="shared" si="2"/>
        <v>-14666.199999999997</v>
      </c>
      <c r="Y49" s="2"/>
      <c r="Z49" s="19">
        <f t="shared" si="3"/>
        <v>-0.15884357045931113</v>
      </c>
    </row>
    <row r="50" spans="1:26" s="24" customFormat="1" hidden="1" outlineLevel="1" x14ac:dyDescent="0.25">
      <c r="A50" s="44"/>
      <c r="B50" s="11" t="str">
        <f>CONCATENATE("          ", "4102", " - ", "NON-TAXABLE SALES-USED TEXT")</f>
        <v xml:space="preserve">          4102 - NON-TAXABLE SALES-USED TEXT</v>
      </c>
      <c r="C50" s="11"/>
      <c r="D50" s="2">
        <f>--2341.65</f>
        <v>2341.65</v>
      </c>
      <c r="E50" s="2"/>
      <c r="F50" s="19"/>
      <c r="G50" s="2"/>
      <c r="H50" s="2">
        <f>--578.81</f>
        <v>578.80999999999995</v>
      </c>
      <c r="I50" s="2"/>
      <c r="J50" s="19"/>
      <c r="K50" s="2"/>
      <c r="L50" s="2">
        <f t="shared" si="0"/>
        <v>1762.8400000000001</v>
      </c>
      <c r="M50" s="2"/>
      <c r="N50" s="19">
        <f t="shared" si="1"/>
        <v>3.0456280990307705</v>
      </c>
      <c r="O50" s="11"/>
      <c r="P50" s="2">
        <f>--32712.47</f>
        <v>32712.47</v>
      </c>
      <c r="Q50" s="2"/>
      <c r="R50" s="19"/>
      <c r="S50" s="2"/>
      <c r="T50" s="2">
        <f>--37022.32</f>
        <v>37022.32</v>
      </c>
      <c r="U50" s="2"/>
      <c r="V50" s="19"/>
      <c r="W50" s="2"/>
      <c r="X50" s="2">
        <f t="shared" si="2"/>
        <v>-4309.8499999999985</v>
      </c>
      <c r="Y50" s="2"/>
      <c r="Z50" s="19">
        <f t="shared" si="3"/>
        <v>-0.11641220755479394</v>
      </c>
    </row>
    <row r="51" spans="1:26" s="24" customFormat="1" hidden="1" outlineLevel="1" x14ac:dyDescent="0.25">
      <c r="A51" s="44"/>
      <c r="B51" s="11" t="str">
        <f>CONCATENATE("          ", "4103", " - ", "NON-TAXABLE SALES-RENTAL TEXT")</f>
        <v xml:space="preserve">          4103 - NON-TAXABLE SALES-RENTAL TEXT</v>
      </c>
      <c r="C51" s="11"/>
      <c r="D51" s="2">
        <f>0</f>
        <v>0</v>
      </c>
      <c r="E51" s="2"/>
      <c r="F51" s="19"/>
      <c r="G51" s="2"/>
      <c r="H51" s="2">
        <f>0</f>
        <v>0</v>
      </c>
      <c r="I51" s="2"/>
      <c r="J51" s="19"/>
      <c r="K51" s="2"/>
      <c r="L51" s="2">
        <f t="shared" si="0"/>
        <v>0</v>
      </c>
      <c r="M51" s="2"/>
      <c r="N51" s="19">
        <f t="shared" si="1"/>
        <v>0</v>
      </c>
      <c r="O51" s="11"/>
      <c r="P51" s="2">
        <f>--284.97</f>
        <v>284.97000000000003</v>
      </c>
      <c r="Q51" s="2"/>
      <c r="R51" s="19"/>
      <c r="S51" s="2"/>
      <c r="T51" s="2">
        <f>--329.98</f>
        <v>329.98</v>
      </c>
      <c r="U51" s="2"/>
      <c r="V51" s="19"/>
      <c r="W51" s="2"/>
      <c r="X51" s="2">
        <f t="shared" si="2"/>
        <v>-45.009999999999991</v>
      </c>
      <c r="Y51" s="2"/>
      <c r="Z51" s="19">
        <f t="shared" si="3"/>
        <v>-0.13640220619431478</v>
      </c>
    </row>
    <row r="52" spans="1:26" s="24" customFormat="1" hidden="1" outlineLevel="1" x14ac:dyDescent="0.25">
      <c r="A52" s="44"/>
      <c r="B52" s="11" t="str">
        <f>CONCATENATE("          ", "4104", " - ", "NON-TAXABLE SALES-DIGITAL TEXT")</f>
        <v xml:space="preserve">          4104 - NON-TAXABLE SALES-DIGITAL TEXT</v>
      </c>
      <c r="C52" s="11"/>
      <c r="D52" s="2">
        <f>--6767.67</f>
        <v>6767.67</v>
      </c>
      <c r="E52" s="2"/>
      <c r="F52" s="19"/>
      <c r="G52" s="2"/>
      <c r="H52" s="2">
        <f>--1559.03</f>
        <v>1559.03</v>
      </c>
      <c r="I52" s="2"/>
      <c r="J52" s="19"/>
      <c r="K52" s="2"/>
      <c r="L52" s="2">
        <f t="shared" si="0"/>
        <v>5208.6400000000003</v>
      </c>
      <c r="M52" s="2"/>
      <c r="N52" s="19">
        <f t="shared" si="1"/>
        <v>3.3409491799388085</v>
      </c>
      <c r="O52" s="11"/>
      <c r="P52" s="2">
        <f>--293475.52</f>
        <v>293475.52</v>
      </c>
      <c r="Q52" s="2"/>
      <c r="R52" s="19"/>
      <c r="S52" s="2"/>
      <c r="T52" s="2">
        <f>--320492.85</f>
        <v>320492.84999999998</v>
      </c>
      <c r="U52" s="2"/>
      <c r="V52" s="19"/>
      <c r="W52" s="2"/>
      <c r="X52" s="2">
        <f t="shared" si="2"/>
        <v>-27017.329999999958</v>
      </c>
      <c r="Y52" s="2"/>
      <c r="Z52" s="19">
        <f t="shared" si="3"/>
        <v>-8.4299322122162665E-2</v>
      </c>
    </row>
    <row r="53" spans="1:26" s="24" customFormat="1" hidden="1" outlineLevel="1" x14ac:dyDescent="0.25">
      <c r="A53" s="44"/>
      <c r="B53" s="11" t="str">
        <f>CONCATENATE("          ", "4111", " - ", "NON-TAXABLE SALES-NO VALUE TEX")</f>
        <v xml:space="preserve">          4111 - NON-TAXABLE SALES-NO VALUE TEX</v>
      </c>
      <c r="C53" s="11"/>
      <c r="D53" s="2">
        <f>0</f>
        <v>0</v>
      </c>
      <c r="E53" s="2"/>
      <c r="F53" s="19"/>
      <c r="G53" s="2"/>
      <c r="H53" s="2">
        <f>--757.3</f>
        <v>757.3</v>
      </c>
      <c r="I53" s="2"/>
      <c r="J53" s="19"/>
      <c r="K53" s="2"/>
      <c r="L53" s="2">
        <f t="shared" si="0"/>
        <v>-757.3</v>
      </c>
      <c r="M53" s="2"/>
      <c r="N53" s="19">
        <f t="shared" si="1"/>
        <v>-1</v>
      </c>
      <c r="O53" s="11"/>
      <c r="P53" s="2">
        <f>0</f>
        <v>0</v>
      </c>
      <c r="Q53" s="2"/>
      <c r="R53" s="19"/>
      <c r="S53" s="2"/>
      <c r="T53" s="2">
        <f>--7099.47</f>
        <v>7099.47</v>
      </c>
      <c r="U53" s="2"/>
      <c r="V53" s="19"/>
      <c r="W53" s="2"/>
      <c r="X53" s="2">
        <f t="shared" si="2"/>
        <v>-7099.47</v>
      </c>
      <c r="Y53" s="2"/>
      <c r="Z53" s="19">
        <f t="shared" si="3"/>
        <v>-1</v>
      </c>
    </row>
    <row r="54" spans="1:26" s="24" customFormat="1" hidden="1" outlineLevel="1" x14ac:dyDescent="0.25">
      <c r="A54" s="44"/>
      <c r="B54" s="11" t="str">
        <f>CONCATENATE("          ", "4113", " - ", "NON-TAXABLE SALES-TRADE BOOKS")</f>
        <v xml:space="preserve">          4113 - NON-TAXABLE SALES-TRADE BOOKS</v>
      </c>
      <c r="C54" s="11"/>
      <c r="D54" s="2">
        <f>--1655.95</f>
        <v>1655.95</v>
      </c>
      <c r="E54" s="2"/>
      <c r="F54" s="19"/>
      <c r="G54" s="2"/>
      <c r="H54" s="2">
        <f t="shared" ref="H54:H56" si="11">0</f>
        <v>0</v>
      </c>
      <c r="I54" s="2"/>
      <c r="J54" s="19"/>
      <c r="K54" s="2"/>
      <c r="L54" s="2">
        <f t="shared" si="0"/>
        <v>1655.95</v>
      </c>
      <c r="M54" s="2"/>
      <c r="N54" s="19">
        <f t="shared" si="1"/>
        <v>0</v>
      </c>
      <c r="O54" s="11"/>
      <c r="P54" s="2">
        <f>--1655.95</f>
        <v>1655.95</v>
      </c>
      <c r="Q54" s="2"/>
      <c r="R54" s="19"/>
      <c r="S54" s="2"/>
      <c r="T54" s="2">
        <f>--1146.72</f>
        <v>1146.72</v>
      </c>
      <c r="U54" s="2"/>
      <c r="V54" s="19"/>
      <c r="W54" s="2"/>
      <c r="X54" s="2">
        <f t="shared" si="2"/>
        <v>509.23</v>
      </c>
      <c r="Y54" s="2"/>
      <c r="Z54" s="19">
        <f t="shared" si="3"/>
        <v>0.44407527556857823</v>
      </c>
    </row>
    <row r="55" spans="1:26" s="24" customFormat="1" hidden="1" outlineLevel="1" x14ac:dyDescent="0.25">
      <c r="A55" s="44"/>
      <c r="B55" s="11" t="str">
        <f>CONCATENATE("          ", "4118", " - ", "NON-TAXABLE SALES-STUDY GUIDES")</f>
        <v xml:space="preserve">          4118 - NON-TAXABLE SALES-STUDY GUIDES</v>
      </c>
      <c r="C55" s="11"/>
      <c r="D55" s="2">
        <f>--97.3</f>
        <v>97.3</v>
      </c>
      <c r="E55" s="2"/>
      <c r="F55" s="19"/>
      <c r="G55" s="2"/>
      <c r="H55" s="2">
        <f t="shared" si="11"/>
        <v>0</v>
      </c>
      <c r="I55" s="2"/>
      <c r="J55" s="19"/>
      <c r="K55" s="2"/>
      <c r="L55" s="2">
        <f t="shared" si="0"/>
        <v>97.3</v>
      </c>
      <c r="M55" s="2"/>
      <c r="N55" s="19">
        <f t="shared" si="1"/>
        <v>0</v>
      </c>
      <c r="O55" s="11"/>
      <c r="P55" s="2">
        <f>--205.63</f>
        <v>205.63</v>
      </c>
      <c r="Q55" s="2"/>
      <c r="R55" s="19"/>
      <c r="S55" s="2"/>
      <c r="T55" s="2">
        <f>--20.92</f>
        <v>20.92</v>
      </c>
      <c r="U55" s="2"/>
      <c r="V55" s="19"/>
      <c r="W55" s="2"/>
      <c r="X55" s="2">
        <f t="shared" si="2"/>
        <v>184.70999999999998</v>
      </c>
      <c r="Y55" s="2"/>
      <c r="Z55" s="19">
        <f t="shared" si="3"/>
        <v>8.829349904397704</v>
      </c>
    </row>
    <row r="56" spans="1:26" s="24" customFormat="1" hidden="1" outlineLevel="1" x14ac:dyDescent="0.25">
      <c r="A56" s="44"/>
      <c r="B56" s="11" t="str">
        <f>CONCATENATE("          ", "4125", " - ", "NON-TAXABLE SALES-TEST FORMS")</f>
        <v xml:space="preserve">          4125 - NON-TAXABLE SALES-TEST FORMS</v>
      </c>
      <c r="C56" s="11"/>
      <c r="D56" s="2">
        <f t="shared" ref="D56:D57" si="12">0</f>
        <v>0</v>
      </c>
      <c r="E56" s="2"/>
      <c r="F56" s="19"/>
      <c r="G56" s="2"/>
      <c r="H56" s="2">
        <f t="shared" si="11"/>
        <v>0</v>
      </c>
      <c r="I56" s="2"/>
      <c r="J56" s="19"/>
      <c r="K56" s="2"/>
      <c r="L56" s="2">
        <f t="shared" si="0"/>
        <v>0</v>
      </c>
      <c r="M56" s="2"/>
      <c r="N56" s="19">
        <f t="shared" si="1"/>
        <v>0</v>
      </c>
      <c r="O56" s="11"/>
      <c r="P56" s="2">
        <f>0</f>
        <v>0</v>
      </c>
      <c r="Q56" s="2"/>
      <c r="R56" s="19"/>
      <c r="S56" s="2"/>
      <c r="T56" s="2">
        <f>--124.18</f>
        <v>124.18</v>
      </c>
      <c r="U56" s="2"/>
      <c r="V56" s="19"/>
      <c r="W56" s="2"/>
      <c r="X56" s="2">
        <f t="shared" si="2"/>
        <v>-124.18</v>
      </c>
      <c r="Y56" s="2"/>
      <c r="Z56" s="19">
        <f t="shared" si="3"/>
        <v>-1</v>
      </c>
    </row>
    <row r="57" spans="1:26" s="24" customFormat="1" hidden="1" outlineLevel="1" x14ac:dyDescent="0.25">
      <c r="A57" s="44"/>
      <c r="B57" s="11" t="str">
        <f>CONCATENATE("          ", "4126", " - ", "NON-TAXABLE SALES-WRITING INST")</f>
        <v xml:space="preserve">          4126 - NON-TAXABLE SALES-WRITING INST</v>
      </c>
      <c r="C57" s="11"/>
      <c r="D57" s="2">
        <f t="shared" si="12"/>
        <v>0</v>
      </c>
      <c r="E57" s="2"/>
      <c r="F57" s="19"/>
      <c r="G57" s="2"/>
      <c r="H57" s="2">
        <f>--115.27</f>
        <v>115.27</v>
      </c>
      <c r="I57" s="2"/>
      <c r="J57" s="19"/>
      <c r="K57" s="2"/>
      <c r="L57" s="2">
        <f t="shared" si="0"/>
        <v>-115.27</v>
      </c>
      <c r="M57" s="2"/>
      <c r="N57" s="19">
        <f t="shared" si="1"/>
        <v>-1</v>
      </c>
      <c r="O57" s="11"/>
      <c r="P57" s="2">
        <f>--52.68</f>
        <v>52.68</v>
      </c>
      <c r="Q57" s="2"/>
      <c r="R57" s="19"/>
      <c r="S57" s="2"/>
      <c r="T57" s="2">
        <f>--1458.53</f>
        <v>1458.53</v>
      </c>
      <c r="U57" s="2"/>
      <c r="V57" s="19"/>
      <c r="W57" s="2"/>
      <c r="X57" s="2">
        <f t="shared" si="2"/>
        <v>-1405.85</v>
      </c>
      <c r="Y57" s="2"/>
      <c r="Z57" s="19">
        <f t="shared" si="3"/>
        <v>-0.96388144227407047</v>
      </c>
    </row>
    <row r="58" spans="1:26" s="24" customFormat="1" hidden="1" outlineLevel="1" x14ac:dyDescent="0.25">
      <c r="A58" s="44"/>
      <c r="B58" s="11" t="str">
        <f>CONCATENATE("          ", "4127", " - ", "NON-TAXABLE SALES-SCHOOL SUPPL")</f>
        <v xml:space="preserve">          4127 - NON-TAXABLE SALES-SCHOOL SUPPL</v>
      </c>
      <c r="C58" s="11"/>
      <c r="D58" s="2">
        <f>--160.95</f>
        <v>160.94999999999999</v>
      </c>
      <c r="E58" s="2"/>
      <c r="F58" s="19"/>
      <c r="G58" s="2"/>
      <c r="H58" s="2">
        <f>--179.63</f>
        <v>179.63</v>
      </c>
      <c r="I58" s="2"/>
      <c r="J58" s="19"/>
      <c r="K58" s="2"/>
      <c r="L58" s="2">
        <f t="shared" si="0"/>
        <v>-18.680000000000007</v>
      </c>
      <c r="M58" s="2"/>
      <c r="N58" s="19">
        <f t="shared" si="1"/>
        <v>-0.10399153816177703</v>
      </c>
      <c r="O58" s="11"/>
      <c r="P58" s="2">
        <f>--2831.69</f>
        <v>2831.69</v>
      </c>
      <c r="Q58" s="2"/>
      <c r="R58" s="19"/>
      <c r="S58" s="2"/>
      <c r="T58" s="2">
        <f>--2597.12</f>
        <v>2597.12</v>
      </c>
      <c r="U58" s="2"/>
      <c r="V58" s="19"/>
      <c r="W58" s="2"/>
      <c r="X58" s="2">
        <f t="shared" si="2"/>
        <v>234.57000000000016</v>
      </c>
      <c r="Y58" s="2"/>
      <c r="Z58" s="19">
        <f t="shared" si="3"/>
        <v>9.0319276737309093E-2</v>
      </c>
    </row>
    <row r="59" spans="1:26" s="24" customFormat="1" hidden="1" outlineLevel="1" x14ac:dyDescent="0.25">
      <c r="A59" s="44"/>
      <c r="B59" s="11" t="str">
        <f>CONCATENATE("          ", "4128", " - ", "NON-TAXABLE SALES-ART/TECH")</f>
        <v xml:space="preserve">          4128 - NON-TAXABLE SALES-ART/TECH</v>
      </c>
      <c r="C59" s="11"/>
      <c r="D59" s="2">
        <f>0</f>
        <v>0</v>
      </c>
      <c r="E59" s="2"/>
      <c r="F59" s="19"/>
      <c r="G59" s="2"/>
      <c r="H59" s="2">
        <f>--85.82</f>
        <v>85.82</v>
      </c>
      <c r="I59" s="2"/>
      <c r="J59" s="19"/>
      <c r="K59" s="2"/>
      <c r="L59" s="2">
        <f t="shared" si="0"/>
        <v>-85.82</v>
      </c>
      <c r="M59" s="2"/>
      <c r="N59" s="19">
        <f t="shared" si="1"/>
        <v>-1</v>
      </c>
      <c r="O59" s="11"/>
      <c r="P59" s="2">
        <f>0</f>
        <v>0</v>
      </c>
      <c r="Q59" s="2"/>
      <c r="R59" s="19"/>
      <c r="S59" s="2"/>
      <c r="T59" s="2">
        <f>--348.72</f>
        <v>348.72</v>
      </c>
      <c r="U59" s="2"/>
      <c r="V59" s="19"/>
      <c r="W59" s="2"/>
      <c r="X59" s="2">
        <f t="shared" si="2"/>
        <v>-348.72</v>
      </c>
      <c r="Y59" s="2"/>
      <c r="Z59" s="19">
        <f t="shared" si="3"/>
        <v>-1</v>
      </c>
    </row>
    <row r="60" spans="1:26" s="24" customFormat="1" hidden="1" outlineLevel="1" x14ac:dyDescent="0.25">
      <c r="A60" s="44"/>
      <c r="B60" s="11" t="str">
        <f>CONCATENATE("          ", "4131", " - ", "NON-TAXABLE SALES-FOOD")</f>
        <v xml:space="preserve">          4131 - NON-TAXABLE SALES-FOOD</v>
      </c>
      <c r="C60" s="11"/>
      <c r="D60" s="2">
        <f>--1521.48</f>
        <v>1521.48</v>
      </c>
      <c r="E60" s="2"/>
      <c r="F60" s="19"/>
      <c r="G60" s="2"/>
      <c r="H60" s="2">
        <f>--13457.13</f>
        <v>13457.13</v>
      </c>
      <c r="I60" s="2"/>
      <c r="J60" s="19"/>
      <c r="K60" s="2"/>
      <c r="L60" s="2">
        <f t="shared" si="0"/>
        <v>-11935.65</v>
      </c>
      <c r="M60" s="2"/>
      <c r="N60" s="19">
        <f t="shared" si="1"/>
        <v>-0.88693874548287788</v>
      </c>
      <c r="O60" s="11"/>
      <c r="P60" s="2">
        <f>--5525.44</f>
        <v>5525.44</v>
      </c>
      <c r="Q60" s="2"/>
      <c r="R60" s="19"/>
      <c r="S60" s="2"/>
      <c r="T60" s="2">
        <f>--26722.42</f>
        <v>26722.42</v>
      </c>
      <c r="U60" s="2"/>
      <c r="V60" s="19"/>
      <c r="W60" s="2"/>
      <c r="X60" s="2">
        <f t="shared" si="2"/>
        <v>-21196.98</v>
      </c>
      <c r="Y60" s="2"/>
      <c r="Z60" s="19">
        <f t="shared" si="3"/>
        <v>-0.79322830791522625</v>
      </c>
    </row>
    <row r="61" spans="1:26" s="24" customFormat="1" hidden="1" outlineLevel="1" x14ac:dyDescent="0.25">
      <c r="A61" s="44"/>
      <c r="B61" s="11" t="str">
        <f>CONCATENATE("          ", "4132", " - ", "NON-TAXABLE SALES-JUICE")</f>
        <v xml:space="preserve">          4132 - NON-TAXABLE SALES-JUICE</v>
      </c>
      <c r="C61" s="11"/>
      <c r="D61" s="2">
        <f t="shared" ref="D61:D65" si="13">0</f>
        <v>0</v>
      </c>
      <c r="E61" s="2"/>
      <c r="F61" s="19"/>
      <c r="G61" s="2"/>
      <c r="H61" s="2">
        <f>--243120.09</f>
        <v>243120.09</v>
      </c>
      <c r="I61" s="2"/>
      <c r="J61" s="19"/>
      <c r="K61" s="2"/>
      <c r="L61" s="2">
        <f t="shared" si="0"/>
        <v>-243120.09</v>
      </c>
      <c r="M61" s="2"/>
      <c r="N61" s="19">
        <f t="shared" si="1"/>
        <v>-1</v>
      </c>
      <c r="O61" s="11"/>
      <c r="P61" s="2">
        <f>--2054.37</f>
        <v>2054.37</v>
      </c>
      <c r="Q61" s="2"/>
      <c r="R61" s="19"/>
      <c r="S61" s="2"/>
      <c r="T61" s="2">
        <f>--522872.45</f>
        <v>522872.45</v>
      </c>
      <c r="U61" s="2"/>
      <c r="V61" s="19"/>
      <c r="W61" s="2"/>
      <c r="X61" s="2">
        <f t="shared" si="2"/>
        <v>-520818.08</v>
      </c>
      <c r="Y61" s="2"/>
      <c r="Z61" s="19">
        <f t="shared" si="3"/>
        <v>-0.99607099207464456</v>
      </c>
    </row>
    <row r="62" spans="1:26" s="24" customFormat="1" hidden="1" outlineLevel="1" x14ac:dyDescent="0.25">
      <c r="A62" s="44"/>
      <c r="B62" s="11" t="str">
        <f>CONCATENATE("          ", "4133", " - ", "NON-TAXABLE SALES-CANDY")</f>
        <v xml:space="preserve">          4133 - NON-TAXABLE SALES-CANDY</v>
      </c>
      <c r="C62" s="11"/>
      <c r="D62" s="2">
        <f t="shared" si="13"/>
        <v>0</v>
      </c>
      <c r="E62" s="2"/>
      <c r="F62" s="19"/>
      <c r="G62" s="2"/>
      <c r="H62" s="2">
        <f>--3801.88</f>
        <v>3801.88</v>
      </c>
      <c r="I62" s="2"/>
      <c r="J62" s="19"/>
      <c r="K62" s="2"/>
      <c r="L62" s="2">
        <f t="shared" si="0"/>
        <v>-3801.88</v>
      </c>
      <c r="M62" s="2"/>
      <c r="N62" s="19">
        <f t="shared" si="1"/>
        <v>-1</v>
      </c>
      <c r="O62" s="11"/>
      <c r="P62" s="2">
        <f>--80.71</f>
        <v>80.709999999999994</v>
      </c>
      <c r="Q62" s="2"/>
      <c r="R62" s="19"/>
      <c r="S62" s="2"/>
      <c r="T62" s="2">
        <f>--8466.86</f>
        <v>8466.86</v>
      </c>
      <c r="U62" s="2"/>
      <c r="V62" s="19"/>
      <c r="W62" s="2"/>
      <c r="X62" s="2">
        <f t="shared" si="2"/>
        <v>-8386.1500000000015</v>
      </c>
      <c r="Y62" s="2"/>
      <c r="Z62" s="19">
        <f t="shared" si="3"/>
        <v>-0.99046754050498065</v>
      </c>
    </row>
    <row r="63" spans="1:26" s="24" customFormat="1" hidden="1" outlineLevel="1" x14ac:dyDescent="0.25">
      <c r="A63" s="44"/>
      <c r="B63" s="11" t="str">
        <f>CONCATENATE("          ", "4134", " - ", "NON-TAXABLE SALES-SODA")</f>
        <v xml:space="preserve">          4134 - NON-TAXABLE SALES-SODA</v>
      </c>
      <c r="C63" s="11"/>
      <c r="D63" s="2">
        <f t="shared" si="13"/>
        <v>0</v>
      </c>
      <c r="E63" s="2"/>
      <c r="F63" s="19"/>
      <c r="G63" s="2"/>
      <c r="H63" s="2">
        <f>0</f>
        <v>0</v>
      </c>
      <c r="I63" s="2"/>
      <c r="J63" s="19"/>
      <c r="K63" s="2"/>
      <c r="L63" s="2">
        <f t="shared" si="0"/>
        <v>0</v>
      </c>
      <c r="M63" s="2"/>
      <c r="N63" s="19">
        <f t="shared" si="1"/>
        <v>0</v>
      </c>
      <c r="O63" s="11"/>
      <c r="P63" s="2">
        <f>--45.53</f>
        <v>45.53</v>
      </c>
      <c r="Q63" s="2"/>
      <c r="R63" s="19"/>
      <c r="S63" s="2"/>
      <c r="T63" s="2">
        <f>--0.39</f>
        <v>0.39</v>
      </c>
      <c r="U63" s="2"/>
      <c r="V63" s="19"/>
      <c r="W63" s="2"/>
      <c r="X63" s="2">
        <f t="shared" si="2"/>
        <v>45.14</v>
      </c>
      <c r="Y63" s="2"/>
      <c r="Z63" s="19">
        <f t="shared" si="3"/>
        <v>115.74358974358974</v>
      </c>
    </row>
    <row r="64" spans="1:26" s="24" customFormat="1" hidden="1" outlineLevel="1" x14ac:dyDescent="0.25">
      <c r="A64" s="44"/>
      <c r="B64" s="11" t="str">
        <f>CONCATENATE("          ", "4135", " - ", "NON-TAXABLE SALES")</f>
        <v xml:space="preserve">          4135 - NON-TAXABLE SALES</v>
      </c>
      <c r="C64" s="11"/>
      <c r="D64" s="2">
        <f t="shared" si="13"/>
        <v>0</v>
      </c>
      <c r="E64" s="2"/>
      <c r="F64" s="19"/>
      <c r="G64" s="2"/>
      <c r="H64" s="2">
        <f>--17.9</f>
        <v>17.899999999999999</v>
      </c>
      <c r="I64" s="2"/>
      <c r="J64" s="19"/>
      <c r="K64" s="2"/>
      <c r="L64" s="2">
        <f t="shared" si="0"/>
        <v>-17.899999999999999</v>
      </c>
      <c r="M64" s="2"/>
      <c r="N64" s="19">
        <f t="shared" si="1"/>
        <v>-1</v>
      </c>
      <c r="O64" s="11"/>
      <c r="P64" s="2">
        <f>0</f>
        <v>0</v>
      </c>
      <c r="Q64" s="2"/>
      <c r="R64" s="19"/>
      <c r="S64" s="2"/>
      <c r="T64" s="2">
        <f>--103.96</f>
        <v>103.96</v>
      </c>
      <c r="U64" s="2"/>
      <c r="V64" s="19"/>
      <c r="W64" s="2"/>
      <c r="X64" s="2">
        <f t="shared" si="2"/>
        <v>-103.96</v>
      </c>
      <c r="Y64" s="2"/>
      <c r="Z64" s="19">
        <f t="shared" si="3"/>
        <v>-1</v>
      </c>
    </row>
    <row r="65" spans="1:26" s="24" customFormat="1" hidden="1" outlineLevel="1" x14ac:dyDescent="0.25">
      <c r="A65" s="44"/>
      <c r="B65" s="11" t="str">
        <f>CONCATENATE("          ", "4137", " - ", "NON-TAXABLE SALES-WATER")</f>
        <v xml:space="preserve">          4137 - NON-TAXABLE SALES-WATER</v>
      </c>
      <c r="C65" s="11"/>
      <c r="D65" s="2">
        <f t="shared" si="13"/>
        <v>0</v>
      </c>
      <c r="E65" s="2"/>
      <c r="F65" s="19"/>
      <c r="G65" s="2"/>
      <c r="H65" s="2">
        <f>--2252.19</f>
        <v>2252.19</v>
      </c>
      <c r="I65" s="2"/>
      <c r="J65" s="19"/>
      <c r="K65" s="2"/>
      <c r="L65" s="2">
        <f t="shared" si="0"/>
        <v>-2252.19</v>
      </c>
      <c r="M65" s="2"/>
      <c r="N65" s="19">
        <f t="shared" si="1"/>
        <v>-1</v>
      </c>
      <c r="O65" s="11"/>
      <c r="P65" s="2">
        <f>--68.25</f>
        <v>68.25</v>
      </c>
      <c r="Q65" s="2"/>
      <c r="R65" s="19"/>
      <c r="S65" s="2"/>
      <c r="T65" s="2">
        <f>--5114.15</f>
        <v>5114.1499999999996</v>
      </c>
      <c r="U65" s="2"/>
      <c r="V65" s="19"/>
      <c r="W65" s="2"/>
      <c r="X65" s="2">
        <f t="shared" si="2"/>
        <v>-5045.8999999999996</v>
      </c>
      <c r="Y65" s="2"/>
      <c r="Z65" s="19">
        <f t="shared" si="3"/>
        <v>-0.98665467379720972</v>
      </c>
    </row>
    <row r="66" spans="1:26" s="24" customFormat="1" hidden="1" outlineLevel="1" x14ac:dyDescent="0.25">
      <c r="A66" s="44"/>
      <c r="B66" s="11" t="str">
        <f>CONCATENATE("          ", "4140", " - ", "NON-TAXABLE SALES-LOGO CLOTHIN")</f>
        <v xml:space="preserve">          4140 - NON-TAXABLE SALES-LOGO CLOTHIN</v>
      </c>
      <c r="C66" s="11"/>
      <c r="D66" s="2">
        <f>--13163.04</f>
        <v>13163.04</v>
      </c>
      <c r="E66" s="2"/>
      <c r="F66" s="19"/>
      <c r="G66" s="2"/>
      <c r="H66" s="2">
        <f>--4377.82</f>
        <v>4377.82</v>
      </c>
      <c r="I66" s="2"/>
      <c r="J66" s="19"/>
      <c r="K66" s="2"/>
      <c r="L66" s="2">
        <f t="shared" si="0"/>
        <v>8785.2200000000012</v>
      </c>
      <c r="M66" s="2"/>
      <c r="N66" s="19">
        <f t="shared" si="1"/>
        <v>2.0067567876248913</v>
      </c>
      <c r="O66" s="11"/>
      <c r="P66" s="2">
        <f>--30615.48</f>
        <v>30615.48</v>
      </c>
      <c r="Q66" s="2"/>
      <c r="R66" s="19"/>
      <c r="S66" s="2"/>
      <c r="T66" s="2">
        <f>--12635.52</f>
        <v>12635.52</v>
      </c>
      <c r="U66" s="2"/>
      <c r="V66" s="19"/>
      <c r="W66" s="2"/>
      <c r="X66" s="2">
        <f t="shared" si="2"/>
        <v>17979.96</v>
      </c>
      <c r="Y66" s="2"/>
      <c r="Z66" s="19">
        <f t="shared" si="3"/>
        <v>1.4229695335055461</v>
      </c>
    </row>
    <row r="67" spans="1:26" s="24" customFormat="1" hidden="1" outlineLevel="1" x14ac:dyDescent="0.25">
      <c r="A67" s="44"/>
      <c r="B67" s="11" t="str">
        <f>CONCATENATE("          ", "4141", " - ", "NON-TAXABLE SALES-LOGO GIFTS")</f>
        <v xml:space="preserve">          4141 - NON-TAXABLE SALES-LOGO GIFTS</v>
      </c>
      <c r="C67" s="11"/>
      <c r="D67" s="2">
        <f>--437.71</f>
        <v>437.71</v>
      </c>
      <c r="E67" s="2"/>
      <c r="F67" s="19"/>
      <c r="G67" s="2"/>
      <c r="H67" s="2">
        <f>--581.29</f>
        <v>581.29</v>
      </c>
      <c r="I67" s="2"/>
      <c r="J67" s="19"/>
      <c r="K67" s="2"/>
      <c r="L67" s="2">
        <f t="shared" si="0"/>
        <v>-143.57999999999998</v>
      </c>
      <c r="M67" s="2"/>
      <c r="N67" s="19">
        <f t="shared" si="1"/>
        <v>-0.24700235682705704</v>
      </c>
      <c r="O67" s="11"/>
      <c r="P67" s="2">
        <f>--3382.7</f>
        <v>3382.7</v>
      </c>
      <c r="Q67" s="2"/>
      <c r="R67" s="19"/>
      <c r="S67" s="2"/>
      <c r="T67" s="2">
        <f>--1395.93</f>
        <v>1395.93</v>
      </c>
      <c r="U67" s="2"/>
      <c r="V67" s="19"/>
      <c r="W67" s="2"/>
      <c r="X67" s="2">
        <f t="shared" si="2"/>
        <v>1986.7699999999998</v>
      </c>
      <c r="Y67" s="2"/>
      <c r="Z67" s="19">
        <f t="shared" si="3"/>
        <v>1.4232590459406989</v>
      </c>
    </row>
    <row r="68" spans="1:26" s="24" customFormat="1" hidden="1" outlineLevel="1" x14ac:dyDescent="0.25">
      <c r="A68" s="44"/>
      <c r="B68" s="11" t="str">
        <f>CONCATENATE("          ", "4142", " - ", "NON-TAXABLE SALES-EVERYDAY GIF")</f>
        <v xml:space="preserve">          4142 - NON-TAXABLE SALES-EVERYDAY GIF</v>
      </c>
      <c r="C68" s="11"/>
      <c r="D68" s="2">
        <f>--310.68</f>
        <v>310.68</v>
      </c>
      <c r="E68" s="2"/>
      <c r="F68" s="19"/>
      <c r="G68" s="2"/>
      <c r="H68" s="2">
        <f>--2883.11</f>
        <v>2883.11</v>
      </c>
      <c r="I68" s="2"/>
      <c r="J68" s="19"/>
      <c r="K68" s="2"/>
      <c r="L68" s="2">
        <f t="shared" si="0"/>
        <v>-2572.4300000000003</v>
      </c>
      <c r="M68" s="2"/>
      <c r="N68" s="19">
        <f t="shared" si="1"/>
        <v>-0.89224136436001411</v>
      </c>
      <c r="O68" s="11"/>
      <c r="P68" s="2">
        <f>--1320.41</f>
        <v>1320.41</v>
      </c>
      <c r="Q68" s="2"/>
      <c r="R68" s="19"/>
      <c r="S68" s="2"/>
      <c r="T68" s="2">
        <f>--5919.61</f>
        <v>5919.61</v>
      </c>
      <c r="U68" s="2"/>
      <c r="V68" s="19"/>
      <c r="W68" s="2"/>
      <c r="X68" s="2">
        <f t="shared" si="2"/>
        <v>-4599.2</v>
      </c>
      <c r="Y68" s="2"/>
      <c r="Z68" s="19">
        <f t="shared" si="3"/>
        <v>-0.77694307564180753</v>
      </c>
    </row>
    <row r="69" spans="1:26" s="24" customFormat="1" hidden="1" outlineLevel="1" x14ac:dyDescent="0.25">
      <c r="A69" s="44"/>
      <c r="B69" s="11" t="str">
        <f>CONCATENATE("          ", "4143", " - ", "NON-TAXABLE SALES-CARDS")</f>
        <v xml:space="preserve">          4143 - NON-TAXABLE SALES-CARDS</v>
      </c>
      <c r="C69" s="11"/>
      <c r="D69" s="2">
        <f>--9.99</f>
        <v>9.99</v>
      </c>
      <c r="E69" s="2"/>
      <c r="F69" s="19"/>
      <c r="G69" s="2"/>
      <c r="H69" s="2">
        <f>0</f>
        <v>0</v>
      </c>
      <c r="I69" s="2"/>
      <c r="J69" s="19"/>
      <c r="K69" s="2"/>
      <c r="L69" s="2">
        <f t="shared" si="0"/>
        <v>9.99</v>
      </c>
      <c r="M69" s="2"/>
      <c r="N69" s="19">
        <f t="shared" si="1"/>
        <v>0</v>
      </c>
      <c r="O69" s="11"/>
      <c r="P69" s="2">
        <f>--29.97</f>
        <v>29.97</v>
      </c>
      <c r="Q69" s="2"/>
      <c r="R69" s="19"/>
      <c r="S69" s="2"/>
      <c r="T69" s="2">
        <f>0</f>
        <v>0</v>
      </c>
      <c r="U69" s="2"/>
      <c r="V69" s="19"/>
      <c r="W69" s="2"/>
      <c r="X69" s="2">
        <f t="shared" si="2"/>
        <v>29.97</v>
      </c>
      <c r="Y69" s="2"/>
      <c r="Z69" s="19">
        <f t="shared" si="3"/>
        <v>0</v>
      </c>
    </row>
    <row r="70" spans="1:26" s="24" customFormat="1" hidden="1" outlineLevel="1" x14ac:dyDescent="0.25">
      <c r="A70" s="44"/>
      <c r="B70" s="11" t="str">
        <f>CONCATENATE("          ", "4144", " - ", "NON-TAXABLE SALES-ACCESSORIES")</f>
        <v xml:space="preserve">          4144 - NON-TAXABLE SALES-ACCESSORIES</v>
      </c>
      <c r="C70" s="11"/>
      <c r="D70" s="2">
        <f>--154</f>
        <v>154</v>
      </c>
      <c r="E70" s="2"/>
      <c r="F70" s="19"/>
      <c r="G70" s="2"/>
      <c r="H70" s="2">
        <f>--71.85</f>
        <v>71.849999999999994</v>
      </c>
      <c r="I70" s="2"/>
      <c r="J70" s="19"/>
      <c r="K70" s="2"/>
      <c r="L70" s="2">
        <f t="shared" si="0"/>
        <v>82.15</v>
      </c>
      <c r="M70" s="2"/>
      <c r="N70" s="19">
        <f t="shared" si="1"/>
        <v>1.1433542101600558</v>
      </c>
      <c r="O70" s="11"/>
      <c r="P70" s="2">
        <f>--369.75</f>
        <v>369.75</v>
      </c>
      <c r="Q70" s="2"/>
      <c r="R70" s="19"/>
      <c r="S70" s="2"/>
      <c r="T70" s="2">
        <f>--211.61</f>
        <v>211.61</v>
      </c>
      <c r="U70" s="2"/>
      <c r="V70" s="19"/>
      <c r="W70" s="2"/>
      <c r="X70" s="2">
        <f t="shared" si="2"/>
        <v>158.13999999999999</v>
      </c>
      <c r="Y70" s="2"/>
      <c r="Z70" s="19">
        <f t="shared" si="3"/>
        <v>0.7473181796701478</v>
      </c>
    </row>
    <row r="71" spans="1:26" s="24" customFormat="1" hidden="1" outlineLevel="1" x14ac:dyDescent="0.25">
      <c r="A71" s="44"/>
      <c r="B71" s="11" t="str">
        <f>CONCATENATE("          ", "4145", " - ", "NON-TAXABLE SALES-SPECIAL ORDE")</f>
        <v xml:space="preserve">          4145 - NON-TAXABLE SALES-SPECIAL ORDE</v>
      </c>
      <c r="C71" s="11"/>
      <c r="D71" s="2">
        <f>0</f>
        <v>0</v>
      </c>
      <c r="E71" s="2"/>
      <c r="F71" s="19"/>
      <c r="G71" s="2"/>
      <c r="H71" s="2">
        <f>0</f>
        <v>0</v>
      </c>
      <c r="I71" s="2"/>
      <c r="J71" s="19"/>
      <c r="K71" s="2"/>
      <c r="L71" s="2">
        <f t="shared" si="0"/>
        <v>0</v>
      </c>
      <c r="M71" s="2"/>
      <c r="N71" s="19">
        <f t="shared" si="1"/>
        <v>0</v>
      </c>
      <c r="O71" s="11"/>
      <c r="P71" s="2">
        <f>--35846</f>
        <v>35846</v>
      </c>
      <c r="Q71" s="2"/>
      <c r="R71" s="19"/>
      <c r="S71" s="2"/>
      <c r="T71" s="2">
        <f>--90</f>
        <v>90</v>
      </c>
      <c r="U71" s="2"/>
      <c r="V71" s="19"/>
      <c r="W71" s="2"/>
      <c r="X71" s="2">
        <f t="shared" si="2"/>
        <v>35756</v>
      </c>
      <c r="Y71" s="2"/>
      <c r="Z71" s="19">
        <f t="shared" si="3"/>
        <v>397.28888888888889</v>
      </c>
    </row>
    <row r="72" spans="1:26" s="24" customFormat="1" hidden="1" outlineLevel="1" x14ac:dyDescent="0.25">
      <c r="A72" s="44"/>
      <c r="B72" s="11" t="str">
        <f>CONCATENATE("          ", "4146", " - ", "NON-TAXABLE SALES-COIN OP MACH")</f>
        <v xml:space="preserve">          4146 - NON-TAXABLE SALES-COIN OP MACH</v>
      </c>
      <c r="C72" s="11"/>
      <c r="D72" s="2">
        <f>--21.3</f>
        <v>21.3</v>
      </c>
      <c r="E72" s="2"/>
      <c r="F72" s="19"/>
      <c r="G72" s="2"/>
      <c r="H72" s="2">
        <f>--40316.8</f>
        <v>40316.800000000003</v>
      </c>
      <c r="I72" s="2"/>
      <c r="J72" s="19"/>
      <c r="K72" s="2"/>
      <c r="L72" s="2">
        <f t="shared" si="0"/>
        <v>-40295.5</v>
      </c>
      <c r="M72" s="2"/>
      <c r="N72" s="19">
        <f t="shared" si="1"/>
        <v>-0.99947168426065558</v>
      </c>
      <c r="O72" s="11"/>
      <c r="P72" s="2">
        <f t="shared" ref="P72:P73" si="14">--86.5</f>
        <v>86.5</v>
      </c>
      <c r="Q72" s="2"/>
      <c r="R72" s="19"/>
      <c r="S72" s="2"/>
      <c r="T72" s="2">
        <f>--90410.3</f>
        <v>90410.3</v>
      </c>
      <c r="U72" s="2"/>
      <c r="V72" s="19"/>
      <c r="W72" s="2"/>
      <c r="X72" s="2">
        <f t="shared" si="2"/>
        <v>-90323.8</v>
      </c>
      <c r="Y72" s="2"/>
      <c r="Z72" s="19">
        <f t="shared" si="3"/>
        <v>-0.99904325060308397</v>
      </c>
    </row>
    <row r="73" spans="1:26" s="24" customFormat="1" hidden="1" outlineLevel="1" x14ac:dyDescent="0.25">
      <c r="A73" s="44"/>
      <c r="B73" s="11" t="str">
        <f>CONCATENATE("          ", "4147", " - ", "NON-TAXABLE SALES-MISC")</f>
        <v xml:space="preserve">          4147 - NON-TAXABLE SALES-MISC</v>
      </c>
      <c r="C73" s="11"/>
      <c r="D73" s="2">
        <f>--38.5</f>
        <v>38.5</v>
      </c>
      <c r="E73" s="2"/>
      <c r="F73" s="19"/>
      <c r="G73" s="2"/>
      <c r="H73" s="2">
        <f>-240</f>
        <v>-240</v>
      </c>
      <c r="I73" s="2"/>
      <c r="J73" s="19"/>
      <c r="K73" s="2"/>
      <c r="L73" s="2">
        <f t="shared" si="0"/>
        <v>278.5</v>
      </c>
      <c r="M73" s="2"/>
      <c r="N73" s="19">
        <f t="shared" si="1"/>
        <v>-1.1604166666666667</v>
      </c>
      <c r="O73" s="11"/>
      <c r="P73" s="2">
        <f t="shared" si="14"/>
        <v>86.5</v>
      </c>
      <c r="Q73" s="2"/>
      <c r="R73" s="19"/>
      <c r="S73" s="2"/>
      <c r="T73" s="2">
        <f>--174.9</f>
        <v>174.9</v>
      </c>
      <c r="U73" s="2"/>
      <c r="V73" s="19"/>
      <c r="W73" s="2"/>
      <c r="X73" s="2">
        <f t="shared" si="2"/>
        <v>-88.4</v>
      </c>
      <c r="Y73" s="2"/>
      <c r="Z73" s="19">
        <f t="shared" si="3"/>
        <v>-0.50543167524299604</v>
      </c>
    </row>
    <row r="74" spans="1:26" s="24" customFormat="1" hidden="1" outlineLevel="1" x14ac:dyDescent="0.25">
      <c r="A74" s="44"/>
      <c r="B74" s="11" t="str">
        <f>CONCATENATE("          ", "4151", " - ", "NON-TAXABLE SALES-FOOD")</f>
        <v xml:space="preserve">          4151 - NON-TAXABLE SALES-FOOD</v>
      </c>
      <c r="C74" s="11"/>
      <c r="D74" s="2">
        <f t="shared" ref="D74:D76" si="15">0</f>
        <v>0</v>
      </c>
      <c r="E74" s="2"/>
      <c r="F74" s="19"/>
      <c r="G74" s="2"/>
      <c r="H74" s="2">
        <f>--192132.5</f>
        <v>192132.5</v>
      </c>
      <c r="I74" s="2"/>
      <c r="J74" s="19"/>
      <c r="K74" s="2"/>
      <c r="L74" s="2">
        <f t="shared" si="0"/>
        <v>-192132.5</v>
      </c>
      <c r="M74" s="2"/>
      <c r="N74" s="19">
        <f t="shared" si="1"/>
        <v>-1</v>
      </c>
      <c r="O74" s="11"/>
      <c r="P74" s="2">
        <f>0</f>
        <v>0</v>
      </c>
      <c r="Q74" s="2"/>
      <c r="R74" s="19"/>
      <c r="S74" s="2"/>
      <c r="T74" s="2">
        <f>--388922.83</f>
        <v>388922.83</v>
      </c>
      <c r="U74" s="2"/>
      <c r="V74" s="19"/>
      <c r="W74" s="2"/>
      <c r="X74" s="2">
        <f t="shared" si="2"/>
        <v>-388922.83</v>
      </c>
      <c r="Y74" s="2"/>
      <c r="Z74" s="19">
        <f t="shared" si="3"/>
        <v>-1</v>
      </c>
    </row>
    <row r="75" spans="1:26" s="24" customFormat="1" hidden="1" outlineLevel="1" x14ac:dyDescent="0.25">
      <c r="A75" s="44"/>
      <c r="B75" s="11" t="str">
        <f>CONCATENATE("          ", "4153", " - ", "NON-TAXABLE SALES-FOOD")</f>
        <v xml:space="preserve">          4153 - NON-TAXABLE SALES-FOOD</v>
      </c>
      <c r="C75" s="11"/>
      <c r="D75" s="2">
        <f t="shared" si="15"/>
        <v>0</v>
      </c>
      <c r="E75" s="2"/>
      <c r="F75" s="19"/>
      <c r="G75" s="2"/>
      <c r="H75" s="2">
        <f>--2874</f>
        <v>2874</v>
      </c>
      <c r="I75" s="2"/>
      <c r="J75" s="19"/>
      <c r="K75" s="2"/>
      <c r="L75" s="2">
        <f t="shared" si="0"/>
        <v>-2874</v>
      </c>
      <c r="M75" s="2"/>
      <c r="N75" s="19">
        <f t="shared" si="1"/>
        <v>-1</v>
      </c>
      <c r="O75" s="11"/>
      <c r="P75" s="2">
        <f>--110</f>
        <v>110</v>
      </c>
      <c r="Q75" s="2"/>
      <c r="R75" s="19"/>
      <c r="S75" s="2"/>
      <c r="T75" s="2">
        <f>--5280.5</f>
        <v>5280.5</v>
      </c>
      <c r="U75" s="2"/>
      <c r="V75" s="19"/>
      <c r="W75" s="2"/>
      <c r="X75" s="2">
        <f t="shared" si="2"/>
        <v>-5170.5</v>
      </c>
      <c r="Y75" s="2"/>
      <c r="Z75" s="19">
        <f t="shared" si="3"/>
        <v>-0.97916863933339648</v>
      </c>
    </row>
    <row r="76" spans="1:26" s="24" customFormat="1" hidden="1" outlineLevel="1" x14ac:dyDescent="0.25">
      <c r="A76" s="44"/>
      <c r="B76" s="11" t="str">
        <f>CONCATENATE("          ", "4186", " - ", "NON-TAXABLE SALES-COMPUTER SUP")</f>
        <v xml:space="preserve">          4186 - NON-TAXABLE SALES-COMPUTER SUP</v>
      </c>
      <c r="C76" s="11"/>
      <c r="D76" s="2">
        <f t="shared" si="15"/>
        <v>0</v>
      </c>
      <c r="E76" s="2"/>
      <c r="F76" s="19"/>
      <c r="G76" s="2"/>
      <c r="H76" s="2">
        <f>--4.01</f>
        <v>4.01</v>
      </c>
      <c r="I76" s="2"/>
      <c r="J76" s="19"/>
      <c r="K76" s="2"/>
      <c r="L76" s="2">
        <f t="shared" si="0"/>
        <v>-4.01</v>
      </c>
      <c r="M76" s="2"/>
      <c r="N76" s="19">
        <f t="shared" si="1"/>
        <v>-1</v>
      </c>
      <c r="O76" s="11"/>
      <c r="P76" s="2">
        <f>0</f>
        <v>0</v>
      </c>
      <c r="Q76" s="2"/>
      <c r="R76" s="19"/>
      <c r="S76" s="2"/>
      <c r="T76" s="2">
        <f>-30.97</f>
        <v>-30.97</v>
      </c>
      <c r="U76" s="2"/>
      <c r="V76" s="19"/>
      <c r="W76" s="2"/>
      <c r="X76" s="2">
        <f t="shared" si="2"/>
        <v>30.97</v>
      </c>
      <c r="Y76" s="2"/>
      <c r="Z76" s="19">
        <f t="shared" si="3"/>
        <v>-1</v>
      </c>
    </row>
    <row r="77" spans="1:26" s="24" customFormat="1" hidden="1" outlineLevel="1" x14ac:dyDescent="0.25">
      <c r="A77" s="44"/>
      <c r="B77" s="11" t="str">
        <f>CONCATENATE("          ", "4201", " - ", "SALES RETURN TAXABLE-NEW TEXT")</f>
        <v xml:space="preserve">          4201 - SALES RETURN TAXABLE-NEW TEXT</v>
      </c>
      <c r="C77" s="11"/>
      <c r="D77" s="2">
        <f>-1512.25</f>
        <v>-1512.25</v>
      </c>
      <c r="E77" s="2"/>
      <c r="F77" s="19"/>
      <c r="G77" s="2"/>
      <c r="H77" s="2">
        <f>-4543.92</f>
        <v>-4543.92</v>
      </c>
      <c r="I77" s="2"/>
      <c r="J77" s="19"/>
      <c r="K77" s="2"/>
      <c r="L77" s="2">
        <f t="shared" si="0"/>
        <v>3031.67</v>
      </c>
      <c r="M77" s="2"/>
      <c r="N77" s="19">
        <f t="shared" si="1"/>
        <v>-0.66719264423669433</v>
      </c>
      <c r="O77" s="11"/>
      <c r="P77" s="2">
        <f>-33761.24</f>
        <v>-33761.24</v>
      </c>
      <c r="Q77" s="2"/>
      <c r="R77" s="19"/>
      <c r="S77" s="2"/>
      <c r="T77" s="2">
        <f>-77783.67</f>
        <v>-77783.67</v>
      </c>
      <c r="U77" s="2"/>
      <c r="V77" s="19"/>
      <c r="W77" s="2"/>
      <c r="X77" s="2">
        <f t="shared" si="2"/>
        <v>44022.43</v>
      </c>
      <c r="Y77" s="2"/>
      <c r="Z77" s="19">
        <f t="shared" si="3"/>
        <v>-0.56595979593145962</v>
      </c>
    </row>
    <row r="78" spans="1:26" s="24" customFormat="1" hidden="1" outlineLevel="1" x14ac:dyDescent="0.25">
      <c r="A78" s="44"/>
      <c r="B78" s="11" t="str">
        <f>CONCATENATE("          ", "4202", " - ", "SALES RETURN TAXABLE-USED TEXT")</f>
        <v xml:space="preserve">          4202 - SALES RETURN TAXABLE-USED TEXT</v>
      </c>
      <c r="C78" s="11"/>
      <c r="D78" s="2">
        <f>-136.05</f>
        <v>-136.05000000000001</v>
      </c>
      <c r="E78" s="2"/>
      <c r="F78" s="19"/>
      <c r="G78" s="2"/>
      <c r="H78" s="2">
        <f>-3577.9</f>
        <v>-3577.9</v>
      </c>
      <c r="I78" s="2"/>
      <c r="J78" s="19"/>
      <c r="K78" s="2"/>
      <c r="L78" s="2">
        <f t="shared" si="0"/>
        <v>3441.85</v>
      </c>
      <c r="M78" s="2"/>
      <c r="N78" s="19">
        <f t="shared" si="1"/>
        <v>-0.96197490147852083</v>
      </c>
      <c r="O78" s="11"/>
      <c r="P78" s="2">
        <f>-10529</f>
        <v>-10529</v>
      </c>
      <c r="Q78" s="2"/>
      <c r="R78" s="19"/>
      <c r="S78" s="2"/>
      <c r="T78" s="2">
        <f>-26929</f>
        <v>-26929</v>
      </c>
      <c r="U78" s="2"/>
      <c r="V78" s="19"/>
      <c r="W78" s="2"/>
      <c r="X78" s="2">
        <f t="shared" si="2"/>
        <v>16400</v>
      </c>
      <c r="Y78" s="2"/>
      <c r="Z78" s="19">
        <f t="shared" si="3"/>
        <v>-0.60900887519031532</v>
      </c>
    </row>
    <row r="79" spans="1:26" s="24" customFormat="1" hidden="1" outlineLevel="1" x14ac:dyDescent="0.25">
      <c r="A79" s="44"/>
      <c r="B79" s="11" t="str">
        <f>CONCATENATE("          ", "4203", " - ", "SALES RETURN TAXABLE-RENTAL TE")</f>
        <v xml:space="preserve">          4203 - SALES RETURN TAXABLE-RENTAL TE</v>
      </c>
      <c r="C79" s="11"/>
      <c r="D79" s="2">
        <f>0</f>
        <v>0</v>
      </c>
      <c r="E79" s="2"/>
      <c r="F79" s="19"/>
      <c r="G79" s="2"/>
      <c r="H79" s="2">
        <f>0</f>
        <v>0</v>
      </c>
      <c r="I79" s="2"/>
      <c r="J79" s="19"/>
      <c r="K79" s="2"/>
      <c r="L79" s="2">
        <f t="shared" si="0"/>
        <v>0</v>
      </c>
      <c r="M79" s="2"/>
      <c r="N79" s="19">
        <f t="shared" si="1"/>
        <v>0</v>
      </c>
      <c r="O79" s="11"/>
      <c r="P79" s="2">
        <f>0</f>
        <v>0</v>
      </c>
      <c r="Q79" s="2"/>
      <c r="R79" s="19"/>
      <c r="S79" s="2"/>
      <c r="T79" s="2">
        <f>-144.99</f>
        <v>-144.99</v>
      </c>
      <c r="U79" s="2"/>
      <c r="V79" s="19"/>
      <c r="W79" s="2"/>
      <c r="X79" s="2">
        <f t="shared" si="2"/>
        <v>144.99</v>
      </c>
      <c r="Y79" s="2"/>
      <c r="Z79" s="19">
        <f t="shared" si="3"/>
        <v>-1</v>
      </c>
    </row>
    <row r="80" spans="1:26" s="24" customFormat="1" hidden="1" outlineLevel="1" x14ac:dyDescent="0.25">
      <c r="A80" s="44"/>
      <c r="B80" s="11" t="str">
        <f>CONCATENATE("          ", "4204", " - ", "SALES RETURN TAXABLE-DIGITAL T")</f>
        <v xml:space="preserve">          4204 - SALES RETURN TAXABLE-DIGITAL T</v>
      </c>
      <c r="C80" s="11"/>
      <c r="D80" s="2">
        <f>-383.9</f>
        <v>-383.9</v>
      </c>
      <c r="E80" s="2"/>
      <c r="F80" s="19"/>
      <c r="G80" s="2"/>
      <c r="H80" s="2">
        <f>-193.34</f>
        <v>-193.34</v>
      </c>
      <c r="I80" s="2"/>
      <c r="J80" s="19"/>
      <c r="K80" s="2"/>
      <c r="L80" s="2">
        <f t="shared" si="0"/>
        <v>-190.55999999999997</v>
      </c>
      <c r="M80" s="2"/>
      <c r="N80" s="19">
        <f t="shared" si="1"/>
        <v>0.98562118547636268</v>
      </c>
      <c r="O80" s="11"/>
      <c r="P80" s="2">
        <f>-1630.85</f>
        <v>-1630.85</v>
      </c>
      <c r="Q80" s="2"/>
      <c r="R80" s="19"/>
      <c r="S80" s="2"/>
      <c r="T80" s="2">
        <f>-11250.06</f>
        <v>-11250.06</v>
      </c>
      <c r="U80" s="2"/>
      <c r="V80" s="19"/>
      <c r="W80" s="2"/>
      <c r="X80" s="2">
        <f t="shared" si="2"/>
        <v>9619.2099999999991</v>
      </c>
      <c r="Y80" s="2"/>
      <c r="Z80" s="19">
        <f t="shared" si="3"/>
        <v>-0.85503632869513579</v>
      </c>
    </row>
    <row r="81" spans="1:26" s="24" customFormat="1" hidden="1" outlineLevel="1" x14ac:dyDescent="0.25">
      <c r="A81" s="44"/>
      <c r="B81" s="11" t="str">
        <f>CONCATENATE("          ", "4213", " - ", "NON-TAXABLE SALES-TRADE BOOKS")</f>
        <v xml:space="preserve">          4213 - NON-TAXABLE SALES-TRADE BOOKS</v>
      </c>
      <c r="C81" s="11"/>
      <c r="D81" s="2">
        <f t="shared" ref="D81:D84" si="16">0</f>
        <v>0</v>
      </c>
      <c r="E81" s="2"/>
      <c r="F81" s="19"/>
      <c r="G81" s="2"/>
      <c r="H81" s="2">
        <f>-35.37</f>
        <v>-35.369999999999997</v>
      </c>
      <c r="I81" s="2"/>
      <c r="J81" s="19"/>
      <c r="K81" s="2"/>
      <c r="L81" s="2">
        <f t="shared" si="0"/>
        <v>35.369999999999997</v>
      </c>
      <c r="M81" s="2"/>
      <c r="N81" s="19">
        <f t="shared" si="1"/>
        <v>-1</v>
      </c>
      <c r="O81" s="11"/>
      <c r="P81" s="2">
        <f t="shared" ref="P81:P84" si="17">0</f>
        <v>0</v>
      </c>
      <c r="Q81" s="2"/>
      <c r="R81" s="19"/>
      <c r="S81" s="2"/>
      <c r="T81" s="2">
        <f>-35.37</f>
        <v>-35.369999999999997</v>
      </c>
      <c r="U81" s="2"/>
      <c r="V81" s="19"/>
      <c r="W81" s="2"/>
      <c r="X81" s="2">
        <f t="shared" si="2"/>
        <v>35.369999999999997</v>
      </c>
      <c r="Y81" s="2"/>
      <c r="Z81" s="19">
        <f t="shared" si="3"/>
        <v>-1</v>
      </c>
    </row>
    <row r="82" spans="1:26" s="24" customFormat="1" hidden="1" outlineLevel="1" x14ac:dyDescent="0.25">
      <c r="A82" s="44"/>
      <c r="B82" s="11" t="str">
        <f>CONCATENATE("          ", "4217", " - ", "NON-TAXABLE SALES-DORM/HOUSEWA")</f>
        <v xml:space="preserve">          4217 - NON-TAXABLE SALES-DORM/HOUSEWA</v>
      </c>
      <c r="C82" s="11"/>
      <c r="D82" s="2">
        <f t="shared" si="16"/>
        <v>0</v>
      </c>
      <c r="E82" s="2"/>
      <c r="F82" s="19"/>
      <c r="G82" s="2"/>
      <c r="H82" s="2">
        <f>-2.98</f>
        <v>-2.98</v>
      </c>
      <c r="I82" s="2"/>
      <c r="J82" s="19"/>
      <c r="K82" s="2"/>
      <c r="L82" s="2">
        <f t="shared" si="0"/>
        <v>2.98</v>
      </c>
      <c r="M82" s="2"/>
      <c r="N82" s="19">
        <f t="shared" si="1"/>
        <v>-1</v>
      </c>
      <c r="O82" s="11"/>
      <c r="P82" s="2">
        <f t="shared" si="17"/>
        <v>0</v>
      </c>
      <c r="Q82" s="2"/>
      <c r="R82" s="19"/>
      <c r="S82" s="2"/>
      <c r="T82" s="2">
        <f>-2.98</f>
        <v>-2.98</v>
      </c>
      <c r="U82" s="2"/>
      <c r="V82" s="19"/>
      <c r="W82" s="2"/>
      <c r="X82" s="2">
        <f t="shared" si="2"/>
        <v>2.98</v>
      </c>
      <c r="Y82" s="2"/>
      <c r="Z82" s="19">
        <f t="shared" si="3"/>
        <v>-1</v>
      </c>
    </row>
    <row r="83" spans="1:26" s="24" customFormat="1" hidden="1" outlineLevel="1" x14ac:dyDescent="0.25">
      <c r="A83" s="44"/>
      <c r="B83" s="11" t="str">
        <f>CONCATENATE("          ", "4218", " - ", "SALES RETURN TAXABLE-STUDY GUI")</f>
        <v xml:space="preserve">          4218 - SALES RETURN TAXABLE-STUDY GUI</v>
      </c>
      <c r="C83" s="11"/>
      <c r="D83" s="2">
        <f t="shared" si="16"/>
        <v>0</v>
      </c>
      <c r="E83" s="2"/>
      <c r="F83" s="19"/>
      <c r="G83" s="2"/>
      <c r="H83" s="2">
        <f>0</f>
        <v>0</v>
      </c>
      <c r="I83" s="2"/>
      <c r="J83" s="19"/>
      <c r="K83" s="2"/>
      <c r="L83" s="2">
        <f t="shared" si="0"/>
        <v>0</v>
      </c>
      <c r="M83" s="2"/>
      <c r="N83" s="19">
        <f t="shared" si="1"/>
        <v>0</v>
      </c>
      <c r="O83" s="11"/>
      <c r="P83" s="2">
        <f t="shared" si="17"/>
        <v>0</v>
      </c>
      <c r="Q83" s="2"/>
      <c r="R83" s="19"/>
      <c r="S83" s="2"/>
      <c r="T83" s="2">
        <f>-32.75</f>
        <v>-32.75</v>
      </c>
      <c r="U83" s="2"/>
      <c r="V83" s="19"/>
      <c r="W83" s="2"/>
      <c r="X83" s="2">
        <f t="shared" si="2"/>
        <v>32.75</v>
      </c>
      <c r="Y83" s="2"/>
      <c r="Z83" s="19">
        <f t="shared" si="3"/>
        <v>-1</v>
      </c>
    </row>
    <row r="84" spans="1:26" s="24" customFormat="1" hidden="1" outlineLevel="1" x14ac:dyDescent="0.25">
      <c r="A84" s="44"/>
      <c r="B84" s="11" t="str">
        <f>CONCATENATE("          ", "4225", " - ", "SALES RETURN TAXABLE-TEST FORM")</f>
        <v xml:space="preserve">          4225 - SALES RETURN TAXABLE-TEST FORM</v>
      </c>
      <c r="C84" s="11"/>
      <c r="D84" s="2">
        <f t="shared" si="16"/>
        <v>0</v>
      </c>
      <c r="E84" s="2"/>
      <c r="F84" s="19"/>
      <c r="G84" s="2"/>
      <c r="H84" s="2">
        <f>-8.45</f>
        <v>-8.4499999999999993</v>
      </c>
      <c r="I84" s="2"/>
      <c r="J84" s="19"/>
      <c r="K84" s="2"/>
      <c r="L84" s="2">
        <f t="shared" si="0"/>
        <v>8.4499999999999993</v>
      </c>
      <c r="M84" s="2"/>
      <c r="N84" s="19">
        <f t="shared" si="1"/>
        <v>-1</v>
      </c>
      <c r="O84" s="11"/>
      <c r="P84" s="2">
        <f t="shared" si="17"/>
        <v>0</v>
      </c>
      <c r="Q84" s="2"/>
      <c r="R84" s="19"/>
      <c r="S84" s="2"/>
      <c r="T84" s="2">
        <f>-41.55</f>
        <v>-41.55</v>
      </c>
      <c r="U84" s="2"/>
      <c r="V84" s="19"/>
      <c r="W84" s="2"/>
      <c r="X84" s="2">
        <f t="shared" si="2"/>
        <v>41.55</v>
      </c>
      <c r="Y84" s="2"/>
      <c r="Z84" s="19">
        <f t="shared" si="3"/>
        <v>-1</v>
      </c>
    </row>
    <row r="85" spans="1:26" s="24" customFormat="1" hidden="1" outlineLevel="1" x14ac:dyDescent="0.25">
      <c r="A85" s="44"/>
      <c r="B85" s="11" t="str">
        <f>CONCATENATE("          ", "4226", " - ", "SALES RETURN TAXABLE-WRITING I")</f>
        <v xml:space="preserve">          4226 - SALES RETURN TAXABLE-WRITING I</v>
      </c>
      <c r="C85" s="11"/>
      <c r="D85" s="2">
        <f>-5.36</f>
        <v>-5.36</v>
      </c>
      <c r="E85" s="2"/>
      <c r="F85" s="19"/>
      <c r="G85" s="2"/>
      <c r="H85" s="2">
        <f>-166.9</f>
        <v>-166.9</v>
      </c>
      <c r="I85" s="2"/>
      <c r="J85" s="19"/>
      <c r="K85" s="2"/>
      <c r="L85" s="2">
        <f t="shared" si="0"/>
        <v>161.54</v>
      </c>
      <c r="M85" s="2"/>
      <c r="N85" s="19">
        <f t="shared" si="1"/>
        <v>-0.9678849610545236</v>
      </c>
      <c r="O85" s="11"/>
      <c r="P85" s="2">
        <f>-34.23</f>
        <v>-34.229999999999997</v>
      </c>
      <c r="Q85" s="2"/>
      <c r="R85" s="19"/>
      <c r="S85" s="2"/>
      <c r="T85" s="2">
        <f>-475.97</f>
        <v>-475.97</v>
      </c>
      <c r="U85" s="2"/>
      <c r="V85" s="19"/>
      <c r="W85" s="2"/>
      <c r="X85" s="2">
        <f t="shared" si="2"/>
        <v>441.74</v>
      </c>
      <c r="Y85" s="2"/>
      <c r="Z85" s="19">
        <f t="shared" si="3"/>
        <v>-0.92808370275437524</v>
      </c>
    </row>
    <row r="86" spans="1:26" s="24" customFormat="1" hidden="1" outlineLevel="1" x14ac:dyDescent="0.25">
      <c r="A86" s="44"/>
      <c r="B86" s="11" t="str">
        <f>CONCATENATE("          ", "4227", " - ", "SALES RETURN TAXABLE-SCHOOL SU")</f>
        <v xml:space="preserve">          4227 - SALES RETURN TAXABLE-SCHOOL SU</v>
      </c>
      <c r="C86" s="11"/>
      <c r="D86" s="2">
        <f>-9.99</f>
        <v>-9.99</v>
      </c>
      <c r="E86" s="2"/>
      <c r="F86" s="19"/>
      <c r="G86" s="2"/>
      <c r="H86" s="2">
        <f>-324.85</f>
        <v>-324.85000000000002</v>
      </c>
      <c r="I86" s="2"/>
      <c r="J86" s="19"/>
      <c r="K86" s="2"/>
      <c r="L86" s="2">
        <f t="shared" si="0"/>
        <v>314.86</v>
      </c>
      <c r="M86" s="2"/>
      <c r="N86" s="19">
        <f t="shared" si="1"/>
        <v>-0.96924734492842846</v>
      </c>
      <c r="O86" s="11"/>
      <c r="P86" s="2">
        <f>-578.66</f>
        <v>-578.66</v>
      </c>
      <c r="Q86" s="2"/>
      <c r="R86" s="19"/>
      <c r="S86" s="2"/>
      <c r="T86" s="2">
        <f>-4826.48</f>
        <v>-4826.4799999999996</v>
      </c>
      <c r="U86" s="2"/>
      <c r="V86" s="19"/>
      <c r="W86" s="2"/>
      <c r="X86" s="2">
        <f t="shared" si="2"/>
        <v>4247.82</v>
      </c>
      <c r="Y86" s="2"/>
      <c r="Z86" s="19">
        <f t="shared" si="3"/>
        <v>-0.88010724171653054</v>
      </c>
    </row>
    <row r="87" spans="1:26" s="24" customFormat="1" hidden="1" outlineLevel="1" x14ac:dyDescent="0.25">
      <c r="A87" s="44"/>
      <c r="B87" s="11" t="str">
        <f>CONCATENATE("          ", "4228", " - ", "SALES RETURN TAXABLE-ART/TECH")</f>
        <v xml:space="preserve">          4228 - SALES RETURN TAXABLE-ART/TECH</v>
      </c>
      <c r="C87" s="11"/>
      <c r="D87" s="2">
        <f>0</f>
        <v>0</v>
      </c>
      <c r="E87" s="2"/>
      <c r="F87" s="19"/>
      <c r="G87" s="2"/>
      <c r="H87" s="2">
        <f>-502.99</f>
        <v>-502.99</v>
      </c>
      <c r="I87" s="2"/>
      <c r="J87" s="19"/>
      <c r="K87" s="2"/>
      <c r="L87" s="2">
        <f t="shared" si="0"/>
        <v>502.99</v>
      </c>
      <c r="M87" s="2"/>
      <c r="N87" s="19">
        <f t="shared" si="1"/>
        <v>-1</v>
      </c>
      <c r="O87" s="11"/>
      <c r="P87" s="2">
        <f>-222.2</f>
        <v>-222.2</v>
      </c>
      <c r="Q87" s="2"/>
      <c r="R87" s="19"/>
      <c r="S87" s="2"/>
      <c r="T87" s="2">
        <f>-2430.26</f>
        <v>-2430.2600000000002</v>
      </c>
      <c r="U87" s="2"/>
      <c r="V87" s="19"/>
      <c r="W87" s="2"/>
      <c r="X87" s="2">
        <f t="shared" si="2"/>
        <v>2208.0600000000004</v>
      </c>
      <c r="Y87" s="2"/>
      <c r="Z87" s="19">
        <f t="shared" si="3"/>
        <v>-0.908569453474114</v>
      </c>
    </row>
    <row r="88" spans="1:26" s="24" customFormat="1" hidden="1" outlineLevel="1" x14ac:dyDescent="0.25">
      <c r="A88" s="44"/>
      <c r="B88" s="11" t="str">
        <f>CONCATENATE("          ", "4240", " - ", "SALES RETURN TAXABLE-LOGO CLOT")</f>
        <v xml:space="preserve">          4240 - SALES RETURN TAXABLE-LOGO CLOT</v>
      </c>
      <c r="C88" s="11"/>
      <c r="D88" s="2">
        <f>-2239.56</f>
        <v>-2239.56</v>
      </c>
      <c r="E88" s="2"/>
      <c r="F88" s="19"/>
      <c r="G88" s="2"/>
      <c r="H88" s="2">
        <f>-9501.82</f>
        <v>-9501.82</v>
      </c>
      <c r="I88" s="2"/>
      <c r="J88" s="19"/>
      <c r="K88" s="2"/>
      <c r="L88" s="2">
        <f t="shared" si="0"/>
        <v>7262.26</v>
      </c>
      <c r="M88" s="2"/>
      <c r="N88" s="19">
        <f t="shared" si="1"/>
        <v>-0.76430199688059763</v>
      </c>
      <c r="O88" s="11"/>
      <c r="P88" s="2">
        <f>-13849.52</f>
        <v>-13849.52</v>
      </c>
      <c r="Q88" s="2"/>
      <c r="R88" s="19"/>
      <c r="S88" s="2"/>
      <c r="T88" s="2">
        <f>-30294.8</f>
        <v>-30294.799999999999</v>
      </c>
      <c r="U88" s="2"/>
      <c r="V88" s="19"/>
      <c r="W88" s="2"/>
      <c r="X88" s="2">
        <f t="shared" si="2"/>
        <v>16445.28</v>
      </c>
      <c r="Y88" s="2"/>
      <c r="Z88" s="19">
        <f t="shared" si="3"/>
        <v>-0.54284167579914699</v>
      </c>
    </row>
    <row r="89" spans="1:26" s="24" customFormat="1" hidden="1" outlineLevel="1" x14ac:dyDescent="0.25">
      <c r="A89" s="44"/>
      <c r="B89" s="11" t="str">
        <f>CONCATENATE("          ", "4241", " - ", "SALES RETURN TAXABLE-LOGO GIFT")</f>
        <v xml:space="preserve">          4241 - SALES RETURN TAXABLE-LOGO GIFT</v>
      </c>
      <c r="C89" s="11"/>
      <c r="D89" s="2">
        <f>-379.45</f>
        <v>-379.45</v>
      </c>
      <c r="E89" s="2"/>
      <c r="F89" s="19"/>
      <c r="G89" s="2"/>
      <c r="H89" s="2">
        <f>-327.07</f>
        <v>-327.07</v>
      </c>
      <c r="I89" s="2"/>
      <c r="J89" s="19"/>
      <c r="K89" s="2"/>
      <c r="L89" s="2">
        <f t="shared" si="0"/>
        <v>-52.379999999999995</v>
      </c>
      <c r="M89" s="2"/>
      <c r="N89" s="19">
        <f t="shared" si="1"/>
        <v>0.16014920353441159</v>
      </c>
      <c r="O89" s="11"/>
      <c r="P89" s="2">
        <f>-2696.56</f>
        <v>-2696.56</v>
      </c>
      <c r="Q89" s="2"/>
      <c r="R89" s="19"/>
      <c r="S89" s="2"/>
      <c r="T89" s="2">
        <f>-2717.95</f>
        <v>-2717.95</v>
      </c>
      <c r="U89" s="2"/>
      <c r="V89" s="19"/>
      <c r="W89" s="2"/>
      <c r="X89" s="2">
        <f t="shared" si="2"/>
        <v>21.389999999999873</v>
      </c>
      <c r="Y89" s="2"/>
      <c r="Z89" s="19">
        <f t="shared" si="3"/>
        <v>-7.8699019481594124E-3</v>
      </c>
    </row>
    <row r="90" spans="1:26" s="24" customFormat="1" hidden="1" outlineLevel="1" x14ac:dyDescent="0.25">
      <c r="A90" s="44"/>
      <c r="B90" s="11" t="str">
        <f>CONCATENATE("          ", "4242", " - ", "SALES RETURN TAXABLE-EVERYDAY")</f>
        <v xml:space="preserve">          4242 - SALES RETURN TAXABLE-EVERYDAY</v>
      </c>
      <c r="C90" s="11"/>
      <c r="D90" s="2">
        <f>-266.95</f>
        <v>-266.95</v>
      </c>
      <c r="E90" s="2"/>
      <c r="F90" s="19"/>
      <c r="G90" s="2"/>
      <c r="H90" s="2">
        <f>-165.1</f>
        <v>-165.1</v>
      </c>
      <c r="I90" s="2"/>
      <c r="J90" s="19"/>
      <c r="K90" s="2"/>
      <c r="L90" s="2">
        <f t="shared" si="0"/>
        <v>-101.85</v>
      </c>
      <c r="M90" s="2"/>
      <c r="N90" s="19">
        <f t="shared" si="1"/>
        <v>0.61689884918231375</v>
      </c>
      <c r="O90" s="11"/>
      <c r="P90" s="2">
        <f>-1321.51</f>
        <v>-1321.51</v>
      </c>
      <c r="Q90" s="2"/>
      <c r="R90" s="19"/>
      <c r="S90" s="2"/>
      <c r="T90" s="2">
        <f>-1159.57</f>
        <v>-1159.57</v>
      </c>
      <c r="U90" s="2"/>
      <c r="V90" s="19"/>
      <c r="W90" s="2"/>
      <c r="X90" s="2">
        <f t="shared" si="2"/>
        <v>-161.94000000000005</v>
      </c>
      <c r="Y90" s="2"/>
      <c r="Z90" s="19">
        <f t="shared" si="3"/>
        <v>0.13965521702010233</v>
      </c>
    </row>
    <row r="91" spans="1:26" s="24" customFormat="1" hidden="1" outlineLevel="1" x14ac:dyDescent="0.25">
      <c r="A91" s="44"/>
      <c r="B91" s="11" t="str">
        <f>CONCATENATE("          ", "4243", " - ", "SALES RETURN TAXABLE-CARDS")</f>
        <v xml:space="preserve">          4243 - SALES RETURN TAXABLE-CARDS</v>
      </c>
      <c r="C91" s="11"/>
      <c r="D91" s="2">
        <f>-829.55</f>
        <v>-829.55</v>
      </c>
      <c r="E91" s="2"/>
      <c r="F91" s="19"/>
      <c r="G91" s="2"/>
      <c r="H91" s="2">
        <f>0</f>
        <v>0</v>
      </c>
      <c r="I91" s="2"/>
      <c r="J91" s="19"/>
      <c r="K91" s="2"/>
      <c r="L91" s="2">
        <f t="shared" si="0"/>
        <v>-829.55</v>
      </c>
      <c r="M91" s="2"/>
      <c r="N91" s="19">
        <f t="shared" si="1"/>
        <v>0</v>
      </c>
      <c r="O91" s="11"/>
      <c r="P91" s="2">
        <f>-982.92</f>
        <v>-982.92</v>
      </c>
      <c r="Q91" s="2"/>
      <c r="R91" s="19"/>
      <c r="S91" s="2"/>
      <c r="T91" s="2">
        <f>-4.5</f>
        <v>-4.5</v>
      </c>
      <c r="U91" s="2"/>
      <c r="V91" s="19"/>
      <c r="W91" s="2"/>
      <c r="X91" s="2">
        <f t="shared" si="2"/>
        <v>-978.42</v>
      </c>
      <c r="Y91" s="2"/>
      <c r="Z91" s="19">
        <f t="shared" si="3"/>
        <v>217.42666666666665</v>
      </c>
    </row>
    <row r="92" spans="1:26" s="24" customFormat="1" hidden="1" outlineLevel="1" x14ac:dyDescent="0.25">
      <c r="A92" s="44"/>
      <c r="B92" s="11" t="str">
        <f>CONCATENATE("          ", "4244", " - ", "SALES RETURN TAXABLE-ACCESSORI")</f>
        <v xml:space="preserve">          4244 - SALES RETURN TAXABLE-ACCESSORI</v>
      </c>
      <c r="C92" s="11"/>
      <c r="D92" s="2">
        <f>0</f>
        <v>0</v>
      </c>
      <c r="E92" s="2"/>
      <c r="F92" s="19"/>
      <c r="G92" s="2"/>
      <c r="H92" s="2">
        <f>-177.85</f>
        <v>-177.85</v>
      </c>
      <c r="I92" s="2"/>
      <c r="J92" s="19"/>
      <c r="K92" s="2"/>
      <c r="L92" s="2">
        <f t="shared" si="0"/>
        <v>177.85</v>
      </c>
      <c r="M92" s="2"/>
      <c r="N92" s="19">
        <f t="shared" si="1"/>
        <v>-1</v>
      </c>
      <c r="O92" s="11"/>
      <c r="P92" s="2">
        <f>-410.99</f>
        <v>-410.99</v>
      </c>
      <c r="Q92" s="2"/>
      <c r="R92" s="19"/>
      <c r="S92" s="2"/>
      <c r="T92" s="2">
        <f>-1432.36</f>
        <v>-1432.36</v>
      </c>
      <c r="U92" s="2"/>
      <c r="V92" s="19"/>
      <c r="W92" s="2"/>
      <c r="X92" s="2">
        <f t="shared" si="2"/>
        <v>1021.3699999999999</v>
      </c>
      <c r="Y92" s="2"/>
      <c r="Z92" s="19">
        <f t="shared" si="3"/>
        <v>-0.71306794381300787</v>
      </c>
    </row>
    <row r="93" spans="1:26" s="24" customFormat="1" hidden="1" outlineLevel="1" x14ac:dyDescent="0.25">
      <c r="A93" s="44"/>
      <c r="B93" s="11" t="str">
        <f>CONCATENATE("          ", "4245", " - ", "SALES RETURN TAXABLE-SPECIAL O")</f>
        <v xml:space="preserve">          4245 - SALES RETURN TAXABLE-SPECIAL O</v>
      </c>
      <c r="C93" s="11"/>
      <c r="D93" s="2">
        <f>-363.98</f>
        <v>-363.98</v>
      </c>
      <c r="E93" s="2"/>
      <c r="F93" s="19"/>
      <c r="G93" s="2"/>
      <c r="H93" s="2">
        <f>0</f>
        <v>0</v>
      </c>
      <c r="I93" s="2"/>
      <c r="J93" s="19"/>
      <c r="K93" s="2"/>
      <c r="L93" s="2">
        <f t="shared" si="0"/>
        <v>-363.98</v>
      </c>
      <c r="M93" s="2"/>
      <c r="N93" s="19">
        <f t="shared" si="1"/>
        <v>0</v>
      </c>
      <c r="O93" s="11"/>
      <c r="P93" s="2">
        <f>-1546.93</f>
        <v>-1546.93</v>
      </c>
      <c r="Q93" s="2"/>
      <c r="R93" s="19"/>
      <c r="S93" s="2"/>
      <c r="T93" s="2">
        <f>-91.96</f>
        <v>-91.96</v>
      </c>
      <c r="U93" s="2"/>
      <c r="V93" s="19"/>
      <c r="W93" s="2"/>
      <c r="X93" s="2">
        <f t="shared" si="2"/>
        <v>-1454.97</v>
      </c>
      <c r="Y93" s="2"/>
      <c r="Z93" s="19">
        <f t="shared" si="3"/>
        <v>15.821770334928232</v>
      </c>
    </row>
    <row r="94" spans="1:26" s="24" customFormat="1" hidden="1" outlineLevel="1" x14ac:dyDescent="0.25">
      <c r="A94" s="44"/>
      <c r="B94" s="11" t="str">
        <f>CONCATENATE("          ", "4281", " - ", "SALES RETURN TAXABLE-ELECTRONI")</f>
        <v xml:space="preserve">          4281 - SALES RETURN TAXABLE-ELECTRONI</v>
      </c>
      <c r="C94" s="11"/>
      <c r="D94" s="2">
        <f t="shared" ref="D94:D96" si="18">0</f>
        <v>0</v>
      </c>
      <c r="E94" s="2"/>
      <c r="F94" s="19"/>
      <c r="G94" s="2"/>
      <c r="H94" s="2">
        <f>-19.99</f>
        <v>-19.989999999999998</v>
      </c>
      <c r="I94" s="2"/>
      <c r="J94" s="19"/>
      <c r="K94" s="2"/>
      <c r="L94" s="2">
        <f t="shared" si="0"/>
        <v>19.989999999999998</v>
      </c>
      <c r="M94" s="2"/>
      <c r="N94" s="19">
        <f t="shared" si="1"/>
        <v>-1</v>
      </c>
      <c r="O94" s="11"/>
      <c r="P94" s="2">
        <f t="shared" ref="P94:P96" si="19">0</f>
        <v>0</v>
      </c>
      <c r="Q94" s="2"/>
      <c r="R94" s="19"/>
      <c r="S94" s="2"/>
      <c r="T94" s="2">
        <f>-44.98</f>
        <v>-44.98</v>
      </c>
      <c r="U94" s="2"/>
      <c r="V94" s="19"/>
      <c r="W94" s="2"/>
      <c r="X94" s="2">
        <f t="shared" si="2"/>
        <v>44.98</v>
      </c>
      <c r="Y94" s="2"/>
      <c r="Z94" s="19">
        <f t="shared" si="3"/>
        <v>-1</v>
      </c>
    </row>
    <row r="95" spans="1:26" s="24" customFormat="1" hidden="1" outlineLevel="1" x14ac:dyDescent="0.25">
      <c r="A95" s="44"/>
      <c r="B95" s="11" t="str">
        <f>CONCATENATE("          ", "4292", " - ", "SALES RETURN TAXABLE-GRAD MERC")</f>
        <v xml:space="preserve">          4292 - SALES RETURN TAXABLE-GRAD MERC</v>
      </c>
      <c r="C95" s="11"/>
      <c r="D95" s="2">
        <f t="shared" si="18"/>
        <v>0</v>
      </c>
      <c r="E95" s="2"/>
      <c r="F95" s="19"/>
      <c r="G95" s="2"/>
      <c r="H95" s="2">
        <f>-39.95</f>
        <v>-39.950000000000003</v>
      </c>
      <c r="I95" s="2"/>
      <c r="J95" s="19"/>
      <c r="K95" s="2"/>
      <c r="L95" s="2">
        <f t="shared" si="0"/>
        <v>39.950000000000003</v>
      </c>
      <c r="M95" s="2"/>
      <c r="N95" s="19">
        <f t="shared" si="1"/>
        <v>-1</v>
      </c>
      <c r="O95" s="11"/>
      <c r="P95" s="2">
        <f t="shared" si="19"/>
        <v>0</v>
      </c>
      <c r="Q95" s="2"/>
      <c r="R95" s="19"/>
      <c r="S95" s="2"/>
      <c r="T95" s="2">
        <f>-409.1</f>
        <v>-409.1</v>
      </c>
      <c r="U95" s="2"/>
      <c r="V95" s="19"/>
      <c r="W95" s="2"/>
      <c r="X95" s="2">
        <f t="shared" si="2"/>
        <v>409.1</v>
      </c>
      <c r="Y95" s="2"/>
      <c r="Z95" s="19">
        <f t="shared" si="3"/>
        <v>-1</v>
      </c>
    </row>
    <row r="96" spans="1:26" s="24" customFormat="1" hidden="1" outlineLevel="1" x14ac:dyDescent="0.25">
      <c r="A96" s="44"/>
      <c r="B96" s="11" t="str">
        <f>CONCATENATE("          ", "4295", " - ", "SALES RETURN TAXABLE-CUSTOMER")</f>
        <v xml:space="preserve">          4295 - SALES RETURN TAXABLE-CUSTOMER</v>
      </c>
      <c r="C96" s="11"/>
      <c r="D96" s="2">
        <f t="shared" si="18"/>
        <v>0</v>
      </c>
      <c r="E96" s="2"/>
      <c r="F96" s="19"/>
      <c r="G96" s="2"/>
      <c r="H96" s="2">
        <f>0</f>
        <v>0</v>
      </c>
      <c r="I96" s="2"/>
      <c r="J96" s="19"/>
      <c r="K96" s="2"/>
      <c r="L96" s="2">
        <f t="shared" si="0"/>
        <v>0</v>
      </c>
      <c r="M96" s="2"/>
      <c r="N96" s="19">
        <f t="shared" si="1"/>
        <v>0</v>
      </c>
      <c r="O96" s="11"/>
      <c r="P96" s="2">
        <f t="shared" si="19"/>
        <v>0</v>
      </c>
      <c r="Q96" s="2"/>
      <c r="R96" s="19"/>
      <c r="S96" s="2"/>
      <c r="T96" s="2">
        <f>--0.99</f>
        <v>0.99</v>
      </c>
      <c r="U96" s="2"/>
      <c r="V96" s="19"/>
      <c r="W96" s="2"/>
      <c r="X96" s="2">
        <f t="shared" si="2"/>
        <v>-0.99</v>
      </c>
      <c r="Y96" s="2"/>
      <c r="Z96" s="19">
        <f t="shared" si="3"/>
        <v>-1</v>
      </c>
    </row>
    <row r="97" spans="1:26" s="24" customFormat="1" hidden="1" outlineLevel="1" x14ac:dyDescent="0.25">
      <c r="A97" s="44"/>
      <c r="B97" s="11" t="str">
        <f>CONCATENATE("          ", "4301", " - ", "SALES RETURN NON TAXABLE-NEW T")</f>
        <v xml:space="preserve">          4301 - SALES RETURN NON TAXABLE-NEW T</v>
      </c>
      <c r="C97" s="11"/>
      <c r="D97" s="2">
        <f>-535.49</f>
        <v>-535.49</v>
      </c>
      <c r="E97" s="2"/>
      <c r="F97" s="19"/>
      <c r="G97" s="2"/>
      <c r="H97" s="2">
        <f>-5585.76</f>
        <v>-5585.76</v>
      </c>
      <c r="I97" s="2"/>
      <c r="J97" s="19"/>
      <c r="K97" s="2"/>
      <c r="L97" s="2">
        <f t="shared" si="0"/>
        <v>5050.2700000000004</v>
      </c>
      <c r="M97" s="2"/>
      <c r="N97" s="19">
        <f t="shared" si="1"/>
        <v>-0.90413300965311794</v>
      </c>
      <c r="O97" s="11"/>
      <c r="P97" s="2">
        <f>-2376.17</f>
        <v>-2376.17</v>
      </c>
      <c r="Q97" s="2"/>
      <c r="R97" s="19"/>
      <c r="S97" s="2"/>
      <c r="T97" s="2">
        <f>-12310.98</f>
        <v>-12310.98</v>
      </c>
      <c r="U97" s="2"/>
      <c r="V97" s="19"/>
      <c r="W97" s="2"/>
      <c r="X97" s="2">
        <f t="shared" si="2"/>
        <v>9934.81</v>
      </c>
      <c r="Y97" s="2"/>
      <c r="Z97" s="19">
        <f t="shared" si="3"/>
        <v>-0.80698774589837685</v>
      </c>
    </row>
    <row r="98" spans="1:26" s="24" customFormat="1" hidden="1" outlineLevel="1" x14ac:dyDescent="0.25">
      <c r="A98" s="44"/>
      <c r="B98" s="11" t="str">
        <f>CONCATENATE("          ", "4302", " - ", "SALES RETURN NON TAXABLE-TEXT")</f>
        <v xml:space="preserve">          4302 - SALES RETURN NON TAXABLE-TEXT</v>
      </c>
      <c r="C98" s="11"/>
      <c r="D98" s="2">
        <f>-169.72</f>
        <v>-169.72</v>
      </c>
      <c r="E98" s="2"/>
      <c r="F98" s="19"/>
      <c r="G98" s="2"/>
      <c r="H98" s="2">
        <f>-35.1</f>
        <v>-35.1</v>
      </c>
      <c r="I98" s="2"/>
      <c r="J98" s="19"/>
      <c r="K98" s="2"/>
      <c r="L98" s="2">
        <f t="shared" si="0"/>
        <v>-134.62</v>
      </c>
      <c r="M98" s="2"/>
      <c r="N98" s="19">
        <f t="shared" si="1"/>
        <v>3.8353276353276353</v>
      </c>
      <c r="O98" s="11"/>
      <c r="P98" s="2">
        <f>-1316.8</f>
        <v>-1316.8</v>
      </c>
      <c r="Q98" s="2"/>
      <c r="R98" s="19"/>
      <c r="S98" s="2"/>
      <c r="T98" s="2">
        <f>-683.8</f>
        <v>-683.8</v>
      </c>
      <c r="U98" s="2"/>
      <c r="V98" s="19"/>
      <c r="W98" s="2"/>
      <c r="X98" s="2">
        <f t="shared" si="2"/>
        <v>-633</v>
      </c>
      <c r="Y98" s="2"/>
      <c r="Z98" s="19">
        <f t="shared" si="3"/>
        <v>0.92570927171687634</v>
      </c>
    </row>
    <row r="99" spans="1:26" s="24" customFormat="1" hidden="1" outlineLevel="1" x14ac:dyDescent="0.25">
      <c r="A99" s="44"/>
      <c r="B99" s="11" t="str">
        <f>CONCATENATE("          ", "4303", " - ", "SALES RETURN NON-TAXABLE-RENTA")</f>
        <v xml:space="preserve">          4303 - SALES RETURN NON-TAXABLE-RENTA</v>
      </c>
      <c r="C99" s="11"/>
      <c r="D99" s="2">
        <f>0</f>
        <v>0</v>
      </c>
      <c r="E99" s="2"/>
      <c r="F99" s="19"/>
      <c r="G99" s="2"/>
      <c r="H99" s="2">
        <f>0</f>
        <v>0</v>
      </c>
      <c r="I99" s="2"/>
      <c r="J99" s="19"/>
      <c r="K99" s="2"/>
      <c r="L99" s="2">
        <f t="shared" si="0"/>
        <v>0</v>
      </c>
      <c r="M99" s="2"/>
      <c r="N99" s="19">
        <f t="shared" si="1"/>
        <v>0</v>
      </c>
      <c r="O99" s="11"/>
      <c r="P99" s="2">
        <f>0</f>
        <v>0</v>
      </c>
      <c r="Q99" s="2"/>
      <c r="R99" s="19"/>
      <c r="S99" s="2"/>
      <c r="T99" s="2">
        <f>-184.99</f>
        <v>-184.99</v>
      </c>
      <c r="U99" s="2"/>
      <c r="V99" s="19"/>
      <c r="W99" s="2"/>
      <c r="X99" s="2">
        <f t="shared" si="2"/>
        <v>184.99</v>
      </c>
      <c r="Y99" s="2"/>
      <c r="Z99" s="19">
        <f t="shared" si="3"/>
        <v>-1</v>
      </c>
    </row>
    <row r="100" spans="1:26" s="24" customFormat="1" hidden="1" outlineLevel="1" x14ac:dyDescent="0.25">
      <c r="A100" s="44"/>
      <c r="B100" s="11" t="str">
        <f>CONCATENATE("          ", "4304", " - ", "SALES RETURN NON TAXABLE-DIGIT")</f>
        <v xml:space="preserve">          4304 - SALES RETURN NON TAXABLE-DIGIT</v>
      </c>
      <c r="C100" s="11"/>
      <c r="D100" s="2">
        <f>-692.75</f>
        <v>-692.75</v>
      </c>
      <c r="E100" s="2"/>
      <c r="F100" s="19"/>
      <c r="G100" s="2"/>
      <c r="H100" s="2">
        <f>-617.98</f>
        <v>-617.98</v>
      </c>
      <c r="I100" s="2"/>
      <c r="J100" s="19"/>
      <c r="K100" s="2"/>
      <c r="L100" s="2">
        <f t="shared" si="0"/>
        <v>-74.769999999999982</v>
      </c>
      <c r="M100" s="2"/>
      <c r="N100" s="19">
        <f t="shared" si="1"/>
        <v>0.12099097058157218</v>
      </c>
      <c r="O100" s="11"/>
      <c r="P100" s="2">
        <f>-14102.11</f>
        <v>-14102.11</v>
      </c>
      <c r="Q100" s="2"/>
      <c r="R100" s="19"/>
      <c r="S100" s="2"/>
      <c r="T100" s="2">
        <f>-13133.29</f>
        <v>-13133.29</v>
      </c>
      <c r="U100" s="2"/>
      <c r="V100" s="19"/>
      <c r="W100" s="2"/>
      <c r="X100" s="2">
        <f t="shared" si="2"/>
        <v>-968.81999999999971</v>
      </c>
      <c r="Y100" s="2"/>
      <c r="Z100" s="19">
        <f t="shared" si="3"/>
        <v>7.3768263702392894E-2</v>
      </c>
    </row>
    <row r="101" spans="1:26" s="24" customFormat="1" hidden="1" outlineLevel="1" x14ac:dyDescent="0.25">
      <c r="A101" s="44"/>
      <c r="B101" s="11" t="str">
        <f>CONCATENATE("          ", "4311", " - ", "SALES RETURN NON TAXABLE-NO VA")</f>
        <v xml:space="preserve">          4311 - SALES RETURN NON TAXABLE-NO VA</v>
      </c>
      <c r="C101" s="11"/>
      <c r="D101" s="2">
        <f t="shared" ref="D101:D102" si="20">0</f>
        <v>0</v>
      </c>
      <c r="E101" s="2"/>
      <c r="F101" s="19"/>
      <c r="G101" s="2"/>
      <c r="H101" s="2">
        <f>-0.02</f>
        <v>-0.02</v>
      </c>
      <c r="I101" s="2"/>
      <c r="J101" s="19"/>
      <c r="K101" s="2"/>
      <c r="L101" s="2">
        <f t="shared" si="0"/>
        <v>0.02</v>
      </c>
      <c r="M101" s="2"/>
      <c r="N101" s="19">
        <f t="shared" si="1"/>
        <v>-1</v>
      </c>
      <c r="O101" s="11"/>
      <c r="P101" s="2">
        <f t="shared" ref="P101:P102" si="21">0</f>
        <v>0</v>
      </c>
      <c r="Q101" s="2"/>
      <c r="R101" s="19"/>
      <c r="S101" s="2"/>
      <c r="T101" s="2">
        <f>-387.96</f>
        <v>-387.96</v>
      </c>
      <c r="U101" s="2"/>
      <c r="V101" s="19"/>
      <c r="W101" s="2"/>
      <c r="X101" s="2">
        <f t="shared" si="2"/>
        <v>387.96</v>
      </c>
      <c r="Y101" s="2"/>
      <c r="Z101" s="19">
        <f t="shared" si="3"/>
        <v>-1</v>
      </c>
    </row>
    <row r="102" spans="1:26" s="24" customFormat="1" hidden="1" outlineLevel="1" x14ac:dyDescent="0.25">
      <c r="A102" s="44"/>
      <c r="B102" s="11" t="str">
        <f>CONCATENATE("          ", "4327", " - ", "SALES RETURN NON TAXABLE-SCHOO")</f>
        <v xml:space="preserve">          4327 - SALES RETURN NON TAXABLE-SCHOO</v>
      </c>
      <c r="C102" s="11"/>
      <c r="D102" s="2">
        <f t="shared" si="20"/>
        <v>0</v>
      </c>
      <c r="E102" s="2"/>
      <c r="F102" s="19"/>
      <c r="G102" s="2"/>
      <c r="H102" s="2">
        <f t="shared" ref="H102:H103" si="22">0</f>
        <v>0</v>
      </c>
      <c r="I102" s="2"/>
      <c r="J102" s="19"/>
      <c r="K102" s="2"/>
      <c r="L102" s="2">
        <f t="shared" si="0"/>
        <v>0</v>
      </c>
      <c r="M102" s="2"/>
      <c r="N102" s="19">
        <f t="shared" si="1"/>
        <v>0</v>
      </c>
      <c r="O102" s="11"/>
      <c r="P102" s="2">
        <f t="shared" si="21"/>
        <v>0</v>
      </c>
      <c r="Q102" s="2"/>
      <c r="R102" s="19"/>
      <c r="S102" s="2"/>
      <c r="T102" s="2">
        <f>-21.87</f>
        <v>-21.87</v>
      </c>
      <c r="U102" s="2"/>
      <c r="V102" s="19"/>
      <c r="W102" s="2"/>
      <c r="X102" s="2">
        <f t="shared" si="2"/>
        <v>21.87</v>
      </c>
      <c r="Y102" s="2"/>
      <c r="Z102" s="19">
        <f t="shared" si="3"/>
        <v>-1</v>
      </c>
    </row>
    <row r="103" spans="1:26" s="24" customFormat="1" hidden="1" outlineLevel="1" x14ac:dyDescent="0.25">
      <c r="A103" s="44"/>
      <c r="B103" s="11" t="str">
        <f>CONCATENATE("          ", "4340", " - ", "SALES RETURN NON TAXABLE-LOGO")</f>
        <v xml:space="preserve">          4340 - SALES RETURN NON TAXABLE-LOGO</v>
      </c>
      <c r="C103" s="11"/>
      <c r="D103" s="2">
        <f>-195.69</f>
        <v>-195.69</v>
      </c>
      <c r="E103" s="2"/>
      <c r="F103" s="19"/>
      <c r="G103" s="2"/>
      <c r="H103" s="2">
        <f t="shared" si="22"/>
        <v>0</v>
      </c>
      <c r="I103" s="2"/>
      <c r="J103" s="19"/>
      <c r="K103" s="2"/>
      <c r="L103" s="2">
        <f t="shared" si="0"/>
        <v>-195.69</v>
      </c>
      <c r="M103" s="2"/>
      <c r="N103" s="19">
        <f t="shared" si="1"/>
        <v>0</v>
      </c>
      <c r="O103" s="11"/>
      <c r="P103" s="2">
        <f>-736.73</f>
        <v>-736.73</v>
      </c>
      <c r="Q103" s="2"/>
      <c r="R103" s="19"/>
      <c r="S103" s="2"/>
      <c r="T103" s="2">
        <f>-293.45</f>
        <v>-293.45</v>
      </c>
      <c r="U103" s="2"/>
      <c r="V103" s="19"/>
      <c r="W103" s="2"/>
      <c r="X103" s="2">
        <f t="shared" si="2"/>
        <v>-443.28000000000003</v>
      </c>
      <c r="Y103" s="2"/>
      <c r="Z103" s="19">
        <f t="shared" si="3"/>
        <v>1.5105810189129325</v>
      </c>
    </row>
    <row r="104" spans="1:26" s="24" customFormat="1" hidden="1" outlineLevel="1" x14ac:dyDescent="0.25">
      <c r="A104" s="44"/>
      <c r="B104" s="11" t="str">
        <f>CONCATENATE("          ", "4341", " - ", "SALES RETURN NON TAXABLE-LOGO")</f>
        <v xml:space="preserve">          4341 - SALES RETURN NON TAXABLE-LOGO</v>
      </c>
      <c r="C104" s="11"/>
      <c r="D104" s="2">
        <f t="shared" ref="D104:D106" si="23">0</f>
        <v>0</v>
      </c>
      <c r="E104" s="2"/>
      <c r="F104" s="19"/>
      <c r="G104" s="2"/>
      <c r="H104" s="2">
        <f>-6.95</f>
        <v>-6.95</v>
      </c>
      <c r="I104" s="2"/>
      <c r="J104" s="19"/>
      <c r="K104" s="2"/>
      <c r="L104" s="2">
        <f t="shared" si="0"/>
        <v>6.95</v>
      </c>
      <c r="M104" s="2"/>
      <c r="N104" s="19">
        <f t="shared" si="1"/>
        <v>-1</v>
      </c>
      <c r="O104" s="11"/>
      <c r="P104" s="2">
        <f>-146.9</f>
        <v>-146.9</v>
      </c>
      <c r="Q104" s="2"/>
      <c r="R104" s="19"/>
      <c r="S104" s="2"/>
      <c r="T104" s="2">
        <f>-10.9</f>
        <v>-10.9</v>
      </c>
      <c r="U104" s="2"/>
      <c r="V104" s="19"/>
      <c r="W104" s="2"/>
      <c r="X104" s="2">
        <f t="shared" si="2"/>
        <v>-136</v>
      </c>
      <c r="Y104" s="2"/>
      <c r="Z104" s="19">
        <f t="shared" si="3"/>
        <v>12.477064220183486</v>
      </c>
    </row>
    <row r="105" spans="1:26" s="24" customFormat="1" hidden="1" outlineLevel="1" x14ac:dyDescent="0.25">
      <c r="A105" s="44"/>
      <c r="B105" s="11" t="str">
        <f>CONCATENATE("          ", "4342", " - ", "SALES RETURN NON TAXABLE-EVERY")</f>
        <v xml:space="preserve">          4342 - SALES RETURN NON TAXABLE-EVERY</v>
      </c>
      <c r="C105" s="11"/>
      <c r="D105" s="2">
        <f t="shared" si="23"/>
        <v>0</v>
      </c>
      <c r="E105" s="2"/>
      <c r="F105" s="19"/>
      <c r="G105" s="2"/>
      <c r="H105" s="2">
        <f>-92.85</f>
        <v>-92.85</v>
      </c>
      <c r="I105" s="2"/>
      <c r="J105" s="19"/>
      <c r="K105" s="2"/>
      <c r="L105" s="2">
        <f t="shared" si="0"/>
        <v>92.85</v>
      </c>
      <c r="M105" s="2"/>
      <c r="N105" s="19">
        <f t="shared" si="1"/>
        <v>-1</v>
      </c>
      <c r="O105" s="11"/>
      <c r="P105" s="2">
        <f>-118.7</f>
        <v>-118.7</v>
      </c>
      <c r="Q105" s="2"/>
      <c r="R105" s="19"/>
      <c r="S105" s="2"/>
      <c r="T105" s="2">
        <f>-102.85</f>
        <v>-102.85</v>
      </c>
      <c r="U105" s="2"/>
      <c r="V105" s="19"/>
      <c r="W105" s="2"/>
      <c r="X105" s="2">
        <f t="shared" si="2"/>
        <v>-15.850000000000009</v>
      </c>
      <c r="Y105" s="2"/>
      <c r="Z105" s="19">
        <f t="shared" si="3"/>
        <v>0.15410792416140018</v>
      </c>
    </row>
    <row r="106" spans="1:26" s="24" customFormat="1" hidden="1" outlineLevel="1" x14ac:dyDescent="0.25">
      <c r="A106" s="44"/>
      <c r="B106" s="11" t="str">
        <f>CONCATENATE("          ", "4346", " - ", "SALES RETURN NON TAXABLE-COIN-")</f>
        <v xml:space="preserve">          4346 - SALES RETURN NON TAXABLE-COIN-</v>
      </c>
      <c r="C106" s="11"/>
      <c r="D106" s="2">
        <f t="shared" si="23"/>
        <v>0</v>
      </c>
      <c r="E106" s="2"/>
      <c r="F106" s="19"/>
      <c r="G106" s="2"/>
      <c r="H106" s="2">
        <f>0</f>
        <v>0</v>
      </c>
      <c r="I106" s="2"/>
      <c r="J106" s="19"/>
      <c r="K106" s="2"/>
      <c r="L106" s="2">
        <f t="shared" si="0"/>
        <v>0</v>
      </c>
      <c r="M106" s="2"/>
      <c r="N106" s="19">
        <f t="shared" si="1"/>
        <v>0</v>
      </c>
      <c r="O106" s="11"/>
      <c r="P106" s="2">
        <f>0</f>
        <v>0</v>
      </c>
      <c r="Q106" s="2"/>
      <c r="R106" s="19"/>
      <c r="S106" s="2"/>
      <c r="T106" s="2">
        <f>-8.15</f>
        <v>-8.15</v>
      </c>
      <c r="U106" s="2"/>
      <c r="V106" s="19"/>
      <c r="W106" s="2"/>
      <c r="X106" s="2">
        <f t="shared" si="2"/>
        <v>8.15</v>
      </c>
      <c r="Y106" s="2"/>
      <c r="Z106" s="19">
        <f t="shared" si="3"/>
        <v>-1</v>
      </c>
    </row>
    <row r="107" spans="1:26" x14ac:dyDescent="0.25">
      <c r="A107" s="9"/>
      <c r="B107" s="10"/>
      <c r="C107" s="9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s="23" customFormat="1" collapsed="1" x14ac:dyDescent="0.25">
      <c r="A108" s="10"/>
      <c r="B108" s="26" t="s">
        <v>8</v>
      </c>
      <c r="C108" s="10"/>
      <c r="D108" s="4">
        <f>SUM(OSRRefD16x_0)</f>
        <v>97529.329999999973</v>
      </c>
      <c r="E108" s="4"/>
      <c r="F108" s="12">
        <f t="shared" ref="F108:F158" si="24">IF(D$12=0,0,D108/D$12)</f>
        <v>0.60914321946738392</v>
      </c>
      <c r="G108" s="4"/>
      <c r="H108" s="4">
        <f>SUM(OSRRefH16x_0)</f>
        <v>472591.70999999996</v>
      </c>
      <c r="I108" s="4"/>
      <c r="J108" s="12">
        <f t="shared" ref="J108:J158" si="25">IF(H$12=0,0,H108/H$12)</f>
        <v>0.46865531466928551</v>
      </c>
      <c r="K108" s="4"/>
      <c r="L108" s="4">
        <f t="shared" ref="L108:L158" si="26">+D108-H108</f>
        <v>-375062.38</v>
      </c>
      <c r="M108" s="4"/>
      <c r="N108" s="12">
        <f t="shared" ref="N108:N158" si="27">IF(H108=0,0,L108/H108)</f>
        <v>-0.79362877524872377</v>
      </c>
      <c r="O108" s="10"/>
      <c r="P108" s="4">
        <f>SUM(OSRRefP16x_0)</f>
        <v>1549272.27</v>
      </c>
      <c r="Q108" s="4"/>
      <c r="R108" s="12">
        <f t="shared" ref="R108:R158" si="28">IF(P$12=0,0,P108/P$12)</f>
        <v>0.65741934132277269</v>
      </c>
      <c r="S108" s="4"/>
      <c r="T108" s="4">
        <f>SUM(OSRRefT16x_0)</f>
        <v>3348731.82</v>
      </c>
      <c r="U108" s="4"/>
      <c r="V108" s="12">
        <f t="shared" ref="V108:V158" si="29">IF(T$12=0,0,T108/T$12)</f>
        <v>0.58351574772098169</v>
      </c>
      <c r="W108" s="4"/>
      <c r="X108" s="4">
        <f t="shared" ref="X108:X158" si="30">+P108-T108</f>
        <v>-1799459.5499999998</v>
      </c>
      <c r="Y108" s="4"/>
      <c r="Z108" s="12">
        <f t="shared" ref="Z108:Z158" si="31">IF(T108=0,0,X108/T108)</f>
        <v>-0.53735552642731477</v>
      </c>
    </row>
    <row r="109" spans="1:26" s="24" customFormat="1" hidden="1" outlineLevel="1" x14ac:dyDescent="0.25">
      <c r="A109" s="44"/>
      <c r="B109" s="11" t="str">
        <f>CONCATENATE("          ", "5001", " - ", "PURCHASES @ COST-NEW TEXT")</f>
        <v xml:space="preserve">          5001 - PURCHASES @ COST-NEW TEXT</v>
      </c>
      <c r="C109" s="11"/>
      <c r="D109" s="2">
        <v>55775.07</v>
      </c>
      <c r="E109" s="2"/>
      <c r="F109" s="19">
        <f t="shared" si="24"/>
        <v>0.34835680411029901</v>
      </c>
      <c r="G109" s="2"/>
      <c r="H109" s="2">
        <v>-175502.53</v>
      </c>
      <c r="I109" s="2"/>
      <c r="J109" s="19">
        <f t="shared" si="25"/>
        <v>-0.17404070296198323</v>
      </c>
      <c r="K109" s="2"/>
      <c r="L109" s="2">
        <f t="shared" si="26"/>
        <v>231277.6</v>
      </c>
      <c r="M109" s="2"/>
      <c r="N109" s="19">
        <f t="shared" si="27"/>
        <v>-1.3178020852462926</v>
      </c>
      <c r="O109" s="11"/>
      <c r="P109" s="2">
        <v>1349196.8299999998</v>
      </c>
      <c r="Q109" s="2"/>
      <c r="R109" s="19">
        <f t="shared" si="28"/>
        <v>0.57251918108194944</v>
      </c>
      <c r="S109" s="2"/>
      <c r="T109" s="2">
        <v>1757148.42</v>
      </c>
      <c r="U109" s="2"/>
      <c r="V109" s="19">
        <f t="shared" si="29"/>
        <v>0.30618270714584772</v>
      </c>
      <c r="W109" s="2"/>
      <c r="X109" s="2">
        <f t="shared" si="30"/>
        <v>-407951.59000000008</v>
      </c>
      <c r="Y109" s="2"/>
      <c r="Z109" s="19">
        <f t="shared" si="31"/>
        <v>-0.23216683653848666</v>
      </c>
    </row>
    <row r="110" spans="1:26" s="24" customFormat="1" hidden="1" outlineLevel="1" x14ac:dyDescent="0.25">
      <c r="A110" s="44"/>
      <c r="B110" s="11" t="str">
        <f>CONCATENATE("          ", "5002", " - ", "PURCHASES @ COST-USED TEXT")</f>
        <v xml:space="preserve">          5002 - PURCHASES @ COST-USED TEXT</v>
      </c>
      <c r="C110" s="11"/>
      <c r="D110" s="2">
        <v>6331.95</v>
      </c>
      <c r="E110" s="2"/>
      <c r="F110" s="19">
        <f t="shared" si="24"/>
        <v>3.9547738188158398E-2</v>
      </c>
      <c r="G110" s="2"/>
      <c r="H110" s="2">
        <v>14221.93</v>
      </c>
      <c r="I110" s="2"/>
      <c r="J110" s="19">
        <f t="shared" si="25"/>
        <v>1.4103470158955078E-2</v>
      </c>
      <c r="K110" s="2"/>
      <c r="L110" s="2">
        <f t="shared" si="26"/>
        <v>-7889.9800000000005</v>
      </c>
      <c r="M110" s="2"/>
      <c r="N110" s="19">
        <f t="shared" si="27"/>
        <v>-0.55477561765526906</v>
      </c>
      <c r="O110" s="11"/>
      <c r="P110" s="2">
        <v>303063.33</v>
      </c>
      <c r="Q110" s="2"/>
      <c r="R110" s="19">
        <f t="shared" si="28"/>
        <v>0.12860211768179786</v>
      </c>
      <c r="S110" s="2"/>
      <c r="T110" s="2">
        <v>368033.17</v>
      </c>
      <c r="U110" s="2"/>
      <c r="V110" s="19">
        <f t="shared" si="29"/>
        <v>6.4129695037410658E-2</v>
      </c>
      <c r="W110" s="2"/>
      <c r="X110" s="2">
        <f t="shared" si="30"/>
        <v>-64969.839999999967</v>
      </c>
      <c r="Y110" s="2"/>
      <c r="Z110" s="19">
        <f t="shared" si="31"/>
        <v>-0.17653256634449543</v>
      </c>
    </row>
    <row r="111" spans="1:26" s="24" customFormat="1" hidden="1" outlineLevel="1" x14ac:dyDescent="0.25">
      <c r="A111" s="44"/>
      <c r="B111" s="11" t="str">
        <f>CONCATENATE("          ", "5003", " - ", "PURCHASES @ COST-RENTAL TEXT")</f>
        <v xml:space="preserve">          5003 - PURCHASES @ COST-RENTAL TEXT</v>
      </c>
      <c r="C111" s="11"/>
      <c r="D111" s="2">
        <v>10600.69</v>
      </c>
      <c r="E111" s="2"/>
      <c r="F111" s="19">
        <f t="shared" si="24"/>
        <v>6.6209195071633364E-2</v>
      </c>
      <c r="G111" s="2"/>
      <c r="H111" s="2"/>
      <c r="I111" s="2"/>
      <c r="J111" s="19">
        <f t="shared" si="25"/>
        <v>0</v>
      </c>
      <c r="K111" s="2"/>
      <c r="L111" s="2">
        <f t="shared" si="26"/>
        <v>10600.69</v>
      </c>
      <c r="M111" s="2"/>
      <c r="N111" s="19">
        <f t="shared" si="27"/>
        <v>0</v>
      </c>
      <c r="O111" s="11"/>
      <c r="P111" s="2">
        <v>-485.41</v>
      </c>
      <c r="Q111" s="2"/>
      <c r="R111" s="19">
        <f t="shared" si="28"/>
        <v>-2.059792385437113E-4</v>
      </c>
      <c r="S111" s="2"/>
      <c r="T111" s="2">
        <v>-78.400000000000006</v>
      </c>
      <c r="U111" s="2"/>
      <c r="V111" s="19">
        <f t="shared" si="29"/>
        <v>-1.366118192806642E-5</v>
      </c>
      <c r="W111" s="2"/>
      <c r="X111" s="2">
        <f t="shared" si="30"/>
        <v>-407.01</v>
      </c>
      <c r="Y111" s="2"/>
      <c r="Z111" s="19">
        <f t="shared" si="31"/>
        <v>5.1914540816326529</v>
      </c>
    </row>
    <row r="112" spans="1:26" s="24" customFormat="1" hidden="1" outlineLevel="1" x14ac:dyDescent="0.25">
      <c r="A112" s="44"/>
      <c r="B112" s="11" t="str">
        <f>CONCATENATE("          ", "5004", " - ", "PURCHASES @ COST-DIGITAL TEXT")</f>
        <v xml:space="preserve">          5004 - PURCHASES @ COST-DIGITAL TEXT</v>
      </c>
      <c r="C112" s="11"/>
      <c r="D112" s="2">
        <v>12903.46</v>
      </c>
      <c r="E112" s="2"/>
      <c r="F112" s="19">
        <f t="shared" si="24"/>
        <v>8.059170678880509E-2</v>
      </c>
      <c r="G112" s="2"/>
      <c r="H112" s="2">
        <v>-30949.360000000001</v>
      </c>
      <c r="I112" s="2"/>
      <c r="J112" s="19">
        <f t="shared" si="25"/>
        <v>-3.0691571059536783E-2</v>
      </c>
      <c r="K112" s="2"/>
      <c r="L112" s="2">
        <f t="shared" si="26"/>
        <v>43852.82</v>
      </c>
      <c r="M112" s="2"/>
      <c r="N112" s="19">
        <f t="shared" si="27"/>
        <v>-1.416921706943213</v>
      </c>
      <c r="O112" s="11"/>
      <c r="P112" s="2">
        <v>195519.53</v>
      </c>
      <c r="Q112" s="2"/>
      <c r="R112" s="19">
        <f t="shared" si="28"/>
        <v>8.2966902020610037E-2</v>
      </c>
      <c r="S112" s="2"/>
      <c r="T112" s="2">
        <v>322779.02999999997</v>
      </c>
      <c r="U112" s="2"/>
      <c r="V112" s="19">
        <f t="shared" si="29"/>
        <v>5.6244171573913364E-2</v>
      </c>
      <c r="W112" s="2"/>
      <c r="X112" s="2">
        <f t="shared" si="30"/>
        <v>-127259.49999999997</v>
      </c>
      <c r="Y112" s="2"/>
      <c r="Z112" s="19">
        <f t="shared" si="31"/>
        <v>-0.39426198164112453</v>
      </c>
    </row>
    <row r="113" spans="1:26" s="24" customFormat="1" hidden="1" outlineLevel="1" x14ac:dyDescent="0.25">
      <c r="A113" s="44"/>
      <c r="B113" s="11" t="str">
        <f>CONCATENATE("          ", "5011", " - ", "PURCHASES @ COST-NO VALUE TEXT")</f>
        <v xml:space="preserve">          5011 - PURCHASES @ COST-NO VALUE TEXT</v>
      </c>
      <c r="C113" s="11"/>
      <c r="D113" s="2">
        <v>67.17</v>
      </c>
      <c r="E113" s="2"/>
      <c r="F113" s="19">
        <f t="shared" si="24"/>
        <v>4.1952661882968116E-4</v>
      </c>
      <c r="G113" s="2"/>
      <c r="H113" s="2">
        <v>90</v>
      </c>
      <c r="I113" s="2"/>
      <c r="J113" s="19">
        <f t="shared" si="25"/>
        <v>8.9250355915544298E-5</v>
      </c>
      <c r="K113" s="2"/>
      <c r="L113" s="2">
        <f t="shared" si="26"/>
        <v>-22.83</v>
      </c>
      <c r="M113" s="2"/>
      <c r="N113" s="19">
        <f t="shared" si="27"/>
        <v>-0.25366666666666665</v>
      </c>
      <c r="O113" s="11"/>
      <c r="P113" s="2">
        <v>67.17</v>
      </c>
      <c r="Q113" s="2"/>
      <c r="R113" s="19">
        <f t="shared" si="28"/>
        <v>2.8502967497540405E-5</v>
      </c>
      <c r="S113" s="2"/>
      <c r="T113" s="2">
        <v>3675</v>
      </c>
      <c r="U113" s="2"/>
      <c r="V113" s="19">
        <f t="shared" si="29"/>
        <v>6.403679028781134E-4</v>
      </c>
      <c r="W113" s="2"/>
      <c r="X113" s="2">
        <f t="shared" si="30"/>
        <v>-3607.83</v>
      </c>
      <c r="Y113" s="2"/>
      <c r="Z113" s="19">
        <f t="shared" si="31"/>
        <v>-0.98172244897959182</v>
      </c>
    </row>
    <row r="114" spans="1:26" s="24" customFormat="1" hidden="1" outlineLevel="1" x14ac:dyDescent="0.25">
      <c r="A114" s="44"/>
      <c r="B114" s="11" t="str">
        <f>CONCATENATE("          ", "5013", " - ", "PURCHASES @ COST-TRADE BOOKS")</f>
        <v xml:space="preserve">          5013 - PURCHASES @ COST-TRADE BOOKS</v>
      </c>
      <c r="C114" s="11"/>
      <c r="D114" s="2">
        <v>1384.46</v>
      </c>
      <c r="E114" s="2"/>
      <c r="F114" s="19">
        <f t="shared" si="24"/>
        <v>8.6469826217796704E-3</v>
      </c>
      <c r="G114" s="2"/>
      <c r="H114" s="2">
        <v>212.56</v>
      </c>
      <c r="I114" s="2"/>
      <c r="J114" s="19">
        <f t="shared" si="25"/>
        <v>2.1078950726008996E-4</v>
      </c>
      <c r="K114" s="2"/>
      <c r="L114" s="2">
        <f t="shared" si="26"/>
        <v>1171.9000000000001</v>
      </c>
      <c r="M114" s="2"/>
      <c r="N114" s="19">
        <f t="shared" si="27"/>
        <v>5.5132668423033504</v>
      </c>
      <c r="O114" s="11"/>
      <c r="P114" s="2">
        <v>1483.64</v>
      </c>
      <c r="Q114" s="2"/>
      <c r="R114" s="19">
        <f t="shared" si="28"/>
        <v>6.2956889531116348E-4</v>
      </c>
      <c r="S114" s="2"/>
      <c r="T114" s="2">
        <v>687.35</v>
      </c>
      <c r="U114" s="2"/>
      <c r="V114" s="19">
        <f t="shared" si="29"/>
        <v>1.1977057905939353E-4</v>
      </c>
      <c r="W114" s="2"/>
      <c r="X114" s="2">
        <f t="shared" si="30"/>
        <v>796.29000000000008</v>
      </c>
      <c r="Y114" s="2"/>
      <c r="Z114" s="19">
        <f t="shared" si="31"/>
        <v>1.1584927620571761</v>
      </c>
    </row>
    <row r="115" spans="1:26" s="24" customFormat="1" hidden="1" outlineLevel="1" x14ac:dyDescent="0.25">
      <c r="A115" s="44"/>
      <c r="B115" s="11" t="str">
        <f>CONCATENATE("          ", "5014", " - ", "PURCHASES @ COST-REMAINDERS")</f>
        <v xml:space="preserve">          5014 - PURCHASES @ COST-REMAINDERS</v>
      </c>
      <c r="C115" s="11"/>
      <c r="D115" s="2">
        <v>102.92</v>
      </c>
      <c r="E115" s="2"/>
      <c r="F115" s="19">
        <f t="shared" si="24"/>
        <v>6.4281196382240272E-4</v>
      </c>
      <c r="G115" s="2"/>
      <c r="H115" s="2">
        <v>52</v>
      </c>
      <c r="I115" s="2"/>
      <c r="J115" s="19">
        <f t="shared" si="25"/>
        <v>5.1566872306758931E-5</v>
      </c>
      <c r="K115" s="2"/>
      <c r="L115" s="2">
        <f t="shared" si="26"/>
        <v>50.92</v>
      </c>
      <c r="M115" s="2"/>
      <c r="N115" s="19">
        <f t="shared" si="27"/>
        <v>0.97923076923076924</v>
      </c>
      <c r="O115" s="11"/>
      <c r="P115" s="2">
        <v>90.41</v>
      </c>
      <c r="Q115" s="2"/>
      <c r="R115" s="19">
        <f t="shared" si="28"/>
        <v>3.8364646292282685E-5</v>
      </c>
      <c r="S115" s="2"/>
      <c r="T115" s="2">
        <v>341.97</v>
      </c>
      <c r="U115" s="2"/>
      <c r="V115" s="19">
        <f t="shared" si="29"/>
        <v>5.9588193672715221E-5</v>
      </c>
      <c r="W115" s="2"/>
      <c r="X115" s="2">
        <f t="shared" si="30"/>
        <v>-251.56000000000003</v>
      </c>
      <c r="Y115" s="2"/>
      <c r="Z115" s="19">
        <f t="shared" si="31"/>
        <v>-0.7356200836330673</v>
      </c>
    </row>
    <row r="116" spans="1:26" s="24" customFormat="1" hidden="1" outlineLevel="1" x14ac:dyDescent="0.25">
      <c r="A116" s="44"/>
      <c r="B116" s="11" t="str">
        <f>CONCATENATE("          ", "5017", " - ", "PURCHASES @ COST-DORM/HOUSEWAR")</f>
        <v xml:space="preserve">          5017 - PURCHASES @ COST-DORM/HOUSEWAR</v>
      </c>
      <c r="C116" s="11"/>
      <c r="D116" s="2"/>
      <c r="E116" s="2"/>
      <c r="F116" s="19">
        <f t="shared" si="24"/>
        <v>0</v>
      </c>
      <c r="G116" s="2"/>
      <c r="H116" s="2"/>
      <c r="I116" s="2"/>
      <c r="J116" s="19">
        <f t="shared" si="25"/>
        <v>0</v>
      </c>
      <c r="K116" s="2"/>
      <c r="L116" s="2">
        <f t="shared" si="26"/>
        <v>0</v>
      </c>
      <c r="M116" s="2"/>
      <c r="N116" s="19">
        <f t="shared" si="27"/>
        <v>0</v>
      </c>
      <c r="O116" s="11"/>
      <c r="P116" s="2"/>
      <c r="Q116" s="2"/>
      <c r="R116" s="19">
        <f t="shared" si="28"/>
        <v>0</v>
      </c>
      <c r="S116" s="2"/>
      <c r="T116" s="2">
        <v>0</v>
      </c>
      <c r="U116" s="2"/>
      <c r="V116" s="19">
        <f t="shared" si="29"/>
        <v>0</v>
      </c>
      <c r="W116" s="2"/>
      <c r="X116" s="2">
        <f t="shared" si="30"/>
        <v>0</v>
      </c>
      <c r="Y116" s="2"/>
      <c r="Z116" s="19">
        <f t="shared" si="31"/>
        <v>0</v>
      </c>
    </row>
    <row r="117" spans="1:26" s="24" customFormat="1" hidden="1" outlineLevel="1" x14ac:dyDescent="0.25">
      <c r="A117" s="44"/>
      <c r="B117" s="11" t="str">
        <f>CONCATENATE("          ", "5018", " - ", "PURCHASES @ COST-STUDY GUIDES")</f>
        <v xml:space="preserve">          5018 - PURCHASES @ COST-STUDY GUIDES</v>
      </c>
      <c r="C117" s="11"/>
      <c r="D117" s="2"/>
      <c r="E117" s="2"/>
      <c r="F117" s="19">
        <f t="shared" si="24"/>
        <v>0</v>
      </c>
      <c r="G117" s="2"/>
      <c r="H117" s="2">
        <v>298.16000000000003</v>
      </c>
      <c r="I117" s="2"/>
      <c r="J117" s="19">
        <f t="shared" si="25"/>
        <v>2.9567651244198547E-4</v>
      </c>
      <c r="K117" s="2"/>
      <c r="L117" s="2">
        <f t="shared" si="26"/>
        <v>-298.16000000000003</v>
      </c>
      <c r="M117" s="2"/>
      <c r="N117" s="19">
        <f t="shared" si="27"/>
        <v>-1</v>
      </c>
      <c r="O117" s="11"/>
      <c r="P117" s="2"/>
      <c r="Q117" s="2"/>
      <c r="R117" s="19">
        <f t="shared" si="28"/>
        <v>0</v>
      </c>
      <c r="S117" s="2"/>
      <c r="T117" s="2">
        <v>802.09</v>
      </c>
      <c r="U117" s="2"/>
      <c r="V117" s="19">
        <f t="shared" si="29"/>
        <v>1.3976399761074992E-4</v>
      </c>
      <c r="W117" s="2"/>
      <c r="X117" s="2">
        <f t="shared" si="30"/>
        <v>-802.09</v>
      </c>
      <c r="Y117" s="2"/>
      <c r="Z117" s="19">
        <f t="shared" si="31"/>
        <v>-1</v>
      </c>
    </row>
    <row r="118" spans="1:26" s="24" customFormat="1" hidden="1" outlineLevel="1" x14ac:dyDescent="0.25">
      <c r="A118" s="44"/>
      <c r="B118" s="11" t="str">
        <f>CONCATENATE("          ", "5025", " - ", "PURCHASES @ COST-TEST FORMS")</f>
        <v xml:space="preserve">          5025 - PURCHASES @ COST-TEST FORMS</v>
      </c>
      <c r="C118" s="11"/>
      <c r="D118" s="2">
        <v>599.29</v>
      </c>
      <c r="E118" s="2"/>
      <c r="F118" s="19">
        <f t="shared" si="24"/>
        <v>3.7430118713479175E-3</v>
      </c>
      <c r="G118" s="2"/>
      <c r="H118" s="2">
        <v>0</v>
      </c>
      <c r="I118" s="2"/>
      <c r="J118" s="19">
        <f t="shared" si="25"/>
        <v>0</v>
      </c>
      <c r="K118" s="2"/>
      <c r="L118" s="2">
        <f t="shared" si="26"/>
        <v>599.29</v>
      </c>
      <c r="M118" s="2"/>
      <c r="N118" s="19">
        <f t="shared" si="27"/>
        <v>0</v>
      </c>
      <c r="O118" s="11"/>
      <c r="P118" s="2">
        <v>599.29</v>
      </c>
      <c r="Q118" s="2"/>
      <c r="R118" s="19">
        <f t="shared" si="28"/>
        <v>2.5430316200090796E-4</v>
      </c>
      <c r="S118" s="2"/>
      <c r="T118" s="2">
        <v>3252.39</v>
      </c>
      <c r="U118" s="2"/>
      <c r="V118" s="19">
        <f t="shared" si="29"/>
        <v>5.6672820779367263E-4</v>
      </c>
      <c r="W118" s="2"/>
      <c r="X118" s="2">
        <f t="shared" si="30"/>
        <v>-2653.1</v>
      </c>
      <c r="Y118" s="2"/>
      <c r="Z118" s="19">
        <f t="shared" si="31"/>
        <v>-0.81573857993660048</v>
      </c>
    </row>
    <row r="119" spans="1:26" s="24" customFormat="1" hidden="1" outlineLevel="1" x14ac:dyDescent="0.25">
      <c r="A119" s="44"/>
      <c r="B119" s="11" t="str">
        <f>CONCATENATE("          ", "5026", " - ", "PURCHASES @ COST-WRITING INSTR")</f>
        <v xml:space="preserve">          5026 - PURCHASES @ COST-WRITING INSTR</v>
      </c>
      <c r="C119" s="11"/>
      <c r="D119" s="2">
        <v>380.02</v>
      </c>
      <c r="E119" s="2"/>
      <c r="F119" s="19">
        <f t="shared" si="24"/>
        <v>2.3735076029128394E-3</v>
      </c>
      <c r="G119" s="2"/>
      <c r="H119" s="2">
        <v>10530.19</v>
      </c>
      <c r="I119" s="2"/>
      <c r="J119" s="19">
        <f t="shared" si="25"/>
        <v>1.0442480059536728E-2</v>
      </c>
      <c r="K119" s="2"/>
      <c r="L119" s="2">
        <f t="shared" si="26"/>
        <v>-10150.17</v>
      </c>
      <c r="M119" s="2"/>
      <c r="N119" s="19">
        <f t="shared" si="27"/>
        <v>-0.96391138241570185</v>
      </c>
      <c r="O119" s="11"/>
      <c r="P119" s="2">
        <v>380.02</v>
      </c>
      <c r="Q119" s="2"/>
      <c r="R119" s="19">
        <f t="shared" si="28"/>
        <v>1.6125796796807062E-4</v>
      </c>
      <c r="S119" s="2"/>
      <c r="T119" s="2">
        <v>25317.57</v>
      </c>
      <c r="U119" s="2"/>
      <c r="V119" s="19">
        <f t="shared" si="29"/>
        <v>4.411580736563221E-3</v>
      </c>
      <c r="W119" s="2"/>
      <c r="X119" s="2">
        <f t="shared" si="30"/>
        <v>-24937.55</v>
      </c>
      <c r="Y119" s="2"/>
      <c r="Z119" s="19">
        <f t="shared" si="31"/>
        <v>-0.98498987067084243</v>
      </c>
    </row>
    <row r="120" spans="1:26" s="24" customFormat="1" hidden="1" outlineLevel="1" x14ac:dyDescent="0.25">
      <c r="A120" s="44"/>
      <c r="B120" s="11" t="str">
        <f>CONCATENATE("          ", "5027", " - ", "PURCHASES @ COST-SCHOOL SUPPLI")</f>
        <v xml:space="preserve">          5027 - PURCHASES @ COST-SCHOOL SUPPLI</v>
      </c>
      <c r="C120" s="11"/>
      <c r="D120" s="2">
        <v>10567.95</v>
      </c>
      <c r="E120" s="2"/>
      <c r="F120" s="19">
        <f t="shared" si="24"/>
        <v>6.6004709415827451E-2</v>
      </c>
      <c r="G120" s="2"/>
      <c r="H120" s="2">
        <v>9839.7000000000007</v>
      </c>
      <c r="I120" s="2"/>
      <c r="J120" s="19">
        <f t="shared" si="25"/>
        <v>9.7577414122464595E-3</v>
      </c>
      <c r="K120" s="2"/>
      <c r="L120" s="2">
        <f t="shared" si="26"/>
        <v>728.25</v>
      </c>
      <c r="M120" s="2"/>
      <c r="N120" s="19">
        <f t="shared" si="27"/>
        <v>7.4011402786670316E-2</v>
      </c>
      <c r="O120" s="11"/>
      <c r="P120" s="2">
        <v>19071.350000000002</v>
      </c>
      <c r="Q120" s="2"/>
      <c r="R120" s="19">
        <f t="shared" si="28"/>
        <v>8.0927507694538818E-3</v>
      </c>
      <c r="S120" s="2"/>
      <c r="T120" s="2">
        <v>72022.38</v>
      </c>
      <c r="U120" s="2"/>
      <c r="V120" s="19">
        <f t="shared" si="29"/>
        <v>1.2549883113167504E-2</v>
      </c>
      <c r="W120" s="2"/>
      <c r="X120" s="2">
        <f t="shared" si="30"/>
        <v>-52951.03</v>
      </c>
      <c r="Y120" s="2"/>
      <c r="Z120" s="19">
        <f t="shared" si="31"/>
        <v>-0.73520244679501001</v>
      </c>
    </row>
    <row r="121" spans="1:26" s="24" customFormat="1" hidden="1" outlineLevel="1" x14ac:dyDescent="0.25">
      <c r="A121" s="44"/>
      <c r="B121" s="11" t="str">
        <f>CONCATENATE("          ", "5028", " - ", "PURCHASES @ COST-ART/TECH")</f>
        <v xml:space="preserve">          5028 - PURCHASES @ COST-ART/TECH</v>
      </c>
      <c r="C121" s="11"/>
      <c r="D121" s="2">
        <v>41425.96</v>
      </c>
      <c r="E121" s="2"/>
      <c r="F121" s="19">
        <f t="shared" si="24"/>
        <v>0.25873593762950153</v>
      </c>
      <c r="G121" s="2"/>
      <c r="H121" s="2">
        <v>19494.289999999997</v>
      </c>
      <c r="I121" s="2"/>
      <c r="J121" s="19">
        <f t="shared" si="25"/>
        <v>1.9331914675787067E-2</v>
      </c>
      <c r="K121" s="2"/>
      <c r="L121" s="2">
        <f t="shared" si="26"/>
        <v>21931.670000000002</v>
      </c>
      <c r="M121" s="2"/>
      <c r="N121" s="19">
        <f t="shared" si="27"/>
        <v>1.1250304576365697</v>
      </c>
      <c r="O121" s="11"/>
      <c r="P121" s="2">
        <v>41342.559999999998</v>
      </c>
      <c r="Q121" s="2"/>
      <c r="R121" s="19">
        <f t="shared" si="28"/>
        <v>1.7543332498810689E-2</v>
      </c>
      <c r="S121" s="2"/>
      <c r="T121" s="2">
        <v>90339.069999999992</v>
      </c>
      <c r="U121" s="2"/>
      <c r="V121" s="19">
        <f t="shared" si="29"/>
        <v>1.5741562123499069E-2</v>
      </c>
      <c r="W121" s="2"/>
      <c r="X121" s="2">
        <f t="shared" si="30"/>
        <v>-48996.509999999995</v>
      </c>
      <c r="Y121" s="2"/>
      <c r="Z121" s="19">
        <f t="shared" si="31"/>
        <v>-0.54236234665687832</v>
      </c>
    </row>
    <row r="122" spans="1:26" s="24" customFormat="1" hidden="1" outlineLevel="1" x14ac:dyDescent="0.25">
      <c r="A122" s="44"/>
      <c r="B122" s="11" t="str">
        <f>CONCATENATE("          ", "5031", " - ", "PURCHASES @ COST-FOOD")</f>
        <v xml:space="preserve">          5031 - PURCHASES @ COST-FOOD</v>
      </c>
      <c r="C122" s="11"/>
      <c r="D122" s="2">
        <v>4469.18</v>
      </c>
      <c r="E122" s="2"/>
      <c r="F122" s="19">
        <f t="shared" si="24"/>
        <v>2.7913353793974017E-2</v>
      </c>
      <c r="G122" s="2"/>
      <c r="H122" s="2">
        <v>7839.04</v>
      </c>
      <c r="I122" s="2"/>
      <c r="J122" s="19">
        <f t="shared" si="25"/>
        <v>7.7737456670687599E-3</v>
      </c>
      <c r="K122" s="2"/>
      <c r="L122" s="2">
        <f t="shared" si="26"/>
        <v>-3369.8599999999997</v>
      </c>
      <c r="M122" s="2"/>
      <c r="N122" s="19">
        <f t="shared" si="27"/>
        <v>-0.42988172021063797</v>
      </c>
      <c r="O122" s="11"/>
      <c r="P122" s="2">
        <v>8535.1</v>
      </c>
      <c r="Q122" s="2"/>
      <c r="R122" s="19">
        <f t="shared" si="28"/>
        <v>3.6217906489244768E-3</v>
      </c>
      <c r="S122" s="2"/>
      <c r="T122" s="2">
        <v>15989.089999999998</v>
      </c>
      <c r="U122" s="2"/>
      <c r="V122" s="19">
        <f t="shared" si="29"/>
        <v>2.7860952468651461E-3</v>
      </c>
      <c r="W122" s="2"/>
      <c r="X122" s="2">
        <f t="shared" si="30"/>
        <v>-7453.989999999998</v>
      </c>
      <c r="Y122" s="2"/>
      <c r="Z122" s="19">
        <f t="shared" si="31"/>
        <v>-0.46619225984718321</v>
      </c>
    </row>
    <row r="123" spans="1:26" s="24" customFormat="1" hidden="1" outlineLevel="1" x14ac:dyDescent="0.25">
      <c r="A123" s="44"/>
      <c r="B123" s="11" t="str">
        <f>CONCATENATE("          ", "5032", " - ", "PURCHASES @ COST-JUICE")</f>
        <v xml:space="preserve">          5032 - PURCHASES @ COST-JUICE</v>
      </c>
      <c r="C123" s="11"/>
      <c r="D123" s="2"/>
      <c r="E123" s="2"/>
      <c r="F123" s="19">
        <f t="shared" si="24"/>
        <v>0</v>
      </c>
      <c r="G123" s="2"/>
      <c r="H123" s="2">
        <v>2565.13</v>
      </c>
      <c r="I123" s="2"/>
      <c r="J123" s="19">
        <f t="shared" si="25"/>
        <v>2.5437640607737797E-3</v>
      </c>
      <c r="K123" s="2"/>
      <c r="L123" s="2">
        <f t="shared" si="26"/>
        <v>-2565.13</v>
      </c>
      <c r="M123" s="2"/>
      <c r="N123" s="19">
        <f t="shared" si="27"/>
        <v>-1</v>
      </c>
      <c r="O123" s="11"/>
      <c r="P123" s="2"/>
      <c r="Q123" s="2"/>
      <c r="R123" s="19">
        <f t="shared" si="28"/>
        <v>0</v>
      </c>
      <c r="S123" s="2"/>
      <c r="T123" s="2">
        <v>3384.28</v>
      </c>
      <c r="U123" s="2"/>
      <c r="V123" s="19">
        <f t="shared" si="29"/>
        <v>5.8971000989179367E-4</v>
      </c>
      <c r="W123" s="2"/>
      <c r="X123" s="2">
        <f t="shared" si="30"/>
        <v>-3384.28</v>
      </c>
      <c r="Y123" s="2"/>
      <c r="Z123" s="19">
        <f t="shared" si="31"/>
        <v>-1</v>
      </c>
    </row>
    <row r="124" spans="1:26" s="24" customFormat="1" hidden="1" outlineLevel="1" x14ac:dyDescent="0.25">
      <c r="A124" s="44"/>
      <c r="B124" s="11" t="str">
        <f>CONCATENATE("          ", "5033", " - ", "PURCHASES @ COST-CANDY")</f>
        <v xml:space="preserve">          5033 - PURCHASES @ COST-CANDY</v>
      </c>
      <c r="C124" s="11"/>
      <c r="D124" s="2"/>
      <c r="E124" s="2"/>
      <c r="F124" s="19">
        <f t="shared" si="24"/>
        <v>0</v>
      </c>
      <c r="G124" s="2"/>
      <c r="H124" s="2">
        <v>2102.09</v>
      </c>
      <c r="I124" s="2"/>
      <c r="J124" s="19">
        <f t="shared" si="25"/>
        <v>2.0845808962945173E-3</v>
      </c>
      <c r="K124" s="2"/>
      <c r="L124" s="2">
        <f t="shared" si="26"/>
        <v>-2102.09</v>
      </c>
      <c r="M124" s="2"/>
      <c r="N124" s="19">
        <f t="shared" si="27"/>
        <v>-1</v>
      </c>
      <c r="O124" s="11"/>
      <c r="P124" s="2"/>
      <c r="Q124" s="2"/>
      <c r="R124" s="19">
        <f t="shared" si="28"/>
        <v>0</v>
      </c>
      <c r="S124" s="2"/>
      <c r="T124" s="2">
        <v>4455.2</v>
      </c>
      <c r="U124" s="2"/>
      <c r="V124" s="19">
        <f t="shared" si="29"/>
        <v>7.7631757303471311E-4</v>
      </c>
      <c r="W124" s="2"/>
      <c r="X124" s="2">
        <f t="shared" si="30"/>
        <v>-4455.2</v>
      </c>
      <c r="Y124" s="2"/>
      <c r="Z124" s="19">
        <f t="shared" si="31"/>
        <v>-1</v>
      </c>
    </row>
    <row r="125" spans="1:26" s="24" customFormat="1" hidden="1" outlineLevel="1" x14ac:dyDescent="0.25">
      <c r="A125" s="44"/>
      <c r="B125" s="11" t="str">
        <f>CONCATENATE("          ", "5034", " - ", "PURCHASES @ COST-SODA")</f>
        <v xml:space="preserve">          5034 - PURCHASES @ COST-SODA</v>
      </c>
      <c r="C125" s="11"/>
      <c r="D125" s="2"/>
      <c r="E125" s="2"/>
      <c r="F125" s="19">
        <f t="shared" si="24"/>
        <v>0</v>
      </c>
      <c r="G125" s="2"/>
      <c r="H125" s="2">
        <v>876</v>
      </c>
      <c r="I125" s="2"/>
      <c r="J125" s="19">
        <f t="shared" si="25"/>
        <v>8.687034642446312E-4</v>
      </c>
      <c r="K125" s="2"/>
      <c r="L125" s="2">
        <f t="shared" si="26"/>
        <v>-876</v>
      </c>
      <c r="M125" s="2"/>
      <c r="N125" s="19">
        <f t="shared" si="27"/>
        <v>-1</v>
      </c>
      <c r="O125" s="11"/>
      <c r="P125" s="2"/>
      <c r="Q125" s="2"/>
      <c r="R125" s="19">
        <f t="shared" si="28"/>
        <v>0</v>
      </c>
      <c r="S125" s="2"/>
      <c r="T125" s="2">
        <v>1494.54</v>
      </c>
      <c r="U125" s="2"/>
      <c r="V125" s="19">
        <f t="shared" si="29"/>
        <v>2.604232504945457E-4</v>
      </c>
      <c r="W125" s="2"/>
      <c r="X125" s="2">
        <f t="shared" si="30"/>
        <v>-1494.54</v>
      </c>
      <c r="Y125" s="2"/>
      <c r="Z125" s="19">
        <f t="shared" si="31"/>
        <v>-1</v>
      </c>
    </row>
    <row r="126" spans="1:26" s="24" customFormat="1" hidden="1" outlineLevel="1" x14ac:dyDescent="0.25">
      <c r="A126" s="44"/>
      <c r="B126" s="11" t="str">
        <f>CONCATENATE("          ", "5035", " - ", "PURCHASES @ COST-HEALTH &amp; BEAU")</f>
        <v xml:space="preserve">          5035 - PURCHASES @ COST-HEALTH &amp; BEAU</v>
      </c>
      <c r="C126" s="11"/>
      <c r="D126" s="2"/>
      <c r="E126" s="2"/>
      <c r="F126" s="19">
        <f t="shared" si="24"/>
        <v>0</v>
      </c>
      <c r="G126" s="2"/>
      <c r="H126" s="2">
        <v>291.13</v>
      </c>
      <c r="I126" s="2"/>
      <c r="J126" s="19">
        <f t="shared" si="25"/>
        <v>2.8870506797436013E-4</v>
      </c>
      <c r="K126" s="2"/>
      <c r="L126" s="2">
        <f t="shared" si="26"/>
        <v>-291.13</v>
      </c>
      <c r="M126" s="2"/>
      <c r="N126" s="19">
        <f t="shared" si="27"/>
        <v>-1</v>
      </c>
      <c r="O126" s="11"/>
      <c r="P126" s="2"/>
      <c r="Q126" s="2"/>
      <c r="R126" s="19">
        <f t="shared" si="28"/>
        <v>0</v>
      </c>
      <c r="S126" s="2"/>
      <c r="T126" s="2">
        <v>578.69000000000005</v>
      </c>
      <c r="U126" s="2"/>
      <c r="V126" s="19">
        <f t="shared" si="29"/>
        <v>1.0083659910654026E-4</v>
      </c>
      <c r="W126" s="2"/>
      <c r="X126" s="2">
        <f t="shared" si="30"/>
        <v>-578.69000000000005</v>
      </c>
      <c r="Y126" s="2"/>
      <c r="Z126" s="19">
        <f t="shared" si="31"/>
        <v>-1</v>
      </c>
    </row>
    <row r="127" spans="1:26" s="24" customFormat="1" hidden="1" outlineLevel="1" x14ac:dyDescent="0.25">
      <c r="A127" s="44"/>
      <c r="B127" s="11" t="str">
        <f>CONCATENATE("          ", "5037", " - ", "PURCHASES @ COST-WATER")</f>
        <v xml:space="preserve">          5037 - PURCHASES @ COST-WATER</v>
      </c>
      <c r="C127" s="11"/>
      <c r="D127" s="2"/>
      <c r="E127" s="2"/>
      <c r="F127" s="19">
        <f t="shared" si="24"/>
        <v>0</v>
      </c>
      <c r="G127" s="2"/>
      <c r="H127" s="2">
        <v>1463.27</v>
      </c>
      <c r="I127" s="2"/>
      <c r="J127" s="19">
        <f t="shared" si="25"/>
        <v>1.4510818700059834E-3</v>
      </c>
      <c r="K127" s="2"/>
      <c r="L127" s="2">
        <f t="shared" si="26"/>
        <v>-1463.27</v>
      </c>
      <c r="M127" s="2"/>
      <c r="N127" s="19">
        <f t="shared" si="27"/>
        <v>-1</v>
      </c>
      <c r="O127" s="11"/>
      <c r="P127" s="2"/>
      <c r="Q127" s="2"/>
      <c r="R127" s="19">
        <f t="shared" si="28"/>
        <v>0</v>
      </c>
      <c r="S127" s="2"/>
      <c r="T127" s="2">
        <v>2855.85</v>
      </c>
      <c r="U127" s="2"/>
      <c r="V127" s="19">
        <f t="shared" si="29"/>
        <v>4.9763120419985311E-4</v>
      </c>
      <c r="W127" s="2"/>
      <c r="X127" s="2">
        <f t="shared" si="30"/>
        <v>-2855.85</v>
      </c>
      <c r="Y127" s="2"/>
      <c r="Z127" s="19">
        <f t="shared" si="31"/>
        <v>-1</v>
      </c>
    </row>
    <row r="128" spans="1:26" s="24" customFormat="1" hidden="1" outlineLevel="1" x14ac:dyDescent="0.25">
      <c r="A128" s="44"/>
      <c r="B128" s="11" t="str">
        <f>CONCATENATE("          ", "5040", " - ", "PURCHASES @ COST-LOGO CLOTHING")</f>
        <v xml:space="preserve">          5040 - PURCHASES @ COST-LOGO CLOTHING</v>
      </c>
      <c r="C128" s="11"/>
      <c r="D128" s="2">
        <v>25420.9</v>
      </c>
      <c r="E128" s="2"/>
      <c r="F128" s="19">
        <f t="shared" si="24"/>
        <v>0.15877243151120207</v>
      </c>
      <c r="G128" s="2"/>
      <c r="H128" s="2">
        <v>176749.05</v>
      </c>
      <c r="I128" s="2"/>
      <c r="J128" s="19">
        <f t="shared" si="25"/>
        <v>0.17527684022482595</v>
      </c>
      <c r="K128" s="2"/>
      <c r="L128" s="2">
        <f t="shared" si="26"/>
        <v>-151328.15</v>
      </c>
      <c r="M128" s="2"/>
      <c r="N128" s="19">
        <f t="shared" si="27"/>
        <v>-0.85617518170536133</v>
      </c>
      <c r="O128" s="11"/>
      <c r="P128" s="2">
        <v>39170.950000000004</v>
      </c>
      <c r="Q128" s="2"/>
      <c r="R128" s="19">
        <f t="shared" si="28"/>
        <v>1.6621829904686324E-2</v>
      </c>
      <c r="S128" s="2"/>
      <c r="T128" s="2">
        <v>512600.91000000003</v>
      </c>
      <c r="U128" s="2"/>
      <c r="V128" s="19">
        <f t="shared" si="29"/>
        <v>8.9320590408193887E-2</v>
      </c>
      <c r="W128" s="2"/>
      <c r="X128" s="2">
        <f t="shared" si="30"/>
        <v>-473429.96</v>
      </c>
      <c r="Y128" s="2"/>
      <c r="Z128" s="19">
        <f t="shared" si="31"/>
        <v>-0.92358392418772728</v>
      </c>
    </row>
    <row r="129" spans="1:26" s="24" customFormat="1" hidden="1" outlineLevel="1" x14ac:dyDescent="0.25">
      <c r="A129" s="44"/>
      <c r="B129" s="11" t="str">
        <f>CONCATENATE("          ", "5041", " - ", "PURCHASES @ COST-LOGO GIFTS")</f>
        <v xml:space="preserve">          5041 - PURCHASES @ COST-LOGO GIFTS</v>
      </c>
      <c r="C129" s="11"/>
      <c r="D129" s="2">
        <v>15289.8</v>
      </c>
      <c r="E129" s="2"/>
      <c r="F129" s="19">
        <f t="shared" si="24"/>
        <v>9.5496175325026925E-2</v>
      </c>
      <c r="G129" s="2"/>
      <c r="H129" s="2">
        <v>27759.98</v>
      </c>
      <c r="I129" s="2"/>
      <c r="J129" s="19">
        <f t="shared" si="25"/>
        <v>2.7528756613426571E-2</v>
      </c>
      <c r="K129" s="2"/>
      <c r="L129" s="2">
        <f t="shared" si="26"/>
        <v>-12470.18</v>
      </c>
      <c r="M129" s="2"/>
      <c r="N129" s="19">
        <f t="shared" si="27"/>
        <v>-0.44921430058667189</v>
      </c>
      <c r="O129" s="11"/>
      <c r="P129" s="2">
        <v>17287.34</v>
      </c>
      <c r="Q129" s="2"/>
      <c r="R129" s="19">
        <f t="shared" si="28"/>
        <v>7.3357226461058531E-3</v>
      </c>
      <c r="S129" s="2"/>
      <c r="T129" s="2">
        <v>70456.460000000006</v>
      </c>
      <c r="U129" s="2"/>
      <c r="V129" s="19">
        <f t="shared" si="29"/>
        <v>1.2277021914126716E-2</v>
      </c>
      <c r="W129" s="2"/>
      <c r="X129" s="2">
        <f t="shared" si="30"/>
        <v>-53169.12000000001</v>
      </c>
      <c r="Y129" s="2"/>
      <c r="Z129" s="19">
        <f t="shared" si="31"/>
        <v>-0.75463797074107908</v>
      </c>
    </row>
    <row r="130" spans="1:26" s="24" customFormat="1" hidden="1" outlineLevel="1" x14ac:dyDescent="0.25">
      <c r="A130" s="44"/>
      <c r="B130" s="11" t="str">
        <f>CONCATENATE("          ", "5042", " - ", "PURCHASES @ COST-EVERYDAY GIFT")</f>
        <v xml:space="preserve">          5042 - PURCHASES @ COST-EVERYDAY GIFT</v>
      </c>
      <c r="C130" s="11"/>
      <c r="D130" s="2">
        <v>9421.5300000000007</v>
      </c>
      <c r="E130" s="2"/>
      <c r="F130" s="19">
        <f t="shared" si="24"/>
        <v>5.8844463675783928E-2</v>
      </c>
      <c r="G130" s="2"/>
      <c r="H130" s="2">
        <v>13956.79</v>
      </c>
      <c r="I130" s="2"/>
      <c r="J130" s="19">
        <f t="shared" si="25"/>
        <v>1.3840538610427885E-2</v>
      </c>
      <c r="K130" s="2"/>
      <c r="L130" s="2">
        <f t="shared" si="26"/>
        <v>-4535.26</v>
      </c>
      <c r="M130" s="2"/>
      <c r="N130" s="19">
        <f t="shared" si="27"/>
        <v>-0.32495007806236248</v>
      </c>
      <c r="O130" s="11"/>
      <c r="P130" s="2">
        <v>10912.68</v>
      </c>
      <c r="Q130" s="2"/>
      <c r="R130" s="19">
        <f t="shared" si="28"/>
        <v>4.6306947052413162E-3</v>
      </c>
      <c r="S130" s="2"/>
      <c r="T130" s="2">
        <v>49248.47</v>
      </c>
      <c r="U130" s="2"/>
      <c r="V130" s="19">
        <f t="shared" si="29"/>
        <v>8.5815345452668525E-3</v>
      </c>
      <c r="W130" s="2"/>
      <c r="X130" s="2">
        <f t="shared" si="30"/>
        <v>-38335.79</v>
      </c>
      <c r="Y130" s="2"/>
      <c r="Z130" s="19">
        <f t="shared" si="31"/>
        <v>-0.77841585738602637</v>
      </c>
    </row>
    <row r="131" spans="1:26" s="24" customFormat="1" hidden="1" outlineLevel="1" x14ac:dyDescent="0.25">
      <c r="A131" s="44"/>
      <c r="B131" s="11" t="str">
        <f>CONCATENATE("          ", "5043", " - ", "PURCHASES @ COST-CARDS")</f>
        <v xml:space="preserve">          5043 - PURCHASES @ COST-CARDS</v>
      </c>
      <c r="C131" s="11"/>
      <c r="D131" s="2">
        <v>2526.75</v>
      </c>
      <c r="E131" s="2"/>
      <c r="F131" s="19">
        <f t="shared" si="24"/>
        <v>1.5781433439450602E-2</v>
      </c>
      <c r="G131" s="2"/>
      <c r="H131" s="2">
        <v>331.09</v>
      </c>
      <c r="I131" s="2"/>
      <c r="J131" s="19">
        <f t="shared" si="25"/>
        <v>3.2833222600086177E-4</v>
      </c>
      <c r="K131" s="2"/>
      <c r="L131" s="2">
        <f t="shared" si="26"/>
        <v>2195.66</v>
      </c>
      <c r="M131" s="2"/>
      <c r="N131" s="19">
        <f t="shared" si="27"/>
        <v>6.631610740282099</v>
      </c>
      <c r="O131" s="11"/>
      <c r="P131" s="2">
        <v>5643</v>
      </c>
      <c r="Q131" s="2"/>
      <c r="R131" s="19">
        <f t="shared" si="28"/>
        <v>2.3945547951261053E-3</v>
      </c>
      <c r="S131" s="2"/>
      <c r="T131" s="2">
        <v>1340.08</v>
      </c>
      <c r="U131" s="2"/>
      <c r="V131" s="19">
        <f t="shared" si="29"/>
        <v>2.3350863109902097E-4</v>
      </c>
      <c r="W131" s="2"/>
      <c r="X131" s="2">
        <f t="shared" si="30"/>
        <v>4302.92</v>
      </c>
      <c r="Y131" s="2"/>
      <c r="Z131" s="19">
        <f t="shared" si="31"/>
        <v>3.2109426302907291</v>
      </c>
    </row>
    <row r="132" spans="1:26" s="24" customFormat="1" hidden="1" outlineLevel="1" x14ac:dyDescent="0.25">
      <c r="A132" s="44"/>
      <c r="B132" s="11" t="str">
        <f>CONCATENATE("          ", "5044", " - ", "PURCHASES @ COST-ACCESSORIES")</f>
        <v xml:space="preserve">          5044 - PURCHASES @ COST-ACCESSORIES</v>
      </c>
      <c r="C132" s="11"/>
      <c r="D132" s="2"/>
      <c r="E132" s="2"/>
      <c r="F132" s="19">
        <f t="shared" si="24"/>
        <v>0</v>
      </c>
      <c r="G132" s="2"/>
      <c r="H132" s="2">
        <v>3747.48</v>
      </c>
      <c r="I132" s="2"/>
      <c r="J132" s="19">
        <f t="shared" si="25"/>
        <v>3.7162658198487109E-3</v>
      </c>
      <c r="K132" s="2"/>
      <c r="L132" s="2">
        <f t="shared" si="26"/>
        <v>-3747.48</v>
      </c>
      <c r="M132" s="2"/>
      <c r="N132" s="19">
        <f t="shared" si="27"/>
        <v>-1</v>
      </c>
      <c r="O132" s="11"/>
      <c r="P132" s="2"/>
      <c r="Q132" s="2"/>
      <c r="R132" s="19">
        <f t="shared" si="28"/>
        <v>0</v>
      </c>
      <c r="S132" s="2"/>
      <c r="T132" s="2">
        <v>24151.129999999997</v>
      </c>
      <c r="U132" s="2"/>
      <c r="V132" s="19">
        <f t="shared" si="29"/>
        <v>4.208328835438555E-3</v>
      </c>
      <c r="W132" s="2"/>
      <c r="X132" s="2">
        <f t="shared" si="30"/>
        <v>-24151.129999999997</v>
      </c>
      <c r="Y132" s="2"/>
      <c r="Z132" s="19">
        <f t="shared" si="31"/>
        <v>-1</v>
      </c>
    </row>
    <row r="133" spans="1:26" s="24" customFormat="1" hidden="1" outlineLevel="1" x14ac:dyDescent="0.25">
      <c r="A133" s="44"/>
      <c r="B133" s="11" t="str">
        <f>CONCATENATE("          ", "5045", " - ", "PURCHASES @ COST-SPECIAL ORDER")</f>
        <v xml:space="preserve">          5045 - PURCHASES @ COST-SPECIAL ORDER</v>
      </c>
      <c r="C133" s="11"/>
      <c r="D133" s="2">
        <v>10080.23</v>
      </c>
      <c r="E133" s="2"/>
      <c r="F133" s="19">
        <f t="shared" si="24"/>
        <v>6.2958535193174292E-2</v>
      </c>
      <c r="G133" s="2"/>
      <c r="H133" s="2">
        <v>3599.17</v>
      </c>
      <c r="I133" s="2"/>
      <c r="J133" s="19">
        <f t="shared" si="25"/>
        <v>3.5691911500061067E-3</v>
      </c>
      <c r="K133" s="2"/>
      <c r="L133" s="2">
        <f t="shared" si="26"/>
        <v>6481.0599999999995</v>
      </c>
      <c r="M133" s="2"/>
      <c r="N133" s="19">
        <f t="shared" si="27"/>
        <v>1.8007096080485221</v>
      </c>
      <c r="O133" s="11"/>
      <c r="P133" s="2">
        <v>71254.52</v>
      </c>
      <c r="Q133" s="2"/>
      <c r="R133" s="19">
        <f t="shared" si="28"/>
        <v>3.0236195736382952E-2</v>
      </c>
      <c r="S133" s="2"/>
      <c r="T133" s="2">
        <v>28063.200000000001</v>
      </c>
      <c r="U133" s="2"/>
      <c r="V133" s="19">
        <f t="shared" si="29"/>
        <v>4.8900061311698152E-3</v>
      </c>
      <c r="W133" s="2"/>
      <c r="X133" s="2">
        <f t="shared" si="30"/>
        <v>43191.320000000007</v>
      </c>
      <c r="Y133" s="2"/>
      <c r="Z133" s="19">
        <f t="shared" si="31"/>
        <v>1.539073234698823</v>
      </c>
    </row>
    <row r="134" spans="1:26" s="24" customFormat="1" hidden="1" outlineLevel="1" x14ac:dyDescent="0.25">
      <c r="A134" s="44"/>
      <c r="B134" s="11" t="str">
        <f>CONCATENATE("          ", "5053", " - ", "PURCHASES @ COST-FOOD")</f>
        <v xml:space="preserve">          5053 - PURCHASES @ COST-FOOD</v>
      </c>
      <c r="C134" s="11"/>
      <c r="D134" s="2">
        <v>-570.16999999999996</v>
      </c>
      <c r="E134" s="2"/>
      <c r="F134" s="19">
        <f t="shared" si="24"/>
        <v>-3.5611358085174826E-3</v>
      </c>
      <c r="G134" s="2"/>
      <c r="H134" s="2">
        <v>244395.69999999998</v>
      </c>
      <c r="I134" s="2"/>
      <c r="J134" s="19">
        <f t="shared" si="25"/>
        <v>0.24236003565809544</v>
      </c>
      <c r="K134" s="2"/>
      <c r="L134" s="2">
        <f t="shared" si="26"/>
        <v>-244965.87</v>
      </c>
      <c r="M134" s="2"/>
      <c r="N134" s="19">
        <f t="shared" si="27"/>
        <v>-1.002332978853556</v>
      </c>
      <c r="O134" s="11"/>
      <c r="P134" s="2">
        <v>-2855.57</v>
      </c>
      <c r="Q134" s="2"/>
      <c r="R134" s="19">
        <f t="shared" si="28"/>
        <v>-1.2117346865706633E-3</v>
      </c>
      <c r="S134" s="2"/>
      <c r="T134" s="2">
        <v>577184.57000000007</v>
      </c>
      <c r="U134" s="2"/>
      <c r="V134" s="19">
        <f t="shared" si="29"/>
        <v>0.10057427827605596</v>
      </c>
      <c r="W134" s="2"/>
      <c r="X134" s="2">
        <f t="shared" si="30"/>
        <v>-580040.14</v>
      </c>
      <c r="Y134" s="2"/>
      <c r="Z134" s="19">
        <f t="shared" si="31"/>
        <v>-1.0049474122289859</v>
      </c>
    </row>
    <row r="135" spans="1:26" s="24" customFormat="1" hidden="1" outlineLevel="1" x14ac:dyDescent="0.25">
      <c r="A135" s="44"/>
      <c r="B135" s="11" t="str">
        <f>CONCATENATE("          ", "5059", " - ", "PURCHASES @ COST-FOOD")</f>
        <v xml:space="preserve">          5059 - PURCHASES @ COST-FOOD</v>
      </c>
      <c r="C135" s="11"/>
      <c r="D135" s="2">
        <v>11629</v>
      </c>
      <c r="E135" s="2"/>
      <c r="F135" s="19">
        <f t="shared" si="24"/>
        <v>7.263175599777226E-2</v>
      </c>
      <c r="G135" s="2"/>
      <c r="H135" s="2">
        <v>15105.409999999998</v>
      </c>
      <c r="I135" s="2"/>
      <c r="J135" s="19">
        <f t="shared" si="25"/>
        <v>1.497959131944691E-2</v>
      </c>
      <c r="K135" s="2"/>
      <c r="L135" s="2">
        <f t="shared" si="26"/>
        <v>-3476.409999999998</v>
      </c>
      <c r="M135" s="2"/>
      <c r="N135" s="19">
        <f t="shared" si="27"/>
        <v>-0.23014337247383543</v>
      </c>
      <c r="O135" s="11"/>
      <c r="P135" s="2">
        <v>11697.91</v>
      </c>
      <c r="Q135" s="2"/>
      <c r="R135" s="19">
        <f t="shared" si="28"/>
        <v>4.96389978441496E-3</v>
      </c>
      <c r="S135" s="2"/>
      <c r="T135" s="2">
        <v>-43645.97</v>
      </c>
      <c r="U135" s="2"/>
      <c r="V135" s="19">
        <f t="shared" si="29"/>
        <v>-7.6053002116955237E-3</v>
      </c>
      <c r="W135" s="2"/>
      <c r="X135" s="2">
        <f t="shared" si="30"/>
        <v>55343.880000000005</v>
      </c>
      <c r="Y135" s="2"/>
      <c r="Z135" s="19">
        <f t="shared" si="31"/>
        <v>-1.2680181010984519</v>
      </c>
    </row>
    <row r="136" spans="1:26" s="24" customFormat="1" hidden="1" outlineLevel="1" x14ac:dyDescent="0.25">
      <c r="A136" s="44"/>
      <c r="B136" s="11" t="str">
        <f>CONCATENATE("          ", "5081", " - ", "PURCHASES @ COST-ELECTRONICS")</f>
        <v xml:space="preserve">          5081 - PURCHASES @ COST-ELECTRONICS</v>
      </c>
      <c r="C136" s="11"/>
      <c r="D136" s="2"/>
      <c r="E136" s="2"/>
      <c r="F136" s="19">
        <f t="shared" si="24"/>
        <v>0</v>
      </c>
      <c r="G136" s="2"/>
      <c r="H136" s="2">
        <v>490.99</v>
      </c>
      <c r="I136" s="2"/>
      <c r="J136" s="19">
        <f t="shared" si="25"/>
        <v>4.8690035834414555E-4</v>
      </c>
      <c r="K136" s="2"/>
      <c r="L136" s="2">
        <f t="shared" si="26"/>
        <v>-490.99</v>
      </c>
      <c r="M136" s="2"/>
      <c r="N136" s="19">
        <f t="shared" si="27"/>
        <v>-1</v>
      </c>
      <c r="O136" s="11"/>
      <c r="P136" s="2"/>
      <c r="Q136" s="2"/>
      <c r="R136" s="19">
        <f t="shared" si="28"/>
        <v>0</v>
      </c>
      <c r="S136" s="2"/>
      <c r="T136" s="2">
        <v>963.07</v>
      </c>
      <c r="U136" s="2"/>
      <c r="V136" s="19">
        <f t="shared" si="29"/>
        <v>1.6781472550335364E-4</v>
      </c>
      <c r="W136" s="2"/>
      <c r="X136" s="2">
        <f t="shared" si="30"/>
        <v>-963.07</v>
      </c>
      <c r="Y136" s="2"/>
      <c r="Z136" s="19">
        <f t="shared" si="31"/>
        <v>-1</v>
      </c>
    </row>
    <row r="137" spans="1:26" s="24" customFormat="1" hidden="1" outlineLevel="1" x14ac:dyDescent="0.25">
      <c r="A137" s="44"/>
      <c r="B137" s="11" t="str">
        <f>CONCATENATE("          ", "5082", " - ", "PURCHASES @ COST-COMPUTER HARD")</f>
        <v xml:space="preserve">          5082 - PURCHASES @ COST-COMPUTER HARD</v>
      </c>
      <c r="C137" s="11"/>
      <c r="D137" s="2"/>
      <c r="E137" s="2"/>
      <c r="F137" s="19">
        <f t="shared" si="24"/>
        <v>0</v>
      </c>
      <c r="G137" s="2"/>
      <c r="H137" s="2"/>
      <c r="I137" s="2"/>
      <c r="J137" s="19">
        <f t="shared" si="25"/>
        <v>0</v>
      </c>
      <c r="K137" s="2"/>
      <c r="L137" s="2">
        <f t="shared" si="26"/>
        <v>0</v>
      </c>
      <c r="M137" s="2"/>
      <c r="N137" s="19">
        <f t="shared" si="27"/>
        <v>0</v>
      </c>
      <c r="O137" s="11"/>
      <c r="P137" s="2"/>
      <c r="Q137" s="2"/>
      <c r="R137" s="19">
        <f t="shared" si="28"/>
        <v>0</v>
      </c>
      <c r="S137" s="2"/>
      <c r="T137" s="2">
        <v>149.6</v>
      </c>
      <c r="U137" s="2"/>
      <c r="V137" s="19">
        <f t="shared" si="29"/>
        <v>2.6067765515800207E-5</v>
      </c>
      <c r="W137" s="2"/>
      <c r="X137" s="2">
        <f t="shared" si="30"/>
        <v>-149.6</v>
      </c>
      <c r="Y137" s="2"/>
      <c r="Z137" s="19">
        <f t="shared" si="31"/>
        <v>-1</v>
      </c>
    </row>
    <row r="138" spans="1:26" s="24" customFormat="1" hidden="1" outlineLevel="1" x14ac:dyDescent="0.25">
      <c r="A138" s="44"/>
      <c r="B138" s="11" t="str">
        <f>CONCATENATE("          ", "5083", " - ", "PURCHASES @ COST-COMPUTER EQUI")</f>
        <v xml:space="preserve">          5083 - PURCHASES @ COST-COMPUTER EQUI</v>
      </c>
      <c r="C138" s="11"/>
      <c r="D138" s="2"/>
      <c r="E138" s="2"/>
      <c r="F138" s="19">
        <f t="shared" si="24"/>
        <v>0</v>
      </c>
      <c r="G138" s="2"/>
      <c r="H138" s="2">
        <v>76.150000000000006</v>
      </c>
      <c r="I138" s="2"/>
      <c r="J138" s="19">
        <f t="shared" si="25"/>
        <v>7.5515717810763328E-5</v>
      </c>
      <c r="K138" s="2"/>
      <c r="L138" s="2">
        <f t="shared" si="26"/>
        <v>-76.150000000000006</v>
      </c>
      <c r="M138" s="2"/>
      <c r="N138" s="19">
        <f t="shared" si="27"/>
        <v>-1</v>
      </c>
      <c r="O138" s="11"/>
      <c r="P138" s="2"/>
      <c r="Q138" s="2"/>
      <c r="R138" s="19">
        <f t="shared" si="28"/>
        <v>0</v>
      </c>
      <c r="S138" s="2"/>
      <c r="T138" s="2">
        <v>232.15</v>
      </c>
      <c r="U138" s="2"/>
      <c r="V138" s="19">
        <f t="shared" si="29"/>
        <v>4.0452083987252793E-5</v>
      </c>
      <c r="W138" s="2"/>
      <c r="X138" s="2">
        <f t="shared" si="30"/>
        <v>-232.15</v>
      </c>
      <c r="Y138" s="2"/>
      <c r="Z138" s="19">
        <f t="shared" si="31"/>
        <v>-1</v>
      </c>
    </row>
    <row r="139" spans="1:26" s="24" customFormat="1" hidden="1" outlineLevel="1" x14ac:dyDescent="0.25">
      <c r="A139" s="44"/>
      <c r="B139" s="11" t="str">
        <f>CONCATENATE("          ", "5086", " - ", "PURCHASES @ COST-COMPUTER SUPP")</f>
        <v xml:space="preserve">          5086 - PURCHASES @ COST-COMPUTER SUPP</v>
      </c>
      <c r="C139" s="11"/>
      <c r="D139" s="2"/>
      <c r="E139" s="2"/>
      <c r="F139" s="19">
        <f t="shared" si="24"/>
        <v>0</v>
      </c>
      <c r="G139" s="2"/>
      <c r="H139" s="2">
        <v>54</v>
      </c>
      <c r="I139" s="2"/>
      <c r="J139" s="19">
        <f t="shared" si="25"/>
        <v>5.3550213549326586E-5</v>
      </c>
      <c r="K139" s="2"/>
      <c r="L139" s="2">
        <f t="shared" si="26"/>
        <v>-54</v>
      </c>
      <c r="M139" s="2"/>
      <c r="N139" s="19">
        <f t="shared" si="27"/>
        <v>-1</v>
      </c>
      <c r="O139" s="11"/>
      <c r="P139" s="2"/>
      <c r="Q139" s="2"/>
      <c r="R139" s="19">
        <f t="shared" si="28"/>
        <v>0</v>
      </c>
      <c r="S139" s="2"/>
      <c r="T139" s="2">
        <v>141</v>
      </c>
      <c r="U139" s="2"/>
      <c r="V139" s="19">
        <f t="shared" si="29"/>
        <v>2.4569217498180675E-5</v>
      </c>
      <c r="W139" s="2"/>
      <c r="X139" s="2">
        <f t="shared" si="30"/>
        <v>-141</v>
      </c>
      <c r="Y139" s="2"/>
      <c r="Z139" s="19">
        <f t="shared" si="31"/>
        <v>-1</v>
      </c>
    </row>
    <row r="140" spans="1:26" s="24" customFormat="1" hidden="1" outlineLevel="1" x14ac:dyDescent="0.25">
      <c r="A140" s="44"/>
      <c r="B140" s="11" t="str">
        <f>CONCATENATE("          ", "5092", " - ", "PURCHASES @ COST-GRAD MERCH")</f>
        <v xml:space="preserve">          5092 - PURCHASES @ COST-GRAD MERCH</v>
      </c>
      <c r="C140" s="11"/>
      <c r="D140" s="2"/>
      <c r="E140" s="2"/>
      <c r="F140" s="19">
        <f t="shared" si="24"/>
        <v>0</v>
      </c>
      <c r="G140" s="2"/>
      <c r="H140" s="2">
        <v>1296.1400000000001</v>
      </c>
      <c r="I140" s="2"/>
      <c r="J140" s="19">
        <f t="shared" si="25"/>
        <v>1.2853439590708178E-3</v>
      </c>
      <c r="K140" s="2"/>
      <c r="L140" s="2">
        <f t="shared" si="26"/>
        <v>-1296.1400000000001</v>
      </c>
      <c r="M140" s="2"/>
      <c r="N140" s="19">
        <f t="shared" si="27"/>
        <v>-1</v>
      </c>
      <c r="O140" s="11"/>
      <c r="P140" s="2"/>
      <c r="Q140" s="2"/>
      <c r="R140" s="19">
        <f t="shared" si="28"/>
        <v>0</v>
      </c>
      <c r="S140" s="2"/>
      <c r="T140" s="2">
        <v>1296.1400000000001</v>
      </c>
      <c r="U140" s="2"/>
      <c r="V140" s="19">
        <f t="shared" si="29"/>
        <v>2.2585209622760216E-4</v>
      </c>
      <c r="W140" s="2"/>
      <c r="X140" s="2">
        <f t="shared" si="30"/>
        <v>-1296.1400000000001</v>
      </c>
      <c r="Y140" s="2"/>
      <c r="Z140" s="19">
        <f t="shared" si="31"/>
        <v>-1</v>
      </c>
    </row>
    <row r="141" spans="1:26" s="24" customFormat="1" hidden="1" outlineLevel="1" x14ac:dyDescent="0.25">
      <c r="A141" s="44"/>
      <c r="B141" s="11" t="str">
        <f>CONCATENATE("          ", "5095", " - ", "PURCHASES @ COST-CUSTOMER SERV")</f>
        <v xml:space="preserve">          5095 - PURCHASES @ COST-CUSTOMER SERV</v>
      </c>
      <c r="C141" s="11"/>
      <c r="D141" s="2"/>
      <c r="E141" s="2"/>
      <c r="F141" s="19">
        <f t="shared" si="24"/>
        <v>0</v>
      </c>
      <c r="G141" s="2"/>
      <c r="H141" s="2"/>
      <c r="I141" s="2"/>
      <c r="J141" s="19">
        <f t="shared" si="25"/>
        <v>0</v>
      </c>
      <c r="K141" s="2"/>
      <c r="L141" s="2">
        <f t="shared" si="26"/>
        <v>0</v>
      </c>
      <c r="M141" s="2"/>
      <c r="N141" s="19">
        <f t="shared" si="27"/>
        <v>0</v>
      </c>
      <c r="O141" s="11"/>
      <c r="P141" s="2"/>
      <c r="Q141" s="2"/>
      <c r="R141" s="19">
        <f t="shared" si="28"/>
        <v>0</v>
      </c>
      <c r="S141" s="2"/>
      <c r="T141" s="2">
        <v>0</v>
      </c>
      <c r="U141" s="2"/>
      <c r="V141" s="19">
        <f t="shared" si="29"/>
        <v>0</v>
      </c>
      <c r="W141" s="2"/>
      <c r="X141" s="2">
        <f t="shared" si="30"/>
        <v>0</v>
      </c>
      <c r="Y141" s="2"/>
      <c r="Z141" s="19">
        <f t="shared" si="31"/>
        <v>0</v>
      </c>
    </row>
    <row r="142" spans="1:26" s="24" customFormat="1" hidden="1" outlineLevel="1" x14ac:dyDescent="0.25">
      <c r="A142" s="44"/>
      <c r="B142" s="11" t="str">
        <f>CONCATENATE("          ", "5200", " - ", "PURCHASES OFFSET")</f>
        <v xml:space="preserve">          5200 - PURCHASES OFFSET</v>
      </c>
      <c r="C142" s="11"/>
      <c r="D142" s="2">
        <v>-234183.50999999998</v>
      </c>
      <c r="E142" s="2"/>
      <c r="F142" s="19">
        <f t="shared" si="24"/>
        <v>-1.4626502327819981</v>
      </c>
      <c r="G142" s="2"/>
      <c r="H142" s="2">
        <v>-102488</v>
      </c>
      <c r="I142" s="2"/>
      <c r="J142" s="19">
        <f t="shared" si="25"/>
        <v>-0.10163433863413672</v>
      </c>
      <c r="K142" s="2"/>
      <c r="L142" s="2">
        <f t="shared" si="26"/>
        <v>-131695.50999999998</v>
      </c>
      <c r="M142" s="2"/>
      <c r="N142" s="19">
        <f t="shared" si="27"/>
        <v>1.2849846811334007</v>
      </c>
      <c r="O142" s="11"/>
      <c r="P142" s="2">
        <v>-1769157.19</v>
      </c>
      <c r="Q142" s="2"/>
      <c r="R142" s="19">
        <f t="shared" si="28"/>
        <v>-0.75072547096337516</v>
      </c>
      <c r="S142" s="2"/>
      <c r="T142" s="2">
        <v>-2738772</v>
      </c>
      <c r="U142" s="2"/>
      <c r="V142" s="19">
        <f t="shared" si="29"/>
        <v>-0.47723038968742759</v>
      </c>
      <c r="W142" s="2"/>
      <c r="X142" s="2">
        <f t="shared" si="30"/>
        <v>969614.81</v>
      </c>
      <c r="Y142" s="2"/>
      <c r="Z142" s="19">
        <f t="shared" si="31"/>
        <v>-0.3540326869122366</v>
      </c>
    </row>
    <row r="143" spans="1:26" s="24" customFormat="1" hidden="1" outlineLevel="1" x14ac:dyDescent="0.25">
      <c r="A143" s="44"/>
      <c r="B143" s="11" t="str">
        <f>CONCATENATE("          ", "5300", " - ", "COG$ OFFSET")</f>
        <v xml:space="preserve">          5300 - COG$ OFFSET</v>
      </c>
      <c r="C143" s="11"/>
      <c r="D143" s="2">
        <v>85211</v>
      </c>
      <c r="E143" s="2"/>
      <c r="F143" s="19">
        <f t="shared" si="24"/>
        <v>0.53220608481607801</v>
      </c>
      <c r="G143" s="2"/>
      <c r="H143" s="2">
        <v>204645</v>
      </c>
      <c r="I143" s="2"/>
      <c r="J143" s="19">
        <f t="shared" si="25"/>
        <v>0.20294043429262848</v>
      </c>
      <c r="K143" s="2"/>
      <c r="L143" s="2">
        <f t="shared" si="26"/>
        <v>-119434</v>
      </c>
      <c r="M143" s="2"/>
      <c r="N143" s="19">
        <f t="shared" si="27"/>
        <v>-0.58361552933128102</v>
      </c>
      <c r="O143" s="11"/>
      <c r="P143" s="2">
        <v>1195689</v>
      </c>
      <c r="Q143" s="2"/>
      <c r="R143" s="19">
        <f t="shared" si="28"/>
        <v>0.50737955492283149</v>
      </c>
      <c r="S143" s="2"/>
      <c r="T143" s="2">
        <v>2132393</v>
      </c>
      <c r="U143" s="2"/>
      <c r="V143" s="19">
        <f t="shared" si="29"/>
        <v>0.37156898871346089</v>
      </c>
      <c r="W143" s="2"/>
      <c r="X143" s="2">
        <f t="shared" si="30"/>
        <v>-936704</v>
      </c>
      <c r="Y143" s="2"/>
      <c r="Z143" s="19">
        <f t="shared" si="31"/>
        <v>-0.43927362357689226</v>
      </c>
    </row>
    <row r="144" spans="1:26" s="24" customFormat="1" hidden="1" outlineLevel="1" x14ac:dyDescent="0.25">
      <c r="A144" s="44"/>
      <c r="B144" s="11" t="str">
        <f>CONCATENATE("          ", "5500", " - ", "FREIGHT-IN")</f>
        <v xml:space="preserve">          5500 - FREIGHT-IN</v>
      </c>
      <c r="C144" s="11"/>
      <c r="D144" s="2"/>
      <c r="E144" s="2"/>
      <c r="F144" s="19">
        <f t="shared" si="24"/>
        <v>0</v>
      </c>
      <c r="G144" s="2"/>
      <c r="H144" s="2">
        <v>35.229999999999997</v>
      </c>
      <c r="I144" s="2"/>
      <c r="J144" s="19">
        <f t="shared" si="25"/>
        <v>3.4936555987829173E-5</v>
      </c>
      <c r="K144" s="2"/>
      <c r="L144" s="2">
        <f t="shared" si="26"/>
        <v>-35.229999999999997</v>
      </c>
      <c r="M144" s="2"/>
      <c r="N144" s="19">
        <f t="shared" si="27"/>
        <v>-1</v>
      </c>
      <c r="O144" s="11"/>
      <c r="P144" s="2"/>
      <c r="Q144" s="2"/>
      <c r="R144" s="19">
        <f t="shared" si="28"/>
        <v>0</v>
      </c>
      <c r="S144" s="2"/>
      <c r="T144" s="2">
        <v>35.229999999999997</v>
      </c>
      <c r="U144" s="2"/>
      <c r="V144" s="19">
        <f t="shared" si="29"/>
        <v>6.1388193791553557E-6</v>
      </c>
      <c r="W144" s="2"/>
      <c r="X144" s="2">
        <f t="shared" si="30"/>
        <v>-35.229999999999997</v>
      </c>
      <c r="Y144" s="2"/>
      <c r="Z144" s="19">
        <f t="shared" si="31"/>
        <v>-1</v>
      </c>
    </row>
    <row r="145" spans="1:26" s="24" customFormat="1" hidden="1" outlineLevel="1" x14ac:dyDescent="0.25">
      <c r="A145" s="44"/>
      <c r="B145" s="11" t="str">
        <f>CONCATENATE("          ", "5501", " - ", "FREIGHT-IN-NEW TEXT")</f>
        <v xml:space="preserve">          5501 - FREIGHT-IN-NEW TEXT</v>
      </c>
      <c r="C145" s="11"/>
      <c r="D145" s="2">
        <v>23295.74</v>
      </c>
      <c r="E145" s="2"/>
      <c r="F145" s="19">
        <f t="shared" si="24"/>
        <v>0.14549922637092985</v>
      </c>
      <c r="G145" s="2"/>
      <c r="H145" s="2">
        <v>7434.02</v>
      </c>
      <c r="I145" s="2"/>
      <c r="J145" s="19">
        <f t="shared" si="25"/>
        <v>7.3720992320363858E-3</v>
      </c>
      <c r="K145" s="2"/>
      <c r="L145" s="2">
        <f t="shared" si="26"/>
        <v>15861.720000000001</v>
      </c>
      <c r="M145" s="2"/>
      <c r="N145" s="19">
        <f t="shared" si="27"/>
        <v>2.1336665760920739</v>
      </c>
      <c r="O145" s="11"/>
      <c r="P145" s="2">
        <v>34058.620000000003</v>
      </c>
      <c r="Q145" s="2"/>
      <c r="R145" s="19">
        <f t="shared" si="28"/>
        <v>1.4452460009990764E-2</v>
      </c>
      <c r="S145" s="2"/>
      <c r="T145" s="2">
        <v>34017.480000000003</v>
      </c>
      <c r="U145" s="2"/>
      <c r="V145" s="19">
        <f t="shared" si="29"/>
        <v>5.9275380486525624E-3</v>
      </c>
      <c r="W145" s="2"/>
      <c r="X145" s="2">
        <f t="shared" si="30"/>
        <v>41.139999999999418</v>
      </c>
      <c r="Y145" s="2"/>
      <c r="Z145" s="19">
        <f t="shared" si="31"/>
        <v>1.2093782373062147E-3</v>
      </c>
    </row>
    <row r="146" spans="1:26" s="24" customFormat="1" hidden="1" outlineLevel="1" x14ac:dyDescent="0.25">
      <c r="A146" s="44"/>
      <c r="B146" s="11" t="str">
        <f>CONCATENATE("          ", "5502", " - ", "FREIGHT-IN-USED TEXT")</f>
        <v xml:space="preserve">          5502 - FREIGHT-IN-USED TEXT</v>
      </c>
      <c r="C146" s="11"/>
      <c r="D146" s="2">
        <v>2233.9</v>
      </c>
      <c r="E146" s="2"/>
      <c r="F146" s="19">
        <f t="shared" si="24"/>
        <v>1.395236733368505E-2</v>
      </c>
      <c r="G146" s="2"/>
      <c r="H146" s="2">
        <v>591.29999999999995</v>
      </c>
      <c r="I146" s="2"/>
      <c r="J146" s="19">
        <f t="shared" si="25"/>
        <v>5.8637483836512599E-4</v>
      </c>
      <c r="K146" s="2"/>
      <c r="L146" s="2">
        <f t="shared" si="26"/>
        <v>1642.6000000000001</v>
      </c>
      <c r="M146" s="2"/>
      <c r="N146" s="19">
        <f t="shared" si="27"/>
        <v>2.7779468966683583</v>
      </c>
      <c r="O146" s="11"/>
      <c r="P146" s="2">
        <v>10744.72</v>
      </c>
      <c r="Q146" s="2"/>
      <c r="R146" s="19">
        <f t="shared" si="28"/>
        <v>4.5594224345715693E-3</v>
      </c>
      <c r="S146" s="2"/>
      <c r="T146" s="2">
        <v>6852.47</v>
      </c>
      <c r="U146" s="2"/>
      <c r="V146" s="19">
        <f t="shared" si="29"/>
        <v>1.1940413179415471E-3</v>
      </c>
      <c r="W146" s="2"/>
      <c r="X146" s="2">
        <f t="shared" si="30"/>
        <v>3892.2499999999991</v>
      </c>
      <c r="Y146" s="2"/>
      <c r="Z146" s="19">
        <f t="shared" si="31"/>
        <v>0.56800686467799189</v>
      </c>
    </row>
    <row r="147" spans="1:26" s="24" customFormat="1" hidden="1" outlineLevel="1" x14ac:dyDescent="0.25">
      <c r="A147" s="44"/>
      <c r="B147" s="11" t="str">
        <f>CONCATENATE("          ", "5504", " - ", "FREIGHT-IN-DIGITAL TEXT")</f>
        <v xml:space="preserve">          5504 - FREIGHT-IN-DIGITAL TEXT</v>
      </c>
      <c r="C147" s="11"/>
      <c r="D147" s="2">
        <v>10.99</v>
      </c>
      <c r="E147" s="2"/>
      <c r="F147" s="19">
        <f t="shared" si="24"/>
        <v>6.8640725635524738E-5</v>
      </c>
      <c r="G147" s="2"/>
      <c r="H147" s="2">
        <v>93.94</v>
      </c>
      <c r="I147" s="2"/>
      <c r="J147" s="19">
        <f t="shared" si="25"/>
        <v>9.315753816340257E-5</v>
      </c>
      <c r="K147" s="2"/>
      <c r="L147" s="2">
        <f t="shared" si="26"/>
        <v>-82.95</v>
      </c>
      <c r="M147" s="2"/>
      <c r="N147" s="19">
        <f t="shared" si="27"/>
        <v>-0.88301043219076014</v>
      </c>
      <c r="O147" s="11"/>
      <c r="P147" s="2">
        <v>21.98</v>
      </c>
      <c r="Q147" s="2"/>
      <c r="R147" s="19">
        <f t="shared" si="28"/>
        <v>9.3270094624972181E-6</v>
      </c>
      <c r="S147" s="2"/>
      <c r="T147" s="2">
        <v>100.97</v>
      </c>
      <c r="U147" s="2"/>
      <c r="V147" s="19">
        <f t="shared" si="29"/>
        <v>1.7593999225470232E-5</v>
      </c>
      <c r="W147" s="2"/>
      <c r="X147" s="2">
        <f t="shared" si="30"/>
        <v>-78.989999999999995</v>
      </c>
      <c r="Y147" s="2"/>
      <c r="Z147" s="19">
        <f t="shared" si="31"/>
        <v>-0.78231157769634541</v>
      </c>
    </row>
    <row r="148" spans="1:26" s="24" customFormat="1" hidden="1" outlineLevel="1" x14ac:dyDescent="0.25">
      <c r="A148" s="44"/>
      <c r="B148" s="11" t="str">
        <f>CONCATENATE("          ", "5525", " - ", "FREIGHT-IN-TEST FORMS")</f>
        <v xml:space="preserve">          5525 - FREIGHT-IN-TEST FORMS</v>
      </c>
      <c r="C148" s="11"/>
      <c r="D148" s="2">
        <v>48.14</v>
      </c>
      <c r="E148" s="2"/>
      <c r="F148" s="19">
        <f t="shared" si="24"/>
        <v>3.0067011211047868E-4</v>
      </c>
      <c r="G148" s="2"/>
      <c r="H148" s="2">
        <v>39.22</v>
      </c>
      <c r="I148" s="2"/>
      <c r="J148" s="19">
        <f t="shared" si="25"/>
        <v>3.8893321766751639E-5</v>
      </c>
      <c r="K148" s="2"/>
      <c r="L148" s="2">
        <f t="shared" si="26"/>
        <v>8.9200000000000017</v>
      </c>
      <c r="M148" s="2"/>
      <c r="N148" s="19">
        <f t="shared" si="27"/>
        <v>0.22743498215196334</v>
      </c>
      <c r="O148" s="11"/>
      <c r="P148" s="2">
        <v>48.14</v>
      </c>
      <c r="Q148" s="2"/>
      <c r="R148" s="19">
        <f t="shared" si="28"/>
        <v>2.042776321768044E-5</v>
      </c>
      <c r="S148" s="2"/>
      <c r="T148" s="2">
        <v>39.22</v>
      </c>
      <c r="U148" s="2"/>
      <c r="V148" s="19">
        <f t="shared" si="29"/>
        <v>6.8340759594230219E-6</v>
      </c>
      <c r="W148" s="2"/>
      <c r="X148" s="2">
        <f t="shared" si="30"/>
        <v>8.9200000000000017</v>
      </c>
      <c r="Y148" s="2"/>
      <c r="Z148" s="19">
        <f t="shared" si="31"/>
        <v>0.22743498215196334</v>
      </c>
    </row>
    <row r="149" spans="1:26" s="24" customFormat="1" hidden="1" outlineLevel="1" x14ac:dyDescent="0.25">
      <c r="A149" s="44"/>
      <c r="B149" s="11" t="str">
        <f>CONCATENATE("          ", "5526", " - ", "FREIGHT-IN-WRITING INSTRUMENTS")</f>
        <v xml:space="preserve">          5526 - FREIGHT-IN-WRITING INSTRUMENTS</v>
      </c>
      <c r="C149" s="11"/>
      <c r="D149" s="2"/>
      <c r="E149" s="2"/>
      <c r="F149" s="19">
        <f t="shared" si="24"/>
        <v>0</v>
      </c>
      <c r="G149" s="2"/>
      <c r="H149" s="2"/>
      <c r="I149" s="2"/>
      <c r="J149" s="19">
        <f t="shared" si="25"/>
        <v>0</v>
      </c>
      <c r="K149" s="2"/>
      <c r="L149" s="2">
        <f t="shared" si="26"/>
        <v>0</v>
      </c>
      <c r="M149" s="2"/>
      <c r="N149" s="19">
        <f t="shared" si="27"/>
        <v>0</v>
      </c>
      <c r="O149" s="11"/>
      <c r="P149" s="2"/>
      <c r="Q149" s="2"/>
      <c r="R149" s="19">
        <f t="shared" si="28"/>
        <v>0</v>
      </c>
      <c r="S149" s="2"/>
      <c r="T149" s="2">
        <v>56.57</v>
      </c>
      <c r="U149" s="2"/>
      <c r="V149" s="19">
        <f t="shared" si="29"/>
        <v>9.8573094600856804E-6</v>
      </c>
      <c r="W149" s="2"/>
      <c r="X149" s="2">
        <f t="shared" si="30"/>
        <v>-56.57</v>
      </c>
      <c r="Y149" s="2"/>
      <c r="Z149" s="19">
        <f t="shared" si="31"/>
        <v>-1</v>
      </c>
    </row>
    <row r="150" spans="1:26" s="24" customFormat="1" hidden="1" outlineLevel="1" x14ac:dyDescent="0.25">
      <c r="A150" s="44"/>
      <c r="B150" s="11" t="str">
        <f>CONCATENATE("          ", "5527", " - ", "FREIGHT-IN-SCHOOL SUPPLIES")</f>
        <v xml:space="preserve">          5527 - FREIGHT-IN-SCHOOL SUPPLIES</v>
      </c>
      <c r="C150" s="11"/>
      <c r="D150" s="2">
        <v>56</v>
      </c>
      <c r="E150" s="2"/>
      <c r="F150" s="19">
        <f t="shared" si="24"/>
        <v>3.4976165928929799E-4</v>
      </c>
      <c r="G150" s="2"/>
      <c r="H150" s="2">
        <v>344.59</v>
      </c>
      <c r="I150" s="2"/>
      <c r="J150" s="19">
        <f t="shared" si="25"/>
        <v>3.4171977938819345E-4</v>
      </c>
      <c r="K150" s="2"/>
      <c r="L150" s="2">
        <f t="shared" si="26"/>
        <v>-288.58999999999997</v>
      </c>
      <c r="M150" s="2"/>
      <c r="N150" s="19">
        <f t="shared" si="27"/>
        <v>-0.83748802925215471</v>
      </c>
      <c r="O150" s="11"/>
      <c r="P150" s="2">
        <v>56</v>
      </c>
      <c r="Q150" s="2"/>
      <c r="R150" s="19">
        <f t="shared" si="28"/>
        <v>2.376308143311393E-5</v>
      </c>
      <c r="S150" s="2"/>
      <c r="T150" s="2">
        <v>738.49</v>
      </c>
      <c r="U150" s="2"/>
      <c r="V150" s="19">
        <f t="shared" si="29"/>
        <v>1.2868171227114502E-4</v>
      </c>
      <c r="W150" s="2"/>
      <c r="X150" s="2">
        <f t="shared" si="30"/>
        <v>-682.49</v>
      </c>
      <c r="Y150" s="2"/>
      <c r="Z150" s="19">
        <f t="shared" si="31"/>
        <v>-0.92416958929707915</v>
      </c>
    </row>
    <row r="151" spans="1:26" s="24" customFormat="1" hidden="1" outlineLevel="1" x14ac:dyDescent="0.25">
      <c r="A151" s="44"/>
      <c r="B151" s="11" t="str">
        <f>CONCATENATE("          ", "5528", " - ", "FREIGHT-IN-ART/TECH")</f>
        <v xml:space="preserve">          5528 - FREIGHT-IN-ART/TECH</v>
      </c>
      <c r="C151" s="11"/>
      <c r="D151" s="2">
        <v>239.39</v>
      </c>
      <c r="E151" s="2"/>
      <c r="F151" s="19">
        <f t="shared" si="24"/>
        <v>1.4951686360225899E-3</v>
      </c>
      <c r="G151" s="2"/>
      <c r="H151" s="2">
        <v>185.67</v>
      </c>
      <c r="I151" s="2"/>
      <c r="J151" s="19">
        <f t="shared" si="25"/>
        <v>1.8412348425376788E-4</v>
      </c>
      <c r="K151" s="2"/>
      <c r="L151" s="2">
        <f t="shared" si="26"/>
        <v>53.72</v>
      </c>
      <c r="M151" s="2"/>
      <c r="N151" s="19">
        <f t="shared" si="27"/>
        <v>0.28933053266548175</v>
      </c>
      <c r="O151" s="11"/>
      <c r="P151" s="2">
        <v>284.2</v>
      </c>
      <c r="Q151" s="2"/>
      <c r="R151" s="19">
        <f t="shared" si="28"/>
        <v>1.2059763827305318E-4</v>
      </c>
      <c r="S151" s="2"/>
      <c r="T151" s="2">
        <v>818.44</v>
      </c>
      <c r="U151" s="2"/>
      <c r="V151" s="19">
        <f t="shared" si="29"/>
        <v>1.4261298134192195E-4</v>
      </c>
      <c r="W151" s="2"/>
      <c r="X151" s="2">
        <f t="shared" si="30"/>
        <v>-534.24</v>
      </c>
      <c r="Y151" s="2"/>
      <c r="Z151" s="19">
        <f t="shared" si="31"/>
        <v>-0.65275401984262738</v>
      </c>
    </row>
    <row r="152" spans="1:26" s="24" customFormat="1" hidden="1" outlineLevel="1" x14ac:dyDescent="0.25">
      <c r="A152" s="44"/>
      <c r="B152" s="11" t="str">
        <f>CONCATENATE("          ", "5540", " - ", "FREIGHT-IN-LOGO CLOTHING")</f>
        <v xml:space="preserve">          5540 - FREIGHT-IN-LOGO CLOTHING</v>
      </c>
      <c r="C152" s="11"/>
      <c r="D152" s="2">
        <v>1036.57</v>
      </c>
      <c r="E152" s="2"/>
      <c r="F152" s="19">
        <f t="shared" si="24"/>
        <v>6.4741507708840637E-3</v>
      </c>
      <c r="G152" s="2"/>
      <c r="H152" s="2">
        <v>9102.58</v>
      </c>
      <c r="I152" s="2"/>
      <c r="J152" s="19">
        <f t="shared" si="25"/>
        <v>9.0267611638857256E-3</v>
      </c>
      <c r="K152" s="2"/>
      <c r="L152" s="2">
        <f t="shared" si="26"/>
        <v>-8066.01</v>
      </c>
      <c r="M152" s="2"/>
      <c r="N152" s="19">
        <f t="shared" si="27"/>
        <v>-0.88612349465755869</v>
      </c>
      <c r="O152" s="11"/>
      <c r="P152" s="2">
        <v>3202.33</v>
      </c>
      <c r="Q152" s="2"/>
      <c r="R152" s="19">
        <f t="shared" si="28"/>
        <v>1.3588790815304238E-3</v>
      </c>
      <c r="S152" s="2"/>
      <c r="T152" s="2">
        <v>14107.44</v>
      </c>
      <c r="U152" s="2"/>
      <c r="V152" s="19">
        <f t="shared" si="29"/>
        <v>2.4582181681030782E-3</v>
      </c>
      <c r="W152" s="2"/>
      <c r="X152" s="2">
        <f t="shared" si="30"/>
        <v>-10905.11</v>
      </c>
      <c r="Y152" s="2"/>
      <c r="Z152" s="19">
        <f t="shared" si="31"/>
        <v>-0.77300417368424035</v>
      </c>
    </row>
    <row r="153" spans="1:26" s="24" customFormat="1" hidden="1" outlineLevel="1" x14ac:dyDescent="0.25">
      <c r="A153" s="44"/>
      <c r="B153" s="11" t="str">
        <f>CONCATENATE("          ", "5541", " - ", "FREIGHT-IN-LOGO GIFTS")</f>
        <v xml:space="preserve">          5541 - FREIGHT-IN-LOGO GIFTS</v>
      </c>
      <c r="C153" s="11"/>
      <c r="D153" s="2">
        <v>773.7</v>
      </c>
      <c r="E153" s="2"/>
      <c r="F153" s="19">
        <f t="shared" si="24"/>
        <v>4.8323320677166048E-3</v>
      </c>
      <c r="G153" s="2"/>
      <c r="H153" s="2">
        <v>718.84</v>
      </c>
      <c r="I153" s="2"/>
      <c r="J153" s="19">
        <f t="shared" si="25"/>
        <v>7.1285250940366523E-4</v>
      </c>
      <c r="K153" s="2"/>
      <c r="L153" s="2">
        <f t="shared" si="26"/>
        <v>54.860000000000014</v>
      </c>
      <c r="M153" s="2"/>
      <c r="N153" s="19">
        <f t="shared" si="27"/>
        <v>7.6317400255967963E-2</v>
      </c>
      <c r="O153" s="11"/>
      <c r="P153" s="2">
        <v>1134.81</v>
      </c>
      <c r="Q153" s="2"/>
      <c r="R153" s="19">
        <f t="shared" si="28"/>
        <v>4.8154611501985748E-4</v>
      </c>
      <c r="S153" s="2"/>
      <c r="T153" s="2">
        <v>1536.85</v>
      </c>
      <c r="U153" s="2"/>
      <c r="V153" s="19">
        <f t="shared" si="29"/>
        <v>2.6779575824169483E-4</v>
      </c>
      <c r="W153" s="2"/>
      <c r="X153" s="2">
        <f t="shared" si="30"/>
        <v>-402.03999999999996</v>
      </c>
      <c r="Y153" s="2"/>
      <c r="Z153" s="19">
        <f t="shared" si="31"/>
        <v>-0.26160002602726357</v>
      </c>
    </row>
    <row r="154" spans="1:26" s="24" customFormat="1" hidden="1" outlineLevel="1" x14ac:dyDescent="0.25">
      <c r="A154" s="44"/>
      <c r="B154" s="11" t="str">
        <f>CONCATENATE("          ", "5542", " - ", "FREIGHT-IN-EVERYDAY GIFTS")</f>
        <v xml:space="preserve">          5542 - FREIGHT-IN-EVERYDAY GIFTS</v>
      </c>
      <c r="C154" s="11"/>
      <c r="D154" s="2">
        <v>104.17</v>
      </c>
      <c r="E154" s="2"/>
      <c r="F154" s="19">
        <f t="shared" si="24"/>
        <v>6.5061914371725312E-4</v>
      </c>
      <c r="G154" s="2"/>
      <c r="H154" s="2">
        <v>596.04999999999995</v>
      </c>
      <c r="I154" s="2"/>
      <c r="J154" s="19">
        <f t="shared" si="25"/>
        <v>5.9108527381622423E-4</v>
      </c>
      <c r="K154" s="2"/>
      <c r="L154" s="2">
        <f t="shared" si="26"/>
        <v>-491.87999999999994</v>
      </c>
      <c r="M154" s="2"/>
      <c r="N154" s="19">
        <f t="shared" si="27"/>
        <v>-0.8252327824846909</v>
      </c>
      <c r="O154" s="11"/>
      <c r="P154" s="2">
        <v>175.55</v>
      </c>
      <c r="Q154" s="2"/>
      <c r="R154" s="19">
        <f t="shared" si="28"/>
        <v>7.4493016885413403E-5</v>
      </c>
      <c r="S154" s="2"/>
      <c r="T154" s="2">
        <v>767.73</v>
      </c>
      <c r="U154" s="2"/>
      <c r="V154" s="19">
        <f t="shared" si="29"/>
        <v>1.3377677553105143E-4</v>
      </c>
      <c r="W154" s="2"/>
      <c r="X154" s="2">
        <f t="shared" si="30"/>
        <v>-592.18000000000006</v>
      </c>
      <c r="Y154" s="2"/>
      <c r="Z154" s="19">
        <f t="shared" si="31"/>
        <v>-0.77133888215909241</v>
      </c>
    </row>
    <row r="155" spans="1:26" s="24" customFormat="1" hidden="1" outlineLevel="1" x14ac:dyDescent="0.25">
      <c r="A155" s="44"/>
      <c r="B155" s="11" t="str">
        <f>CONCATENATE("          ", "5543", " - ", "FREIGHT-IN-CARDS")</f>
        <v xml:space="preserve">          5543 - FREIGHT-IN-CARDS</v>
      </c>
      <c r="C155" s="11"/>
      <c r="D155" s="2">
        <v>107.42</v>
      </c>
      <c r="E155" s="2"/>
      <c r="F155" s="19">
        <f t="shared" si="24"/>
        <v>6.7091781144386407E-4</v>
      </c>
      <c r="G155" s="2"/>
      <c r="H155" s="2"/>
      <c r="I155" s="2"/>
      <c r="J155" s="19">
        <f t="shared" si="25"/>
        <v>0</v>
      </c>
      <c r="K155" s="2"/>
      <c r="L155" s="2">
        <f t="shared" si="26"/>
        <v>107.42</v>
      </c>
      <c r="M155" s="2"/>
      <c r="N155" s="19">
        <f t="shared" si="27"/>
        <v>0</v>
      </c>
      <c r="O155" s="11"/>
      <c r="P155" s="2">
        <v>189.19</v>
      </c>
      <c r="Q155" s="2"/>
      <c r="R155" s="19">
        <f t="shared" si="28"/>
        <v>8.0281024577336151E-5</v>
      </c>
      <c r="S155" s="2"/>
      <c r="T155" s="2">
        <v>4.58</v>
      </c>
      <c r="U155" s="2"/>
      <c r="V155" s="19">
        <f t="shared" si="29"/>
        <v>7.980639442671454E-7</v>
      </c>
      <c r="W155" s="2"/>
      <c r="X155" s="2">
        <f t="shared" si="30"/>
        <v>184.60999999999999</v>
      </c>
      <c r="Y155" s="2"/>
      <c r="Z155" s="19">
        <f t="shared" si="31"/>
        <v>40.307860262008731</v>
      </c>
    </row>
    <row r="156" spans="1:26" s="24" customFormat="1" hidden="1" outlineLevel="1" x14ac:dyDescent="0.25">
      <c r="A156" s="44"/>
      <c r="B156" s="11" t="str">
        <f>CONCATENATE("          ", "5544", " - ", "FREIGHT-IN-ACCESSORIES")</f>
        <v xml:space="preserve">          5544 - FREIGHT-IN-ACCESSORIES</v>
      </c>
      <c r="C156" s="11"/>
      <c r="D156" s="2"/>
      <c r="E156" s="2"/>
      <c r="F156" s="19">
        <f t="shared" si="24"/>
        <v>0</v>
      </c>
      <c r="G156" s="2"/>
      <c r="H156" s="2">
        <v>223.25</v>
      </c>
      <c r="I156" s="2"/>
      <c r="J156" s="19">
        <f t="shared" si="25"/>
        <v>2.2139046620161406E-4</v>
      </c>
      <c r="K156" s="2"/>
      <c r="L156" s="2">
        <f t="shared" si="26"/>
        <v>-223.25</v>
      </c>
      <c r="M156" s="2"/>
      <c r="N156" s="19">
        <f t="shared" si="27"/>
        <v>-1</v>
      </c>
      <c r="O156" s="11"/>
      <c r="P156" s="2"/>
      <c r="Q156" s="2"/>
      <c r="R156" s="19">
        <f t="shared" si="28"/>
        <v>0</v>
      </c>
      <c r="S156" s="2"/>
      <c r="T156" s="2">
        <v>359.09</v>
      </c>
      <c r="U156" s="2"/>
      <c r="V156" s="19">
        <f t="shared" si="29"/>
        <v>6.2571349726395028E-5</v>
      </c>
      <c r="W156" s="2"/>
      <c r="X156" s="2">
        <f t="shared" si="30"/>
        <v>-359.09</v>
      </c>
      <c r="Y156" s="2"/>
      <c r="Z156" s="19">
        <f t="shared" si="31"/>
        <v>-1</v>
      </c>
    </row>
    <row r="157" spans="1:26" s="24" customFormat="1" hidden="1" outlineLevel="1" x14ac:dyDescent="0.25">
      <c r="A157" s="44"/>
      <c r="B157" s="11" t="str">
        <f>CONCATENATE("          ", "5545", " - ", "FREIGHT-IN-SPECIAL ORDERS")</f>
        <v xml:space="preserve">          5545 - FREIGHT-IN-SPECIAL ORDERS</v>
      </c>
      <c r="C157" s="11"/>
      <c r="D157" s="2">
        <v>189.66</v>
      </c>
      <c r="E157" s="2"/>
      <c r="F157" s="19">
        <f t="shared" si="24"/>
        <v>1.1845677910858616E-3</v>
      </c>
      <c r="G157" s="2"/>
      <c r="H157" s="2">
        <v>84.47</v>
      </c>
      <c r="I157" s="2"/>
      <c r="J157" s="19">
        <f t="shared" si="25"/>
        <v>8.3766417379844754E-5</v>
      </c>
      <c r="K157" s="2"/>
      <c r="L157" s="2">
        <f t="shared" si="26"/>
        <v>105.19</v>
      </c>
      <c r="M157" s="2"/>
      <c r="N157" s="19">
        <f t="shared" si="27"/>
        <v>1.2452941872854268</v>
      </c>
      <c r="O157" s="11"/>
      <c r="P157" s="2">
        <v>850.27</v>
      </c>
      <c r="Q157" s="2"/>
      <c r="R157" s="19">
        <f t="shared" si="28"/>
        <v>3.6080420089524607E-4</v>
      </c>
      <c r="S157" s="2"/>
      <c r="T157" s="2">
        <v>346.98</v>
      </c>
      <c r="U157" s="2"/>
      <c r="V157" s="19">
        <f t="shared" si="29"/>
        <v>6.0461185017863344E-5</v>
      </c>
      <c r="W157" s="2"/>
      <c r="X157" s="2">
        <f t="shared" si="30"/>
        <v>503.28999999999996</v>
      </c>
      <c r="Y157" s="2"/>
      <c r="Z157" s="19">
        <f t="shared" si="31"/>
        <v>1.4504870597728974</v>
      </c>
    </row>
    <row r="158" spans="1:26" s="24" customFormat="1" hidden="1" outlineLevel="1" x14ac:dyDescent="0.25">
      <c r="A158" s="44"/>
      <c r="B158" s="11" t="str">
        <f>CONCATENATE("          ", "5592", " - ", "FREIGHT-IN-GRAD MERCH")</f>
        <v xml:space="preserve">          5592 - FREIGHT-IN-GRAD MERCH</v>
      </c>
      <c r="C158" s="11"/>
      <c r="D158" s="2"/>
      <c r="E158" s="2"/>
      <c r="F158" s="19">
        <f t="shared" si="24"/>
        <v>0</v>
      </c>
      <c r="G158" s="2"/>
      <c r="H158" s="2"/>
      <c r="I158" s="2"/>
      <c r="J158" s="19">
        <f t="shared" si="25"/>
        <v>0</v>
      </c>
      <c r="K158" s="2"/>
      <c r="L158" s="2">
        <f t="shared" si="26"/>
        <v>0</v>
      </c>
      <c r="M158" s="2"/>
      <c r="N158" s="19">
        <f t="shared" si="27"/>
        <v>0</v>
      </c>
      <c r="O158" s="11"/>
      <c r="P158" s="2"/>
      <c r="Q158" s="2"/>
      <c r="R158" s="19">
        <f t="shared" si="28"/>
        <v>0</v>
      </c>
      <c r="S158" s="2"/>
      <c r="T158" s="2">
        <v>70.78</v>
      </c>
      <c r="U158" s="2"/>
      <c r="V158" s="19">
        <f t="shared" si="29"/>
        <v>1.2333398684547719E-5</v>
      </c>
      <c r="W158" s="2"/>
      <c r="X158" s="2">
        <f t="shared" si="30"/>
        <v>-70.78</v>
      </c>
      <c r="Y158" s="2"/>
      <c r="Z158" s="19">
        <f t="shared" si="31"/>
        <v>-1</v>
      </c>
    </row>
    <row r="159" spans="1:26" x14ac:dyDescent="0.25">
      <c r="A159" s="9"/>
      <c r="B159" s="10"/>
      <c r="C159" s="10"/>
      <c r="D159" s="3"/>
      <c r="E159" s="3"/>
      <c r="F159" s="8"/>
      <c r="G159" s="3"/>
      <c r="H159" s="3"/>
      <c r="I159" s="3"/>
      <c r="J159" s="8"/>
      <c r="K159" s="3"/>
      <c r="L159" s="3"/>
      <c r="M159" s="3"/>
      <c r="N159" s="8"/>
      <c r="O159" s="10"/>
      <c r="P159" s="3"/>
      <c r="Q159" s="3"/>
      <c r="R159" s="8"/>
      <c r="S159" s="3"/>
      <c r="T159" s="3"/>
      <c r="U159" s="3"/>
      <c r="V159" s="8"/>
      <c r="W159" s="3"/>
      <c r="X159" s="3"/>
      <c r="Y159" s="3"/>
      <c r="Z159" s="8"/>
    </row>
    <row r="160" spans="1:26" s="23" customFormat="1" x14ac:dyDescent="0.25">
      <c r="A160" s="10"/>
      <c r="B160" s="25" t="s">
        <v>6</v>
      </c>
      <c r="C160" s="25"/>
      <c r="D160" s="20">
        <f>D12-D108</f>
        <v>62579.700000000055</v>
      </c>
      <c r="E160" s="13"/>
      <c r="F160" s="21">
        <f>IF(D$12=0,0,D160/D$12)</f>
        <v>0.39085678053261608</v>
      </c>
      <c r="G160" s="13"/>
      <c r="H160" s="20">
        <f>H12-H108</f>
        <v>535807.63000000035</v>
      </c>
      <c r="I160" s="13"/>
      <c r="J160" s="21">
        <f>IF(H$12=0,0,H160/H$12)</f>
        <v>0.53134468533071455</v>
      </c>
      <c r="K160" s="15"/>
      <c r="L160" s="20">
        <f>+D160-H160</f>
        <v>-473227.93000000028</v>
      </c>
      <c r="M160" s="15"/>
      <c r="N160" s="21">
        <f>IF(H160=0,0,L160/H160)</f>
        <v>-0.88320491068781526</v>
      </c>
      <c r="O160" s="26"/>
      <c r="P160" s="20">
        <f>P12-P108</f>
        <v>807324.46</v>
      </c>
      <c r="Q160" s="13"/>
      <c r="R160" s="21">
        <f>IF(P$12=0,0,P160/P$12)</f>
        <v>0.34258065867722731</v>
      </c>
      <c r="S160" s="13"/>
      <c r="T160" s="20">
        <f>T12-T108</f>
        <v>2390156.689999999</v>
      </c>
      <c r="U160" s="13"/>
      <c r="V160" s="21">
        <f>IF(T$12=0,0,T160/T$12)</f>
        <v>0.41648425227901831</v>
      </c>
      <c r="W160" s="15"/>
      <c r="X160" s="20">
        <f>+P160-T160</f>
        <v>-1582832.2299999991</v>
      </c>
      <c r="Y160" s="15"/>
      <c r="Z160" s="21">
        <f>IF(T160=0,0,X160/T160)</f>
        <v>-0.66222948337332632</v>
      </c>
    </row>
    <row r="161" spans="1:26" x14ac:dyDescent="0.25">
      <c r="A161" s="9"/>
      <c r="B161" s="10"/>
      <c r="C161" s="9"/>
      <c r="D161" s="1"/>
      <c r="E161" s="1"/>
      <c r="F161" s="5"/>
      <c r="G161" s="1"/>
      <c r="H161" s="1"/>
      <c r="I161" s="1"/>
      <c r="J161" s="5"/>
      <c r="K161" s="1"/>
      <c r="L161" s="1"/>
      <c r="M161" s="1"/>
      <c r="N161" s="5"/>
      <c r="O161" s="37"/>
      <c r="P161" s="1"/>
      <c r="Q161" s="1"/>
      <c r="R161" s="5"/>
      <c r="S161" s="1"/>
      <c r="T161" s="1"/>
      <c r="U161" s="1"/>
      <c r="V161" s="5"/>
      <c r="W161" s="1"/>
      <c r="X161" s="1"/>
      <c r="Y161" s="1"/>
      <c r="Z161" s="5"/>
    </row>
    <row r="162" spans="1:26" s="23" customFormat="1" x14ac:dyDescent="0.25">
      <c r="A162" s="10"/>
      <c r="B162" s="26" t="s">
        <v>9</v>
      </c>
      <c r="C162" s="10"/>
      <c r="D162" s="22">
        <f>SUM(OSRRefD22x_0)</f>
        <v>349347.2300000001</v>
      </c>
      <c r="E162" s="22"/>
      <c r="F162" s="36">
        <f t="shared" ref="F162:F173" si="32">IF(D$12=0,0,D162/D$12)</f>
        <v>2.1819333363021438</v>
      </c>
      <c r="G162" s="22"/>
      <c r="H162" s="22">
        <f>SUM(OSRRefH22x_0)</f>
        <v>542482.10000000009</v>
      </c>
      <c r="I162" s="22"/>
      <c r="J162" s="36">
        <f t="shared" ref="J162:J173" si="33">IF(H$12=0,0,H162/H$12)</f>
        <v>0.53796356114235455</v>
      </c>
      <c r="K162" s="4"/>
      <c r="L162" s="22">
        <f t="shared" ref="L162:L173" si="34">+D162-H162</f>
        <v>-193134.87</v>
      </c>
      <c r="M162" s="4"/>
      <c r="N162" s="36">
        <f t="shared" ref="N162:N173" si="35">IF(H162=0,0,L162/H162)</f>
        <v>-0.35602072400176882</v>
      </c>
      <c r="O162" s="10"/>
      <c r="P162" s="22">
        <f>SUM(OSRRefP22x_0)</f>
        <v>1249076.1099999999</v>
      </c>
      <c r="Q162" s="22"/>
      <c r="R162" s="36">
        <f t="shared" ref="R162:R173" si="36">IF(P$12=0,0,P162/P$12)</f>
        <v>0.53003388068012802</v>
      </c>
      <c r="S162" s="22"/>
      <c r="T162" s="22">
        <f>SUM(OSRRefT22x_0)</f>
        <v>1960199.8500000003</v>
      </c>
      <c r="U162" s="22"/>
      <c r="V162" s="36">
        <f t="shared" ref="V162:V173" si="37">IF(T$12=0,0,T162/T$12)</f>
        <v>0.3415643720180932</v>
      </c>
      <c r="W162" s="4"/>
      <c r="X162" s="22">
        <f t="shared" ref="X162:X173" si="38">+P162-T162</f>
        <v>-711123.74000000046</v>
      </c>
      <c r="Y162" s="4"/>
      <c r="Z162" s="36">
        <f t="shared" ref="Z162:Z173" si="39">IF(T162=0,0,X162/T162)</f>
        <v>-0.36278124396346645</v>
      </c>
    </row>
    <row r="163" spans="1:26" s="29" customFormat="1" outlineLevel="1" collapsed="1" x14ac:dyDescent="0.25">
      <c r="A163" s="27"/>
      <c r="B163" s="14" t="str">
        <f>CONCATENATE("     ","*Benefits                                         ")</f>
        <v xml:space="preserve">     *Benefits                                         </v>
      </c>
      <c r="C163" s="14"/>
      <c r="D163" s="1">
        <f>SUM(OSRRefD22_0x_0)</f>
        <v>54321.38</v>
      </c>
      <c r="E163" s="1"/>
      <c r="F163" s="5">
        <f t="shared" si="32"/>
        <v>0.33927742863722293</v>
      </c>
      <c r="G163" s="1"/>
      <c r="H163" s="1">
        <f>SUM(OSRRefH22_0x_0)</f>
        <v>77629.350000000006</v>
      </c>
      <c r="I163" s="1"/>
      <c r="J163" s="5">
        <f t="shared" si="33"/>
        <v>7.6982745744359551E-2</v>
      </c>
      <c r="K163" s="1"/>
      <c r="L163" s="1">
        <f t="shared" si="34"/>
        <v>-23307.970000000008</v>
      </c>
      <c r="M163" s="1"/>
      <c r="N163" s="5">
        <f t="shared" si="35"/>
        <v>-0.30024687827477631</v>
      </c>
      <c r="O163" s="14"/>
      <c r="P163" s="1">
        <f>SUM(OSRRefP22_0x_0)</f>
        <v>208275.5</v>
      </c>
      <c r="Q163" s="1"/>
      <c r="R163" s="5">
        <f t="shared" si="36"/>
        <v>8.8379779768259295E-2</v>
      </c>
      <c r="S163" s="1"/>
      <c r="T163" s="1">
        <f>SUM(OSRRefT22_0x_0)</f>
        <v>276001.83</v>
      </c>
      <c r="U163" s="1"/>
      <c r="V163" s="5">
        <f t="shared" si="37"/>
        <v>4.8093255256495666E-2</v>
      </c>
      <c r="W163" s="1"/>
      <c r="X163" s="1">
        <f t="shared" si="38"/>
        <v>-67726.330000000016</v>
      </c>
      <c r="Y163" s="1"/>
      <c r="Z163" s="5">
        <f t="shared" si="39"/>
        <v>-0.24538362662305541</v>
      </c>
    </row>
    <row r="164" spans="1:26" s="24" customFormat="1" hidden="1" outlineLevel="2" x14ac:dyDescent="0.25">
      <c r="A164" s="28"/>
      <c r="B164" s="11" t="str">
        <f>CONCATENATE("          ", "6111", " - ", "F.I.C.A.")</f>
        <v xml:space="preserve">          6111 - F.I.C.A.</v>
      </c>
      <c r="C164" s="11"/>
      <c r="D164" s="6">
        <v>13323.07</v>
      </c>
      <c r="E164" s="2"/>
      <c r="F164" s="7">
        <f t="shared" si="32"/>
        <v>8.3212483393347636E-2</v>
      </c>
      <c r="G164" s="2"/>
      <c r="H164" s="6">
        <v>19899.060000000001</v>
      </c>
      <c r="I164" s="2"/>
      <c r="J164" s="7">
        <f t="shared" si="33"/>
        <v>1.9733313193164122E-2</v>
      </c>
      <c r="K164" s="2"/>
      <c r="L164" s="6">
        <f t="shared" si="34"/>
        <v>-6575.9900000000016</v>
      </c>
      <c r="M164" s="2"/>
      <c r="N164" s="7">
        <f t="shared" si="35"/>
        <v>-0.33046736881038608</v>
      </c>
      <c r="O164" s="11"/>
      <c r="P164" s="6">
        <v>45279.590000000004</v>
      </c>
      <c r="Q164" s="2"/>
      <c r="R164" s="7">
        <f t="shared" si="36"/>
        <v>1.9213974721928772E-2</v>
      </c>
      <c r="S164" s="2"/>
      <c r="T164" s="6">
        <v>59042.71</v>
      </c>
      <c r="U164" s="2"/>
      <c r="V164" s="7">
        <f t="shared" si="37"/>
        <v>1.0288178607602888E-2</v>
      </c>
      <c r="W164" s="2"/>
      <c r="X164" s="6">
        <f t="shared" si="38"/>
        <v>-13763.119999999995</v>
      </c>
      <c r="Y164" s="2"/>
      <c r="Z164" s="7">
        <f t="shared" si="39"/>
        <v>-0.23310447640360674</v>
      </c>
    </row>
    <row r="165" spans="1:26" s="24" customFormat="1" hidden="1" outlineLevel="2" x14ac:dyDescent="0.25">
      <c r="A165" s="28"/>
      <c r="B165" s="11" t="str">
        <f>CONCATENATE("          ", "6112", " - ", "COMPENSATION INSURANCE")</f>
        <v xml:space="preserve">          6112 - COMPENSATION INSURANCE</v>
      </c>
      <c r="C165" s="11"/>
      <c r="D165" s="6">
        <v>1907.43</v>
      </c>
      <c r="E165" s="2"/>
      <c r="F165" s="7">
        <f t="shared" si="32"/>
        <v>1.1913319317467601E-2</v>
      </c>
      <c r="G165" s="2"/>
      <c r="H165" s="6">
        <v>296.35000000000002</v>
      </c>
      <c r="I165" s="2"/>
      <c r="J165" s="7">
        <f t="shared" si="33"/>
        <v>2.9388158861746175E-4</v>
      </c>
      <c r="K165" s="2"/>
      <c r="L165" s="6">
        <f t="shared" si="34"/>
        <v>1611.08</v>
      </c>
      <c r="M165" s="2"/>
      <c r="N165" s="7">
        <f t="shared" si="35"/>
        <v>5.4364096507508011</v>
      </c>
      <c r="O165" s="11"/>
      <c r="P165" s="6">
        <v>10618.58</v>
      </c>
      <c r="Q165" s="2"/>
      <c r="R165" s="7">
        <f t="shared" si="36"/>
        <v>4.5058960936434807E-3</v>
      </c>
      <c r="S165" s="2"/>
      <c r="T165" s="6">
        <v>11116.64</v>
      </c>
      <c r="U165" s="2"/>
      <c r="V165" s="7">
        <f t="shared" si="37"/>
        <v>1.9370719575104625E-3</v>
      </c>
      <c r="W165" s="2"/>
      <c r="X165" s="6">
        <f t="shared" si="38"/>
        <v>-498.05999999999949</v>
      </c>
      <c r="Y165" s="2"/>
      <c r="Z165" s="7">
        <f t="shared" si="39"/>
        <v>-4.4803105974467058E-2</v>
      </c>
    </row>
    <row r="166" spans="1:26" s="24" customFormat="1" hidden="1" outlineLevel="2" x14ac:dyDescent="0.25">
      <c r="A166" s="28"/>
      <c r="B166" s="11" t="str">
        <f>CONCATENATE("          ", "6113", " - ", "GROUP INSURANCE")</f>
        <v xml:space="preserve">          6113 - GROUP INSURANCE</v>
      </c>
      <c r="C166" s="11"/>
      <c r="D166" s="6">
        <v>17506.16</v>
      </c>
      <c r="E166" s="2"/>
      <c r="F166" s="7">
        <f t="shared" si="32"/>
        <v>0.10933899231042744</v>
      </c>
      <c r="G166" s="2"/>
      <c r="H166" s="6">
        <v>25383.670000000002</v>
      </c>
      <c r="I166" s="2"/>
      <c r="J166" s="7">
        <f t="shared" si="33"/>
        <v>2.5172239799363606E-2</v>
      </c>
      <c r="K166" s="2"/>
      <c r="L166" s="6">
        <f t="shared" si="34"/>
        <v>-7877.510000000002</v>
      </c>
      <c r="M166" s="2"/>
      <c r="N166" s="7">
        <f t="shared" si="35"/>
        <v>-0.31033770924377763</v>
      </c>
      <c r="O166" s="11"/>
      <c r="P166" s="6">
        <v>71321.600000000006</v>
      </c>
      <c r="Q166" s="2"/>
      <c r="R166" s="7">
        <f t="shared" si="36"/>
        <v>3.0264660513213904E-2</v>
      </c>
      <c r="S166" s="2"/>
      <c r="T166" s="6">
        <v>101549.93</v>
      </c>
      <c r="U166" s="2"/>
      <c r="V166" s="7">
        <f t="shared" si="37"/>
        <v>1.769505189429094E-2</v>
      </c>
      <c r="W166" s="2"/>
      <c r="X166" s="6">
        <f t="shared" si="38"/>
        <v>-30228.329999999987</v>
      </c>
      <c r="Y166" s="2"/>
      <c r="Z166" s="7">
        <f t="shared" si="39"/>
        <v>-0.29766962911742029</v>
      </c>
    </row>
    <row r="167" spans="1:26" s="24" customFormat="1" hidden="1" outlineLevel="2" x14ac:dyDescent="0.25">
      <c r="A167" s="28"/>
      <c r="B167" s="11" t="str">
        <f>CONCATENATE("          ", "6114", " - ", "STATE UNEMPLOYMENT INSURANCE")</f>
        <v xml:space="preserve">          6114 - STATE UNEMPLOYMENT INSURANCE</v>
      </c>
      <c r="C167" s="11"/>
      <c r="D167" s="6">
        <v>325.23</v>
      </c>
      <c r="E167" s="2"/>
      <c r="F167" s="7">
        <f t="shared" si="32"/>
        <v>2.031303293761757E-3</v>
      </c>
      <c r="G167" s="2"/>
      <c r="H167" s="6">
        <v>806.06</v>
      </c>
      <c r="I167" s="2"/>
      <c r="J167" s="7">
        <f t="shared" si="33"/>
        <v>7.993460209920404E-4</v>
      </c>
      <c r="K167" s="2"/>
      <c r="L167" s="6">
        <f t="shared" si="34"/>
        <v>-480.82999999999993</v>
      </c>
      <c r="M167" s="2"/>
      <c r="N167" s="7">
        <f t="shared" si="35"/>
        <v>-0.59651886956305977</v>
      </c>
      <c r="O167" s="11"/>
      <c r="P167" s="6">
        <v>1530.89</v>
      </c>
      <c r="Q167" s="2"/>
      <c r="R167" s="7">
        <f t="shared" si="36"/>
        <v>6.4961899527035336E-4</v>
      </c>
      <c r="S167" s="2"/>
      <c r="T167" s="6">
        <v>2537.13</v>
      </c>
      <c r="U167" s="2"/>
      <c r="V167" s="7">
        <f t="shared" si="37"/>
        <v>4.4209431766779531E-4</v>
      </c>
      <c r="W167" s="2"/>
      <c r="X167" s="6">
        <f t="shared" si="38"/>
        <v>-1006.24</v>
      </c>
      <c r="Y167" s="2"/>
      <c r="Z167" s="7">
        <f t="shared" si="39"/>
        <v>-0.3966056134293473</v>
      </c>
    </row>
    <row r="168" spans="1:26" s="24" customFormat="1" hidden="1" outlineLevel="2" x14ac:dyDescent="0.25">
      <c r="A168" s="28"/>
      <c r="B168" s="11" t="str">
        <f>CONCATENATE("          ", "6115", " - ", "P.E.R.S.")</f>
        <v xml:space="preserve">          6115 - P.E.R.S.</v>
      </c>
      <c r="C168" s="11"/>
      <c r="D168" s="6">
        <v>5500.01</v>
      </c>
      <c r="E168" s="2"/>
      <c r="F168" s="7">
        <f t="shared" si="32"/>
        <v>3.4351653994780927E-2</v>
      </c>
      <c r="G168" s="2"/>
      <c r="H168" s="6">
        <v>13247.35</v>
      </c>
      <c r="I168" s="2"/>
      <c r="J168" s="7">
        <f t="shared" si="33"/>
        <v>1.3137007804864287E-2</v>
      </c>
      <c r="K168" s="2"/>
      <c r="L168" s="6">
        <f t="shared" si="34"/>
        <v>-7747.34</v>
      </c>
      <c r="M168" s="2"/>
      <c r="N168" s="7">
        <f t="shared" si="35"/>
        <v>-0.58482187003438424</v>
      </c>
      <c r="O168" s="11"/>
      <c r="P168" s="6">
        <v>29478.129999999997</v>
      </c>
      <c r="Q168" s="2"/>
      <c r="R168" s="7">
        <f t="shared" si="36"/>
        <v>1.2508771494391405E-2</v>
      </c>
      <c r="S168" s="2"/>
      <c r="T168" s="6">
        <v>36431.009999999995</v>
      </c>
      <c r="U168" s="2"/>
      <c r="V168" s="7">
        <f t="shared" si="37"/>
        <v>6.3480950948113122E-3</v>
      </c>
      <c r="W168" s="2"/>
      <c r="X168" s="6">
        <f t="shared" si="38"/>
        <v>-6952.8799999999974</v>
      </c>
      <c r="Y168" s="2"/>
      <c r="Z168" s="7">
        <f t="shared" si="39"/>
        <v>-0.19085059678554062</v>
      </c>
    </row>
    <row r="169" spans="1:26" s="24" customFormat="1" hidden="1" outlineLevel="2" x14ac:dyDescent="0.25">
      <c r="A169" s="28"/>
      <c r="B169" s="11" t="str">
        <f>CONCATENATE("          ", "6116", " - ", "EDUCATIONAL BENEFITS")</f>
        <v xml:space="preserve">          6116 - EDUCATIONAL BENEFITS</v>
      </c>
      <c r="C169" s="11"/>
      <c r="D169" s="6"/>
      <c r="E169" s="2"/>
      <c r="F169" s="7">
        <f t="shared" si="32"/>
        <v>0</v>
      </c>
      <c r="G169" s="2"/>
      <c r="H169" s="6"/>
      <c r="I169" s="2"/>
      <c r="J169" s="7">
        <f t="shared" si="33"/>
        <v>0</v>
      </c>
      <c r="K169" s="2"/>
      <c r="L169" s="6">
        <f t="shared" si="34"/>
        <v>0</v>
      </c>
      <c r="M169" s="2"/>
      <c r="N169" s="7">
        <f t="shared" si="35"/>
        <v>0</v>
      </c>
      <c r="O169" s="11"/>
      <c r="P169" s="6">
        <v>0</v>
      </c>
      <c r="Q169" s="2"/>
      <c r="R169" s="7">
        <f t="shared" si="36"/>
        <v>0</v>
      </c>
      <c r="S169" s="2"/>
      <c r="T169" s="6"/>
      <c r="U169" s="2"/>
      <c r="V169" s="7">
        <f t="shared" si="37"/>
        <v>0</v>
      </c>
      <c r="W169" s="2"/>
      <c r="X169" s="6">
        <f t="shared" si="38"/>
        <v>0</v>
      </c>
      <c r="Y169" s="2"/>
      <c r="Z169" s="7">
        <f t="shared" si="39"/>
        <v>0</v>
      </c>
    </row>
    <row r="170" spans="1:26" s="24" customFormat="1" hidden="1" outlineLevel="2" x14ac:dyDescent="0.25">
      <c r="A170" s="28"/>
      <c r="B170" s="11" t="str">
        <f>CONCATENATE("          ", "6117", " - ", "RETIREMENT STAFF HOURLY")</f>
        <v xml:space="preserve">          6117 - RETIREMENT STAFF HOURLY</v>
      </c>
      <c r="C170" s="11"/>
      <c r="D170" s="6">
        <v>222.97</v>
      </c>
      <c r="E170" s="2"/>
      <c r="F170" s="7">
        <f t="shared" si="32"/>
        <v>1.3926135209238351E-3</v>
      </c>
      <c r="G170" s="2"/>
      <c r="H170" s="6">
        <v>91.29</v>
      </c>
      <c r="I170" s="2"/>
      <c r="J170" s="7">
        <f t="shared" si="33"/>
        <v>9.0529611017000451E-5</v>
      </c>
      <c r="K170" s="2"/>
      <c r="L170" s="6">
        <f t="shared" si="34"/>
        <v>131.68</v>
      </c>
      <c r="M170" s="2"/>
      <c r="N170" s="7">
        <f t="shared" si="35"/>
        <v>1.4424361923540365</v>
      </c>
      <c r="O170" s="11"/>
      <c r="P170" s="6">
        <v>1060.74</v>
      </c>
      <c r="Q170" s="2"/>
      <c r="R170" s="7">
        <f t="shared" si="36"/>
        <v>4.5011519641716553E-4</v>
      </c>
      <c r="S170" s="2"/>
      <c r="T170" s="6">
        <v>552.63</v>
      </c>
      <c r="U170" s="2"/>
      <c r="V170" s="7">
        <f t="shared" si="37"/>
        <v>9.6295650113614091E-5</v>
      </c>
      <c r="W170" s="2"/>
      <c r="X170" s="6">
        <f t="shared" si="38"/>
        <v>508.11</v>
      </c>
      <c r="Y170" s="2"/>
      <c r="Z170" s="7">
        <f t="shared" si="39"/>
        <v>0.91943976982791387</v>
      </c>
    </row>
    <row r="171" spans="1:26" s="24" customFormat="1" hidden="1" outlineLevel="2" x14ac:dyDescent="0.25">
      <c r="A171" s="28"/>
      <c r="B171" s="11" t="str">
        <f>CONCATENATE("          ", "6118", " - ", "VACATION")</f>
        <v xml:space="preserve">          6118 - VACATION</v>
      </c>
      <c r="C171" s="11"/>
      <c r="D171" s="6">
        <v>7814.31</v>
      </c>
      <c r="E171" s="2"/>
      <c r="F171" s="7">
        <f t="shared" si="32"/>
        <v>4.8806179139302755E-2</v>
      </c>
      <c r="G171" s="2"/>
      <c r="H171" s="6">
        <v>8818.23</v>
      </c>
      <c r="I171" s="2"/>
      <c r="J171" s="7">
        <f t="shared" si="33"/>
        <v>8.7447796227236689E-3</v>
      </c>
      <c r="K171" s="2"/>
      <c r="L171" s="6">
        <f t="shared" si="34"/>
        <v>-1003.9199999999992</v>
      </c>
      <c r="M171" s="2"/>
      <c r="N171" s="7">
        <f t="shared" si="35"/>
        <v>-0.11384597589312132</v>
      </c>
      <c r="O171" s="11"/>
      <c r="P171" s="6">
        <v>24336.32</v>
      </c>
      <c r="Q171" s="2"/>
      <c r="R171" s="7">
        <f t="shared" si="36"/>
        <v>1.0326892034684272E-2</v>
      </c>
      <c r="S171" s="2"/>
      <c r="T171" s="6">
        <v>29763.279999999999</v>
      </c>
      <c r="U171" s="2"/>
      <c r="V171" s="7">
        <f t="shared" si="37"/>
        <v>5.1862446792854677E-3</v>
      </c>
      <c r="W171" s="2"/>
      <c r="X171" s="6">
        <f t="shared" si="38"/>
        <v>-5426.9599999999991</v>
      </c>
      <c r="Y171" s="2"/>
      <c r="Z171" s="7">
        <f t="shared" si="39"/>
        <v>-0.18233743055200904</v>
      </c>
    </row>
    <row r="172" spans="1:26" s="24" customFormat="1" hidden="1" outlineLevel="2" x14ac:dyDescent="0.25">
      <c r="A172" s="28"/>
      <c r="B172" s="11" t="str">
        <f>CONCATENATE("          ", "6119", " - ", "SICK LEAVE")</f>
        <v xml:space="preserve">          6119 - SICK LEAVE</v>
      </c>
      <c r="C172" s="11"/>
      <c r="D172" s="6">
        <v>5813.96</v>
      </c>
      <c r="E172" s="2"/>
      <c r="F172" s="7">
        <f t="shared" si="32"/>
        <v>3.6312505297171553E-2</v>
      </c>
      <c r="G172" s="2"/>
      <c r="H172" s="6">
        <v>6251.77</v>
      </c>
      <c r="I172" s="2"/>
      <c r="J172" s="7">
        <f t="shared" si="33"/>
        <v>6.1996966400235829E-3</v>
      </c>
      <c r="K172" s="2"/>
      <c r="L172" s="6">
        <f t="shared" si="34"/>
        <v>-437.8100000000004</v>
      </c>
      <c r="M172" s="2"/>
      <c r="N172" s="7">
        <f t="shared" si="35"/>
        <v>-7.0029767569824292E-2</v>
      </c>
      <c r="O172" s="11"/>
      <c r="P172" s="6">
        <v>17842.32</v>
      </c>
      <c r="Q172" s="2"/>
      <c r="R172" s="7">
        <f t="shared" si="36"/>
        <v>7.5712232699228091E-3</v>
      </c>
      <c r="S172" s="2"/>
      <c r="T172" s="6">
        <v>24522.31</v>
      </c>
      <c r="U172" s="2"/>
      <c r="V172" s="7">
        <f t="shared" si="37"/>
        <v>4.2730068648780921E-3</v>
      </c>
      <c r="W172" s="2"/>
      <c r="X172" s="6">
        <f t="shared" si="38"/>
        <v>-6679.9900000000016</v>
      </c>
      <c r="Y172" s="2"/>
      <c r="Z172" s="7">
        <f t="shared" si="39"/>
        <v>-0.27240459809862944</v>
      </c>
    </row>
    <row r="173" spans="1:26" s="24" customFormat="1" hidden="1" outlineLevel="2" x14ac:dyDescent="0.25">
      <c r="A173" s="28"/>
      <c r="B173" s="11" t="str">
        <f>CONCATENATE("          ", "6156", " - ", "EMPLOYEE MEALS")</f>
        <v xml:space="preserve">          6156 - EMPLOYEE MEALS</v>
      </c>
      <c r="C173" s="11"/>
      <c r="D173" s="6">
        <v>1908.24</v>
      </c>
      <c r="E173" s="2"/>
      <c r="F173" s="7">
        <f t="shared" si="32"/>
        <v>1.1918378370039465E-2</v>
      </c>
      <c r="G173" s="2"/>
      <c r="H173" s="6">
        <v>2835.57</v>
      </c>
      <c r="I173" s="2"/>
      <c r="J173" s="7">
        <f t="shared" si="33"/>
        <v>2.8119514635937775E-3</v>
      </c>
      <c r="K173" s="2"/>
      <c r="L173" s="6">
        <f t="shared" si="34"/>
        <v>-927.33000000000015</v>
      </c>
      <c r="M173" s="2"/>
      <c r="N173" s="7">
        <f t="shared" si="35"/>
        <v>-0.32703477607676767</v>
      </c>
      <c r="O173" s="11"/>
      <c r="P173" s="6">
        <v>6807.33</v>
      </c>
      <c r="Q173" s="2"/>
      <c r="R173" s="7">
        <f t="shared" si="36"/>
        <v>2.8886274487871328E-3</v>
      </c>
      <c r="S173" s="2"/>
      <c r="T173" s="6">
        <v>10486.19</v>
      </c>
      <c r="U173" s="2"/>
      <c r="V173" s="7">
        <f t="shared" si="37"/>
        <v>1.8272161903350869E-3</v>
      </c>
      <c r="W173" s="2"/>
      <c r="X173" s="6">
        <f t="shared" si="38"/>
        <v>-3678.8600000000006</v>
      </c>
      <c r="Y173" s="2"/>
      <c r="Z173" s="7">
        <f t="shared" si="39"/>
        <v>-0.35082904276958554</v>
      </c>
    </row>
    <row r="174" spans="1:26" s="29" customFormat="1" outlineLevel="1" collapsed="1" x14ac:dyDescent="0.25">
      <c r="A174" s="27"/>
      <c r="B174" s="14" t="str">
        <f>CONCATENATE("     ","*Payroll                                          ")</f>
        <v xml:space="preserve">     *Payroll                                          </v>
      </c>
      <c r="C174" s="14"/>
      <c r="D174" s="1">
        <f>SUM(OSRRefD22_1x_0)</f>
        <v>122794.75</v>
      </c>
      <c r="E174" s="1"/>
      <c r="F174" s="5">
        <f t="shared" ref="F174:F181" si="40">IF(D$12=0,0,D174/D$12)</f>
        <v>0.76694456271454503</v>
      </c>
      <c r="G174" s="1"/>
      <c r="H174" s="1">
        <f>SUM(OSRRefH22_1x_0)</f>
        <v>263833.62</v>
      </c>
      <c r="I174" s="1"/>
      <c r="J174" s="5">
        <f t="shared" ref="J174:J181" si="41">IF(H$12=0,0,H174/H$12)</f>
        <v>0.26163604986096073</v>
      </c>
      <c r="K174" s="1"/>
      <c r="L174" s="1">
        <f t="shared" ref="L174:L181" si="42">+D174-H174</f>
        <v>-141038.87</v>
      </c>
      <c r="M174" s="1"/>
      <c r="N174" s="5">
        <f t="shared" ref="N174:N181" si="43">IF(H174=0,0,L174/H174)</f>
        <v>-0.53457504771378261</v>
      </c>
      <c r="O174" s="14"/>
      <c r="P174" s="1">
        <f>SUM(OSRRefP22_1x_0)</f>
        <v>555995.80999999994</v>
      </c>
      <c r="Q174" s="1"/>
      <c r="R174" s="5">
        <f t="shared" ref="R174:R181" si="44">IF(P$12=0,0,P174/P$12)</f>
        <v>0.23593167338393106</v>
      </c>
      <c r="S174" s="1"/>
      <c r="T174" s="1">
        <f>SUM(OSRRefT22_1x_0)</f>
        <v>971669.97</v>
      </c>
      <c r="U174" s="1"/>
      <c r="V174" s="5">
        <f t="shared" ref="V174:V181" si="45">IF(T$12=0,0,T174/T$12)</f>
        <v>0.16931326829348009</v>
      </c>
      <c r="W174" s="1"/>
      <c r="X174" s="1">
        <f t="shared" ref="X174:X181" si="46">+P174-T174</f>
        <v>-415674.16000000003</v>
      </c>
      <c r="Y174" s="1"/>
      <c r="Z174" s="5">
        <f t="shared" ref="Z174:Z181" si="47">IF(T174=0,0,X174/T174)</f>
        <v>-0.42779356451656114</v>
      </c>
    </row>
    <row r="175" spans="1:26" s="24" customFormat="1" hidden="1" outlineLevel="2" x14ac:dyDescent="0.25">
      <c r="A175" s="28"/>
      <c r="B175" s="11" t="str">
        <f>CONCATENATE("          ", "6001", " - ", "ADMINISTRATIVE SALARIES")</f>
        <v xml:space="preserve">          6001 - ADMINISTRATIVE SALARIES</v>
      </c>
      <c r="C175" s="11"/>
      <c r="D175" s="6">
        <v>4205.17</v>
      </c>
      <c r="E175" s="2"/>
      <c r="F175" s="7">
        <f t="shared" si="40"/>
        <v>2.626441494274245E-2</v>
      </c>
      <c r="G175" s="2"/>
      <c r="H175" s="6">
        <v>12324.99</v>
      </c>
      <c r="I175" s="2"/>
      <c r="J175" s="7">
        <f t="shared" si="41"/>
        <v>1.2222330490616938E-2</v>
      </c>
      <c r="K175" s="2"/>
      <c r="L175" s="6">
        <f t="shared" si="42"/>
        <v>-8119.82</v>
      </c>
      <c r="M175" s="2"/>
      <c r="N175" s="7">
        <f t="shared" si="43"/>
        <v>-0.65880945948029168</v>
      </c>
      <c r="O175" s="11"/>
      <c r="P175" s="6">
        <v>17142.5</v>
      </c>
      <c r="Q175" s="2"/>
      <c r="R175" s="7">
        <f t="shared" si="44"/>
        <v>7.2742611333420628E-3</v>
      </c>
      <c r="S175" s="2"/>
      <c r="T175" s="6">
        <v>46083.689999999995</v>
      </c>
      <c r="U175" s="2"/>
      <c r="V175" s="7">
        <f t="shared" si="45"/>
        <v>8.0300723597782533E-3</v>
      </c>
      <c r="W175" s="2"/>
      <c r="X175" s="6">
        <f t="shared" si="46"/>
        <v>-28941.189999999995</v>
      </c>
      <c r="Y175" s="2"/>
      <c r="Z175" s="7">
        <f t="shared" si="47"/>
        <v>-0.6280137289353348</v>
      </c>
    </row>
    <row r="176" spans="1:26" s="24" customFormat="1" hidden="1" outlineLevel="2" x14ac:dyDescent="0.25">
      <c r="A176" s="28"/>
      <c r="B176" s="11" t="str">
        <f>CONCATENATE("          ", "6002", " - ", "STAFF SALARIES")</f>
        <v xml:space="preserve">          6002 - STAFF SALARIES</v>
      </c>
      <c r="C176" s="11"/>
      <c r="D176" s="6">
        <v>60359.320000000007</v>
      </c>
      <c r="E176" s="2"/>
      <c r="F176" s="7">
        <f t="shared" si="40"/>
        <v>0.37698885565667345</v>
      </c>
      <c r="G176" s="2"/>
      <c r="H176" s="6">
        <v>85017.090000000011</v>
      </c>
      <c r="I176" s="2"/>
      <c r="J176" s="7">
        <f t="shared" si="41"/>
        <v>8.4308950460042928E-2</v>
      </c>
      <c r="K176" s="2"/>
      <c r="L176" s="6">
        <f t="shared" si="42"/>
        <v>-24657.770000000004</v>
      </c>
      <c r="M176" s="2"/>
      <c r="N176" s="7">
        <f t="shared" si="43"/>
        <v>-0.29003309805122712</v>
      </c>
      <c r="O176" s="11"/>
      <c r="P176" s="6">
        <v>262633.59000000003</v>
      </c>
      <c r="Q176" s="2"/>
      <c r="R176" s="7">
        <f t="shared" si="44"/>
        <v>0.11144613189716172</v>
      </c>
      <c r="S176" s="2"/>
      <c r="T176" s="6">
        <v>316110.94</v>
      </c>
      <c r="U176" s="2"/>
      <c r="V176" s="7">
        <f t="shared" si="45"/>
        <v>5.5082258428470511E-2</v>
      </c>
      <c r="W176" s="2"/>
      <c r="X176" s="6">
        <f t="shared" si="46"/>
        <v>-53477.349999999977</v>
      </c>
      <c r="Y176" s="2"/>
      <c r="Z176" s="7">
        <f t="shared" si="47"/>
        <v>-0.16917272777715309</v>
      </c>
    </row>
    <row r="177" spans="1:26" s="24" customFormat="1" hidden="1" outlineLevel="2" x14ac:dyDescent="0.25">
      <c r="A177" s="28"/>
      <c r="B177" s="11" t="str">
        <f>CONCATENATE("          ", "6004", " - ", "STAFF HOURLY")</f>
        <v xml:space="preserve">          6004 - STAFF HOURLY</v>
      </c>
      <c r="C177" s="11"/>
      <c r="D177" s="6">
        <v>18098.75</v>
      </c>
      <c r="E177" s="2"/>
      <c r="F177" s="7">
        <f t="shared" si="40"/>
        <v>0.11304015769753896</v>
      </c>
      <c r="G177" s="2"/>
      <c r="H177" s="6">
        <v>4439.95</v>
      </c>
      <c r="I177" s="2"/>
      <c r="J177" s="7">
        <f t="shared" si="41"/>
        <v>4.4029679749691209E-3</v>
      </c>
      <c r="K177" s="2"/>
      <c r="L177" s="6">
        <f t="shared" si="42"/>
        <v>13658.8</v>
      </c>
      <c r="M177" s="2"/>
      <c r="N177" s="7">
        <f t="shared" si="43"/>
        <v>3.0763409497854703</v>
      </c>
      <c r="O177" s="11"/>
      <c r="P177" s="6">
        <v>63576.800000000003</v>
      </c>
      <c r="Q177" s="2"/>
      <c r="R177" s="7">
        <f t="shared" si="44"/>
        <v>2.6978226351014246E-2</v>
      </c>
      <c r="S177" s="2"/>
      <c r="T177" s="6">
        <v>10796.8</v>
      </c>
      <c r="U177" s="2"/>
      <c r="V177" s="7">
        <f t="shared" si="45"/>
        <v>1.8813399112365752E-3</v>
      </c>
      <c r="W177" s="2"/>
      <c r="X177" s="6">
        <f t="shared" si="46"/>
        <v>52780</v>
      </c>
      <c r="Y177" s="2"/>
      <c r="Z177" s="7">
        <f t="shared" si="47"/>
        <v>4.8884854771784232</v>
      </c>
    </row>
    <row r="178" spans="1:26" s="24" customFormat="1" hidden="1" outlineLevel="2" x14ac:dyDescent="0.25">
      <c r="A178" s="28"/>
      <c r="B178" s="11" t="str">
        <f>CONCATENATE("          ", "6005", " - ", "TEMPORARY WAGES-HOURLY")</f>
        <v xml:space="preserve">          6005 - TEMPORARY WAGES-HOURLY</v>
      </c>
      <c r="C178" s="11"/>
      <c r="D178" s="6">
        <v>19984.259999999998</v>
      </c>
      <c r="E178" s="2"/>
      <c r="F178" s="7">
        <f t="shared" si="40"/>
        <v>0.12481657030837046</v>
      </c>
      <c r="G178" s="2"/>
      <c r="H178" s="6">
        <v>34724.25</v>
      </c>
      <c r="I178" s="2"/>
      <c r="J178" s="7">
        <f t="shared" si="41"/>
        <v>3.4435018571114882E-2</v>
      </c>
      <c r="K178" s="2"/>
      <c r="L178" s="6">
        <f t="shared" si="42"/>
        <v>-14739.990000000002</v>
      </c>
      <c r="M178" s="2"/>
      <c r="N178" s="7">
        <f t="shared" si="43"/>
        <v>-0.42448692196375737</v>
      </c>
      <c r="O178" s="11"/>
      <c r="P178" s="6">
        <v>82500.86</v>
      </c>
      <c r="Q178" s="2"/>
      <c r="R178" s="7">
        <f t="shared" si="44"/>
        <v>3.5008475972891639E-2</v>
      </c>
      <c r="S178" s="2"/>
      <c r="T178" s="6">
        <v>101931.33</v>
      </c>
      <c r="U178" s="2"/>
      <c r="V178" s="7">
        <f t="shared" si="45"/>
        <v>1.7761510756374672E-2</v>
      </c>
      <c r="W178" s="2"/>
      <c r="X178" s="6">
        <f t="shared" si="46"/>
        <v>-19430.47</v>
      </c>
      <c r="Y178" s="2"/>
      <c r="Z178" s="7">
        <f t="shared" si="47"/>
        <v>-0.19062313814604401</v>
      </c>
    </row>
    <row r="179" spans="1:26" s="24" customFormat="1" hidden="1" outlineLevel="2" x14ac:dyDescent="0.25">
      <c r="A179" s="28"/>
      <c r="B179" s="11" t="str">
        <f>CONCATENATE("          ", "6006", " - ", "TEMPORARY PART TIME")</f>
        <v xml:space="preserve">          6006 - TEMPORARY PART TIME</v>
      </c>
      <c r="C179" s="11"/>
      <c r="D179" s="6">
        <v>1802.76</v>
      </c>
      <c r="E179" s="2"/>
      <c r="F179" s="7">
        <f t="shared" si="40"/>
        <v>1.1259577301792409E-2</v>
      </c>
      <c r="G179" s="2"/>
      <c r="H179" s="6">
        <v>7667.09</v>
      </c>
      <c r="I179" s="2"/>
      <c r="J179" s="7">
        <f t="shared" si="41"/>
        <v>7.603227903739007E-3</v>
      </c>
      <c r="K179" s="2"/>
      <c r="L179" s="6">
        <f t="shared" si="42"/>
        <v>-5864.33</v>
      </c>
      <c r="M179" s="2"/>
      <c r="N179" s="7">
        <f t="shared" si="43"/>
        <v>-0.76487037454888362</v>
      </c>
      <c r="O179" s="11"/>
      <c r="P179" s="6">
        <v>7507.17</v>
      </c>
      <c r="Q179" s="2"/>
      <c r="R179" s="7">
        <f t="shared" si="44"/>
        <v>3.1855980721826769E-3</v>
      </c>
      <c r="S179" s="2"/>
      <c r="T179" s="6">
        <v>25227.070000000003</v>
      </c>
      <c r="U179" s="2"/>
      <c r="V179" s="7">
        <f t="shared" si="45"/>
        <v>4.3958111324243184E-3</v>
      </c>
      <c r="W179" s="2"/>
      <c r="X179" s="6">
        <f t="shared" si="46"/>
        <v>-17719.900000000001</v>
      </c>
      <c r="Y179" s="2"/>
      <c r="Z179" s="7">
        <f t="shared" si="47"/>
        <v>-0.70241609509150282</v>
      </c>
    </row>
    <row r="180" spans="1:26" s="24" customFormat="1" hidden="1" outlineLevel="2" x14ac:dyDescent="0.25">
      <c r="A180" s="28"/>
      <c r="B180" s="11" t="str">
        <f>CONCATENATE("          ", "6007", " - ", "STUDENT HOURLY")</f>
        <v xml:space="preserve">          6007 - STUDENT HOURLY</v>
      </c>
      <c r="C180" s="11"/>
      <c r="D180" s="6">
        <v>16868.47</v>
      </c>
      <c r="E180" s="2"/>
      <c r="F180" s="7">
        <f t="shared" si="40"/>
        <v>0.10535614387270972</v>
      </c>
      <c r="G180" s="2"/>
      <c r="H180" s="6">
        <v>116993.25</v>
      </c>
      <c r="I180" s="2"/>
      <c r="J180" s="7">
        <f t="shared" si="41"/>
        <v>0.11601876891351393</v>
      </c>
      <c r="K180" s="2"/>
      <c r="L180" s="6">
        <f t="shared" si="42"/>
        <v>-100124.78</v>
      </c>
      <c r="M180" s="2"/>
      <c r="N180" s="7">
        <f t="shared" si="43"/>
        <v>-0.85581672446914669</v>
      </c>
      <c r="O180" s="11"/>
      <c r="P180" s="6">
        <v>119670.17</v>
      </c>
      <c r="Q180" s="2"/>
      <c r="R180" s="7">
        <f t="shared" si="44"/>
        <v>5.0780928479010494E-2</v>
      </c>
      <c r="S180" s="2"/>
      <c r="T180" s="6">
        <v>459941.35</v>
      </c>
      <c r="U180" s="2"/>
      <c r="V180" s="7">
        <f t="shared" si="45"/>
        <v>8.0144674216715187E-2</v>
      </c>
      <c r="W180" s="2"/>
      <c r="X180" s="6">
        <f t="shared" si="46"/>
        <v>-340271.18</v>
      </c>
      <c r="Y180" s="2"/>
      <c r="Z180" s="7">
        <f t="shared" si="47"/>
        <v>-0.7398142828428016</v>
      </c>
    </row>
    <row r="181" spans="1:26" s="24" customFormat="1" hidden="1" outlineLevel="2" x14ac:dyDescent="0.25">
      <c r="A181" s="28"/>
      <c r="B181" s="11" t="str">
        <f>CONCATENATE("          ", "6008", " - ", "STUDENT HOURLY-FICA EXEMPT")</f>
        <v xml:space="preserve">          6008 - STUDENT HOURLY-FICA EXEMPT</v>
      </c>
      <c r="C181" s="11"/>
      <c r="D181" s="6">
        <v>1476.02</v>
      </c>
      <c r="E181" s="2"/>
      <c r="F181" s="7">
        <f t="shared" si="40"/>
        <v>9.218842934717671E-3</v>
      </c>
      <c r="G181" s="2"/>
      <c r="H181" s="6">
        <v>2667</v>
      </c>
      <c r="I181" s="2"/>
      <c r="J181" s="7">
        <f t="shared" si="41"/>
        <v>2.644785546963963E-3</v>
      </c>
      <c r="K181" s="2"/>
      <c r="L181" s="6">
        <f t="shared" si="42"/>
        <v>-1190.98</v>
      </c>
      <c r="M181" s="2"/>
      <c r="N181" s="7">
        <f t="shared" si="43"/>
        <v>-0.44656167979002626</v>
      </c>
      <c r="O181" s="11"/>
      <c r="P181" s="6">
        <v>2964.72</v>
      </c>
      <c r="Q181" s="2"/>
      <c r="R181" s="7">
        <f t="shared" si="44"/>
        <v>1.2580514783282414E-3</v>
      </c>
      <c r="S181" s="2"/>
      <c r="T181" s="6">
        <v>11578.79</v>
      </c>
      <c r="U181" s="2"/>
      <c r="V181" s="7">
        <f t="shared" si="45"/>
        <v>2.0176014884805637E-3</v>
      </c>
      <c r="W181" s="2"/>
      <c r="X181" s="6">
        <f t="shared" si="46"/>
        <v>-8614.0700000000015</v>
      </c>
      <c r="Y181" s="2"/>
      <c r="Z181" s="7">
        <f t="shared" si="47"/>
        <v>-0.74395252008197754</v>
      </c>
    </row>
    <row r="182" spans="1:26" s="29" customFormat="1" outlineLevel="1" collapsed="1" x14ac:dyDescent="0.25">
      <c r="A182" s="27"/>
      <c r="B182" s="14" t="str">
        <f>CONCATENATE("     ","Advertising/Promo                                 ")</f>
        <v xml:space="preserve">     Advertising/Promo                                 </v>
      </c>
      <c r="C182" s="14"/>
      <c r="D182" s="1">
        <f>SUM(OSRRefD22_2x_0)</f>
        <v>1316.16</v>
      </c>
      <c r="E182" s="1"/>
      <c r="F182" s="5">
        <f t="shared" ref="F182:F186" si="48">IF(D$12=0,0,D182/D$12)</f>
        <v>8.2203983123250446E-3</v>
      </c>
      <c r="G182" s="1"/>
      <c r="H182" s="1">
        <f>SUM(OSRRefH22_2x_0)</f>
        <v>11193.54</v>
      </c>
      <c r="I182" s="1"/>
      <c r="J182" s="5">
        <f t="shared" ref="J182:J186" si="49">IF(H$12=0,0,H182/H$12)</f>
        <v>1.1100304766165353E-2</v>
      </c>
      <c r="K182" s="1"/>
      <c r="L182" s="1">
        <f t="shared" ref="L182:L186" si="50">+D182-H182</f>
        <v>-9877.380000000001</v>
      </c>
      <c r="M182" s="1"/>
      <c r="N182" s="5">
        <f t="shared" ref="N182:N186" si="51">IF(H182=0,0,L182/H182)</f>
        <v>-0.88241789460706799</v>
      </c>
      <c r="O182" s="14"/>
      <c r="P182" s="1">
        <f>SUM(OSRRefP22_2x_0)</f>
        <v>13709.75</v>
      </c>
      <c r="Q182" s="1"/>
      <c r="R182" s="5">
        <f t="shared" ref="R182:R186" si="52">IF(P$12=0,0,P182/P$12)</f>
        <v>5.817605458529173E-3</v>
      </c>
      <c r="S182" s="1"/>
      <c r="T182" s="1">
        <f>SUM(OSRRefT22_2x_0)</f>
        <v>18819.740000000002</v>
      </c>
      <c r="U182" s="1"/>
      <c r="V182" s="5">
        <f t="shared" ref="V182:V186" si="53">IF(T$12=0,0,T182/T$12)</f>
        <v>3.2793353568738356E-3</v>
      </c>
      <c r="W182" s="1"/>
      <c r="X182" s="1">
        <f t="shared" ref="X182:X186" si="54">+P182-T182</f>
        <v>-5109.9900000000016</v>
      </c>
      <c r="Y182" s="1"/>
      <c r="Z182" s="5">
        <f t="shared" ref="Z182:Z186" si="55">IF(T182=0,0,X182/T182)</f>
        <v>-0.27152287969971961</v>
      </c>
    </row>
    <row r="183" spans="1:26" s="24" customFormat="1" hidden="1" outlineLevel="2" x14ac:dyDescent="0.25">
      <c r="A183" s="28"/>
      <c r="B183" s="11" t="str">
        <f>CONCATENATE("          ", "6362", " - ", "ADVERTISING EXPENSE")</f>
        <v xml:space="preserve">          6362 - ADVERTISING EXPENSE</v>
      </c>
      <c r="C183" s="11"/>
      <c r="D183" s="6">
        <v>1316.16</v>
      </c>
      <c r="E183" s="2"/>
      <c r="F183" s="7">
        <f t="shared" si="48"/>
        <v>8.2203983123250446E-3</v>
      </c>
      <c r="G183" s="2"/>
      <c r="H183" s="6">
        <v>11193.54</v>
      </c>
      <c r="I183" s="2"/>
      <c r="J183" s="7">
        <f t="shared" si="49"/>
        <v>1.1100304766165353E-2</v>
      </c>
      <c r="K183" s="2"/>
      <c r="L183" s="6">
        <f t="shared" si="50"/>
        <v>-9877.380000000001</v>
      </c>
      <c r="M183" s="2"/>
      <c r="N183" s="7">
        <f t="shared" si="51"/>
        <v>-0.88241789460706799</v>
      </c>
      <c r="O183" s="11"/>
      <c r="P183" s="6">
        <v>13709.75</v>
      </c>
      <c r="Q183" s="2"/>
      <c r="R183" s="7">
        <f t="shared" si="52"/>
        <v>5.817605458529173E-3</v>
      </c>
      <c r="S183" s="2"/>
      <c r="T183" s="6">
        <v>18819.740000000002</v>
      </c>
      <c r="U183" s="2"/>
      <c r="V183" s="7">
        <f t="shared" si="53"/>
        <v>3.2793353568738356E-3</v>
      </c>
      <c r="W183" s="2"/>
      <c r="X183" s="6">
        <f t="shared" si="54"/>
        <v>-5109.9900000000016</v>
      </c>
      <c r="Y183" s="2"/>
      <c r="Z183" s="7">
        <f t="shared" si="55"/>
        <v>-0.27152287969971961</v>
      </c>
    </row>
    <row r="184" spans="1:26" s="29" customFormat="1" outlineLevel="1" collapsed="1" x14ac:dyDescent="0.25">
      <c r="A184" s="27"/>
      <c r="B184" s="14" t="str">
        <f>CONCATENATE("     ","Bad Debts/Over/Short                              ")</f>
        <v xml:space="preserve">     Bad Debts/Over/Short                              </v>
      </c>
      <c r="C184" s="14"/>
      <c r="D184" s="1">
        <f>SUM(OSRRefD22_3x_0)</f>
        <v>-29.45</v>
      </c>
      <c r="E184" s="1"/>
      <c r="F184" s="5">
        <f t="shared" si="48"/>
        <v>-1.8393715832267546E-4</v>
      </c>
      <c r="G184" s="1"/>
      <c r="H184" s="1">
        <f>SUM(OSRRefH22_3x_0)</f>
        <v>33.39</v>
      </c>
      <c r="I184" s="1"/>
      <c r="J184" s="5">
        <f t="shared" si="49"/>
        <v>3.3111882044666935E-5</v>
      </c>
      <c r="K184" s="1"/>
      <c r="L184" s="1">
        <f t="shared" si="50"/>
        <v>-62.84</v>
      </c>
      <c r="M184" s="1"/>
      <c r="N184" s="5">
        <f t="shared" si="51"/>
        <v>-1.8820005989817312</v>
      </c>
      <c r="O184" s="14"/>
      <c r="P184" s="1">
        <f>SUM(OSRRefP22_3x_0)</f>
        <v>53.87</v>
      </c>
      <c r="Q184" s="1"/>
      <c r="R184" s="5">
        <f t="shared" si="52"/>
        <v>2.2859235657175844E-5</v>
      </c>
      <c r="S184" s="1"/>
      <c r="T184" s="1">
        <f>SUM(OSRRefT22_3x_0)</f>
        <v>-268.59999999999997</v>
      </c>
      <c r="U184" s="1"/>
      <c r="V184" s="5">
        <f t="shared" si="53"/>
        <v>-4.6803488085186727E-5</v>
      </c>
      <c r="W184" s="1"/>
      <c r="X184" s="1">
        <f t="shared" si="54"/>
        <v>322.46999999999997</v>
      </c>
      <c r="Y184" s="1"/>
      <c r="Z184" s="5">
        <f t="shared" si="55"/>
        <v>-1.2005584512285927</v>
      </c>
    </row>
    <row r="185" spans="1:26" s="24" customFormat="1" hidden="1" outlineLevel="2" x14ac:dyDescent="0.25">
      <c r="A185" s="28"/>
      <c r="B185" s="11" t="str">
        <f>CONCATENATE("          ", "6272", " - ", "CASH (OVER/SHORT)")</f>
        <v xml:space="preserve">          6272 - CASH (OVER/SHORT)</v>
      </c>
      <c r="C185" s="11"/>
      <c r="D185" s="6">
        <v>-29.45</v>
      </c>
      <c r="E185" s="2"/>
      <c r="F185" s="7">
        <f t="shared" si="48"/>
        <v>-1.8393715832267546E-4</v>
      </c>
      <c r="G185" s="2"/>
      <c r="H185" s="6">
        <v>-11.41</v>
      </c>
      <c r="I185" s="2"/>
      <c r="J185" s="7">
        <f t="shared" si="49"/>
        <v>-1.1314961788848451E-5</v>
      </c>
      <c r="K185" s="2"/>
      <c r="L185" s="6">
        <f t="shared" si="50"/>
        <v>-18.04</v>
      </c>
      <c r="M185" s="2"/>
      <c r="N185" s="7">
        <f t="shared" si="51"/>
        <v>1.5810692375109552</v>
      </c>
      <c r="O185" s="11"/>
      <c r="P185" s="6">
        <v>53.87</v>
      </c>
      <c r="Q185" s="2"/>
      <c r="R185" s="7">
        <f t="shared" si="52"/>
        <v>2.2859235657175844E-5</v>
      </c>
      <c r="S185" s="2"/>
      <c r="T185" s="6">
        <v>-313.39999999999998</v>
      </c>
      <c r="U185" s="2"/>
      <c r="V185" s="7">
        <f t="shared" si="53"/>
        <v>-5.4609877758367542E-5</v>
      </c>
      <c r="W185" s="2"/>
      <c r="X185" s="6">
        <f t="shared" si="54"/>
        <v>367.27</v>
      </c>
      <c r="Y185" s="2"/>
      <c r="Z185" s="7">
        <f t="shared" si="55"/>
        <v>-1.1718889597957882</v>
      </c>
    </row>
    <row r="186" spans="1:26" s="24" customFormat="1" hidden="1" outlineLevel="2" x14ac:dyDescent="0.25">
      <c r="A186" s="28"/>
      <c r="B186" s="11" t="str">
        <f>CONCATENATE("          ", "6342", " - ", "BAD DEBT")</f>
        <v xml:space="preserve">          6342 - BAD DEBT</v>
      </c>
      <c r="C186" s="11"/>
      <c r="D186" s="6"/>
      <c r="E186" s="2"/>
      <c r="F186" s="7">
        <f t="shared" si="48"/>
        <v>0</v>
      </c>
      <c r="G186" s="2"/>
      <c r="H186" s="6">
        <v>44.8</v>
      </c>
      <c r="I186" s="2"/>
      <c r="J186" s="7">
        <f t="shared" si="49"/>
        <v>4.4426843833515383E-5</v>
      </c>
      <c r="K186" s="2"/>
      <c r="L186" s="6">
        <f t="shared" si="50"/>
        <v>-44.8</v>
      </c>
      <c r="M186" s="2"/>
      <c r="N186" s="7">
        <f t="shared" si="51"/>
        <v>-1</v>
      </c>
      <c r="O186" s="11"/>
      <c r="P186" s="6"/>
      <c r="Q186" s="2"/>
      <c r="R186" s="7">
        <f t="shared" si="52"/>
        <v>0</v>
      </c>
      <c r="S186" s="2"/>
      <c r="T186" s="6">
        <v>44.8</v>
      </c>
      <c r="U186" s="2"/>
      <c r="V186" s="7">
        <f t="shared" si="53"/>
        <v>7.8063896731808107E-6</v>
      </c>
      <c r="W186" s="2"/>
      <c r="X186" s="6">
        <f t="shared" si="54"/>
        <v>-44.8</v>
      </c>
      <c r="Y186" s="2"/>
      <c r="Z186" s="7">
        <f t="shared" si="55"/>
        <v>-1</v>
      </c>
    </row>
    <row r="187" spans="1:26" s="29" customFormat="1" outlineLevel="1" collapsed="1" x14ac:dyDescent="0.25">
      <c r="A187" s="27"/>
      <c r="B187" s="14" t="str">
        <f>CONCATENATE("     ","Bank/card Fees                                    ")</f>
        <v xml:space="preserve">     Bank/card Fees                                    </v>
      </c>
      <c r="C187" s="14"/>
      <c r="D187" s="1">
        <f>SUM(OSRRefD22_4x_0)</f>
        <v>5096.04</v>
      </c>
      <c r="E187" s="1"/>
      <c r="F187" s="5">
        <f t="shared" ref="F187:F191" si="56">IF(D$12=0,0,D187/D$12)</f>
        <v>3.1828560825082751E-2</v>
      </c>
      <c r="G187" s="1"/>
      <c r="H187" s="1">
        <f>SUM(OSRRefH22_4x_0)</f>
        <v>28991.26</v>
      </c>
      <c r="I187" s="1"/>
      <c r="J187" s="5">
        <f t="shared" ref="J187:J191" si="57">IF(H$12=0,0,H187/H$12)</f>
        <v>2.8749780816000919E-2</v>
      </c>
      <c r="K187" s="1"/>
      <c r="L187" s="1">
        <f t="shared" ref="L187:L191" si="58">+D187-H187</f>
        <v>-23895.219999999998</v>
      </c>
      <c r="M187" s="1"/>
      <c r="N187" s="5">
        <f t="shared" ref="N187:N191" si="59">IF(H187=0,0,L187/H187)</f>
        <v>-0.82422150675755379</v>
      </c>
      <c r="O187" s="14"/>
      <c r="P187" s="1">
        <f>SUM(OSRRefP22_4x_0)</f>
        <v>39573.990000000005</v>
      </c>
      <c r="Q187" s="1"/>
      <c r="R187" s="5">
        <f t="shared" ref="R187:R191" si="60">IF(P$12=0,0,P187/P$12)</f>
        <v>1.6792856196486364E-2</v>
      </c>
      <c r="S187" s="1"/>
      <c r="T187" s="1">
        <f>SUM(OSRRefT22_4x_0)</f>
        <v>109108.37000000001</v>
      </c>
      <c r="U187" s="1"/>
      <c r="V187" s="5">
        <f t="shared" ref="V187:V191" si="61">IF(T$12=0,0,T187/T$12)</f>
        <v>1.9012108321999802E-2</v>
      </c>
      <c r="W187" s="1"/>
      <c r="X187" s="1">
        <f t="shared" ref="X187:X191" si="62">+P187-T187</f>
        <v>-69534.38</v>
      </c>
      <c r="Y187" s="1"/>
      <c r="Z187" s="5">
        <f t="shared" ref="Z187:Z191" si="63">IF(T187=0,0,X187/T187)</f>
        <v>-0.63729647872111006</v>
      </c>
    </row>
    <row r="188" spans="1:26" s="24" customFormat="1" hidden="1" outlineLevel="2" x14ac:dyDescent="0.25">
      <c r="A188" s="28"/>
      <c r="B188" s="11" t="str">
        <f>CONCATENATE("          ", "6381", " - ", "BANK/CREDIT CARD FEES")</f>
        <v xml:space="preserve">          6381 - BANK/CREDIT CARD FEES</v>
      </c>
      <c r="C188" s="11"/>
      <c r="D188" s="6">
        <v>5096.04</v>
      </c>
      <c r="E188" s="2"/>
      <c r="F188" s="7">
        <f t="shared" si="56"/>
        <v>3.1828560825082751E-2</v>
      </c>
      <c r="G188" s="2"/>
      <c r="H188" s="6">
        <v>28991.26</v>
      </c>
      <c r="I188" s="2"/>
      <c r="J188" s="7">
        <f t="shared" si="57"/>
        <v>2.8749780816000919E-2</v>
      </c>
      <c r="K188" s="2"/>
      <c r="L188" s="6">
        <f t="shared" si="58"/>
        <v>-23895.219999999998</v>
      </c>
      <c r="M188" s="2"/>
      <c r="N188" s="7">
        <f t="shared" si="59"/>
        <v>-0.82422150675755379</v>
      </c>
      <c r="O188" s="11"/>
      <c r="P188" s="6">
        <v>39573.990000000005</v>
      </c>
      <c r="Q188" s="2"/>
      <c r="R188" s="7">
        <f t="shared" si="60"/>
        <v>1.6792856196486364E-2</v>
      </c>
      <c r="S188" s="2"/>
      <c r="T188" s="6">
        <v>109108.37000000001</v>
      </c>
      <c r="U188" s="2"/>
      <c r="V188" s="7">
        <f t="shared" si="61"/>
        <v>1.9012108321999802E-2</v>
      </c>
      <c r="W188" s="2"/>
      <c r="X188" s="6">
        <f t="shared" si="62"/>
        <v>-69534.38</v>
      </c>
      <c r="Y188" s="2"/>
      <c r="Z188" s="7">
        <f t="shared" si="63"/>
        <v>-0.63729647872111006</v>
      </c>
    </row>
    <row r="189" spans="1:26" s="29" customFormat="1" outlineLevel="1" collapsed="1" x14ac:dyDescent="0.25">
      <c r="A189" s="27"/>
      <c r="B189" s="14" t="str">
        <f>CONCATENATE("     ","Depreciation                                      ")</f>
        <v xml:space="preserve">     Depreciation                                      </v>
      </c>
      <c r="C189" s="14"/>
      <c r="D189" s="1">
        <f>SUM(OSRRefD22_5x_0)</f>
        <v>39999.31</v>
      </c>
      <c r="E189" s="1"/>
      <c r="F189" s="5">
        <f t="shared" si="56"/>
        <v>0.24982544707191087</v>
      </c>
      <c r="G189" s="1"/>
      <c r="H189" s="1">
        <f>SUM(OSRRefH22_5x_0)</f>
        <v>38010.910000000003</v>
      </c>
      <c r="I189" s="1"/>
      <c r="J189" s="5">
        <f t="shared" si="57"/>
        <v>3.7694302735263585E-2</v>
      </c>
      <c r="K189" s="1"/>
      <c r="L189" s="1">
        <f t="shared" si="58"/>
        <v>1988.3999999999942</v>
      </c>
      <c r="M189" s="1"/>
      <c r="N189" s="5">
        <f t="shared" si="59"/>
        <v>5.231129694079921E-2</v>
      </c>
      <c r="O189" s="14"/>
      <c r="P189" s="1">
        <f>SUM(OSRRefP22_5x_0)</f>
        <v>160028.53000000003</v>
      </c>
      <c r="Q189" s="1"/>
      <c r="R189" s="5">
        <f t="shared" si="60"/>
        <v>6.7906624821634218E-2</v>
      </c>
      <c r="S189" s="1"/>
      <c r="T189" s="1">
        <f>SUM(OSRRefT22_5x_0)</f>
        <v>152043.64000000001</v>
      </c>
      <c r="U189" s="1"/>
      <c r="V189" s="5">
        <f t="shared" si="61"/>
        <v>2.6493569222518325E-2</v>
      </c>
      <c r="W189" s="1"/>
      <c r="X189" s="1">
        <f t="shared" si="62"/>
        <v>7984.890000000014</v>
      </c>
      <c r="Y189" s="1"/>
      <c r="Z189" s="5">
        <f t="shared" si="63"/>
        <v>5.2517093118791505E-2</v>
      </c>
    </row>
    <row r="190" spans="1:26" s="24" customFormat="1" hidden="1" outlineLevel="2" x14ac:dyDescent="0.25">
      <c r="A190" s="28"/>
      <c r="B190" s="11" t="str">
        <f>CONCATENATE("          ", "6321", " - ", "BUILDING DEPRECIATION")</f>
        <v xml:space="preserve">          6321 - BUILDING DEPRECIATION</v>
      </c>
      <c r="C190" s="11"/>
      <c r="D190" s="6">
        <v>21477.030000000002</v>
      </c>
      <c r="E190" s="2"/>
      <c r="F190" s="7">
        <f t="shared" si="56"/>
        <v>0.13414002945367914</v>
      </c>
      <c r="G190" s="2"/>
      <c r="H190" s="6">
        <v>21477.030000000002</v>
      </c>
      <c r="I190" s="2"/>
      <c r="J190" s="7">
        <f t="shared" si="57"/>
        <v>2.1298139683431364E-2</v>
      </c>
      <c r="K190" s="2"/>
      <c r="L190" s="6">
        <f t="shared" si="58"/>
        <v>0</v>
      </c>
      <c r="M190" s="2"/>
      <c r="N190" s="7">
        <f t="shared" si="59"/>
        <v>0</v>
      </c>
      <c r="O190" s="11"/>
      <c r="P190" s="6">
        <v>85908.12000000001</v>
      </c>
      <c r="Q190" s="2"/>
      <c r="R190" s="7">
        <f t="shared" si="60"/>
        <v>3.6454315202245069E-2</v>
      </c>
      <c r="S190" s="2"/>
      <c r="T190" s="6">
        <v>85908.12000000001</v>
      </c>
      <c r="U190" s="2"/>
      <c r="V190" s="7">
        <f t="shared" si="61"/>
        <v>1.4969470107374507E-2</v>
      </c>
      <c r="W190" s="2"/>
      <c r="X190" s="6">
        <f t="shared" si="62"/>
        <v>0</v>
      </c>
      <c r="Y190" s="2"/>
      <c r="Z190" s="7">
        <f t="shared" si="63"/>
        <v>0</v>
      </c>
    </row>
    <row r="191" spans="1:26" s="24" customFormat="1" hidden="1" outlineLevel="2" x14ac:dyDescent="0.25">
      <c r="A191" s="28"/>
      <c r="B191" s="11" t="str">
        <f>CONCATENATE("          ", "6322", " - ", "EQUIPMENT DEPRECIATION EXPENSE")</f>
        <v xml:space="preserve">          6322 - EQUIPMENT DEPRECIATION EXPENSE</v>
      </c>
      <c r="C191" s="11"/>
      <c r="D191" s="6">
        <v>18522.28</v>
      </c>
      <c r="E191" s="2"/>
      <c r="F191" s="7">
        <f t="shared" si="56"/>
        <v>0.11568541761823174</v>
      </c>
      <c r="G191" s="2"/>
      <c r="H191" s="6">
        <v>16533.88</v>
      </c>
      <c r="I191" s="2"/>
      <c r="J191" s="7">
        <f t="shared" si="57"/>
        <v>1.6396163051832221E-2</v>
      </c>
      <c r="K191" s="2"/>
      <c r="L191" s="6">
        <f t="shared" si="58"/>
        <v>1988.3999999999978</v>
      </c>
      <c r="M191" s="2"/>
      <c r="N191" s="7">
        <f t="shared" si="59"/>
        <v>0.12026215262237283</v>
      </c>
      <c r="O191" s="11"/>
      <c r="P191" s="6">
        <v>74120.41</v>
      </c>
      <c r="Q191" s="2"/>
      <c r="R191" s="7">
        <f t="shared" si="60"/>
        <v>3.1452309619389142E-2</v>
      </c>
      <c r="S191" s="2"/>
      <c r="T191" s="6">
        <v>66135.520000000004</v>
      </c>
      <c r="U191" s="2"/>
      <c r="V191" s="7">
        <f t="shared" si="61"/>
        <v>1.1524099115143818E-2</v>
      </c>
      <c r="W191" s="2"/>
      <c r="X191" s="6">
        <f t="shared" si="62"/>
        <v>7984.8899999999994</v>
      </c>
      <c r="Y191" s="2"/>
      <c r="Z191" s="7">
        <f t="shared" si="63"/>
        <v>0.12073527205955285</v>
      </c>
    </row>
    <row r="192" spans="1:26" s="29" customFormat="1" outlineLevel="1" collapsed="1" x14ac:dyDescent="0.25">
      <c r="A192" s="27"/>
      <c r="B192" s="14" t="str">
        <f>CONCATENATE("     ","Discounts and Markdowns                           ")</f>
        <v xml:space="preserve">     Discounts and Markdowns                           </v>
      </c>
      <c r="C192" s="14"/>
      <c r="D192" s="1">
        <f>SUM(OSRRefD22_6x_0)</f>
        <v>-1249.8000000000002</v>
      </c>
      <c r="E192" s="1"/>
      <c r="F192" s="5">
        <f t="shared" ref="F192:F194" si="64">IF(D$12=0,0,D192/D$12)</f>
        <v>-7.8059307460672262E-3</v>
      </c>
      <c r="G192" s="1"/>
      <c r="H192" s="1">
        <f>SUM(OSRRefH22_6x_0)</f>
        <v>33789.31</v>
      </c>
      <c r="I192" s="1"/>
      <c r="J192" s="5">
        <f t="shared" ref="J192:J194" si="65">IF(H$12=0,0,H192/H$12)</f>
        <v>3.3507866040451778E-2</v>
      </c>
      <c r="K192" s="1"/>
      <c r="L192" s="1">
        <f t="shared" ref="L192:L194" si="66">+D192-H192</f>
        <v>-35039.11</v>
      </c>
      <c r="M192" s="1"/>
      <c r="N192" s="5">
        <f t="shared" ref="N192:N194" si="67">IF(H192=0,0,L192/H192)</f>
        <v>-1.0369880296460627</v>
      </c>
      <c r="O192" s="14"/>
      <c r="P192" s="1">
        <f>SUM(OSRRefP22_6x_0)</f>
        <v>-418.85</v>
      </c>
      <c r="Q192" s="1"/>
      <c r="R192" s="5">
        <f t="shared" ref="R192:R194" si="68">IF(P$12=0,0,P192/P$12)</f>
        <v>-1.777351188974959E-4</v>
      </c>
      <c r="S192" s="1"/>
      <c r="T192" s="1">
        <f>SUM(OSRRefT22_6x_0)</f>
        <v>97849.95</v>
      </c>
      <c r="U192" s="1"/>
      <c r="V192" s="5">
        <f t="shared" ref="V192:V194" si="69">IF(T$12=0,0,T192/T$12)</f>
        <v>1.7050331232170951E-2</v>
      </c>
      <c r="W192" s="1"/>
      <c r="X192" s="1">
        <f t="shared" ref="X192:X194" si="70">+P192-T192</f>
        <v>-98268.800000000003</v>
      </c>
      <c r="Y192" s="1"/>
      <c r="Z192" s="5">
        <f t="shared" ref="Z192:Z194" si="71">IF(T192=0,0,X192/T192)</f>
        <v>-1.0042805336129452</v>
      </c>
    </row>
    <row r="193" spans="1:26" s="24" customFormat="1" hidden="1" outlineLevel="2" x14ac:dyDescent="0.25">
      <c r="A193" s="28"/>
      <c r="B193" s="11" t="str">
        <f>CONCATENATE("          ", "6382", " - ", "DISCOUNTS/MARK DOWNS")</f>
        <v xml:space="preserve">          6382 - DISCOUNTS/MARK DOWNS</v>
      </c>
      <c r="C193" s="11"/>
      <c r="D193" s="6">
        <v>-830.95</v>
      </c>
      <c r="E193" s="2"/>
      <c r="F193" s="7">
        <f t="shared" si="64"/>
        <v>-5.1899009069007532E-3</v>
      </c>
      <c r="G193" s="2"/>
      <c r="H193" s="6">
        <v>34259.199999999997</v>
      </c>
      <c r="I193" s="2"/>
      <c r="J193" s="7">
        <f t="shared" si="65"/>
        <v>3.3973842148686838E-2</v>
      </c>
      <c r="K193" s="2"/>
      <c r="L193" s="6">
        <f t="shared" si="66"/>
        <v>-35090.149999999994</v>
      </c>
      <c r="M193" s="2"/>
      <c r="N193" s="7">
        <f t="shared" si="67"/>
        <v>-1.0242547987110031</v>
      </c>
      <c r="O193" s="11"/>
      <c r="P193" s="6">
        <v>0</v>
      </c>
      <c r="Q193" s="2"/>
      <c r="R193" s="7">
        <f t="shared" si="68"/>
        <v>0</v>
      </c>
      <c r="S193" s="2"/>
      <c r="T193" s="6">
        <v>99967.7</v>
      </c>
      <c r="U193" s="2"/>
      <c r="V193" s="7">
        <f t="shared" si="69"/>
        <v>1.741934868150976E-2</v>
      </c>
      <c r="W193" s="2"/>
      <c r="X193" s="6">
        <f t="shared" si="70"/>
        <v>-99967.7</v>
      </c>
      <c r="Y193" s="2"/>
      <c r="Z193" s="7">
        <f t="shared" si="71"/>
        <v>-1</v>
      </c>
    </row>
    <row r="194" spans="1:26" s="24" customFormat="1" hidden="1" outlineLevel="2" x14ac:dyDescent="0.25">
      <c r="A194" s="28"/>
      <c r="B194" s="11" t="str">
        <f>CONCATENATE("          ", "9175", " - ", "EARNED DISCOUNTS")</f>
        <v xml:space="preserve">          9175 - EARNED DISCOUNTS</v>
      </c>
      <c r="C194" s="11"/>
      <c r="D194" s="6">
        <v>-418.85</v>
      </c>
      <c r="E194" s="2"/>
      <c r="F194" s="7">
        <f t="shared" si="64"/>
        <v>-2.6160298391664726E-3</v>
      </c>
      <c r="G194" s="2"/>
      <c r="H194" s="6">
        <v>-469.89</v>
      </c>
      <c r="I194" s="2"/>
      <c r="J194" s="7">
        <f t="shared" si="65"/>
        <v>-4.6597610823505682E-4</v>
      </c>
      <c r="K194" s="2"/>
      <c r="L194" s="6">
        <f t="shared" si="66"/>
        <v>51.039999999999964</v>
      </c>
      <c r="M194" s="2"/>
      <c r="N194" s="7">
        <f t="shared" si="67"/>
        <v>-0.10862116665602581</v>
      </c>
      <c r="O194" s="11"/>
      <c r="P194" s="6">
        <v>-418.85</v>
      </c>
      <c r="Q194" s="2"/>
      <c r="R194" s="7">
        <f t="shared" si="68"/>
        <v>-1.777351188974959E-4</v>
      </c>
      <c r="S194" s="2"/>
      <c r="T194" s="6">
        <v>-2117.75</v>
      </c>
      <c r="U194" s="2"/>
      <c r="V194" s="7">
        <f t="shared" si="69"/>
        <v>-3.690174493388094E-4</v>
      </c>
      <c r="W194" s="2"/>
      <c r="X194" s="6">
        <f t="shared" si="70"/>
        <v>1698.9</v>
      </c>
      <c r="Y194" s="2"/>
      <c r="Z194" s="7">
        <f t="shared" si="71"/>
        <v>-0.80221933656002842</v>
      </c>
    </row>
    <row r="195" spans="1:26" s="29" customFormat="1" outlineLevel="1" collapsed="1" x14ac:dyDescent="0.25">
      <c r="A195" s="27"/>
      <c r="B195" s="14" t="str">
        <f>CONCATENATE("     ","Donations                                         ")</f>
        <v xml:space="preserve">     Donations                                         </v>
      </c>
      <c r="C195" s="14"/>
      <c r="D195" s="1">
        <f>SUM(OSRRefD22_7x_0)</f>
        <v>0</v>
      </c>
      <c r="E195" s="1"/>
      <c r="F195" s="5">
        <f t="shared" ref="F195:F203" si="72">IF(D$12=0,0,D195/D$12)</f>
        <v>0</v>
      </c>
      <c r="G195" s="1"/>
      <c r="H195" s="1">
        <f>SUM(OSRRefH22_7x_0)</f>
        <v>1006.14</v>
      </c>
      <c r="I195" s="1"/>
      <c r="J195" s="5">
        <f t="shared" ref="J195:J203" si="73">IF(H$12=0,0,H195/H$12)</f>
        <v>9.9775947889850828E-4</v>
      </c>
      <c r="K195" s="1"/>
      <c r="L195" s="1">
        <f t="shared" ref="L195:L203" si="74">+D195-H195</f>
        <v>-1006.14</v>
      </c>
      <c r="M195" s="1"/>
      <c r="N195" s="5">
        <f t="shared" ref="N195:N203" si="75">IF(H195=0,0,L195/H195)</f>
        <v>-1</v>
      </c>
      <c r="O195" s="14"/>
      <c r="P195" s="1">
        <f>SUM(OSRRefP22_7x_0)</f>
        <v>0</v>
      </c>
      <c r="Q195" s="1"/>
      <c r="R195" s="5">
        <f t="shared" ref="R195:R203" si="76">IF(P$12=0,0,P195/P$12)</f>
        <v>0</v>
      </c>
      <c r="S195" s="1"/>
      <c r="T195" s="1">
        <f>SUM(OSRRefT22_7x_0)</f>
        <v>6231.48</v>
      </c>
      <c r="U195" s="1"/>
      <c r="V195" s="5">
        <f t="shared" ref="V195:V203" si="77">IF(T$12=0,0,T195/T$12)</f>
        <v>1.0858339535855526E-3</v>
      </c>
      <c r="W195" s="1"/>
      <c r="X195" s="1">
        <f t="shared" ref="X195:X203" si="78">+P195-T195</f>
        <v>-6231.48</v>
      </c>
      <c r="Y195" s="1"/>
      <c r="Z195" s="5">
        <f t="shared" ref="Z195:Z203" si="79">IF(T195=0,0,X195/T195)</f>
        <v>-1</v>
      </c>
    </row>
    <row r="196" spans="1:26" s="24" customFormat="1" hidden="1" outlineLevel="2" x14ac:dyDescent="0.25">
      <c r="A196" s="28"/>
      <c r="B196" s="11" t="str">
        <f>CONCATENATE("          ", "6399", " - ", "DONATION-ON CAMPUS")</f>
        <v xml:space="preserve">          6399 - DONATION-ON CAMPUS</v>
      </c>
      <c r="C196" s="11"/>
      <c r="D196" s="6"/>
      <c r="E196" s="2"/>
      <c r="F196" s="7">
        <f t="shared" si="72"/>
        <v>0</v>
      </c>
      <c r="G196" s="2"/>
      <c r="H196" s="6">
        <v>1006.14</v>
      </c>
      <c r="I196" s="2"/>
      <c r="J196" s="7">
        <f t="shared" si="73"/>
        <v>9.9775947889850828E-4</v>
      </c>
      <c r="K196" s="2"/>
      <c r="L196" s="6">
        <f t="shared" si="74"/>
        <v>-1006.14</v>
      </c>
      <c r="M196" s="2"/>
      <c r="N196" s="7">
        <f t="shared" si="75"/>
        <v>-1</v>
      </c>
      <c r="O196" s="11"/>
      <c r="P196" s="6"/>
      <c r="Q196" s="2"/>
      <c r="R196" s="7">
        <f t="shared" si="76"/>
        <v>0</v>
      </c>
      <c r="S196" s="2"/>
      <c r="T196" s="6">
        <v>6231.48</v>
      </c>
      <c r="U196" s="2"/>
      <c r="V196" s="7">
        <f t="shared" si="77"/>
        <v>1.0858339535855526E-3</v>
      </c>
      <c r="W196" s="2"/>
      <c r="X196" s="6">
        <f t="shared" si="78"/>
        <v>-6231.48</v>
      </c>
      <c r="Y196" s="2"/>
      <c r="Z196" s="7">
        <f t="shared" si="79"/>
        <v>-1</v>
      </c>
    </row>
    <row r="197" spans="1:26" s="29" customFormat="1" outlineLevel="1" collapsed="1" x14ac:dyDescent="0.25">
      <c r="A197" s="27"/>
      <c r="B197" s="14" t="str">
        <f>CONCATENATE("     ","Employees' Appreciation                           ")</f>
        <v xml:space="preserve">     Employees' Appreciation                           </v>
      </c>
      <c r="C197" s="14"/>
      <c r="D197" s="1">
        <f>SUM(OSRRefD22_8x_0)</f>
        <v>0</v>
      </c>
      <c r="E197" s="1"/>
      <c r="F197" s="5">
        <f t="shared" si="72"/>
        <v>0</v>
      </c>
      <c r="G197" s="1"/>
      <c r="H197" s="1">
        <f>SUM(OSRRefH22_8x_0)</f>
        <v>93.28</v>
      </c>
      <c r="I197" s="1"/>
      <c r="J197" s="5">
        <f t="shared" si="73"/>
        <v>9.2503035553355255E-5</v>
      </c>
      <c r="K197" s="1"/>
      <c r="L197" s="1">
        <f t="shared" si="74"/>
        <v>-93.28</v>
      </c>
      <c r="M197" s="1"/>
      <c r="N197" s="5">
        <f t="shared" si="75"/>
        <v>-1</v>
      </c>
      <c r="O197" s="14"/>
      <c r="P197" s="1">
        <f>SUM(OSRRefP22_8x_0)</f>
        <v>107.7</v>
      </c>
      <c r="Q197" s="1"/>
      <c r="R197" s="5">
        <f t="shared" si="76"/>
        <v>4.5701497684756615E-5</v>
      </c>
      <c r="S197" s="1"/>
      <c r="T197" s="1">
        <f>SUM(OSRRefT22_8x_0)</f>
        <v>678.41</v>
      </c>
      <c r="U197" s="1"/>
      <c r="V197" s="5">
        <f t="shared" si="77"/>
        <v>1.1821278612014718E-4</v>
      </c>
      <c r="W197" s="1"/>
      <c r="X197" s="1">
        <f t="shared" si="78"/>
        <v>-570.70999999999992</v>
      </c>
      <c r="Y197" s="1"/>
      <c r="Z197" s="5">
        <f t="shared" si="79"/>
        <v>-0.84124644389086234</v>
      </c>
    </row>
    <row r="198" spans="1:26" s="24" customFormat="1" hidden="1" outlineLevel="2" x14ac:dyDescent="0.25">
      <c r="A198" s="28"/>
      <c r="B198" s="11" t="str">
        <f>CONCATENATE("          ", "6277", " - ", "EMPLOYEE APPRECIATION")</f>
        <v xml:space="preserve">          6277 - EMPLOYEE APPRECIATION</v>
      </c>
      <c r="C198" s="11"/>
      <c r="D198" s="6"/>
      <c r="E198" s="2"/>
      <c r="F198" s="7">
        <f t="shared" si="72"/>
        <v>0</v>
      </c>
      <c r="G198" s="2"/>
      <c r="H198" s="6">
        <v>93.28</v>
      </c>
      <c r="I198" s="2"/>
      <c r="J198" s="7">
        <f t="shared" si="73"/>
        <v>9.2503035553355255E-5</v>
      </c>
      <c r="K198" s="2"/>
      <c r="L198" s="6">
        <f t="shared" si="74"/>
        <v>-93.28</v>
      </c>
      <c r="M198" s="2"/>
      <c r="N198" s="7">
        <f t="shared" si="75"/>
        <v>-1</v>
      </c>
      <c r="O198" s="11"/>
      <c r="P198" s="6">
        <v>107.7</v>
      </c>
      <c r="Q198" s="2"/>
      <c r="R198" s="7">
        <f t="shared" si="76"/>
        <v>4.5701497684756615E-5</v>
      </c>
      <c r="S198" s="2"/>
      <c r="T198" s="6">
        <v>678.41</v>
      </c>
      <c r="U198" s="2"/>
      <c r="V198" s="7">
        <f t="shared" si="77"/>
        <v>1.1821278612014718E-4</v>
      </c>
      <c r="W198" s="2"/>
      <c r="X198" s="6">
        <f t="shared" si="78"/>
        <v>-570.70999999999992</v>
      </c>
      <c r="Y198" s="2"/>
      <c r="Z198" s="7">
        <f t="shared" si="79"/>
        <v>-0.84124644389086234</v>
      </c>
    </row>
    <row r="199" spans="1:26" s="29" customFormat="1" outlineLevel="1" collapsed="1" x14ac:dyDescent="0.25">
      <c r="A199" s="27"/>
      <c r="B199" s="14" t="str">
        <f>CONCATENATE("     ","Equipment Rental                                  ")</f>
        <v xml:space="preserve">     Equipment Rental                                  </v>
      </c>
      <c r="C199" s="14"/>
      <c r="D199" s="1">
        <f>SUM(OSRRefD22_9x_0)</f>
        <v>1479.42</v>
      </c>
      <c r="E199" s="1"/>
      <c r="F199" s="5">
        <f t="shared" si="72"/>
        <v>9.2400784640316661E-3</v>
      </c>
      <c r="G199" s="1"/>
      <c r="H199" s="1">
        <f>SUM(OSRRefH22_9x_0)</f>
        <v>2900.05</v>
      </c>
      <c r="I199" s="1"/>
      <c r="J199" s="5">
        <f t="shared" si="73"/>
        <v>2.8758943852541588E-3</v>
      </c>
      <c r="K199" s="1"/>
      <c r="L199" s="1">
        <f t="shared" si="74"/>
        <v>-1420.63</v>
      </c>
      <c r="M199" s="1"/>
      <c r="N199" s="5">
        <f t="shared" si="75"/>
        <v>-0.48986396786262304</v>
      </c>
      <c r="O199" s="14"/>
      <c r="P199" s="1">
        <f>SUM(OSRRefP22_9x_0)</f>
        <v>5967.79</v>
      </c>
      <c r="Q199" s="1"/>
      <c r="R199" s="5">
        <f t="shared" si="76"/>
        <v>2.5323764240307673E-3</v>
      </c>
      <c r="S199" s="1"/>
      <c r="T199" s="1">
        <f>SUM(OSRRefT22_9x_0)</f>
        <v>7139.96</v>
      </c>
      <c r="U199" s="1"/>
      <c r="V199" s="5">
        <f t="shared" si="77"/>
        <v>1.2441363841724121E-3</v>
      </c>
      <c r="W199" s="1"/>
      <c r="X199" s="1">
        <f t="shared" si="78"/>
        <v>-1172.17</v>
      </c>
      <c r="Y199" s="1"/>
      <c r="Z199" s="5">
        <f t="shared" si="79"/>
        <v>-0.16417038750917373</v>
      </c>
    </row>
    <row r="200" spans="1:26" s="24" customFormat="1" hidden="1" outlineLevel="2" x14ac:dyDescent="0.25">
      <c r="A200" s="28"/>
      <c r="B200" s="11" t="str">
        <f>CONCATENATE("          ", "6351", " - ", "EQUIPMENT RENTAL")</f>
        <v xml:space="preserve">          6351 - EQUIPMENT RENTAL</v>
      </c>
      <c r="C200" s="11"/>
      <c r="D200" s="6">
        <v>1479.42</v>
      </c>
      <c r="E200" s="2"/>
      <c r="F200" s="7">
        <f t="shared" si="72"/>
        <v>9.2400784640316661E-3</v>
      </c>
      <c r="G200" s="2"/>
      <c r="H200" s="6">
        <v>2900.05</v>
      </c>
      <c r="I200" s="2"/>
      <c r="J200" s="7">
        <f t="shared" si="73"/>
        <v>2.8758943852541588E-3</v>
      </c>
      <c r="K200" s="2"/>
      <c r="L200" s="6">
        <f t="shared" si="74"/>
        <v>-1420.63</v>
      </c>
      <c r="M200" s="2"/>
      <c r="N200" s="7">
        <f t="shared" si="75"/>
        <v>-0.48986396786262304</v>
      </c>
      <c r="O200" s="11"/>
      <c r="P200" s="6">
        <v>5967.79</v>
      </c>
      <c r="Q200" s="2"/>
      <c r="R200" s="7">
        <f t="shared" si="76"/>
        <v>2.5323764240307673E-3</v>
      </c>
      <c r="S200" s="2"/>
      <c r="T200" s="6">
        <v>7139.96</v>
      </c>
      <c r="U200" s="2"/>
      <c r="V200" s="7">
        <f t="shared" si="77"/>
        <v>1.2441363841724121E-3</v>
      </c>
      <c r="W200" s="2"/>
      <c r="X200" s="6">
        <f t="shared" si="78"/>
        <v>-1172.17</v>
      </c>
      <c r="Y200" s="2"/>
      <c r="Z200" s="7">
        <f t="shared" si="79"/>
        <v>-0.16417038750917373</v>
      </c>
    </row>
    <row r="201" spans="1:26" s="29" customFormat="1" outlineLevel="1" collapsed="1" x14ac:dyDescent="0.25">
      <c r="A201" s="27"/>
      <c r="B201" s="14" t="str">
        <f>CONCATENATE("     ","Freight out/Postage                               ")</f>
        <v xml:space="preserve">     Freight out/Postage                               </v>
      </c>
      <c r="C201" s="14"/>
      <c r="D201" s="1">
        <f>SUM(OSRRefD22_10x_0)</f>
        <v>48993.59</v>
      </c>
      <c r="E201" s="1"/>
      <c r="F201" s="5">
        <f t="shared" si="72"/>
        <v>0.30600141665963493</v>
      </c>
      <c r="G201" s="1"/>
      <c r="H201" s="1">
        <f>SUM(OSRRefH22_10x_0)</f>
        <v>1658.1600000000003</v>
      </c>
      <c r="I201" s="1"/>
      <c r="J201" s="5">
        <f t="shared" si="73"/>
        <v>1.6443485573879885E-3</v>
      </c>
      <c r="K201" s="1"/>
      <c r="L201" s="1">
        <f t="shared" si="74"/>
        <v>47335.429999999993</v>
      </c>
      <c r="M201" s="1"/>
      <c r="N201" s="5">
        <f t="shared" si="75"/>
        <v>28.546961692478401</v>
      </c>
      <c r="O201" s="14"/>
      <c r="P201" s="1">
        <f>SUM(OSRRefP22_10x_0)</f>
        <v>-31747.919999999998</v>
      </c>
      <c r="Q201" s="1"/>
      <c r="R201" s="5">
        <f t="shared" si="76"/>
        <v>-1.3471935862356899E-2</v>
      </c>
      <c r="S201" s="1"/>
      <c r="T201" s="1">
        <f>SUM(OSRRefT22_10x_0)</f>
        <v>-3907.1300000000047</v>
      </c>
      <c r="U201" s="1"/>
      <c r="V201" s="5">
        <f t="shared" si="77"/>
        <v>-6.8081650186997721E-4</v>
      </c>
      <c r="W201" s="1"/>
      <c r="X201" s="1">
        <f t="shared" si="78"/>
        <v>-27840.789999999994</v>
      </c>
      <c r="Y201" s="1"/>
      <c r="Z201" s="5">
        <f t="shared" si="79"/>
        <v>7.1256369765019238</v>
      </c>
    </row>
    <row r="202" spans="1:26" s="24" customFormat="1" hidden="1" outlineLevel="2" x14ac:dyDescent="0.25">
      <c r="A202" s="28"/>
      <c r="B202" s="11" t="str">
        <f>CONCATENATE("          ", "6305", " - ", "FREIGHT OUT")</f>
        <v xml:space="preserve">          6305 - FREIGHT OUT</v>
      </c>
      <c r="C202" s="11"/>
      <c r="D202" s="6">
        <v>60680.109999999993</v>
      </c>
      <c r="E202" s="2"/>
      <c r="F202" s="7">
        <f t="shared" si="72"/>
        <v>0.37899242784744858</v>
      </c>
      <c r="G202" s="2"/>
      <c r="H202" s="6">
        <v>4604.3500000000004</v>
      </c>
      <c r="I202" s="2"/>
      <c r="J202" s="7">
        <f t="shared" si="73"/>
        <v>4.565998625108183E-3</v>
      </c>
      <c r="K202" s="2"/>
      <c r="L202" s="6">
        <f t="shared" si="74"/>
        <v>56075.759999999995</v>
      </c>
      <c r="M202" s="2"/>
      <c r="N202" s="7">
        <f t="shared" si="75"/>
        <v>12.178865637929347</v>
      </c>
      <c r="O202" s="11"/>
      <c r="P202" s="6">
        <v>86348.17</v>
      </c>
      <c r="Q202" s="2"/>
      <c r="R202" s="7">
        <f t="shared" si="76"/>
        <v>3.6641046344827947E-2</v>
      </c>
      <c r="S202" s="2"/>
      <c r="T202" s="6">
        <v>19681.099999999999</v>
      </c>
      <c r="U202" s="2"/>
      <c r="V202" s="7">
        <f t="shared" si="77"/>
        <v>3.4294271383222955E-3</v>
      </c>
      <c r="W202" s="2"/>
      <c r="X202" s="6">
        <f t="shared" si="78"/>
        <v>66667.070000000007</v>
      </c>
      <c r="Y202" s="2"/>
      <c r="Z202" s="7">
        <f t="shared" si="79"/>
        <v>3.3873650354909031</v>
      </c>
    </row>
    <row r="203" spans="1:26" s="24" customFormat="1" hidden="1" outlineLevel="2" x14ac:dyDescent="0.25">
      <c r="A203" s="28"/>
      <c r="B203" s="11" t="str">
        <f>CONCATENATE("          ", "6307", " - ", "POSTAGE")</f>
        <v xml:space="preserve">          6307 - POSTAGE</v>
      </c>
      <c r="C203" s="11"/>
      <c r="D203" s="6">
        <v>-11686.52</v>
      </c>
      <c r="E203" s="2"/>
      <c r="F203" s="7">
        <f t="shared" si="72"/>
        <v>-7.299101118781369E-2</v>
      </c>
      <c r="G203" s="2"/>
      <c r="H203" s="6">
        <v>-2946.19</v>
      </c>
      <c r="I203" s="2"/>
      <c r="J203" s="7">
        <f t="shared" si="73"/>
        <v>-2.9216500677201941E-3</v>
      </c>
      <c r="K203" s="2"/>
      <c r="L203" s="6">
        <f t="shared" si="74"/>
        <v>-8740.33</v>
      </c>
      <c r="M203" s="2"/>
      <c r="N203" s="7">
        <f t="shared" si="75"/>
        <v>2.9666552394787842</v>
      </c>
      <c r="O203" s="11"/>
      <c r="P203" s="6">
        <v>-118096.09</v>
      </c>
      <c r="Q203" s="2"/>
      <c r="R203" s="7">
        <f t="shared" si="76"/>
        <v>-5.0112982207184846E-2</v>
      </c>
      <c r="S203" s="2"/>
      <c r="T203" s="6">
        <v>-23588.230000000003</v>
      </c>
      <c r="U203" s="2"/>
      <c r="V203" s="7">
        <f t="shared" si="77"/>
        <v>-4.1102436401922729E-3</v>
      </c>
      <c r="W203" s="2"/>
      <c r="X203" s="6">
        <f t="shared" si="78"/>
        <v>-94507.859999999986</v>
      </c>
      <c r="Y203" s="2"/>
      <c r="Z203" s="7">
        <f t="shared" si="79"/>
        <v>4.0065685301525367</v>
      </c>
    </row>
    <row r="204" spans="1:26" s="29" customFormat="1" outlineLevel="1" collapsed="1" x14ac:dyDescent="0.25">
      <c r="A204" s="27"/>
      <c r="B204" s="14" t="str">
        <f>CONCATENATE("     ","General                                           ")</f>
        <v xml:space="preserve">     General                                           </v>
      </c>
      <c r="C204" s="14"/>
      <c r="D204" s="1">
        <f>SUM(OSRRefD22_11x_0)</f>
        <v>-40</v>
      </c>
      <c r="E204" s="1"/>
      <c r="F204" s="5">
        <f t="shared" ref="F204:F220" si="80">IF(D$12=0,0,D204/D$12)</f>
        <v>-2.4982975663521284E-4</v>
      </c>
      <c r="G204" s="1"/>
      <c r="H204" s="1">
        <f>SUM(OSRRefH22_11x_0)</f>
        <v>838.29</v>
      </c>
      <c r="I204" s="1"/>
      <c r="J204" s="5">
        <f t="shared" ref="J204:J220" si="81">IF(H$12=0,0,H204/H$12)</f>
        <v>8.313075651160181E-4</v>
      </c>
      <c r="K204" s="1"/>
      <c r="L204" s="1">
        <f t="shared" ref="L204:L220" si="82">+D204-H204</f>
        <v>-878.29</v>
      </c>
      <c r="M204" s="1"/>
      <c r="N204" s="5">
        <f t="shared" ref="N204:N220" si="83">IF(H204=0,0,L204/H204)</f>
        <v>-1.0477161841367546</v>
      </c>
      <c r="O204" s="14"/>
      <c r="P204" s="1">
        <f>SUM(OSRRefP22_11x_0)</f>
        <v>-1737.73</v>
      </c>
      <c r="Q204" s="1"/>
      <c r="R204" s="5">
        <f t="shared" ref="R204:R220" si="84">IF(P$12=0,0,P204/P$12)</f>
        <v>-7.3738963390651915E-4</v>
      </c>
      <c r="S204" s="1"/>
      <c r="T204" s="1">
        <f>SUM(OSRRefT22_11x_0)</f>
        <v>-10098.93</v>
      </c>
      <c r="U204" s="1"/>
      <c r="V204" s="5">
        <f t="shared" ref="V204:V220" si="85">IF(T$12=0,0,T204/T$12)</f>
        <v>-1.7597362246021403E-3</v>
      </c>
      <c r="W204" s="1"/>
      <c r="X204" s="1">
        <f t="shared" ref="X204:X220" si="86">+P204-T204</f>
        <v>8361.2000000000007</v>
      </c>
      <c r="Y204" s="1"/>
      <c r="Z204" s="5">
        <f t="shared" ref="Z204:Z220" si="87">IF(T204=0,0,X204/T204)</f>
        <v>-0.82792929547981819</v>
      </c>
    </row>
    <row r="205" spans="1:26" s="24" customFormat="1" hidden="1" outlineLevel="2" x14ac:dyDescent="0.25">
      <c r="A205" s="28"/>
      <c r="B205" s="11" t="str">
        <f>CONCATENATE("          ", "6279", " - ", "GENERAL EXPENSE")</f>
        <v xml:space="preserve">          6279 - GENERAL EXPENSE</v>
      </c>
      <c r="C205" s="11"/>
      <c r="D205" s="6">
        <v>-40</v>
      </c>
      <c r="E205" s="2"/>
      <c r="F205" s="7">
        <f t="shared" si="80"/>
        <v>-2.4982975663521284E-4</v>
      </c>
      <c r="G205" s="2"/>
      <c r="H205" s="6">
        <v>838.29</v>
      </c>
      <c r="I205" s="2"/>
      <c r="J205" s="7">
        <f t="shared" si="81"/>
        <v>8.313075651160181E-4</v>
      </c>
      <c r="K205" s="2"/>
      <c r="L205" s="6">
        <f t="shared" si="82"/>
        <v>-878.29</v>
      </c>
      <c r="M205" s="2"/>
      <c r="N205" s="7">
        <f t="shared" si="83"/>
        <v>-1.0477161841367546</v>
      </c>
      <c r="O205" s="11"/>
      <c r="P205" s="6">
        <v>-1737.73</v>
      </c>
      <c r="Q205" s="2"/>
      <c r="R205" s="7">
        <f t="shared" si="84"/>
        <v>-7.3738963390651915E-4</v>
      </c>
      <c r="S205" s="2"/>
      <c r="T205" s="6">
        <v>-10098.93</v>
      </c>
      <c r="U205" s="2"/>
      <c r="V205" s="7">
        <f t="shared" si="85"/>
        <v>-1.7597362246021403E-3</v>
      </c>
      <c r="W205" s="2"/>
      <c r="X205" s="6">
        <f t="shared" si="86"/>
        <v>8361.2000000000007</v>
      </c>
      <c r="Y205" s="2"/>
      <c r="Z205" s="7">
        <f t="shared" si="87"/>
        <v>-0.82792929547981819</v>
      </c>
    </row>
    <row r="206" spans="1:26" s="29" customFormat="1" outlineLevel="1" collapsed="1" x14ac:dyDescent="0.25">
      <c r="A206" s="27"/>
      <c r="B206" s="14" t="str">
        <f>CONCATENATE("     ","Insurance                                         ")</f>
        <v xml:space="preserve">     Insurance                                         </v>
      </c>
      <c r="C206" s="14"/>
      <c r="D206" s="1">
        <f>SUM(OSRRefD22_12x_0)</f>
        <v>4288.28</v>
      </c>
      <c r="E206" s="1"/>
      <c r="F206" s="5">
        <f t="shared" si="80"/>
        <v>2.6783498719591261E-2</v>
      </c>
      <c r="G206" s="1"/>
      <c r="H206" s="1">
        <f>SUM(OSRRefH22_12x_0)</f>
        <v>4288.28</v>
      </c>
      <c r="I206" s="1"/>
      <c r="J206" s="5">
        <f t="shared" si="81"/>
        <v>4.2525612918390037E-3</v>
      </c>
      <c r="K206" s="1"/>
      <c r="L206" s="1">
        <f t="shared" si="82"/>
        <v>0</v>
      </c>
      <c r="M206" s="1"/>
      <c r="N206" s="5">
        <f t="shared" si="83"/>
        <v>0</v>
      </c>
      <c r="O206" s="14"/>
      <c r="P206" s="1">
        <f>SUM(OSRRefP22_12x_0)</f>
        <v>17153.12</v>
      </c>
      <c r="Q206" s="1"/>
      <c r="R206" s="5">
        <f t="shared" si="84"/>
        <v>7.2787676319995571E-3</v>
      </c>
      <c r="S206" s="1"/>
      <c r="T206" s="1">
        <f>SUM(OSRRefT22_12x_0)</f>
        <v>17153.12</v>
      </c>
      <c r="U206" s="1"/>
      <c r="V206" s="5">
        <f t="shared" si="85"/>
        <v>2.9889272060453398E-3</v>
      </c>
      <c r="W206" s="1"/>
      <c r="X206" s="1">
        <f t="shared" si="86"/>
        <v>0</v>
      </c>
      <c r="Y206" s="1"/>
      <c r="Z206" s="5">
        <f t="shared" si="87"/>
        <v>0</v>
      </c>
    </row>
    <row r="207" spans="1:26" s="24" customFormat="1" hidden="1" outlineLevel="2" x14ac:dyDescent="0.25">
      <c r="A207" s="28"/>
      <c r="B207" s="11" t="str">
        <f>CONCATENATE("          ", "6314", " - ", "LIABILITY INSURANCE")</f>
        <v xml:space="preserve">          6314 - LIABILITY INSURANCE</v>
      </c>
      <c r="C207" s="11"/>
      <c r="D207" s="6">
        <v>4288.28</v>
      </c>
      <c r="E207" s="2"/>
      <c r="F207" s="7">
        <f t="shared" si="80"/>
        <v>2.6783498719591261E-2</v>
      </c>
      <c r="G207" s="2"/>
      <c r="H207" s="6">
        <v>4288.28</v>
      </c>
      <c r="I207" s="2"/>
      <c r="J207" s="7">
        <f t="shared" si="81"/>
        <v>4.2525612918390037E-3</v>
      </c>
      <c r="K207" s="2"/>
      <c r="L207" s="6">
        <f t="shared" si="82"/>
        <v>0</v>
      </c>
      <c r="M207" s="2"/>
      <c r="N207" s="7">
        <f t="shared" si="83"/>
        <v>0</v>
      </c>
      <c r="O207" s="11"/>
      <c r="P207" s="6">
        <v>17153.12</v>
      </c>
      <c r="Q207" s="2"/>
      <c r="R207" s="7">
        <f t="shared" si="84"/>
        <v>7.2787676319995571E-3</v>
      </c>
      <c r="S207" s="2"/>
      <c r="T207" s="6">
        <v>17153.12</v>
      </c>
      <c r="U207" s="2"/>
      <c r="V207" s="7">
        <f t="shared" si="85"/>
        <v>2.9889272060453398E-3</v>
      </c>
      <c r="W207" s="2"/>
      <c r="X207" s="6">
        <f t="shared" si="86"/>
        <v>0</v>
      </c>
      <c r="Y207" s="2"/>
      <c r="Z207" s="7">
        <f t="shared" si="87"/>
        <v>0</v>
      </c>
    </row>
    <row r="208" spans="1:26" s="29" customFormat="1" outlineLevel="1" collapsed="1" x14ac:dyDescent="0.25">
      <c r="A208" s="27"/>
      <c r="B208" s="14" t="str">
        <f>CONCATENATE("     ","Interest                                          ")</f>
        <v xml:space="preserve">     Interest                                          </v>
      </c>
      <c r="C208" s="14"/>
      <c r="D208" s="1">
        <f>SUM(OSRRefD22_13x_0)</f>
        <v>3781.85</v>
      </c>
      <c r="E208" s="1"/>
      <c r="F208" s="5">
        <f t="shared" si="80"/>
        <v>2.3620466628271993E-2</v>
      </c>
      <c r="G208" s="1"/>
      <c r="H208" s="1">
        <f>SUM(OSRRefH22_13x_0)</f>
        <v>4163.95</v>
      </c>
      <c r="I208" s="1"/>
      <c r="J208" s="5">
        <f t="shared" si="81"/>
        <v>4.1292668834947855E-3</v>
      </c>
      <c r="K208" s="1"/>
      <c r="L208" s="1">
        <f t="shared" si="82"/>
        <v>-382.09999999999991</v>
      </c>
      <c r="M208" s="1"/>
      <c r="N208" s="5">
        <f t="shared" si="83"/>
        <v>-9.1763830017171172E-2</v>
      </c>
      <c r="O208" s="14"/>
      <c r="P208" s="1">
        <f>SUM(OSRRefP22_13x_0)</f>
        <v>15913.849999999999</v>
      </c>
      <c r="Q208" s="1"/>
      <c r="R208" s="5">
        <f t="shared" si="84"/>
        <v>6.752894883292144E-3</v>
      </c>
      <c r="S208" s="1"/>
      <c r="T208" s="1">
        <f>SUM(OSRRefT22_13x_0)</f>
        <v>16493.95</v>
      </c>
      <c r="U208" s="1"/>
      <c r="V208" s="5">
        <f t="shared" si="85"/>
        <v>2.8740669854901927E-3</v>
      </c>
      <c r="W208" s="1"/>
      <c r="X208" s="1">
        <f t="shared" si="86"/>
        <v>-580.10000000000218</v>
      </c>
      <c r="Y208" s="1"/>
      <c r="Z208" s="5">
        <f t="shared" si="87"/>
        <v>-3.5170471597161516E-2</v>
      </c>
    </row>
    <row r="209" spans="1:26" s="24" customFormat="1" hidden="1" outlineLevel="2" x14ac:dyDescent="0.25">
      <c r="A209" s="28"/>
      <c r="B209" s="11" t="str">
        <f>CONCATENATE("          ", "6401", " - ", "INTEREST EXPENSE")</f>
        <v xml:space="preserve">          6401 - INTEREST EXPENSE</v>
      </c>
      <c r="C209" s="11"/>
      <c r="D209" s="6">
        <v>3781.85</v>
      </c>
      <c r="E209" s="2"/>
      <c r="F209" s="7">
        <f t="shared" si="80"/>
        <v>2.3620466628271993E-2</v>
      </c>
      <c r="G209" s="2"/>
      <c r="H209" s="6">
        <v>4163.95</v>
      </c>
      <c r="I209" s="2"/>
      <c r="J209" s="7">
        <f t="shared" si="81"/>
        <v>4.1292668834947855E-3</v>
      </c>
      <c r="K209" s="2"/>
      <c r="L209" s="6">
        <f t="shared" si="82"/>
        <v>-382.09999999999991</v>
      </c>
      <c r="M209" s="2"/>
      <c r="N209" s="7">
        <f t="shared" si="83"/>
        <v>-9.1763830017171172E-2</v>
      </c>
      <c r="O209" s="11"/>
      <c r="P209" s="6">
        <v>15913.849999999999</v>
      </c>
      <c r="Q209" s="2"/>
      <c r="R209" s="7">
        <f t="shared" si="84"/>
        <v>6.752894883292144E-3</v>
      </c>
      <c r="S209" s="2"/>
      <c r="T209" s="6">
        <v>16493.95</v>
      </c>
      <c r="U209" s="2"/>
      <c r="V209" s="7">
        <f t="shared" si="85"/>
        <v>2.8740669854901927E-3</v>
      </c>
      <c r="W209" s="2"/>
      <c r="X209" s="6">
        <f t="shared" si="86"/>
        <v>-580.10000000000218</v>
      </c>
      <c r="Y209" s="2"/>
      <c r="Z209" s="7">
        <f t="shared" si="87"/>
        <v>-3.5170471597161516E-2</v>
      </c>
    </row>
    <row r="210" spans="1:26" s="29" customFormat="1" outlineLevel="1" collapsed="1" x14ac:dyDescent="0.25">
      <c r="A210" s="27"/>
      <c r="B210" s="14" t="str">
        <f>CONCATENATE("     ","Inventory Adjustment                              ")</f>
        <v xml:space="preserve">     Inventory Adjustment                              </v>
      </c>
      <c r="C210" s="14"/>
      <c r="D210" s="1">
        <f>SUM(OSRRefD22_14x_0)</f>
        <v>2100</v>
      </c>
      <c r="E210" s="1"/>
      <c r="F210" s="5">
        <f t="shared" si="80"/>
        <v>1.3116062223348674E-2</v>
      </c>
      <c r="G210" s="1"/>
      <c r="H210" s="1">
        <f>SUM(OSRRefH22_14x_0)</f>
        <v>4250</v>
      </c>
      <c r="I210" s="1"/>
      <c r="J210" s="5">
        <f t="shared" si="81"/>
        <v>4.2146001404562584E-3</v>
      </c>
      <c r="K210" s="1"/>
      <c r="L210" s="1">
        <f t="shared" si="82"/>
        <v>-2150</v>
      </c>
      <c r="M210" s="1"/>
      <c r="N210" s="5">
        <f t="shared" si="83"/>
        <v>-0.50588235294117645</v>
      </c>
      <c r="O210" s="14"/>
      <c r="P210" s="1">
        <f>SUM(OSRRefP22_14x_0)</f>
        <v>8400</v>
      </c>
      <c r="Q210" s="1"/>
      <c r="R210" s="5">
        <f t="shared" si="84"/>
        <v>3.5644622149670893E-3</v>
      </c>
      <c r="S210" s="1"/>
      <c r="T210" s="1">
        <f>SUM(OSRRefT22_14x_0)</f>
        <v>16900</v>
      </c>
      <c r="U210" s="1"/>
      <c r="V210" s="5">
        <f t="shared" si="85"/>
        <v>2.9448211043918682E-3</v>
      </c>
      <c r="W210" s="1"/>
      <c r="X210" s="1">
        <f t="shared" si="86"/>
        <v>-8500</v>
      </c>
      <c r="Y210" s="1"/>
      <c r="Z210" s="5">
        <f t="shared" si="87"/>
        <v>-0.50295857988165682</v>
      </c>
    </row>
    <row r="211" spans="1:26" s="24" customFormat="1" hidden="1" outlineLevel="2" x14ac:dyDescent="0.25">
      <c r="A211" s="28"/>
      <c r="B211" s="11" t="str">
        <f>CONCATENATE("          ", "6408", " - ", "INVENTORY ADJUSTMENT")</f>
        <v xml:space="preserve">          6408 - INVENTORY ADJUSTMENT</v>
      </c>
      <c r="C211" s="11"/>
      <c r="D211" s="6">
        <v>2100</v>
      </c>
      <c r="E211" s="2"/>
      <c r="F211" s="7">
        <f t="shared" si="80"/>
        <v>1.3116062223348674E-2</v>
      </c>
      <c r="G211" s="2"/>
      <c r="H211" s="6">
        <v>4250</v>
      </c>
      <c r="I211" s="2"/>
      <c r="J211" s="7">
        <f t="shared" si="81"/>
        <v>4.2146001404562584E-3</v>
      </c>
      <c r="K211" s="2"/>
      <c r="L211" s="6">
        <f t="shared" si="82"/>
        <v>-2150</v>
      </c>
      <c r="M211" s="2"/>
      <c r="N211" s="7">
        <f t="shared" si="83"/>
        <v>-0.50588235294117645</v>
      </c>
      <c r="O211" s="11"/>
      <c r="P211" s="6">
        <v>8400</v>
      </c>
      <c r="Q211" s="2"/>
      <c r="R211" s="7">
        <f t="shared" si="84"/>
        <v>3.5644622149670893E-3</v>
      </c>
      <c r="S211" s="2"/>
      <c r="T211" s="6">
        <v>16900</v>
      </c>
      <c r="U211" s="2"/>
      <c r="V211" s="7">
        <f t="shared" si="85"/>
        <v>2.9448211043918682E-3</v>
      </c>
      <c r="W211" s="2"/>
      <c r="X211" s="6">
        <f t="shared" si="86"/>
        <v>-8500</v>
      </c>
      <c r="Y211" s="2"/>
      <c r="Z211" s="7">
        <f t="shared" si="87"/>
        <v>-0.50295857988165682</v>
      </c>
    </row>
    <row r="212" spans="1:26" s="29" customFormat="1" outlineLevel="1" collapsed="1" x14ac:dyDescent="0.25">
      <c r="A212" s="27"/>
      <c r="B212" s="14" t="str">
        <f>CONCATENATE("     ","Professional Services                             ")</f>
        <v xml:space="preserve">     Professional Services                             </v>
      </c>
      <c r="C212" s="14"/>
      <c r="D212" s="1">
        <f>SUM(OSRRefD22_15x_0)</f>
        <v>0</v>
      </c>
      <c r="E212" s="1"/>
      <c r="F212" s="5">
        <f t="shared" si="80"/>
        <v>0</v>
      </c>
      <c r="G212" s="1"/>
      <c r="H212" s="1">
        <f>SUM(OSRRefH22_15x_0)</f>
        <v>0</v>
      </c>
      <c r="I212" s="1"/>
      <c r="J212" s="5">
        <f t="shared" si="81"/>
        <v>0</v>
      </c>
      <c r="K212" s="1"/>
      <c r="L212" s="1">
        <f t="shared" si="82"/>
        <v>0</v>
      </c>
      <c r="M212" s="1"/>
      <c r="N212" s="5">
        <f t="shared" si="83"/>
        <v>0</v>
      </c>
      <c r="O212" s="14"/>
      <c r="P212" s="1">
        <f>SUM(OSRRefP22_15x_0)</f>
        <v>0</v>
      </c>
      <c r="Q212" s="1"/>
      <c r="R212" s="5">
        <f t="shared" si="84"/>
        <v>0</v>
      </c>
      <c r="S212" s="1"/>
      <c r="T212" s="1">
        <f>SUM(OSRRefT22_15x_0)</f>
        <v>6158.41</v>
      </c>
      <c r="U212" s="1"/>
      <c r="V212" s="5">
        <f t="shared" si="85"/>
        <v>1.0731015229288713E-3</v>
      </c>
      <c r="W212" s="1"/>
      <c r="X212" s="1">
        <f t="shared" si="86"/>
        <v>-6158.41</v>
      </c>
      <c r="Y212" s="1"/>
      <c r="Z212" s="5">
        <f t="shared" si="87"/>
        <v>-1</v>
      </c>
    </row>
    <row r="213" spans="1:26" s="24" customFormat="1" hidden="1" outlineLevel="2" x14ac:dyDescent="0.25">
      <c r="A213" s="28"/>
      <c r="B213" s="11" t="str">
        <f>CONCATENATE("          ", "6336", " - ", "PROFESSIONAL SERVICES")</f>
        <v xml:space="preserve">          6336 - PROFESSIONAL SERVICES</v>
      </c>
      <c r="C213" s="11"/>
      <c r="D213" s="6"/>
      <c r="E213" s="2"/>
      <c r="F213" s="7">
        <f t="shared" si="80"/>
        <v>0</v>
      </c>
      <c r="G213" s="2"/>
      <c r="H213" s="6"/>
      <c r="I213" s="2"/>
      <c r="J213" s="7">
        <f t="shared" si="81"/>
        <v>0</v>
      </c>
      <c r="K213" s="2"/>
      <c r="L213" s="6">
        <f t="shared" si="82"/>
        <v>0</v>
      </c>
      <c r="M213" s="2"/>
      <c r="N213" s="7">
        <f t="shared" si="83"/>
        <v>0</v>
      </c>
      <c r="O213" s="11"/>
      <c r="P213" s="6"/>
      <c r="Q213" s="2"/>
      <c r="R213" s="7">
        <f t="shared" si="84"/>
        <v>0</v>
      </c>
      <c r="S213" s="2"/>
      <c r="T213" s="6">
        <v>6158.41</v>
      </c>
      <c r="U213" s="2"/>
      <c r="V213" s="7">
        <f t="shared" si="85"/>
        <v>1.0731015229288713E-3</v>
      </c>
      <c r="W213" s="2"/>
      <c r="X213" s="6">
        <f t="shared" si="86"/>
        <v>-6158.41</v>
      </c>
      <c r="Y213" s="2"/>
      <c r="Z213" s="7">
        <f t="shared" si="87"/>
        <v>-1</v>
      </c>
    </row>
    <row r="214" spans="1:26" s="29" customFormat="1" outlineLevel="1" collapsed="1" x14ac:dyDescent="0.25">
      <c r="A214" s="27"/>
      <c r="B214" s="14" t="str">
        <f>CONCATENATE("     ","Rent                                              ")</f>
        <v xml:space="preserve">     Rent                                              </v>
      </c>
      <c r="C214" s="14"/>
      <c r="D214" s="1">
        <f>SUM(OSRRefD22_16x_0)</f>
        <v>6100</v>
      </c>
      <c r="E214" s="1"/>
      <c r="F214" s="5">
        <f t="shared" si="80"/>
        <v>3.8099037886869962E-2</v>
      </c>
      <c r="G214" s="1"/>
      <c r="H214" s="1">
        <f>SUM(OSRRefH22_16x_0)</f>
        <v>7250</v>
      </c>
      <c r="I214" s="1"/>
      <c r="J214" s="5">
        <f t="shared" si="81"/>
        <v>7.1896120043077353E-3</v>
      </c>
      <c r="K214" s="1"/>
      <c r="L214" s="1">
        <f t="shared" si="82"/>
        <v>-1150</v>
      </c>
      <c r="M214" s="1"/>
      <c r="N214" s="5">
        <f t="shared" si="83"/>
        <v>-0.15862068965517243</v>
      </c>
      <c r="O214" s="14"/>
      <c r="P214" s="1">
        <f>SUM(OSRRefP22_16x_0)</f>
        <v>24400</v>
      </c>
      <c r="Q214" s="1"/>
      <c r="R214" s="5">
        <f t="shared" si="84"/>
        <v>1.0353914052999642E-2</v>
      </c>
      <c r="S214" s="1"/>
      <c r="T214" s="1">
        <f>SUM(OSRRefT22_16x_0)</f>
        <v>29000</v>
      </c>
      <c r="U214" s="1"/>
      <c r="V214" s="5">
        <f t="shared" si="85"/>
        <v>5.0532433152286494E-3</v>
      </c>
      <c r="W214" s="1"/>
      <c r="X214" s="1">
        <f t="shared" si="86"/>
        <v>-4600</v>
      </c>
      <c r="Y214" s="1"/>
      <c r="Z214" s="5">
        <f t="shared" si="87"/>
        <v>-0.15862068965517243</v>
      </c>
    </row>
    <row r="215" spans="1:26" s="24" customFormat="1" hidden="1" outlineLevel="2" x14ac:dyDescent="0.25">
      <c r="A215" s="28"/>
      <c r="B215" s="11" t="str">
        <f>CONCATENATE("          ", "6273", " - ", "RENT")</f>
        <v xml:space="preserve">          6273 - RENT</v>
      </c>
      <c r="C215" s="11"/>
      <c r="D215" s="6">
        <v>6100</v>
      </c>
      <c r="E215" s="2"/>
      <c r="F215" s="7">
        <f t="shared" si="80"/>
        <v>3.8099037886869962E-2</v>
      </c>
      <c r="G215" s="2"/>
      <c r="H215" s="6">
        <v>7250</v>
      </c>
      <c r="I215" s="2"/>
      <c r="J215" s="7">
        <f t="shared" si="81"/>
        <v>7.1896120043077353E-3</v>
      </c>
      <c r="K215" s="2"/>
      <c r="L215" s="6">
        <f t="shared" si="82"/>
        <v>-1150</v>
      </c>
      <c r="M215" s="2"/>
      <c r="N215" s="7">
        <f t="shared" si="83"/>
        <v>-0.15862068965517243</v>
      </c>
      <c r="O215" s="11"/>
      <c r="P215" s="6">
        <v>24400</v>
      </c>
      <c r="Q215" s="2"/>
      <c r="R215" s="7">
        <f t="shared" si="84"/>
        <v>1.0353914052999642E-2</v>
      </c>
      <c r="S215" s="2"/>
      <c r="T215" s="6">
        <v>29000</v>
      </c>
      <c r="U215" s="2"/>
      <c r="V215" s="7">
        <f t="shared" si="85"/>
        <v>5.0532433152286494E-3</v>
      </c>
      <c r="W215" s="2"/>
      <c r="X215" s="6">
        <f t="shared" si="86"/>
        <v>-4600</v>
      </c>
      <c r="Y215" s="2"/>
      <c r="Z215" s="7">
        <f t="shared" si="87"/>
        <v>-0.15862068965517243</v>
      </c>
    </row>
    <row r="216" spans="1:26" s="29" customFormat="1" outlineLevel="1" collapsed="1" x14ac:dyDescent="0.25">
      <c r="A216" s="27"/>
      <c r="B216" s="14" t="str">
        <f>CONCATENATE("     ","Repair and Maintenance                            ")</f>
        <v xml:space="preserve">     Repair and Maintenance                            </v>
      </c>
      <c r="C216" s="14"/>
      <c r="D216" s="1">
        <f>SUM(OSRRefD22_17x_0)</f>
        <v>11574.119999999999</v>
      </c>
      <c r="E216" s="1"/>
      <c r="F216" s="5">
        <f t="shared" si="80"/>
        <v>7.2288989571668738E-2</v>
      </c>
      <c r="G216" s="1"/>
      <c r="H216" s="1">
        <f>SUM(OSRRefH22_17x_0)</f>
        <v>17928.669999999998</v>
      </c>
      <c r="I216" s="1"/>
      <c r="J216" s="5">
        <f t="shared" si="81"/>
        <v>1.7779335317692685E-2</v>
      </c>
      <c r="K216" s="1"/>
      <c r="L216" s="1">
        <f t="shared" si="82"/>
        <v>-6354.5499999999993</v>
      </c>
      <c r="M216" s="1"/>
      <c r="N216" s="5">
        <f t="shared" si="83"/>
        <v>-0.35443510310580761</v>
      </c>
      <c r="O216" s="14"/>
      <c r="P216" s="1">
        <f>SUM(OSRRefP22_17x_0)</f>
        <v>99053.099999999991</v>
      </c>
      <c r="Q216" s="1"/>
      <c r="R216" s="5">
        <f t="shared" si="84"/>
        <v>4.2032265741113878E-2</v>
      </c>
      <c r="S216" s="1"/>
      <c r="T216" s="1">
        <f>SUM(OSRRefT22_17x_0)</f>
        <v>74739.11</v>
      </c>
      <c r="U216" s="1"/>
      <c r="V216" s="5">
        <f t="shared" si="85"/>
        <v>1.3023272689435818E-2</v>
      </c>
      <c r="W216" s="1"/>
      <c r="X216" s="1">
        <f t="shared" si="86"/>
        <v>24313.989999999991</v>
      </c>
      <c r="Y216" s="1"/>
      <c r="Z216" s="5">
        <f t="shared" si="87"/>
        <v>0.32531816340868913</v>
      </c>
    </row>
    <row r="217" spans="1:26" s="24" customFormat="1" hidden="1" outlineLevel="2" x14ac:dyDescent="0.25">
      <c r="A217" s="28"/>
      <c r="B217" s="11" t="str">
        <f>CONCATENATE("          ", "6371", " - ", "COMPUTER SOFTWARE MAINTENANCE")</f>
        <v xml:space="preserve">          6371 - COMPUTER SOFTWARE MAINTENANCE</v>
      </c>
      <c r="C217" s="11"/>
      <c r="D217" s="6">
        <v>7.69</v>
      </c>
      <c r="E217" s="2"/>
      <c r="F217" s="7">
        <f t="shared" si="80"/>
        <v>4.8029770713119671E-5</v>
      </c>
      <c r="G217" s="2"/>
      <c r="H217" s="6">
        <v>601</v>
      </c>
      <c r="I217" s="2"/>
      <c r="J217" s="7">
        <f t="shared" si="81"/>
        <v>5.9599404339157915E-4</v>
      </c>
      <c r="K217" s="2"/>
      <c r="L217" s="6">
        <f t="shared" si="82"/>
        <v>-593.30999999999995</v>
      </c>
      <c r="M217" s="2"/>
      <c r="N217" s="7">
        <f t="shared" si="83"/>
        <v>-0.98720465890183018</v>
      </c>
      <c r="O217" s="11"/>
      <c r="P217" s="6">
        <v>58436.47</v>
      </c>
      <c r="Q217" s="2"/>
      <c r="R217" s="7">
        <f t="shared" si="84"/>
        <v>2.4796974915602128E-2</v>
      </c>
      <c r="S217" s="2"/>
      <c r="T217" s="6">
        <v>14063.33</v>
      </c>
      <c r="U217" s="2"/>
      <c r="V217" s="7">
        <f t="shared" si="85"/>
        <v>2.4505320107708456E-3</v>
      </c>
      <c r="W217" s="2"/>
      <c r="X217" s="6">
        <f t="shared" si="86"/>
        <v>44373.14</v>
      </c>
      <c r="Y217" s="2"/>
      <c r="Z217" s="7">
        <f t="shared" si="87"/>
        <v>3.1552370597859825</v>
      </c>
    </row>
    <row r="218" spans="1:26" s="24" customFormat="1" hidden="1" outlineLevel="2" x14ac:dyDescent="0.25">
      <c r="A218" s="28"/>
      <c r="B218" s="11" t="str">
        <f>CONCATENATE("          ", "6372", " - ", "COMPUTER HARDWARE MAINTENANCE")</f>
        <v xml:space="preserve">          6372 - COMPUTER HARDWARE MAINTENANCE</v>
      </c>
      <c r="C218" s="11"/>
      <c r="D218" s="6">
        <v>8.11</v>
      </c>
      <c r="E218" s="2"/>
      <c r="F218" s="7">
        <f t="shared" si="80"/>
        <v>5.0652983157789402E-5</v>
      </c>
      <c r="G218" s="2"/>
      <c r="H218" s="6"/>
      <c r="I218" s="2"/>
      <c r="J218" s="7">
        <f t="shared" si="81"/>
        <v>0</v>
      </c>
      <c r="K218" s="2"/>
      <c r="L218" s="6">
        <f t="shared" si="82"/>
        <v>8.11</v>
      </c>
      <c r="M218" s="2"/>
      <c r="N218" s="7">
        <f t="shared" si="83"/>
        <v>0</v>
      </c>
      <c r="O218" s="11"/>
      <c r="P218" s="6">
        <v>0</v>
      </c>
      <c r="Q218" s="2"/>
      <c r="R218" s="7">
        <f t="shared" si="84"/>
        <v>0</v>
      </c>
      <c r="S218" s="2"/>
      <c r="T218" s="6"/>
      <c r="U218" s="2"/>
      <c r="V218" s="7">
        <f t="shared" si="85"/>
        <v>0</v>
      </c>
      <c r="W218" s="2"/>
      <c r="X218" s="6">
        <f t="shared" si="86"/>
        <v>0</v>
      </c>
      <c r="Y218" s="2"/>
      <c r="Z218" s="7">
        <f t="shared" si="87"/>
        <v>0</v>
      </c>
    </row>
    <row r="219" spans="1:26" s="24" customFormat="1" hidden="1" outlineLevel="2" x14ac:dyDescent="0.25">
      <c r="A219" s="28"/>
      <c r="B219" s="11" t="str">
        <f>CONCATENATE("          ", "6373", " - ", "MAINTENANCE CONTRACTS")</f>
        <v xml:space="preserve">          6373 - MAINTENANCE CONTRACTS</v>
      </c>
      <c r="C219" s="11"/>
      <c r="D219" s="6">
        <v>5396.67</v>
      </c>
      <c r="E219" s="2"/>
      <c r="F219" s="7">
        <f t="shared" si="80"/>
        <v>3.3706218818513857E-2</v>
      </c>
      <c r="G219" s="2"/>
      <c r="H219" s="6">
        <v>11613.32</v>
      </c>
      <c r="I219" s="2"/>
      <c r="J219" s="7">
        <f t="shared" si="81"/>
        <v>1.1516588259567877E-2</v>
      </c>
      <c r="K219" s="2"/>
      <c r="L219" s="6">
        <f t="shared" si="82"/>
        <v>-6216.65</v>
      </c>
      <c r="M219" s="2"/>
      <c r="N219" s="7">
        <f t="shared" si="83"/>
        <v>-0.53530342744365955</v>
      </c>
      <c r="O219" s="11"/>
      <c r="P219" s="6">
        <v>31240.870000000003</v>
      </c>
      <c r="Q219" s="2"/>
      <c r="R219" s="7">
        <f t="shared" si="84"/>
        <v>1.325677389020225E-2</v>
      </c>
      <c r="S219" s="2"/>
      <c r="T219" s="6">
        <v>30661.510000000002</v>
      </c>
      <c r="U219" s="2"/>
      <c r="V219" s="7">
        <f t="shared" si="85"/>
        <v>5.3427610497350482E-3</v>
      </c>
      <c r="W219" s="2"/>
      <c r="X219" s="6">
        <f t="shared" si="86"/>
        <v>579.36000000000058</v>
      </c>
      <c r="Y219" s="2"/>
      <c r="Z219" s="7">
        <f t="shared" si="87"/>
        <v>1.8895351207425876E-2</v>
      </c>
    </row>
    <row r="220" spans="1:26" s="24" customFormat="1" hidden="1" outlineLevel="2" x14ac:dyDescent="0.25">
      <c r="A220" s="28"/>
      <c r="B220" s="11" t="str">
        <f>CONCATENATE("          ", "6375", " - ", "OUTSIDE REPAIRS &amp; MAINTENANCE")</f>
        <v xml:space="preserve">          6375 - OUTSIDE REPAIRS &amp; MAINTENANCE</v>
      </c>
      <c r="C220" s="11"/>
      <c r="D220" s="6">
        <v>6161.65</v>
      </c>
      <c r="E220" s="2"/>
      <c r="F220" s="7">
        <f t="shared" si="80"/>
        <v>3.8484087999283982E-2</v>
      </c>
      <c r="G220" s="2"/>
      <c r="H220" s="6">
        <v>5714.35</v>
      </c>
      <c r="I220" s="2"/>
      <c r="J220" s="7">
        <f t="shared" si="81"/>
        <v>5.6667530147332295E-3</v>
      </c>
      <c r="K220" s="2"/>
      <c r="L220" s="6">
        <f t="shared" si="82"/>
        <v>447.29999999999927</v>
      </c>
      <c r="M220" s="2"/>
      <c r="N220" s="7">
        <f t="shared" si="83"/>
        <v>7.8276619388031751E-2</v>
      </c>
      <c r="O220" s="11"/>
      <c r="P220" s="6">
        <v>9375.76</v>
      </c>
      <c r="Q220" s="2"/>
      <c r="R220" s="7">
        <f t="shared" si="84"/>
        <v>3.9785169353095048E-3</v>
      </c>
      <c r="S220" s="2"/>
      <c r="T220" s="6">
        <v>30014.27</v>
      </c>
      <c r="U220" s="2"/>
      <c r="V220" s="7">
        <f t="shared" si="85"/>
        <v>5.2299796289299247E-3</v>
      </c>
      <c r="W220" s="2"/>
      <c r="X220" s="6">
        <f t="shared" si="86"/>
        <v>-20638.510000000002</v>
      </c>
      <c r="Y220" s="2"/>
      <c r="Z220" s="7">
        <f t="shared" si="87"/>
        <v>-0.68762325387224155</v>
      </c>
    </row>
    <row r="221" spans="1:26" s="29" customFormat="1" outlineLevel="1" collapsed="1" x14ac:dyDescent="0.25">
      <c r="A221" s="27"/>
      <c r="B221" s="14" t="str">
        <f>CONCATENATE("     ","Royalty &amp; Commissions                             ")</f>
        <v xml:space="preserve">     Royalty &amp; Commissions                             </v>
      </c>
      <c r="C221" s="14"/>
      <c r="D221" s="1">
        <f>SUM(OSRRefD22_18x_0)</f>
        <v>10995.7</v>
      </c>
      <c r="E221" s="1"/>
      <c r="F221" s="5">
        <f t="shared" ref="F221:F224" si="88">IF(D$12=0,0,D221/D$12)</f>
        <v>6.8676326375845254E-2</v>
      </c>
      <c r="G221" s="1"/>
      <c r="H221" s="1">
        <f>SUM(OSRRefH22_18x_0)</f>
        <v>12626.66</v>
      </c>
      <c r="I221" s="1"/>
      <c r="J221" s="5">
        <f t="shared" ref="J221:J224" si="89">IF(H$12=0,0,H221/H$12)</f>
        <v>1.2521487766939629E-2</v>
      </c>
      <c r="K221" s="1"/>
      <c r="L221" s="1">
        <f t="shared" ref="L221:L224" si="90">+D221-H221</f>
        <v>-1630.9599999999991</v>
      </c>
      <c r="M221" s="1"/>
      <c r="N221" s="5">
        <f t="shared" ref="N221:N224" si="91">IF(H221=0,0,L221/H221)</f>
        <v>-0.12916796682574799</v>
      </c>
      <c r="O221" s="14"/>
      <c r="P221" s="1">
        <f>SUM(OSRRefP22_18x_0)</f>
        <v>24302.7</v>
      </c>
      <c r="Q221" s="1"/>
      <c r="R221" s="5">
        <f t="shared" ref="R221:R224" si="92">IF(P$12=0,0,P221/P$12)</f>
        <v>1.0312625699009606E-2</v>
      </c>
      <c r="S221" s="1"/>
      <c r="T221" s="1">
        <f>SUM(OSRRefT22_18x_0)</f>
        <v>37752.550000000003</v>
      </c>
      <c r="U221" s="1"/>
      <c r="V221" s="5">
        <f t="shared" ref="V221:V224" si="93">IF(T$12=0,0,T221/T$12)</f>
        <v>6.5783731351839788E-3</v>
      </c>
      <c r="W221" s="1"/>
      <c r="X221" s="1">
        <f t="shared" ref="X221:X224" si="94">+P221-T221</f>
        <v>-13449.850000000002</v>
      </c>
      <c r="Y221" s="1"/>
      <c r="Z221" s="5">
        <f t="shared" ref="Z221:Z224" si="95">IF(T221=0,0,X221/T221)</f>
        <v>-0.35626335174710055</v>
      </c>
    </row>
    <row r="222" spans="1:26" s="24" customFormat="1" hidden="1" outlineLevel="2" x14ac:dyDescent="0.25">
      <c r="A222" s="28"/>
      <c r="B222" s="11" t="str">
        <f>CONCATENATE("          ", "6253", " - ", "ROYALTY DUE ATHLETICS-LRG")</f>
        <v xml:space="preserve">          6253 - ROYALTY DUE ATHLETICS-LRG</v>
      </c>
      <c r="C222" s="11"/>
      <c r="D222" s="6">
        <v>10489.6</v>
      </c>
      <c r="E222" s="2"/>
      <c r="F222" s="7">
        <f t="shared" si="88"/>
        <v>6.5515355380018223E-2</v>
      </c>
      <c r="G222" s="2"/>
      <c r="H222" s="6"/>
      <c r="I222" s="2"/>
      <c r="J222" s="7">
        <f t="shared" si="89"/>
        <v>0</v>
      </c>
      <c r="K222" s="2"/>
      <c r="L222" s="6">
        <f t="shared" si="90"/>
        <v>10489.6</v>
      </c>
      <c r="M222" s="2"/>
      <c r="N222" s="7">
        <f t="shared" si="91"/>
        <v>0</v>
      </c>
      <c r="O222" s="11"/>
      <c r="P222" s="6">
        <v>18411.8</v>
      </c>
      <c r="Q222" s="2"/>
      <c r="R222" s="7">
        <f t="shared" si="92"/>
        <v>7.8128768344679824E-3</v>
      </c>
      <c r="S222" s="2"/>
      <c r="T222" s="6">
        <v>4366.95</v>
      </c>
      <c r="U222" s="2"/>
      <c r="V222" s="7">
        <f t="shared" si="93"/>
        <v>7.6094003087716388E-4</v>
      </c>
      <c r="W222" s="2"/>
      <c r="X222" s="6">
        <f t="shared" si="94"/>
        <v>14044.849999999999</v>
      </c>
      <c r="Y222" s="2"/>
      <c r="Z222" s="7">
        <f t="shared" si="95"/>
        <v>3.216169179862375</v>
      </c>
    </row>
    <row r="223" spans="1:26" s="24" customFormat="1" hidden="1" outlineLevel="2" x14ac:dyDescent="0.25">
      <c r="A223" s="28"/>
      <c r="B223" s="11" t="str">
        <f>CONCATENATE("          ", "6254", " - ", "ROYALTY &amp; COMMISSIONS")</f>
        <v xml:space="preserve">          6254 - ROYALTY &amp; COMMISSIONS</v>
      </c>
      <c r="C223" s="11"/>
      <c r="D223" s="6">
        <v>185.7</v>
      </c>
      <c r="E223" s="2"/>
      <c r="F223" s="7">
        <f t="shared" si="88"/>
        <v>1.1598346451789756E-3</v>
      </c>
      <c r="G223" s="2"/>
      <c r="H223" s="6">
        <v>882.02</v>
      </c>
      <c r="I223" s="2"/>
      <c r="J223" s="7">
        <f t="shared" si="89"/>
        <v>8.7467332138475981E-4</v>
      </c>
      <c r="K223" s="2"/>
      <c r="L223" s="6">
        <f t="shared" si="90"/>
        <v>-696.31999999999994</v>
      </c>
      <c r="M223" s="2"/>
      <c r="N223" s="7">
        <f t="shared" si="91"/>
        <v>-0.78946055644996704</v>
      </c>
      <c r="O223" s="11"/>
      <c r="P223" s="6">
        <v>185.7</v>
      </c>
      <c r="Q223" s="2"/>
      <c r="R223" s="7">
        <f t="shared" si="92"/>
        <v>7.8800075395165294E-5</v>
      </c>
      <c r="S223" s="2"/>
      <c r="T223" s="6">
        <v>7171.34</v>
      </c>
      <c r="U223" s="2"/>
      <c r="V223" s="7">
        <f t="shared" si="93"/>
        <v>1.2496043419390284E-3</v>
      </c>
      <c r="W223" s="2"/>
      <c r="X223" s="6">
        <f t="shared" si="94"/>
        <v>-6985.64</v>
      </c>
      <c r="Y223" s="2"/>
      <c r="Z223" s="7">
        <f t="shared" si="95"/>
        <v>-0.97410525787370283</v>
      </c>
    </row>
    <row r="224" spans="1:26" s="24" customFormat="1" hidden="1" outlineLevel="2" x14ac:dyDescent="0.25">
      <c r="A224" s="28"/>
      <c r="B224" s="11" t="str">
        <f>CONCATENATE("          ", "6259", " - ", "ROYALTY &amp; COMMISSIONS")</f>
        <v xml:space="preserve">          6259 - ROYALTY &amp; COMMISSIONS</v>
      </c>
      <c r="C224" s="11"/>
      <c r="D224" s="6">
        <v>320.39999999999998</v>
      </c>
      <c r="E224" s="2"/>
      <c r="F224" s="7">
        <f t="shared" si="88"/>
        <v>2.0011363506480546E-3</v>
      </c>
      <c r="G224" s="2"/>
      <c r="H224" s="6">
        <v>11744.64</v>
      </c>
      <c r="I224" s="2"/>
      <c r="J224" s="7">
        <f t="shared" si="89"/>
        <v>1.1646814445554869E-2</v>
      </c>
      <c r="K224" s="2"/>
      <c r="L224" s="6">
        <f t="shared" si="90"/>
        <v>-11424.24</v>
      </c>
      <c r="M224" s="2"/>
      <c r="N224" s="7">
        <f t="shared" si="91"/>
        <v>-0.97271947032859252</v>
      </c>
      <c r="O224" s="11"/>
      <c r="P224" s="6">
        <v>5705.2</v>
      </c>
      <c r="Q224" s="2"/>
      <c r="R224" s="7">
        <f t="shared" si="92"/>
        <v>2.420948789146457E-3</v>
      </c>
      <c r="S224" s="2"/>
      <c r="T224" s="6">
        <v>26214.26</v>
      </c>
      <c r="U224" s="2"/>
      <c r="V224" s="7">
        <f t="shared" si="93"/>
        <v>4.5678287623677856E-3</v>
      </c>
      <c r="W224" s="2"/>
      <c r="X224" s="6">
        <f t="shared" si="94"/>
        <v>-20509.059999999998</v>
      </c>
      <c r="Y224" s="2"/>
      <c r="Z224" s="7">
        <f t="shared" si="95"/>
        <v>-0.78236272929314044</v>
      </c>
    </row>
    <row r="225" spans="1:26" s="29" customFormat="1" outlineLevel="1" collapsed="1" x14ac:dyDescent="0.25">
      <c r="A225" s="27"/>
      <c r="B225" s="14" t="str">
        <f>CONCATENATE("     ","Services                                          ")</f>
        <v xml:space="preserve">     Services                                          </v>
      </c>
      <c r="C225" s="14"/>
      <c r="D225" s="1">
        <f>SUM(OSRRefD22_19x_0)</f>
        <v>4526.42</v>
      </c>
      <c r="E225" s="1"/>
      <c r="F225" s="5">
        <f t="shared" ref="F225:F230" si="96">IF(D$12=0,0,D225/D$12)</f>
        <v>2.8270860175719004E-2</v>
      </c>
      <c r="G225" s="1"/>
      <c r="H225" s="1">
        <f>SUM(OSRRefH22_19x_0)</f>
        <v>6847.4000000000005</v>
      </c>
      <c r="I225" s="1"/>
      <c r="J225" s="5">
        <f t="shared" ref="J225:J230" si="97">IF(H$12=0,0,H225/H$12)</f>
        <v>6.7903654121788679E-3</v>
      </c>
      <c r="K225" s="1"/>
      <c r="L225" s="1">
        <f t="shared" ref="L225:L230" si="98">+D225-H225</f>
        <v>-2320.9800000000005</v>
      </c>
      <c r="M225" s="1"/>
      <c r="N225" s="5">
        <f t="shared" ref="N225:N230" si="99">IF(H225=0,0,L225/H225)</f>
        <v>-0.33895785261559136</v>
      </c>
      <c r="O225" s="14"/>
      <c r="P225" s="1">
        <f>SUM(OSRRefP22_19x_0)</f>
        <v>11816.43</v>
      </c>
      <c r="Q225" s="1"/>
      <c r="R225" s="5">
        <f t="shared" ref="R225:R230" si="100">IF(P$12=0,0,P225/P$12)</f>
        <v>5.0141926489051863E-3</v>
      </c>
      <c r="S225" s="1"/>
      <c r="T225" s="1">
        <f>SUM(OSRRefT22_19x_0)</f>
        <v>25036.36</v>
      </c>
      <c r="U225" s="1"/>
      <c r="V225" s="5">
        <f t="shared" ref="V225:V230" si="101">IF(T$12=0,0,T225/T$12)</f>
        <v>4.3625799588847573E-3</v>
      </c>
      <c r="W225" s="1"/>
      <c r="X225" s="1">
        <f t="shared" ref="X225:X230" si="102">+P225-T225</f>
        <v>-13219.93</v>
      </c>
      <c r="Y225" s="1"/>
      <c r="Z225" s="5">
        <f t="shared" ref="Z225:Z230" si="103">IF(T225=0,0,X225/T225)</f>
        <v>-0.52802923428166071</v>
      </c>
    </row>
    <row r="226" spans="1:26" s="24" customFormat="1" hidden="1" outlineLevel="2" x14ac:dyDescent="0.25">
      <c r="A226" s="28"/>
      <c r="B226" s="11" t="str">
        <f>CONCATENATE("          ", "6282", " - ", "JANITORIAL/EXTERMINATOR EXPENS")</f>
        <v xml:space="preserve">          6282 - JANITORIAL/EXTERMINATOR EXPENS</v>
      </c>
      <c r="C226" s="11"/>
      <c r="D226" s="6">
        <v>4888.68</v>
      </c>
      <c r="E226" s="2"/>
      <c r="F226" s="7">
        <f t="shared" si="96"/>
        <v>3.0533443366685811E-2</v>
      </c>
      <c r="G226" s="2"/>
      <c r="H226" s="6">
        <v>711.24</v>
      </c>
      <c r="I226" s="2"/>
      <c r="J226" s="7">
        <f t="shared" si="97"/>
        <v>7.0531581268190808E-4</v>
      </c>
      <c r="K226" s="2"/>
      <c r="L226" s="6">
        <f t="shared" si="98"/>
        <v>4177.4400000000005</v>
      </c>
      <c r="M226" s="2"/>
      <c r="N226" s="7">
        <f t="shared" si="99"/>
        <v>5.8734604352961028</v>
      </c>
      <c r="O226" s="11"/>
      <c r="P226" s="6">
        <v>4903.46</v>
      </c>
      <c r="Q226" s="2"/>
      <c r="R226" s="7">
        <f t="shared" si="100"/>
        <v>2.0807378443574434E-3</v>
      </c>
      <c r="S226" s="2"/>
      <c r="T226" s="6">
        <v>3645.4</v>
      </c>
      <c r="U226" s="2"/>
      <c r="V226" s="7">
        <f t="shared" si="101"/>
        <v>6.3521010970119039E-4</v>
      </c>
      <c r="W226" s="2"/>
      <c r="X226" s="6">
        <f t="shared" si="102"/>
        <v>1258.06</v>
      </c>
      <c r="Y226" s="2"/>
      <c r="Z226" s="7">
        <f t="shared" si="103"/>
        <v>0.34510890437263397</v>
      </c>
    </row>
    <row r="227" spans="1:26" s="24" customFormat="1" hidden="1" outlineLevel="2" x14ac:dyDescent="0.25">
      <c r="A227" s="28"/>
      <c r="B227" s="11" t="str">
        <f>CONCATENATE("          ", "6283", " - ", "PLANT SERVICE")</f>
        <v xml:space="preserve">          6283 - PLANT SERVICE</v>
      </c>
      <c r="C227" s="11"/>
      <c r="D227" s="6"/>
      <c r="E227" s="2"/>
      <c r="F227" s="7">
        <f t="shared" si="96"/>
        <v>0</v>
      </c>
      <c r="G227" s="2"/>
      <c r="H227" s="6"/>
      <c r="I227" s="2"/>
      <c r="J227" s="7">
        <f t="shared" si="97"/>
        <v>0</v>
      </c>
      <c r="K227" s="2"/>
      <c r="L227" s="6">
        <f t="shared" si="98"/>
        <v>0</v>
      </c>
      <c r="M227" s="2"/>
      <c r="N227" s="7">
        <f t="shared" si="99"/>
        <v>0</v>
      </c>
      <c r="O227" s="11"/>
      <c r="P227" s="6">
        <v>130</v>
      </c>
      <c r="Q227" s="2"/>
      <c r="R227" s="7">
        <f t="shared" si="100"/>
        <v>5.5164296184014478E-5</v>
      </c>
      <c r="S227" s="2"/>
      <c r="T227" s="6">
        <v>541.98</v>
      </c>
      <c r="U227" s="2"/>
      <c r="V227" s="7">
        <f t="shared" si="101"/>
        <v>9.4439890068538751E-5</v>
      </c>
      <c r="W227" s="2"/>
      <c r="X227" s="6">
        <f t="shared" si="102"/>
        <v>-411.98</v>
      </c>
      <c r="Y227" s="2"/>
      <c r="Z227" s="7">
        <f t="shared" si="103"/>
        <v>-0.76013875050739876</v>
      </c>
    </row>
    <row r="228" spans="1:26" s="24" customFormat="1" hidden="1" outlineLevel="2" x14ac:dyDescent="0.25">
      <c r="A228" s="28"/>
      <c r="B228" s="11" t="str">
        <f>CONCATENATE("          ", "6284", " - ", "TRASH REMOVAL EXPENSE")</f>
        <v xml:space="preserve">          6284 - TRASH REMOVAL EXPENSE</v>
      </c>
      <c r="C228" s="11"/>
      <c r="D228" s="6">
        <v>157.59</v>
      </c>
      <c r="E228" s="2"/>
      <c r="F228" s="7">
        <f t="shared" si="96"/>
        <v>9.8426678370357981E-4</v>
      </c>
      <c r="G228" s="2"/>
      <c r="H228" s="6">
        <v>371.82</v>
      </c>
      <c r="I228" s="2"/>
      <c r="J228" s="7">
        <f t="shared" si="97"/>
        <v>3.6872297040575205E-4</v>
      </c>
      <c r="K228" s="2"/>
      <c r="L228" s="6">
        <f t="shared" si="98"/>
        <v>-214.23</v>
      </c>
      <c r="M228" s="2"/>
      <c r="N228" s="7">
        <f t="shared" si="99"/>
        <v>-0.57616588671938029</v>
      </c>
      <c r="O228" s="11"/>
      <c r="P228" s="6">
        <v>585.29999999999995</v>
      </c>
      <c r="Q228" s="2"/>
      <c r="R228" s="7">
        <f t="shared" si="100"/>
        <v>2.4836663505002827E-4</v>
      </c>
      <c r="S228" s="2"/>
      <c r="T228" s="6">
        <v>1250.28</v>
      </c>
      <c r="U228" s="2"/>
      <c r="V228" s="7">
        <f t="shared" si="101"/>
        <v>2.1786100179876125E-4</v>
      </c>
      <c r="W228" s="2"/>
      <c r="X228" s="6">
        <f t="shared" si="102"/>
        <v>-664.98</v>
      </c>
      <c r="Y228" s="2"/>
      <c r="Z228" s="7">
        <f t="shared" si="103"/>
        <v>-0.53186486227085139</v>
      </c>
    </row>
    <row r="229" spans="1:26" s="24" customFormat="1" hidden="1" outlineLevel="2" x14ac:dyDescent="0.25">
      <c r="A229" s="28"/>
      <c r="B229" s="11" t="str">
        <f>CONCATENATE("          ", "6285", " - ", "JANITORIAL SERVICES")</f>
        <v xml:space="preserve">          6285 - JANITORIAL SERVICES</v>
      </c>
      <c r="C229" s="11"/>
      <c r="D229" s="6">
        <v>-519.85</v>
      </c>
      <c r="E229" s="2"/>
      <c r="F229" s="7">
        <f t="shared" si="96"/>
        <v>-3.2468499746703852E-3</v>
      </c>
      <c r="G229" s="2"/>
      <c r="H229" s="6">
        <v>4971.63</v>
      </c>
      <c r="I229" s="2"/>
      <c r="J229" s="7">
        <f t="shared" si="97"/>
        <v>4.9302194108933059E-3</v>
      </c>
      <c r="K229" s="2"/>
      <c r="L229" s="6">
        <f t="shared" si="98"/>
        <v>-5491.4800000000005</v>
      </c>
      <c r="M229" s="2"/>
      <c r="N229" s="7">
        <f t="shared" si="99"/>
        <v>-1.1045632921194861</v>
      </c>
      <c r="O229" s="11"/>
      <c r="P229" s="6">
        <v>6197.67</v>
      </c>
      <c r="Q229" s="2"/>
      <c r="R229" s="7">
        <f t="shared" si="100"/>
        <v>2.6299238733137002E-3</v>
      </c>
      <c r="S229" s="2"/>
      <c r="T229" s="6">
        <v>16625.96</v>
      </c>
      <c r="U229" s="2"/>
      <c r="V229" s="7">
        <f t="shared" si="101"/>
        <v>2.8970696975606524E-3</v>
      </c>
      <c r="W229" s="2"/>
      <c r="X229" s="6">
        <f t="shared" si="102"/>
        <v>-10428.289999999999</v>
      </c>
      <c r="Y229" s="2"/>
      <c r="Z229" s="7">
        <f t="shared" si="103"/>
        <v>-0.62722934495211102</v>
      </c>
    </row>
    <row r="230" spans="1:26" s="24" customFormat="1" hidden="1" outlineLevel="2" x14ac:dyDescent="0.25">
      <c r="A230" s="28"/>
      <c r="B230" s="11" t="str">
        <f>CONCATENATE("          ", "6286", " - ", "LAUNDRY EXPENSE")</f>
        <v xml:space="preserve">          6286 - LAUNDRY EXPENSE</v>
      </c>
      <c r="C230" s="11"/>
      <c r="D230" s="6"/>
      <c r="E230" s="2"/>
      <c r="F230" s="7">
        <f t="shared" si="96"/>
        <v>0</v>
      </c>
      <c r="G230" s="2"/>
      <c r="H230" s="6">
        <v>792.71</v>
      </c>
      <c r="I230" s="2"/>
      <c r="J230" s="7">
        <f t="shared" si="97"/>
        <v>7.8610721819790145E-4</v>
      </c>
      <c r="K230" s="2"/>
      <c r="L230" s="6">
        <f t="shared" si="98"/>
        <v>-792.71</v>
      </c>
      <c r="M230" s="2"/>
      <c r="N230" s="7">
        <f t="shared" si="99"/>
        <v>-1</v>
      </c>
      <c r="O230" s="11"/>
      <c r="P230" s="6"/>
      <c r="Q230" s="2"/>
      <c r="R230" s="7">
        <f t="shared" si="100"/>
        <v>0</v>
      </c>
      <c r="S230" s="2"/>
      <c r="T230" s="6">
        <v>2972.74</v>
      </c>
      <c r="U230" s="2"/>
      <c r="V230" s="7">
        <f t="shared" si="101"/>
        <v>5.1799925975561426E-4</v>
      </c>
      <c r="W230" s="2"/>
      <c r="X230" s="6">
        <f t="shared" si="102"/>
        <v>-2972.74</v>
      </c>
      <c r="Y230" s="2"/>
      <c r="Z230" s="7">
        <f t="shared" si="103"/>
        <v>-1</v>
      </c>
    </row>
    <row r="231" spans="1:26" s="29" customFormat="1" outlineLevel="1" collapsed="1" x14ac:dyDescent="0.25">
      <c r="A231" s="27"/>
      <c r="B231" s="14" t="str">
        <f>CONCATENATE("     ","Subscriptions &amp; Dues                              ")</f>
        <v xml:space="preserve">     Subscriptions &amp; Dues                              </v>
      </c>
      <c r="C231" s="14"/>
      <c r="D231" s="1">
        <f>SUM(OSRRefD22_20x_0)</f>
        <v>865.32</v>
      </c>
      <c r="E231" s="1"/>
      <c r="F231" s="5">
        <f t="shared" ref="F231:F233" si="104">IF(D$12=0,0,D231/D$12)</f>
        <v>5.4045671252895599E-3</v>
      </c>
      <c r="G231" s="1"/>
      <c r="H231" s="1">
        <f>SUM(OSRRefH22_20x_0)</f>
        <v>519.95000000000005</v>
      </c>
      <c r="I231" s="1"/>
      <c r="J231" s="5">
        <f t="shared" ref="J231:J233" si="105">IF(H$12=0,0,H231/H$12)</f>
        <v>5.1561913953652517E-4</v>
      </c>
      <c r="K231" s="1"/>
      <c r="L231" s="1">
        <f t="shared" ref="L231:L233" si="106">+D231-H231</f>
        <v>345.37</v>
      </c>
      <c r="M231" s="1"/>
      <c r="N231" s="5">
        <f t="shared" ref="N231:N233" si="107">IF(H231=0,0,L231/H231)</f>
        <v>0.66423694586017878</v>
      </c>
      <c r="O231" s="14"/>
      <c r="P231" s="1">
        <f>SUM(OSRRefP22_20x_0)</f>
        <v>1649.09</v>
      </c>
      <c r="Q231" s="1"/>
      <c r="R231" s="5">
        <f t="shared" ref="R231:R233" si="108">IF(P$12=0,0,P231/P$12)</f>
        <v>6.9977607072381877E-4</v>
      </c>
      <c r="S231" s="1"/>
      <c r="T231" s="1">
        <f>SUM(OSRRefT22_20x_0)</f>
        <v>2748</v>
      </c>
      <c r="U231" s="1"/>
      <c r="V231" s="5">
        <f t="shared" ref="V231:V233" si="109">IF(T$12=0,0,T231/T$12)</f>
        <v>4.7883836656028721E-4</v>
      </c>
      <c r="W231" s="1"/>
      <c r="X231" s="1">
        <f t="shared" ref="X231:X233" si="110">+P231-T231</f>
        <v>-1098.9100000000001</v>
      </c>
      <c r="Y231" s="1"/>
      <c r="Z231" s="5">
        <f t="shared" ref="Z231:Z233" si="111">IF(T231=0,0,X231/T231)</f>
        <v>-0.3998944687045124</v>
      </c>
    </row>
    <row r="232" spans="1:26" s="24" customFormat="1" hidden="1" outlineLevel="2" x14ac:dyDescent="0.25">
      <c r="A232" s="28"/>
      <c r="B232" s="11" t="str">
        <f>CONCATENATE("          ", "6258", " - ", "MEMBERSHIP DUES")</f>
        <v xml:space="preserve">          6258 - MEMBERSHIP DUES</v>
      </c>
      <c r="C232" s="11"/>
      <c r="D232" s="6">
        <v>790.32</v>
      </c>
      <c r="E232" s="2"/>
      <c r="F232" s="7">
        <f t="shared" si="104"/>
        <v>4.9361363315985358E-3</v>
      </c>
      <c r="G232" s="2"/>
      <c r="H232" s="6">
        <v>268.55</v>
      </c>
      <c r="I232" s="2"/>
      <c r="J232" s="7">
        <f t="shared" si="105"/>
        <v>2.663131453457714E-4</v>
      </c>
      <c r="K232" s="2"/>
      <c r="L232" s="6">
        <f t="shared" si="106"/>
        <v>521.77</v>
      </c>
      <c r="M232" s="2"/>
      <c r="N232" s="7">
        <f t="shared" si="107"/>
        <v>1.9429156581642151</v>
      </c>
      <c r="O232" s="11"/>
      <c r="P232" s="6">
        <v>1423.36</v>
      </c>
      <c r="Q232" s="2"/>
      <c r="R232" s="7">
        <f t="shared" si="108"/>
        <v>6.0398963551137571E-4</v>
      </c>
      <c r="S232" s="2"/>
      <c r="T232" s="6">
        <v>1177.4000000000001</v>
      </c>
      <c r="U232" s="2"/>
      <c r="V232" s="7">
        <f t="shared" si="109"/>
        <v>2.0516167859828321E-4</v>
      </c>
      <c r="W232" s="2"/>
      <c r="X232" s="6">
        <f t="shared" si="110"/>
        <v>245.95999999999981</v>
      </c>
      <c r="Y232" s="2"/>
      <c r="Z232" s="7">
        <f t="shared" si="111"/>
        <v>0.2089009682350941</v>
      </c>
    </row>
    <row r="233" spans="1:26" s="24" customFormat="1" hidden="1" outlineLevel="2" x14ac:dyDescent="0.25">
      <c r="A233" s="28"/>
      <c r="B233" s="11" t="str">
        <f>CONCATENATE("          ", "6275", " - ", "SUBSCRIPTIONS")</f>
        <v xml:space="preserve">          6275 - SUBSCRIPTIONS</v>
      </c>
      <c r="C233" s="11"/>
      <c r="D233" s="6">
        <v>75</v>
      </c>
      <c r="E233" s="2"/>
      <c r="F233" s="7">
        <f t="shared" si="104"/>
        <v>4.6843079369102408E-4</v>
      </c>
      <c r="G233" s="2"/>
      <c r="H233" s="6">
        <v>251.4</v>
      </c>
      <c r="I233" s="2"/>
      <c r="J233" s="7">
        <f t="shared" si="105"/>
        <v>2.4930599419075377E-4</v>
      </c>
      <c r="K233" s="2"/>
      <c r="L233" s="6">
        <f t="shared" si="106"/>
        <v>-176.4</v>
      </c>
      <c r="M233" s="2"/>
      <c r="N233" s="7">
        <f t="shared" si="107"/>
        <v>-0.70167064439140814</v>
      </c>
      <c r="O233" s="11"/>
      <c r="P233" s="6">
        <v>225.73</v>
      </c>
      <c r="Q233" s="2"/>
      <c r="R233" s="7">
        <f t="shared" si="108"/>
        <v>9.5786435212442982E-5</v>
      </c>
      <c r="S233" s="2"/>
      <c r="T233" s="6">
        <v>1570.6</v>
      </c>
      <c r="U233" s="2"/>
      <c r="V233" s="7">
        <f t="shared" si="109"/>
        <v>2.7367668796200403E-4</v>
      </c>
      <c r="W233" s="2"/>
      <c r="X233" s="6">
        <f t="shared" si="110"/>
        <v>-1344.87</v>
      </c>
      <c r="Y233" s="2"/>
      <c r="Z233" s="7">
        <f t="shared" si="111"/>
        <v>-0.85627785559658731</v>
      </c>
    </row>
    <row r="234" spans="1:26" s="29" customFormat="1" outlineLevel="1" collapsed="1" x14ac:dyDescent="0.25">
      <c r="A234" s="27"/>
      <c r="B234" s="14" t="str">
        <f>CONCATENATE("     ","Supplies                                          ")</f>
        <v xml:space="preserve">     Supplies                                          </v>
      </c>
      <c r="C234" s="14"/>
      <c r="D234" s="1">
        <f>SUM(OSRRefD22_21x_0)</f>
        <v>23249.799999999996</v>
      </c>
      <c r="E234" s="1"/>
      <c r="F234" s="5">
        <f t="shared" ref="F234:F241" si="112">IF(D$12=0,0,D234/D$12)</f>
        <v>0.14521229689543427</v>
      </c>
      <c r="G234" s="1"/>
      <c r="H234" s="1">
        <f>SUM(OSRRefH22_21x_0)</f>
        <v>13341.48</v>
      </c>
      <c r="I234" s="1"/>
      <c r="J234" s="5">
        <f t="shared" ref="J234:J241" si="113">IF(H$12=0,0,H234/H$12)</f>
        <v>1.3230353760445733E-2</v>
      </c>
      <c r="K234" s="1"/>
      <c r="L234" s="1">
        <f t="shared" ref="L234:L241" si="114">+D234-H234</f>
        <v>9908.3199999999961</v>
      </c>
      <c r="M234" s="1"/>
      <c r="N234" s="5">
        <f t="shared" ref="N234:N241" si="115">IF(H234=0,0,L234/H234)</f>
        <v>0.7426702284903921</v>
      </c>
      <c r="O234" s="14"/>
      <c r="P234" s="1">
        <f>SUM(OSRRefP22_21x_0)</f>
        <v>57693.03</v>
      </c>
      <c r="Q234" s="1"/>
      <c r="R234" s="5">
        <f t="shared" ref="R234:R241" si="116">IF(P$12=0,0,P234/P$12)</f>
        <v>2.4481503035947944E-2</v>
      </c>
      <c r="S234" s="1"/>
      <c r="T234" s="1">
        <f>SUM(OSRRefT22_21x_0)</f>
        <v>70712.25</v>
      </c>
      <c r="U234" s="1"/>
      <c r="V234" s="5">
        <f t="shared" ref="V234:V241" si="117">IF(T$12=0,0,T234/T$12)</f>
        <v>1.2321593262664727E-2</v>
      </c>
      <c r="W234" s="1"/>
      <c r="X234" s="1">
        <f t="shared" ref="X234:X241" si="118">+P234-T234</f>
        <v>-13019.220000000001</v>
      </c>
      <c r="Y234" s="1"/>
      <c r="Z234" s="5">
        <f t="shared" ref="Z234:Z241" si="119">IF(T234=0,0,X234/T234)</f>
        <v>-0.18411548211236387</v>
      </c>
    </row>
    <row r="235" spans="1:26" s="24" customFormat="1" hidden="1" outlineLevel="2" x14ac:dyDescent="0.25">
      <c r="A235" s="28"/>
      <c r="B235" s="11" t="str">
        <f>CONCATENATE("          ", "6234", " - ", "EXPENDABLE SUPPLIES &amp; EQUIPMEN")</f>
        <v xml:space="preserve">          6234 - EXPENDABLE SUPPLIES &amp; EQUIPMEN</v>
      </c>
      <c r="C235" s="11"/>
      <c r="D235" s="6">
        <v>101.34</v>
      </c>
      <c r="E235" s="2"/>
      <c r="F235" s="7">
        <f t="shared" si="112"/>
        <v>6.3294368843531176E-4</v>
      </c>
      <c r="G235" s="2"/>
      <c r="H235" s="6"/>
      <c r="I235" s="2"/>
      <c r="J235" s="7">
        <f t="shared" si="113"/>
        <v>0</v>
      </c>
      <c r="K235" s="2"/>
      <c r="L235" s="6">
        <f t="shared" si="114"/>
        <v>101.34</v>
      </c>
      <c r="M235" s="2"/>
      <c r="N235" s="7">
        <f t="shared" si="115"/>
        <v>0</v>
      </c>
      <c r="O235" s="11"/>
      <c r="P235" s="6">
        <v>418.01</v>
      </c>
      <c r="Q235" s="2"/>
      <c r="R235" s="7">
        <f t="shared" si="116"/>
        <v>1.7737867267599917E-4</v>
      </c>
      <c r="S235" s="2"/>
      <c r="T235" s="6">
        <v>2780.34</v>
      </c>
      <c r="U235" s="2"/>
      <c r="V235" s="7">
        <f t="shared" si="117"/>
        <v>4.8447360410561462E-4</v>
      </c>
      <c r="W235" s="2"/>
      <c r="X235" s="6">
        <f t="shared" si="118"/>
        <v>-2362.33</v>
      </c>
      <c r="Y235" s="2"/>
      <c r="Z235" s="7">
        <f t="shared" si="119"/>
        <v>-0.8496550781559089</v>
      </c>
    </row>
    <row r="236" spans="1:26" s="24" customFormat="1" hidden="1" outlineLevel="2" x14ac:dyDescent="0.25">
      <c r="A236" s="28"/>
      <c r="B236" s="11" t="str">
        <f>CONCATENATE("          ", "6235", " - ", "COVID-19 EXPENSES")</f>
        <v xml:space="preserve">          6235 - COVID-19 EXPENSES</v>
      </c>
      <c r="C236" s="11"/>
      <c r="D236" s="6">
        <v>16805.12</v>
      </c>
      <c r="E236" s="2"/>
      <c r="F236" s="7">
        <f t="shared" si="112"/>
        <v>0.10496047599563869</v>
      </c>
      <c r="G236" s="2"/>
      <c r="H236" s="6"/>
      <c r="I236" s="2"/>
      <c r="J236" s="7">
        <f t="shared" si="113"/>
        <v>0</v>
      </c>
      <c r="K236" s="2"/>
      <c r="L236" s="6">
        <f t="shared" si="114"/>
        <v>16805.12</v>
      </c>
      <c r="M236" s="2"/>
      <c r="N236" s="7">
        <f t="shared" si="115"/>
        <v>0</v>
      </c>
      <c r="O236" s="11"/>
      <c r="P236" s="6">
        <v>26107.06</v>
      </c>
      <c r="Q236" s="2"/>
      <c r="R236" s="7">
        <f t="shared" si="116"/>
        <v>1.1078289156414131E-2</v>
      </c>
      <c r="S236" s="2"/>
      <c r="T236" s="6"/>
      <c r="U236" s="2"/>
      <c r="V236" s="7">
        <f t="shared" si="117"/>
        <v>0</v>
      </c>
      <c r="W236" s="2"/>
      <c r="X236" s="6">
        <f t="shared" si="118"/>
        <v>26107.06</v>
      </c>
      <c r="Y236" s="2"/>
      <c r="Z236" s="7">
        <f t="shared" si="119"/>
        <v>0</v>
      </c>
    </row>
    <row r="237" spans="1:26" s="24" customFormat="1" hidden="1" outlineLevel="2" x14ac:dyDescent="0.25">
      <c r="A237" s="28"/>
      <c r="B237" s="11" t="str">
        <f>CONCATENATE("          ", "6237", " - ", "JANITORIAL SUPPLIES")</f>
        <v xml:space="preserve">          6237 - JANITORIAL SUPPLIES</v>
      </c>
      <c r="C237" s="11"/>
      <c r="D237" s="6">
        <v>1109.05</v>
      </c>
      <c r="E237" s="2"/>
      <c r="F237" s="7">
        <f t="shared" si="112"/>
        <v>6.9268422899070696E-3</v>
      </c>
      <c r="G237" s="2"/>
      <c r="H237" s="6">
        <v>1126.3499999999999</v>
      </c>
      <c r="I237" s="2"/>
      <c r="J237" s="7">
        <f t="shared" si="113"/>
        <v>1.116968204283037E-3</v>
      </c>
      <c r="K237" s="2"/>
      <c r="L237" s="6">
        <f t="shared" si="114"/>
        <v>-17.299999999999955</v>
      </c>
      <c r="M237" s="2"/>
      <c r="N237" s="7">
        <f t="shared" si="115"/>
        <v>-1.5359346561903454E-2</v>
      </c>
      <c r="O237" s="11"/>
      <c r="P237" s="6">
        <v>1565.93</v>
      </c>
      <c r="Q237" s="2"/>
      <c r="R237" s="7">
        <f t="shared" si="116"/>
        <v>6.6448789479564454E-4</v>
      </c>
      <c r="S237" s="2"/>
      <c r="T237" s="6">
        <v>4175.8599999999997</v>
      </c>
      <c r="U237" s="2"/>
      <c r="V237" s="7">
        <f t="shared" si="117"/>
        <v>7.2764264242519683E-4</v>
      </c>
      <c r="W237" s="2"/>
      <c r="X237" s="6">
        <f t="shared" si="118"/>
        <v>-2609.9299999999994</v>
      </c>
      <c r="Y237" s="2"/>
      <c r="Z237" s="7">
        <f t="shared" si="119"/>
        <v>-0.62500419075352132</v>
      </c>
    </row>
    <row r="238" spans="1:26" s="24" customFormat="1" hidden="1" outlineLevel="2" x14ac:dyDescent="0.25">
      <c r="A238" s="28"/>
      <c r="B238" s="11" t="str">
        <f>CONCATENATE("          ", "6241", " - ", "OFFICE EXPENSE")</f>
        <v xml:space="preserve">          6241 - OFFICE EXPENSE</v>
      </c>
      <c r="C238" s="11"/>
      <c r="D238" s="6">
        <v>330.19</v>
      </c>
      <c r="E238" s="2"/>
      <c r="F238" s="7">
        <f t="shared" si="112"/>
        <v>2.0622821835845234E-3</v>
      </c>
      <c r="G238" s="2"/>
      <c r="H238" s="6">
        <v>3030.18</v>
      </c>
      <c r="I238" s="2"/>
      <c r="J238" s="7">
        <f t="shared" si="113"/>
        <v>3.0049404832018225E-3</v>
      </c>
      <c r="K238" s="2"/>
      <c r="L238" s="6">
        <f t="shared" si="114"/>
        <v>-2699.99</v>
      </c>
      <c r="M238" s="2"/>
      <c r="N238" s="7">
        <f t="shared" si="115"/>
        <v>-0.89103287593476288</v>
      </c>
      <c r="O238" s="11"/>
      <c r="P238" s="6">
        <v>7940.98</v>
      </c>
      <c r="Q238" s="2"/>
      <c r="R238" s="7">
        <f t="shared" si="116"/>
        <v>3.3696813285487327E-3</v>
      </c>
      <c r="S238" s="2"/>
      <c r="T238" s="6">
        <v>13760.82</v>
      </c>
      <c r="U238" s="2"/>
      <c r="V238" s="7">
        <f t="shared" si="117"/>
        <v>2.3978197130022313E-3</v>
      </c>
      <c r="W238" s="2"/>
      <c r="X238" s="6">
        <f t="shared" si="118"/>
        <v>-5819.84</v>
      </c>
      <c r="Y238" s="2"/>
      <c r="Z238" s="7">
        <f t="shared" si="119"/>
        <v>-0.42292828479698158</v>
      </c>
    </row>
    <row r="239" spans="1:26" s="24" customFormat="1" hidden="1" outlineLevel="2" x14ac:dyDescent="0.25">
      <c r="A239" s="28"/>
      <c r="B239" s="11" t="str">
        <f>CONCATENATE("          ", "6243", " - ", "PAPER SUPPLIES")</f>
        <v xml:space="preserve">          6243 - PAPER SUPPLIES</v>
      </c>
      <c r="C239" s="11"/>
      <c r="D239" s="6">
        <v>449.01</v>
      </c>
      <c r="E239" s="2"/>
      <c r="F239" s="7">
        <f t="shared" si="112"/>
        <v>2.8044014756694229E-3</v>
      </c>
      <c r="G239" s="2"/>
      <c r="H239" s="6">
        <v>3827.95</v>
      </c>
      <c r="I239" s="2"/>
      <c r="J239" s="7">
        <f t="shared" si="113"/>
        <v>3.79606555474342E-3</v>
      </c>
      <c r="K239" s="2"/>
      <c r="L239" s="6">
        <f t="shared" si="114"/>
        <v>-3378.9399999999996</v>
      </c>
      <c r="M239" s="2"/>
      <c r="N239" s="7">
        <f t="shared" si="115"/>
        <v>-0.88270222965294731</v>
      </c>
      <c r="O239" s="11"/>
      <c r="P239" s="6">
        <v>3573.7</v>
      </c>
      <c r="Q239" s="2"/>
      <c r="R239" s="7">
        <f t="shared" si="116"/>
        <v>1.516466502098558E-3</v>
      </c>
      <c r="S239" s="2"/>
      <c r="T239" s="6">
        <v>7603.96</v>
      </c>
      <c r="U239" s="2"/>
      <c r="V239" s="7">
        <f t="shared" si="117"/>
        <v>1.3249882772160704E-3</v>
      </c>
      <c r="W239" s="2"/>
      <c r="X239" s="6">
        <f t="shared" si="118"/>
        <v>-4030.26</v>
      </c>
      <c r="Y239" s="2"/>
      <c r="Z239" s="7">
        <f t="shared" si="119"/>
        <v>-0.53002119948027082</v>
      </c>
    </row>
    <row r="240" spans="1:26" s="24" customFormat="1" hidden="1" outlineLevel="2" x14ac:dyDescent="0.25">
      <c r="A240" s="28"/>
      <c r="B240" s="11" t="str">
        <f>CONCATENATE("          ", "6245", " - ", "PRINTING")</f>
        <v xml:space="preserve">          6245 - PRINTING</v>
      </c>
      <c r="C240" s="11"/>
      <c r="D240" s="6">
        <v>353.09</v>
      </c>
      <c r="E240" s="2"/>
      <c r="F240" s="7">
        <f t="shared" si="112"/>
        <v>2.2053097192581824E-3</v>
      </c>
      <c r="G240" s="2"/>
      <c r="H240" s="6">
        <v>16</v>
      </c>
      <c r="I240" s="2"/>
      <c r="J240" s="7">
        <f t="shared" si="113"/>
        <v>1.5866729940541208E-5</v>
      </c>
      <c r="K240" s="2"/>
      <c r="L240" s="6">
        <f t="shared" si="114"/>
        <v>337.09</v>
      </c>
      <c r="M240" s="2"/>
      <c r="N240" s="7">
        <f t="shared" si="115"/>
        <v>21.068124999999998</v>
      </c>
      <c r="O240" s="11"/>
      <c r="P240" s="6">
        <v>414.55</v>
      </c>
      <c r="Q240" s="2"/>
      <c r="R240" s="7">
        <f t="shared" si="116"/>
        <v>1.7591045371602465E-4</v>
      </c>
      <c r="S240" s="2"/>
      <c r="T240" s="6">
        <v>5291.55</v>
      </c>
      <c r="U240" s="2"/>
      <c r="V240" s="7">
        <f t="shared" si="117"/>
        <v>9.2205136774821254E-4</v>
      </c>
      <c r="W240" s="2"/>
      <c r="X240" s="6">
        <f t="shared" si="118"/>
        <v>-4877</v>
      </c>
      <c r="Y240" s="2"/>
      <c r="Z240" s="7">
        <f t="shared" si="119"/>
        <v>-0.92165811529703012</v>
      </c>
    </row>
    <row r="241" spans="1:26" s="24" customFormat="1" hidden="1" outlineLevel="2" x14ac:dyDescent="0.25">
      <c r="A241" s="28"/>
      <c r="B241" s="11" t="str">
        <f>CONCATENATE("          ", "6247", " - ", "STORE SUPPLIES")</f>
        <v xml:space="preserve">          6247 - STORE SUPPLIES</v>
      </c>
      <c r="C241" s="11"/>
      <c r="D241" s="6">
        <v>4102</v>
      </c>
      <c r="E241" s="2"/>
      <c r="F241" s="7">
        <f t="shared" si="112"/>
        <v>2.5620041542941077E-2</v>
      </c>
      <c r="G241" s="2"/>
      <c r="H241" s="6">
        <v>5341</v>
      </c>
      <c r="I241" s="2"/>
      <c r="J241" s="7">
        <f t="shared" si="113"/>
        <v>5.2965127882769122E-3</v>
      </c>
      <c r="K241" s="2"/>
      <c r="L241" s="6">
        <f t="shared" si="114"/>
        <v>-1239</v>
      </c>
      <c r="M241" s="2"/>
      <c r="N241" s="7">
        <f t="shared" si="115"/>
        <v>-0.23197903014416776</v>
      </c>
      <c r="O241" s="11"/>
      <c r="P241" s="6">
        <v>17672.8</v>
      </c>
      <c r="Q241" s="2"/>
      <c r="R241" s="7">
        <f t="shared" si="116"/>
        <v>7.4992890276988546E-3</v>
      </c>
      <c r="S241" s="2"/>
      <c r="T241" s="6">
        <v>37099.72</v>
      </c>
      <c r="U241" s="2"/>
      <c r="V241" s="7">
        <f t="shared" si="117"/>
        <v>6.4646176581674014E-3</v>
      </c>
      <c r="W241" s="2"/>
      <c r="X241" s="6">
        <f t="shared" si="118"/>
        <v>-19426.920000000002</v>
      </c>
      <c r="Y241" s="2"/>
      <c r="Z241" s="7">
        <f t="shared" si="119"/>
        <v>-0.52364060968654214</v>
      </c>
    </row>
    <row r="242" spans="1:26" s="29" customFormat="1" outlineLevel="1" collapsed="1" x14ac:dyDescent="0.25">
      <c r="A242" s="27"/>
      <c r="B242" s="14" t="str">
        <f>CONCATENATE("     ","Telephone/Data Lines                              ")</f>
        <v xml:space="preserve">     Telephone/Data Lines                              </v>
      </c>
      <c r="C242" s="14"/>
      <c r="D242" s="1">
        <f>SUM(OSRRefD22_22x_0)</f>
        <v>2000.33</v>
      </c>
      <c r="E242" s="1"/>
      <c r="F242" s="5">
        <f t="shared" ref="F242:F244" si="120">IF(D$12=0,0,D242/D$12)</f>
        <v>1.2493548927252882E-2</v>
      </c>
      <c r="G242" s="1"/>
      <c r="H242" s="1">
        <f>SUM(OSRRefH22_22x_0)</f>
        <v>1012.78</v>
      </c>
      <c r="I242" s="1"/>
      <c r="J242" s="5">
        <f t="shared" ref="J242:J244" si="121">IF(H$12=0,0,H242/H$12)</f>
        <v>1.0043441718238328E-3</v>
      </c>
      <c r="K242" s="1"/>
      <c r="L242" s="1">
        <f t="shared" ref="L242:L244" si="122">+D242-H242</f>
        <v>987.55</v>
      </c>
      <c r="M242" s="1"/>
      <c r="N242" s="5">
        <f t="shared" ref="N242:N244" si="123">IF(H242=0,0,L242/H242)</f>
        <v>0.97508837062343257</v>
      </c>
      <c r="O242" s="14"/>
      <c r="P242" s="1">
        <f>SUM(OSRRefP22_22x_0)</f>
        <v>12637.36</v>
      </c>
      <c r="Q242" s="1"/>
      <c r="R242" s="5">
        <f t="shared" ref="R242:R244" si="124">IF(P$12=0,0,P242/P$12)</f>
        <v>5.3625466924924403E-3</v>
      </c>
      <c r="S242" s="1"/>
      <c r="T242" s="1">
        <f>SUM(OSRRefT22_22x_0)</f>
        <v>12438.76</v>
      </c>
      <c r="U242" s="1"/>
      <c r="V242" s="5">
        <f t="shared" ref="V242:V244" si="125">IF(T$12=0,0,T242/T$12)</f>
        <v>2.1674510627494319E-3</v>
      </c>
      <c r="W242" s="1"/>
      <c r="X242" s="1">
        <f t="shared" ref="X242:X244" si="126">+P242-T242</f>
        <v>198.60000000000036</v>
      </c>
      <c r="Y242" s="1"/>
      <c r="Z242" s="5">
        <f t="shared" ref="Z242:Z244" si="127">IF(T242=0,0,X242/T242)</f>
        <v>1.5966221713418407E-2</v>
      </c>
    </row>
    <row r="243" spans="1:26" s="24" customFormat="1" hidden="1" outlineLevel="2" x14ac:dyDescent="0.25">
      <c r="A243" s="28"/>
      <c r="B243" s="11" t="str">
        <f>CONCATENATE("          ", "6303", " - ", "DATA PHONE LINES")</f>
        <v xml:space="preserve">          6303 - DATA PHONE LINES</v>
      </c>
      <c r="C243" s="11"/>
      <c r="D243" s="6"/>
      <c r="E243" s="2"/>
      <c r="F243" s="7">
        <f t="shared" si="120"/>
        <v>0</v>
      </c>
      <c r="G243" s="2"/>
      <c r="H243" s="6">
        <v>295</v>
      </c>
      <c r="I243" s="2"/>
      <c r="J243" s="7">
        <f t="shared" si="121"/>
        <v>2.9254283327872853E-4</v>
      </c>
      <c r="K243" s="2"/>
      <c r="L243" s="6">
        <f t="shared" si="122"/>
        <v>-295</v>
      </c>
      <c r="M243" s="2"/>
      <c r="N243" s="7">
        <f t="shared" si="123"/>
        <v>-1</v>
      </c>
      <c r="O243" s="11"/>
      <c r="P243" s="6">
        <v>1180</v>
      </c>
      <c r="Q243" s="2"/>
      <c r="R243" s="7">
        <f t="shared" si="124"/>
        <v>5.0072207305490066E-4</v>
      </c>
      <c r="S243" s="2"/>
      <c r="T243" s="6">
        <v>1180</v>
      </c>
      <c r="U243" s="2"/>
      <c r="V243" s="7">
        <f t="shared" si="125"/>
        <v>2.0561472799895885E-4</v>
      </c>
      <c r="W243" s="2"/>
      <c r="X243" s="6">
        <f t="shared" si="126"/>
        <v>0</v>
      </c>
      <c r="Y243" s="2"/>
      <c r="Z243" s="7">
        <f t="shared" si="127"/>
        <v>0</v>
      </c>
    </row>
    <row r="244" spans="1:26" s="24" customFormat="1" hidden="1" outlineLevel="2" x14ac:dyDescent="0.25">
      <c r="A244" s="28"/>
      <c r="B244" s="11" t="str">
        <f>CONCATENATE("          ", "6309", " - ", "TELEPHONE")</f>
        <v xml:space="preserve">          6309 - TELEPHONE</v>
      </c>
      <c r="C244" s="11"/>
      <c r="D244" s="6">
        <v>2000.33</v>
      </c>
      <c r="E244" s="2"/>
      <c r="F244" s="7">
        <f t="shared" si="120"/>
        <v>1.2493548927252882E-2</v>
      </c>
      <c r="G244" s="2"/>
      <c r="H244" s="6">
        <v>717.78</v>
      </c>
      <c r="I244" s="2"/>
      <c r="J244" s="7">
        <f t="shared" si="121"/>
        <v>7.1180133854510436E-4</v>
      </c>
      <c r="K244" s="2"/>
      <c r="L244" s="6">
        <f t="shared" si="122"/>
        <v>1282.55</v>
      </c>
      <c r="M244" s="2"/>
      <c r="N244" s="7">
        <f t="shared" si="123"/>
        <v>1.7868288333472653</v>
      </c>
      <c r="O244" s="11"/>
      <c r="P244" s="6">
        <v>11457.36</v>
      </c>
      <c r="Q244" s="2"/>
      <c r="R244" s="7">
        <f t="shared" si="124"/>
        <v>4.8618246194375402E-3</v>
      </c>
      <c r="S244" s="2"/>
      <c r="T244" s="6">
        <v>11258.76</v>
      </c>
      <c r="U244" s="2"/>
      <c r="V244" s="7">
        <f t="shared" si="125"/>
        <v>1.9618363347504728E-3</v>
      </c>
      <c r="W244" s="2"/>
      <c r="X244" s="6">
        <f t="shared" si="126"/>
        <v>198.60000000000036</v>
      </c>
      <c r="Y244" s="2"/>
      <c r="Z244" s="7">
        <f t="shared" si="127"/>
        <v>1.7639597966383543E-2</v>
      </c>
    </row>
    <row r="245" spans="1:26" s="29" customFormat="1" outlineLevel="1" collapsed="1" x14ac:dyDescent="0.25">
      <c r="A245" s="27"/>
      <c r="B245" s="14" t="str">
        <f>CONCATENATE("     ","Training                                          ")</f>
        <v xml:space="preserve">     Training                                          </v>
      </c>
      <c r="C245" s="14"/>
      <c r="D245" s="1">
        <f>SUM(OSRRefD22_23x_0)</f>
        <v>14</v>
      </c>
      <c r="E245" s="1"/>
      <c r="F245" s="5">
        <f t="shared" ref="F245:F250" si="128">IF(D$12=0,0,D245/D$12)</f>
        <v>8.7440414822324497E-5</v>
      </c>
      <c r="G245" s="1"/>
      <c r="H245" s="1">
        <f>SUM(OSRRefH22_23x_0)</f>
        <v>3000.52</v>
      </c>
      <c r="I245" s="1"/>
      <c r="J245" s="5">
        <f t="shared" ref="J245:J250" si="129">IF(H$12=0,0,H245/H$12)</f>
        <v>2.9755275325745443E-3</v>
      </c>
      <c r="K245" s="1"/>
      <c r="L245" s="1">
        <f t="shared" ref="L245:L250" si="130">+D245-H245</f>
        <v>-2986.52</v>
      </c>
      <c r="M245" s="1"/>
      <c r="N245" s="5">
        <f t="shared" ref="N245:N250" si="131">IF(H245=0,0,L245/H245)</f>
        <v>-0.99533414208203908</v>
      </c>
      <c r="O245" s="14"/>
      <c r="P245" s="1">
        <f>SUM(OSRRefP22_23x_0)</f>
        <v>145.63</v>
      </c>
      <c r="Q245" s="1"/>
      <c r="R245" s="5">
        <f t="shared" ref="R245:R250" si="132">IF(P$12=0,0,P245/P$12)</f>
        <v>6.179674194829252E-5</v>
      </c>
      <c r="S245" s="1"/>
      <c r="T245" s="1">
        <f>SUM(OSRRefT22_23x_0)</f>
        <v>5516.76</v>
      </c>
      <c r="U245" s="1"/>
      <c r="V245" s="5">
        <f t="shared" ref="V245:V250" si="133">IF(T$12=0,0,T245/T$12)</f>
        <v>9.6129415833520022E-4</v>
      </c>
      <c r="W245" s="1"/>
      <c r="X245" s="1">
        <f t="shared" ref="X245:X250" si="134">+P245-T245</f>
        <v>-5371.13</v>
      </c>
      <c r="Y245" s="1"/>
      <c r="Z245" s="5">
        <f t="shared" ref="Z245:Z250" si="135">IF(T245=0,0,X245/T245)</f>
        <v>-0.97360225929712363</v>
      </c>
    </row>
    <row r="246" spans="1:26" s="24" customFormat="1" hidden="1" outlineLevel="2" x14ac:dyDescent="0.25">
      <c r="A246" s="28"/>
      <c r="B246" s="11" t="str">
        <f>CONCATENATE("          ", "6376", " - ", "TRAINING")</f>
        <v xml:space="preserve">          6376 - TRAINING</v>
      </c>
      <c r="C246" s="11"/>
      <c r="D246" s="6">
        <v>14</v>
      </c>
      <c r="E246" s="2"/>
      <c r="F246" s="7">
        <f t="shared" si="128"/>
        <v>8.7440414822324497E-5</v>
      </c>
      <c r="G246" s="2"/>
      <c r="H246" s="6">
        <v>3000.52</v>
      </c>
      <c r="I246" s="2"/>
      <c r="J246" s="7">
        <f t="shared" si="129"/>
        <v>2.9755275325745443E-3</v>
      </c>
      <c r="K246" s="2"/>
      <c r="L246" s="6">
        <f t="shared" si="130"/>
        <v>-2986.52</v>
      </c>
      <c r="M246" s="2"/>
      <c r="N246" s="7">
        <f t="shared" si="131"/>
        <v>-0.99533414208203908</v>
      </c>
      <c r="O246" s="11"/>
      <c r="P246" s="6">
        <v>145.63</v>
      </c>
      <c r="Q246" s="2"/>
      <c r="R246" s="7">
        <f t="shared" si="132"/>
        <v>6.179674194829252E-5</v>
      </c>
      <c r="S246" s="2"/>
      <c r="T246" s="6">
        <v>5516.76</v>
      </c>
      <c r="U246" s="2"/>
      <c r="V246" s="7">
        <f t="shared" si="133"/>
        <v>9.6129415833520022E-4</v>
      </c>
      <c r="W246" s="2"/>
      <c r="X246" s="6">
        <f t="shared" si="134"/>
        <v>-5371.13</v>
      </c>
      <c r="Y246" s="2"/>
      <c r="Z246" s="7">
        <f t="shared" si="135"/>
        <v>-0.97360225929712363</v>
      </c>
    </row>
    <row r="247" spans="1:26" s="29" customFormat="1" outlineLevel="1" collapsed="1" x14ac:dyDescent="0.25">
      <c r="A247" s="27"/>
      <c r="B247" s="14" t="str">
        <f>CONCATENATE("     ","Travel                                            ")</f>
        <v xml:space="preserve">     Travel                                            </v>
      </c>
      <c r="C247" s="14"/>
      <c r="D247" s="1">
        <f>SUM(OSRRefD22_24x_0)</f>
        <v>80.959999999999994</v>
      </c>
      <c r="E247" s="1"/>
      <c r="F247" s="5">
        <f t="shared" si="128"/>
        <v>5.056554274296708E-4</v>
      </c>
      <c r="G247" s="1"/>
      <c r="H247" s="1">
        <f>SUM(OSRRefH22_24x_0)</f>
        <v>633.25</v>
      </c>
      <c r="I247" s="1"/>
      <c r="J247" s="5">
        <f t="shared" si="129"/>
        <v>6.2797542092798259E-4</v>
      </c>
      <c r="K247" s="1"/>
      <c r="L247" s="1">
        <f t="shared" si="130"/>
        <v>-552.29</v>
      </c>
      <c r="M247" s="1"/>
      <c r="N247" s="5">
        <f t="shared" si="131"/>
        <v>-0.87215159889459137</v>
      </c>
      <c r="O247" s="14"/>
      <c r="P247" s="1">
        <f>SUM(OSRRefP22_24x_0)</f>
        <v>381.93</v>
      </c>
      <c r="Q247" s="1"/>
      <c r="R247" s="5">
        <f t="shared" si="132"/>
        <v>1.6206845878123579E-4</v>
      </c>
      <c r="S247" s="1"/>
      <c r="T247" s="1">
        <f>SUM(OSRRefT22_24x_0)</f>
        <v>1247.1099999999999</v>
      </c>
      <c r="U247" s="1"/>
      <c r="V247" s="5">
        <f t="shared" si="133"/>
        <v>2.173086300294759E-4</v>
      </c>
      <c r="W247" s="1"/>
      <c r="X247" s="1">
        <f t="shared" si="134"/>
        <v>-865.17999999999984</v>
      </c>
      <c r="Y247" s="1"/>
      <c r="Z247" s="5">
        <f t="shared" si="135"/>
        <v>-0.69374794524941663</v>
      </c>
    </row>
    <row r="248" spans="1:26" s="24" customFormat="1" hidden="1" outlineLevel="2" x14ac:dyDescent="0.25">
      <c r="A248" s="28"/>
      <c r="B248" s="11" t="str">
        <f>CONCATENATE("          ", "6292", " - ", "TRAVEL/CONFERENCE")</f>
        <v xml:space="preserve">          6292 - TRAVEL/CONFERENCE</v>
      </c>
      <c r="C248" s="11"/>
      <c r="D248" s="6"/>
      <c r="E248" s="2"/>
      <c r="F248" s="7">
        <f t="shared" si="128"/>
        <v>0</v>
      </c>
      <c r="G248" s="2"/>
      <c r="H248" s="6">
        <v>298.88</v>
      </c>
      <c r="I248" s="2"/>
      <c r="J248" s="7">
        <f t="shared" si="129"/>
        <v>2.9639051528930981E-4</v>
      </c>
      <c r="K248" s="2"/>
      <c r="L248" s="6">
        <f t="shared" si="130"/>
        <v>-298.88</v>
      </c>
      <c r="M248" s="2"/>
      <c r="N248" s="7">
        <f t="shared" si="131"/>
        <v>-1</v>
      </c>
      <c r="O248" s="11"/>
      <c r="P248" s="6">
        <v>0.16</v>
      </c>
      <c r="Q248" s="2"/>
      <c r="R248" s="7">
        <f t="shared" si="132"/>
        <v>6.7894518380325521E-8</v>
      </c>
      <c r="S248" s="2"/>
      <c r="T248" s="6">
        <v>640.65</v>
      </c>
      <c r="U248" s="2"/>
      <c r="V248" s="7">
        <f t="shared" si="133"/>
        <v>1.116331148241805E-4</v>
      </c>
      <c r="W248" s="2"/>
      <c r="X248" s="6">
        <f t="shared" si="134"/>
        <v>-640.49</v>
      </c>
      <c r="Y248" s="2"/>
      <c r="Z248" s="7">
        <f t="shared" si="135"/>
        <v>-0.99975025364863812</v>
      </c>
    </row>
    <row r="249" spans="1:26" s="24" customFormat="1" hidden="1" outlineLevel="2" x14ac:dyDescent="0.25">
      <c r="A249" s="28"/>
      <c r="B249" s="11" t="str">
        <f>CONCATENATE("          ", "6294", " - ", "TRAVEL OPERATIONAL")</f>
        <v xml:space="preserve">          6294 - TRAVEL OPERATIONAL</v>
      </c>
      <c r="C249" s="11"/>
      <c r="D249" s="6">
        <v>80.959999999999994</v>
      </c>
      <c r="E249" s="2"/>
      <c r="F249" s="7">
        <f t="shared" si="128"/>
        <v>5.056554274296708E-4</v>
      </c>
      <c r="G249" s="2"/>
      <c r="H249" s="6">
        <v>334.37</v>
      </c>
      <c r="I249" s="2"/>
      <c r="J249" s="7">
        <f t="shared" si="129"/>
        <v>3.3158490563867278E-4</v>
      </c>
      <c r="K249" s="2"/>
      <c r="L249" s="6">
        <f t="shared" si="130"/>
        <v>-253.41000000000003</v>
      </c>
      <c r="M249" s="2"/>
      <c r="N249" s="7">
        <f t="shared" si="131"/>
        <v>-0.75787301492358772</v>
      </c>
      <c r="O249" s="11"/>
      <c r="P249" s="6">
        <v>321.88</v>
      </c>
      <c r="Q249" s="2"/>
      <c r="R249" s="7">
        <f t="shared" si="132"/>
        <v>1.3658679735161985E-4</v>
      </c>
      <c r="S249" s="2"/>
      <c r="T249" s="6">
        <v>436.47</v>
      </c>
      <c r="U249" s="2"/>
      <c r="V249" s="7">
        <f t="shared" si="133"/>
        <v>7.6054796889580989E-5</v>
      </c>
      <c r="W249" s="2"/>
      <c r="X249" s="6">
        <f t="shared" si="134"/>
        <v>-114.59000000000003</v>
      </c>
      <c r="Y249" s="2"/>
      <c r="Z249" s="7">
        <f t="shared" si="135"/>
        <v>-0.26253808967397535</v>
      </c>
    </row>
    <row r="250" spans="1:26" s="24" customFormat="1" hidden="1" outlineLevel="2" x14ac:dyDescent="0.25">
      <c r="A250" s="28"/>
      <c r="B250" s="11" t="str">
        <f>CONCATENATE("          ", "6298", " - ", "VEHICLE MILEAGE")</f>
        <v xml:space="preserve">          6298 - VEHICLE MILEAGE</v>
      </c>
      <c r="C250" s="11"/>
      <c r="D250" s="6"/>
      <c r="E250" s="2"/>
      <c r="F250" s="7">
        <f t="shared" si="128"/>
        <v>0</v>
      </c>
      <c r="G250" s="2"/>
      <c r="H250" s="6"/>
      <c r="I250" s="2"/>
      <c r="J250" s="7">
        <f t="shared" si="129"/>
        <v>0</v>
      </c>
      <c r="K250" s="2"/>
      <c r="L250" s="6">
        <f t="shared" si="130"/>
        <v>0</v>
      </c>
      <c r="M250" s="2"/>
      <c r="N250" s="7">
        <f t="shared" si="131"/>
        <v>0</v>
      </c>
      <c r="O250" s="11"/>
      <c r="P250" s="6">
        <v>59.89</v>
      </c>
      <c r="Q250" s="2"/>
      <c r="R250" s="7">
        <f t="shared" si="132"/>
        <v>2.5413766911235593E-5</v>
      </c>
      <c r="S250" s="2"/>
      <c r="T250" s="6">
        <v>169.99</v>
      </c>
      <c r="U250" s="2"/>
      <c r="V250" s="7">
        <f t="shared" si="133"/>
        <v>2.9620718315714419E-5</v>
      </c>
      <c r="W250" s="2"/>
      <c r="X250" s="6">
        <f t="shared" si="134"/>
        <v>-110.10000000000001</v>
      </c>
      <c r="Y250" s="2"/>
      <c r="Z250" s="7">
        <f t="shared" si="135"/>
        <v>-0.64768515795046766</v>
      </c>
    </row>
    <row r="251" spans="1:26" s="29" customFormat="1" outlineLevel="1" collapsed="1" x14ac:dyDescent="0.25">
      <c r="A251" s="27"/>
      <c r="B251" s="14" t="str">
        <f>CONCATENATE("     ","Utilities                                         ")</f>
        <v xml:space="preserve">     Utilities                                         </v>
      </c>
      <c r="C251" s="14"/>
      <c r="D251" s="1">
        <f>SUM(OSRRefD22_25x_0)</f>
        <v>7089.05</v>
      </c>
      <c r="E251" s="1"/>
      <c r="F251" s="5">
        <f t="shared" ref="F251:F252" si="136">IF(D$12=0,0,D251/D$12)</f>
        <v>4.4276390906871389E-2</v>
      </c>
      <c r="G251" s="1"/>
      <c r="H251" s="1">
        <f>SUM(OSRRefH22_25x_0)</f>
        <v>6641.86</v>
      </c>
      <c r="I251" s="1"/>
      <c r="J251" s="5">
        <f t="shared" ref="J251:J252" si="137">IF(H$12=0,0,H251/H$12)</f>
        <v>6.5865374326801894E-3</v>
      </c>
      <c r="K251" s="1"/>
      <c r="L251" s="1">
        <f t="shared" ref="L251:L252" si="138">+D251-H251</f>
        <v>447.19000000000051</v>
      </c>
      <c r="M251" s="1"/>
      <c r="N251" s="5">
        <f t="shared" ref="N251:N252" si="139">IF(H251=0,0,L251/H251)</f>
        <v>6.7329031325562491E-2</v>
      </c>
      <c r="O251" s="14"/>
      <c r="P251" s="1">
        <f>SUM(OSRRefP22_25x_0)</f>
        <v>25721.43</v>
      </c>
      <c r="Q251" s="1"/>
      <c r="R251" s="5">
        <f t="shared" ref="R251:R252" si="140">IF(P$12=0,0,P251/P$12)</f>
        <v>1.091465063689535E-2</v>
      </c>
      <c r="S251" s="1"/>
      <c r="T251" s="1">
        <f>SUM(OSRRefT22_25x_0)</f>
        <v>19034.78</v>
      </c>
      <c r="U251" s="1"/>
      <c r="V251" s="5">
        <f t="shared" ref="V251:V252" si="141">IF(T$12=0,0,T251/T$12)</f>
        <v>3.3168060273051033E-3</v>
      </c>
      <c r="W251" s="1"/>
      <c r="X251" s="1">
        <f t="shared" ref="X251:X252" si="142">+P251-T251</f>
        <v>6686.6500000000015</v>
      </c>
      <c r="Y251" s="1"/>
      <c r="Z251" s="5">
        <f t="shared" ref="Z251:Z252" si="143">IF(T251=0,0,X251/T251)</f>
        <v>0.35128590926714159</v>
      </c>
    </row>
    <row r="252" spans="1:26" s="24" customFormat="1" hidden="1" outlineLevel="2" x14ac:dyDescent="0.25">
      <c r="A252" s="28"/>
      <c r="B252" s="11" t="str">
        <f>CONCATENATE("          ", "6274", " - ", "UTILITIES")</f>
        <v xml:space="preserve">          6274 - UTILITIES</v>
      </c>
      <c r="C252" s="11"/>
      <c r="D252" s="6">
        <v>7089.05</v>
      </c>
      <c r="E252" s="2"/>
      <c r="F252" s="7">
        <f t="shared" si="136"/>
        <v>4.4276390906871389E-2</v>
      </c>
      <c r="G252" s="2"/>
      <c r="H252" s="6">
        <v>6641.86</v>
      </c>
      <c r="I252" s="2"/>
      <c r="J252" s="7">
        <f t="shared" si="137"/>
        <v>6.5865374326801894E-3</v>
      </c>
      <c r="K252" s="2"/>
      <c r="L252" s="6">
        <f t="shared" si="138"/>
        <v>447.19000000000051</v>
      </c>
      <c r="M252" s="2"/>
      <c r="N252" s="7">
        <f t="shared" si="139"/>
        <v>6.7329031325562491E-2</v>
      </c>
      <c r="O252" s="11"/>
      <c r="P252" s="6">
        <v>25721.43</v>
      </c>
      <c r="Q252" s="2"/>
      <c r="R252" s="7">
        <f t="shared" si="140"/>
        <v>1.091465063689535E-2</v>
      </c>
      <c r="S252" s="2"/>
      <c r="T252" s="6">
        <v>19034.78</v>
      </c>
      <c r="U252" s="2"/>
      <c r="V252" s="7">
        <f t="shared" si="141"/>
        <v>3.3168060273051033E-3</v>
      </c>
      <c r="W252" s="2"/>
      <c r="X252" s="6">
        <f t="shared" si="142"/>
        <v>6686.6500000000015</v>
      </c>
      <c r="Y252" s="2"/>
      <c r="Z252" s="7">
        <f t="shared" si="143"/>
        <v>0.35128590926714159</v>
      </c>
    </row>
    <row r="253" spans="1:26" s="57" customFormat="1" x14ac:dyDescent="0.25">
      <c r="A253" s="37"/>
      <c r="B253" s="37"/>
      <c r="C253" s="37"/>
      <c r="D253" s="1"/>
      <c r="E253" s="1"/>
      <c r="F253" s="5"/>
      <c r="G253" s="1"/>
      <c r="H253" s="1"/>
      <c r="I253" s="1"/>
      <c r="J253" s="5"/>
      <c r="K253" s="1"/>
      <c r="L253" s="1"/>
      <c r="M253" s="1"/>
      <c r="N253" s="5"/>
      <c r="O253" s="37"/>
      <c r="P253" s="1"/>
      <c r="Q253" s="1"/>
      <c r="R253" s="5"/>
      <c r="S253" s="1"/>
      <c r="T253" s="1"/>
      <c r="U253" s="1"/>
      <c r="V253" s="5"/>
      <c r="W253" s="1"/>
      <c r="X253" s="1"/>
      <c r="Y253" s="1"/>
      <c r="Z253" s="5"/>
    </row>
    <row r="254" spans="1:26" s="23" customFormat="1" collapsed="1" x14ac:dyDescent="0.25">
      <c r="A254" s="10"/>
      <c r="B254" s="26" t="s">
        <v>0</v>
      </c>
      <c r="C254" s="10"/>
      <c r="D254" s="4">
        <f>SUM(OSRRefD25x_0)</f>
        <v>30589.780000000002</v>
      </c>
      <c r="E254" s="4"/>
      <c r="F254" s="12">
        <f t="shared" ref="F254:F262" si="144">IF(D$12=0,0,D254/D$12)</f>
        <v>0.19105593232311754</v>
      </c>
      <c r="G254" s="4"/>
      <c r="H254" s="4">
        <f>SUM(OSRRefH25x_0)</f>
        <v>134453.71000000002</v>
      </c>
      <c r="I254" s="4"/>
      <c r="J254" s="12">
        <f t="shared" ref="J254:J262" si="145">IF(H$12=0,0,H254/H$12)</f>
        <v>0.13333379412961532</v>
      </c>
      <c r="K254" s="4"/>
      <c r="L254" s="4">
        <f t="shared" ref="L254:L262" si="146">+D254-H254</f>
        <v>-103863.93000000002</v>
      </c>
      <c r="M254" s="4"/>
      <c r="N254" s="12">
        <f t="shared" ref="N254:N262" si="147">IF(H254=0,0,L254/H254)</f>
        <v>-0.77248839024226257</v>
      </c>
      <c r="O254" s="10"/>
      <c r="P254" s="4">
        <f>SUM(OSRRefP25x_0)</f>
        <v>451995.42000000004</v>
      </c>
      <c r="Q254" s="4"/>
      <c r="R254" s="12">
        <f t="shared" ref="R254:R262" si="148">IF(P$12=0,0,P254/P$12)</f>
        <v>0.19180007094383095</v>
      </c>
      <c r="S254" s="4"/>
      <c r="T254" s="4">
        <f>SUM(OSRRefT25x_0)</f>
        <v>378997.00999999995</v>
      </c>
      <c r="U254" s="4"/>
      <c r="V254" s="12">
        <f t="shared" ref="V254:V262" si="149">IF(T$12=0,0,T254/T$12)</f>
        <v>6.6040141630142948E-2</v>
      </c>
      <c r="W254" s="4"/>
      <c r="X254" s="4">
        <f t="shared" ref="X254:X262" si="150">+P254-T254</f>
        <v>72998.410000000091</v>
      </c>
      <c r="Y254" s="4"/>
      <c r="Z254" s="12">
        <f t="shared" ref="Z254:Z262" si="151">IF(T254=0,0,X254/T254)</f>
        <v>0.1926094614836146</v>
      </c>
    </row>
    <row r="255" spans="1:26" s="24" customFormat="1" hidden="1" outlineLevel="1" x14ac:dyDescent="0.25">
      <c r="A255" s="44"/>
      <c r="B255" s="11" t="str">
        <f>CONCATENATE("          ", "4098", " - ", "TAXABLE SALES-GRAD RENTALS")</f>
        <v xml:space="preserve">          4098 - TAXABLE SALES-GRAD RENTALS</v>
      </c>
      <c r="C255" s="11"/>
      <c r="D255" s="2">
        <f t="shared" ref="D255:D257" si="152">0</f>
        <v>0</v>
      </c>
      <c r="E255" s="2"/>
      <c r="F255" s="19">
        <f t="shared" si="144"/>
        <v>0</v>
      </c>
      <c r="G255" s="2"/>
      <c r="H255" s="2">
        <f t="shared" ref="H255:H257" si="153">0</f>
        <v>0</v>
      </c>
      <c r="I255" s="2"/>
      <c r="J255" s="19">
        <f t="shared" si="145"/>
        <v>0</v>
      </c>
      <c r="K255" s="2"/>
      <c r="L255" s="2">
        <f t="shared" si="146"/>
        <v>0</v>
      </c>
      <c r="M255" s="2"/>
      <c r="N255" s="19">
        <f t="shared" si="147"/>
        <v>0</v>
      </c>
      <c r="O255" s="11"/>
      <c r="P255" s="2">
        <f t="shared" ref="P255:P257" si="154">0</f>
        <v>0</v>
      </c>
      <c r="Q255" s="2"/>
      <c r="R255" s="19">
        <f t="shared" si="148"/>
        <v>0</v>
      </c>
      <c r="S255" s="2"/>
      <c r="T255" s="2">
        <f>--1626.85</f>
        <v>1626.85</v>
      </c>
      <c r="U255" s="2"/>
      <c r="V255" s="19">
        <f t="shared" si="149"/>
        <v>2.8347823749585272E-4</v>
      </c>
      <c r="W255" s="2"/>
      <c r="X255" s="2">
        <f t="shared" si="150"/>
        <v>-1626.85</v>
      </c>
      <c r="Y255" s="2"/>
      <c r="Z255" s="19">
        <f t="shared" si="151"/>
        <v>-1</v>
      </c>
    </row>
    <row r="256" spans="1:26" s="24" customFormat="1" hidden="1" outlineLevel="1" x14ac:dyDescent="0.25">
      <c r="A256" s="44"/>
      <c r="B256" s="11" t="str">
        <f>CONCATENATE("          ", "4197", " - ", "NON-TAXABLE SALES-RETURNED CHE")</f>
        <v xml:space="preserve">          4197 - NON-TAXABLE SALES-RETURNED CHE</v>
      </c>
      <c r="C256" s="11"/>
      <c r="D256" s="2">
        <f t="shared" si="152"/>
        <v>0</v>
      </c>
      <c r="E256" s="2"/>
      <c r="F256" s="19">
        <f t="shared" si="144"/>
        <v>0</v>
      </c>
      <c r="G256" s="2"/>
      <c r="H256" s="2">
        <f t="shared" si="153"/>
        <v>0</v>
      </c>
      <c r="I256" s="2"/>
      <c r="J256" s="19">
        <f t="shared" si="145"/>
        <v>0</v>
      </c>
      <c r="K256" s="2"/>
      <c r="L256" s="2">
        <f t="shared" si="146"/>
        <v>0</v>
      </c>
      <c r="M256" s="2"/>
      <c r="N256" s="19">
        <f t="shared" si="147"/>
        <v>0</v>
      </c>
      <c r="O256" s="11"/>
      <c r="P256" s="2">
        <f t="shared" si="154"/>
        <v>0</v>
      </c>
      <c r="Q256" s="2"/>
      <c r="R256" s="19">
        <f t="shared" si="148"/>
        <v>0</v>
      </c>
      <c r="S256" s="2"/>
      <c r="T256" s="2">
        <f>--30</f>
        <v>30</v>
      </c>
      <c r="U256" s="2"/>
      <c r="V256" s="19">
        <f t="shared" si="149"/>
        <v>5.227493084719293E-6</v>
      </c>
      <c r="W256" s="2"/>
      <c r="X256" s="2">
        <f t="shared" si="150"/>
        <v>-30</v>
      </c>
      <c r="Y256" s="2"/>
      <c r="Z256" s="19">
        <f t="shared" si="151"/>
        <v>-1</v>
      </c>
    </row>
    <row r="257" spans="1:26" s="24" customFormat="1" hidden="1" outlineLevel="1" x14ac:dyDescent="0.25">
      <c r="A257" s="44"/>
      <c r="B257" s="11" t="str">
        <f>CONCATENATE("          ", "4198", " - ", "NON-TAXABLE SALES-GRAD RENTALS")</f>
        <v xml:space="preserve">          4198 - NON-TAXABLE SALES-GRAD RENTALS</v>
      </c>
      <c r="C257" s="11"/>
      <c r="D257" s="2">
        <f t="shared" si="152"/>
        <v>0</v>
      </c>
      <c r="E257" s="2"/>
      <c r="F257" s="19">
        <f t="shared" si="144"/>
        <v>0</v>
      </c>
      <c r="G257" s="2"/>
      <c r="H257" s="2">
        <f t="shared" si="153"/>
        <v>0</v>
      </c>
      <c r="I257" s="2"/>
      <c r="J257" s="19">
        <f t="shared" si="145"/>
        <v>0</v>
      </c>
      <c r="K257" s="2"/>
      <c r="L257" s="2">
        <f t="shared" si="146"/>
        <v>0</v>
      </c>
      <c r="M257" s="2"/>
      <c r="N257" s="19">
        <f t="shared" si="147"/>
        <v>0</v>
      </c>
      <c r="O257" s="11"/>
      <c r="P257" s="2">
        <f t="shared" si="154"/>
        <v>0</v>
      </c>
      <c r="Q257" s="2"/>
      <c r="R257" s="19">
        <f t="shared" si="148"/>
        <v>0</v>
      </c>
      <c r="S257" s="2"/>
      <c r="T257" s="2">
        <f>--495</f>
        <v>495</v>
      </c>
      <c r="U257" s="2"/>
      <c r="V257" s="19">
        <f t="shared" si="149"/>
        <v>8.6253635897868327E-5</v>
      </c>
      <c r="W257" s="2"/>
      <c r="X257" s="2">
        <f t="shared" si="150"/>
        <v>-495</v>
      </c>
      <c r="Y257" s="2"/>
      <c r="Z257" s="19">
        <f t="shared" si="151"/>
        <v>-1</v>
      </c>
    </row>
    <row r="258" spans="1:26" s="24" customFormat="1" hidden="1" outlineLevel="1" x14ac:dyDescent="0.25">
      <c r="A258" s="44"/>
      <c r="B258" s="11" t="str">
        <f>CONCATENATE("          ", "9150", " - ", "MISC. INCOME")</f>
        <v xml:space="preserve">          9150 - MISC. INCOME</v>
      </c>
      <c r="C258" s="11"/>
      <c r="D258" s="2">
        <f>--30327.7</f>
        <v>30327.7</v>
      </c>
      <c r="E258" s="2"/>
      <c r="F258" s="19">
        <f t="shared" si="144"/>
        <v>0.18941904775764362</v>
      </c>
      <c r="G258" s="2"/>
      <c r="H258" s="2">
        <f>--69263.32</f>
        <v>69263.320000000007</v>
      </c>
      <c r="I258" s="2"/>
      <c r="J258" s="19">
        <f t="shared" si="145"/>
        <v>6.8686399576580431E-2</v>
      </c>
      <c r="K258" s="2"/>
      <c r="L258" s="2">
        <f t="shared" si="146"/>
        <v>-38935.62000000001</v>
      </c>
      <c r="M258" s="2"/>
      <c r="N258" s="19">
        <f t="shared" si="147"/>
        <v>-0.56213909468965684</v>
      </c>
      <c r="O258" s="11"/>
      <c r="P258" s="2">
        <f>--141695.11</f>
        <v>141695.10999999999</v>
      </c>
      <c r="Q258" s="2"/>
      <c r="R258" s="19">
        <f t="shared" si="148"/>
        <v>6.0127007814357779E-2</v>
      </c>
      <c r="S258" s="2"/>
      <c r="T258" s="2">
        <f>--206650.24</f>
        <v>206650.23999999999</v>
      </c>
      <c r="U258" s="2"/>
      <c r="V258" s="19">
        <f t="shared" si="149"/>
        <v>3.600875668518607E-2</v>
      </c>
      <c r="W258" s="2"/>
      <c r="X258" s="2">
        <f t="shared" si="150"/>
        <v>-64955.130000000005</v>
      </c>
      <c r="Y258" s="2"/>
      <c r="Z258" s="19">
        <f t="shared" si="151"/>
        <v>-0.31432399981727582</v>
      </c>
    </row>
    <row r="259" spans="1:26" s="24" customFormat="1" hidden="1" outlineLevel="1" x14ac:dyDescent="0.25">
      <c r="A259" s="44"/>
      <c r="B259" s="11" t="str">
        <f>CONCATENATE("          ", "9151", " - ", "MISC. INCOME")</f>
        <v xml:space="preserve">          9151 - MISC. INCOME</v>
      </c>
      <c r="C259" s="11"/>
      <c r="D259" s="2">
        <f>0</f>
        <v>0</v>
      </c>
      <c r="E259" s="2"/>
      <c r="F259" s="19">
        <f t="shared" si="144"/>
        <v>0</v>
      </c>
      <c r="G259" s="2"/>
      <c r="H259" s="2">
        <f>--4030.76</f>
        <v>4030.76</v>
      </c>
      <c r="I259" s="2"/>
      <c r="J259" s="19">
        <f t="shared" si="145"/>
        <v>3.9971862734459931E-3</v>
      </c>
      <c r="K259" s="2"/>
      <c r="L259" s="2">
        <f t="shared" si="146"/>
        <v>-4030.76</v>
      </c>
      <c r="M259" s="2"/>
      <c r="N259" s="19">
        <f t="shared" si="147"/>
        <v>-1</v>
      </c>
      <c r="O259" s="11"/>
      <c r="P259" s="2">
        <f>--147285.39</f>
        <v>147285.39000000001</v>
      </c>
      <c r="Q259" s="2"/>
      <c r="R259" s="19">
        <f t="shared" si="148"/>
        <v>6.2499191365677581E-2</v>
      </c>
      <c r="S259" s="2"/>
      <c r="T259" s="2">
        <f>--87224.27</f>
        <v>87224.27</v>
      </c>
      <c r="U259" s="2"/>
      <c r="V259" s="19">
        <f t="shared" si="149"/>
        <v>1.5198808941489617E-2</v>
      </c>
      <c r="W259" s="2"/>
      <c r="X259" s="2">
        <f t="shared" si="150"/>
        <v>60061.12000000001</v>
      </c>
      <c r="Y259" s="2"/>
      <c r="Z259" s="19">
        <f t="shared" si="151"/>
        <v>0.68858266168349713</v>
      </c>
    </row>
    <row r="260" spans="1:26" s="24" customFormat="1" hidden="1" outlineLevel="1" x14ac:dyDescent="0.25">
      <c r="A260" s="44"/>
      <c r="B260" s="11" t="str">
        <f>CONCATENATE("          ", "9152", " - ", "MISC. INCOME")</f>
        <v xml:space="preserve">          9152 - MISC. INCOME</v>
      </c>
      <c r="C260" s="11"/>
      <c r="D260" s="2">
        <f>--262.08</f>
        <v>262.08</v>
      </c>
      <c r="E260" s="2"/>
      <c r="F260" s="19">
        <f t="shared" si="144"/>
        <v>1.6368845654739146E-3</v>
      </c>
      <c r="G260" s="2"/>
      <c r="H260" s="2">
        <f>--53.08</f>
        <v>53.08</v>
      </c>
      <c r="I260" s="2"/>
      <c r="J260" s="19">
        <f t="shared" si="145"/>
        <v>5.263787657774546E-5</v>
      </c>
      <c r="K260" s="2"/>
      <c r="L260" s="2">
        <f t="shared" si="146"/>
        <v>209</v>
      </c>
      <c r="M260" s="2"/>
      <c r="N260" s="19">
        <f t="shared" si="147"/>
        <v>3.9374529012810853</v>
      </c>
      <c r="O260" s="11"/>
      <c r="P260" s="2">
        <f>--2351.02</f>
        <v>2351.02</v>
      </c>
      <c r="Q260" s="2"/>
      <c r="R260" s="19">
        <f t="shared" si="148"/>
        <v>9.9763356626570549E-4</v>
      </c>
      <c r="S260" s="2"/>
      <c r="T260" s="2">
        <f>--694.1</f>
        <v>694.1</v>
      </c>
      <c r="U260" s="2"/>
      <c r="V260" s="19">
        <f t="shared" si="149"/>
        <v>1.2094676500345538E-4</v>
      </c>
      <c r="W260" s="2"/>
      <c r="X260" s="2">
        <f t="shared" si="150"/>
        <v>1656.92</v>
      </c>
      <c r="Y260" s="2"/>
      <c r="Z260" s="19">
        <f t="shared" si="151"/>
        <v>2.3871488258176057</v>
      </c>
    </row>
    <row r="261" spans="1:26" s="24" customFormat="1" hidden="1" outlineLevel="1" x14ac:dyDescent="0.25">
      <c r="A261" s="44"/>
      <c r="B261" s="11" t="str">
        <f>CONCATENATE("          ", "9160", " - ", "MISC. INCOME")</f>
        <v xml:space="preserve">          9160 - MISC. INCOME</v>
      </c>
      <c r="C261" s="11"/>
      <c r="D261" s="2">
        <f t="shared" ref="D261:D262" si="155">0</f>
        <v>0</v>
      </c>
      <c r="E261" s="2"/>
      <c r="F261" s="19">
        <f t="shared" si="144"/>
        <v>0</v>
      </c>
      <c r="G261" s="2"/>
      <c r="H261" s="2">
        <f>0</f>
        <v>0</v>
      </c>
      <c r="I261" s="2"/>
      <c r="J261" s="19">
        <f t="shared" si="145"/>
        <v>0</v>
      </c>
      <c r="K261" s="2"/>
      <c r="L261" s="2">
        <f t="shared" si="146"/>
        <v>0</v>
      </c>
      <c r="M261" s="2"/>
      <c r="N261" s="19">
        <f t="shared" si="147"/>
        <v>0</v>
      </c>
      <c r="O261" s="11"/>
      <c r="P261" s="2">
        <f>0</f>
        <v>0</v>
      </c>
      <c r="Q261" s="2"/>
      <c r="R261" s="19">
        <f t="shared" si="148"/>
        <v>0</v>
      </c>
      <c r="S261" s="2"/>
      <c r="T261" s="2">
        <f>--21170</f>
        <v>21170</v>
      </c>
      <c r="U261" s="2"/>
      <c r="V261" s="19">
        <f t="shared" si="149"/>
        <v>3.6888676201169142E-3</v>
      </c>
      <c r="W261" s="2"/>
      <c r="X261" s="2">
        <f t="shared" si="150"/>
        <v>-21170</v>
      </c>
      <c r="Y261" s="2"/>
      <c r="Z261" s="19">
        <f t="shared" si="151"/>
        <v>-1</v>
      </c>
    </row>
    <row r="262" spans="1:26" s="24" customFormat="1" hidden="1" outlineLevel="1" x14ac:dyDescent="0.25">
      <c r="A262" s="44"/>
      <c r="B262" s="11" t="str">
        <f>CONCATENATE("          ", "9163", " - ", "MISC. INCOME")</f>
        <v xml:space="preserve">          9163 - MISC. INCOME</v>
      </c>
      <c r="C262" s="11"/>
      <c r="D262" s="2">
        <f t="shared" si="155"/>
        <v>0</v>
      </c>
      <c r="E262" s="2"/>
      <c r="F262" s="19">
        <f t="shared" si="144"/>
        <v>0</v>
      </c>
      <c r="G262" s="2"/>
      <c r="H262" s="2">
        <f>--61106.55</f>
        <v>61106.55</v>
      </c>
      <c r="I262" s="2"/>
      <c r="J262" s="19">
        <f t="shared" si="145"/>
        <v>6.0597570403011156E-2</v>
      </c>
      <c r="K262" s="2"/>
      <c r="L262" s="2">
        <f t="shared" si="146"/>
        <v>-61106.55</v>
      </c>
      <c r="M262" s="2"/>
      <c r="N262" s="19">
        <f t="shared" si="147"/>
        <v>-1</v>
      </c>
      <c r="O262" s="11"/>
      <c r="P262" s="2">
        <f>--160663.9</f>
        <v>160663.9</v>
      </c>
      <c r="Q262" s="2"/>
      <c r="R262" s="19">
        <f t="shared" si="148"/>
        <v>6.8176238197529868E-2</v>
      </c>
      <c r="S262" s="2"/>
      <c r="T262" s="2">
        <f>--61106.55</f>
        <v>61106.55</v>
      </c>
      <c r="U262" s="2"/>
      <c r="V262" s="19">
        <f t="shared" si="149"/>
        <v>1.0647802251868458E-2</v>
      </c>
      <c r="W262" s="2"/>
      <c r="X262" s="2">
        <f t="shared" si="150"/>
        <v>99557.349999999991</v>
      </c>
      <c r="Y262" s="2"/>
      <c r="Z262" s="19">
        <f t="shared" si="151"/>
        <v>1.6292418734161884</v>
      </c>
    </row>
    <row r="263" spans="1:26" x14ac:dyDescent="0.25">
      <c r="A263" s="9"/>
      <c r="B263" s="10"/>
      <c r="C263" s="10"/>
      <c r="D263" s="3"/>
      <c r="E263" s="3"/>
      <c r="F263" s="8"/>
      <c r="G263" s="3"/>
      <c r="H263" s="3"/>
      <c r="I263" s="3"/>
      <c r="J263" s="8"/>
      <c r="K263" s="3"/>
      <c r="L263" s="3"/>
      <c r="M263" s="3"/>
      <c r="N263" s="8"/>
      <c r="O263" s="10"/>
      <c r="P263" s="3"/>
      <c r="Q263" s="3"/>
      <c r="R263" s="8"/>
      <c r="S263" s="3"/>
      <c r="T263" s="3"/>
      <c r="U263" s="3"/>
      <c r="V263" s="8"/>
      <c r="W263" s="3"/>
      <c r="X263" s="3"/>
      <c r="Y263" s="3"/>
      <c r="Z263" s="8"/>
    </row>
    <row r="264" spans="1:26" s="23" customFormat="1" x14ac:dyDescent="0.25">
      <c r="A264" s="10"/>
      <c r="B264" s="25" t="s">
        <v>3</v>
      </c>
      <c r="C264" s="25"/>
      <c r="D264" s="20">
        <f>+D160-D162+D254</f>
        <v>-256177.75000000003</v>
      </c>
      <c r="E264" s="13"/>
      <c r="F264" s="21">
        <f>IF(D$12=0,0,D264/D$12)</f>
        <v>-1.6000206234464101</v>
      </c>
      <c r="G264" s="13"/>
      <c r="H264" s="20">
        <f>+H160-H162+H254</f>
        <v>127779.24000000028</v>
      </c>
      <c r="I264" s="13"/>
      <c r="J264" s="21">
        <f>IF(H$12=0,0,H264/H$12)</f>
        <v>0.12671491831797535</v>
      </c>
      <c r="K264" s="15"/>
      <c r="L264" s="20">
        <f>+D264-H264</f>
        <v>-383956.99000000034</v>
      </c>
      <c r="M264" s="15"/>
      <c r="N264" s="21">
        <f>IF(H264=0,0,L264/H264)</f>
        <v>-3.0048464054098263</v>
      </c>
      <c r="O264" s="26"/>
      <c r="P264" s="20">
        <f>+P160-P162+P254</f>
        <v>10243.770000000135</v>
      </c>
      <c r="Q264" s="13"/>
      <c r="R264" s="21">
        <f>IF(P$12=0,0,P264/P$12)</f>
        <v>4.3468489409302265E-3</v>
      </c>
      <c r="S264" s="13"/>
      <c r="T264" s="20">
        <f>+T160-T162+T254</f>
        <v>808953.8499999987</v>
      </c>
      <c r="U264" s="13"/>
      <c r="V264" s="21">
        <f>IF(T$12=0,0,T264/T$12)</f>
        <v>0.14096002189106804</v>
      </c>
      <c r="W264" s="15"/>
      <c r="X264" s="20">
        <f>+P264-T264</f>
        <v>-798710.07999999856</v>
      </c>
      <c r="Y264" s="15"/>
      <c r="Z264" s="21">
        <f>IF(T264=0,0,X264/T264)</f>
        <v>-0.98733701557882425</v>
      </c>
    </row>
    <row r="265" spans="1:26" x14ac:dyDescent="0.25">
      <c r="A265" s="9"/>
      <c r="B265" s="10"/>
      <c r="C265" s="9"/>
      <c r="D265" s="3"/>
      <c r="E265" s="3"/>
      <c r="F265" s="8"/>
      <c r="G265" s="3"/>
      <c r="H265" s="3"/>
      <c r="I265" s="3"/>
      <c r="J265" s="8"/>
      <c r="K265" s="3"/>
      <c r="L265" s="3"/>
      <c r="M265" s="3"/>
      <c r="N265" s="8"/>
      <c r="P265" s="3"/>
      <c r="Q265" s="3"/>
      <c r="R265" s="8"/>
      <c r="S265" s="3"/>
      <c r="T265" s="3"/>
      <c r="U265" s="3"/>
      <c r="V265" s="8"/>
      <c r="W265" s="3"/>
      <c r="X265" s="3"/>
      <c r="Y265" s="3"/>
      <c r="Z265" s="8"/>
    </row>
    <row r="266" spans="1:26" s="23" customFormat="1" x14ac:dyDescent="0.25">
      <c r="A266" s="51"/>
      <c r="B266" s="10" t="s">
        <v>13</v>
      </c>
      <c r="C266" s="10"/>
      <c r="D266" s="4">
        <v>103579.3</v>
      </c>
      <c r="E266" s="4"/>
      <c r="F266" s="12">
        <f>IF(D$12=0,0,D266/D$12)</f>
        <v>0.64692978278614255</v>
      </c>
      <c r="G266" s="4"/>
      <c r="H266" s="4">
        <v>69573.97</v>
      </c>
      <c r="I266" s="4"/>
      <c r="J266" s="12">
        <f>IF(H$12=0,0,H266/H$12)</f>
        <v>6.8994462055082251E-2</v>
      </c>
      <c r="K266" s="4"/>
      <c r="L266" s="4">
        <f>+D266-H266</f>
        <v>34005.33</v>
      </c>
      <c r="M266" s="4"/>
      <c r="N266" s="12">
        <f>IF(H266=0,0,L266/H266)</f>
        <v>0.48876512293318897</v>
      </c>
      <c r="O266" s="10"/>
      <c r="P266" s="4">
        <v>510489.61000000004</v>
      </c>
      <c r="Q266" s="4"/>
      <c r="R266" s="12">
        <f>IF(P$12=0,0,P266/P$12)</f>
        <v>0.2166215388069388</v>
      </c>
      <c r="S266" s="4"/>
      <c r="T266" s="4">
        <v>577691.17000000004</v>
      </c>
      <c r="U266" s="4"/>
      <c r="V266" s="12">
        <f>IF(T$12=0,0,T266/T$12)</f>
        <v>0.10066255320927991</v>
      </c>
      <c r="W266" s="4"/>
      <c r="X266" s="4">
        <f>+P266-T266</f>
        <v>-67201.56</v>
      </c>
      <c r="Y266" s="4"/>
      <c r="Z266" s="12">
        <f>IF(T266=0,0,X266/T266)</f>
        <v>-0.11632782962564582</v>
      </c>
    </row>
    <row r="267" spans="1:26" x14ac:dyDescent="0.25">
      <c r="A267" s="9"/>
      <c r="B267" s="10"/>
      <c r="C267" s="10"/>
      <c r="D267" s="3"/>
      <c r="E267" s="3"/>
      <c r="F267" s="8"/>
      <c r="G267" s="3"/>
      <c r="H267" s="3"/>
      <c r="I267" s="3"/>
      <c r="J267" s="8"/>
      <c r="K267" s="3"/>
      <c r="L267" s="3"/>
      <c r="M267" s="3"/>
      <c r="N267" s="8"/>
      <c r="O267" s="10"/>
      <c r="P267" s="3"/>
      <c r="Q267" s="3"/>
      <c r="R267" s="8"/>
      <c r="S267" s="3"/>
      <c r="T267" s="3"/>
      <c r="U267" s="3"/>
      <c r="V267" s="8"/>
      <c r="W267" s="3"/>
      <c r="X267" s="3"/>
      <c r="Y267" s="3"/>
      <c r="Z267" s="8"/>
    </row>
    <row r="268" spans="1:26" s="23" customFormat="1" ht="15.75" thickBot="1" x14ac:dyDescent="0.3">
      <c r="A268" s="10"/>
      <c r="B268" s="25" t="s">
        <v>4</v>
      </c>
      <c r="C268" s="25"/>
      <c r="D268" s="30">
        <f>+D264-D266</f>
        <v>-359757.05000000005</v>
      </c>
      <c r="E268" s="13"/>
      <c r="F268" s="33">
        <f>IF(D$12=0,0,D268/D$12)</f>
        <v>-2.2469504062325529</v>
      </c>
      <c r="G268" s="13"/>
      <c r="H268" s="30">
        <f>+H264-H266</f>
        <v>58205.270000000281</v>
      </c>
      <c r="I268" s="13"/>
      <c r="J268" s="33">
        <f>IF(H$12=0,0,H268/H$12)</f>
        <v>5.7720456262893093E-2</v>
      </c>
      <c r="K268" s="15"/>
      <c r="L268" s="30">
        <f>D268-H268</f>
        <v>-417962.3200000003</v>
      </c>
      <c r="M268" s="15"/>
      <c r="N268" s="33">
        <f>IF(H268=0,0,L268/H268)</f>
        <v>-7.1808329383232525</v>
      </c>
      <c r="O268" s="26"/>
      <c r="P268" s="30">
        <f>+P264-P266</f>
        <v>-500245.83999999991</v>
      </c>
      <c r="Q268" s="13"/>
      <c r="R268" s="33">
        <f>IF(P$12=0,0,P268/P$12)</f>
        <v>-0.21227468986600856</v>
      </c>
      <c r="S268" s="13"/>
      <c r="T268" s="30">
        <f>+T264-T266</f>
        <v>231262.67999999865</v>
      </c>
      <c r="U268" s="13"/>
      <c r="V268" s="33">
        <f>IF(T$12=0,0,T268/T$12)</f>
        <v>4.0297468681788122E-2</v>
      </c>
      <c r="W268" s="15"/>
      <c r="X268" s="30">
        <f>P268-T268</f>
        <v>-731508.51999999862</v>
      </c>
      <c r="Y268" s="15"/>
      <c r="Z268" s="33">
        <f>IF(T268=0,0,X268/T268)</f>
        <v>-3.1631066456550743</v>
      </c>
    </row>
    <row r="269" spans="1:26" ht="15.75" thickTop="1" x14ac:dyDescent="0.25">
      <c r="A269" s="9"/>
      <c r="B269" s="9"/>
      <c r="C269" s="9"/>
      <c r="D269" s="3"/>
      <c r="E269" s="3"/>
      <c r="F269" s="8"/>
      <c r="G269" s="3"/>
      <c r="H269" s="3"/>
      <c r="I269" s="3"/>
      <c r="J269" s="8"/>
      <c r="K269" s="3"/>
      <c r="L269" s="3"/>
      <c r="M269" s="3"/>
      <c r="N269" s="8"/>
      <c r="P269" s="3"/>
      <c r="Q269" s="3"/>
      <c r="R269" s="8"/>
      <c r="S269" s="3"/>
      <c r="T269" s="3"/>
      <c r="U269" s="3"/>
      <c r="V269" s="8"/>
      <c r="W269" s="3"/>
      <c r="X269" s="3"/>
      <c r="Y269" s="3"/>
      <c r="Z269" s="8"/>
    </row>
    <row r="270" spans="1:26" x14ac:dyDescent="0.25">
      <c r="A270" s="9"/>
      <c r="B270" s="9"/>
      <c r="C270" s="9"/>
      <c r="D270" s="3"/>
      <c r="E270" s="3"/>
      <c r="F270" s="8"/>
      <c r="G270" s="3"/>
      <c r="H270" s="3"/>
      <c r="I270" s="3"/>
      <c r="J270" s="8"/>
      <c r="K270" s="3"/>
      <c r="L270" s="3"/>
      <c r="M270" s="3"/>
      <c r="N270" s="8"/>
      <c r="P270" s="3"/>
      <c r="Q270" s="3"/>
      <c r="R270" s="8"/>
      <c r="S270" s="3"/>
      <c r="T270" s="3"/>
      <c r="U270" s="3"/>
      <c r="V270" s="8"/>
      <c r="W270" s="3"/>
      <c r="X270" s="3"/>
      <c r="Y270" s="3"/>
      <c r="Z270" s="8"/>
    </row>
    <row r="271" spans="1:26" s="23" customFormat="1" ht="15.75" thickBot="1" x14ac:dyDescent="0.3">
      <c r="A271" s="10"/>
      <c r="B271" s="25" t="s">
        <v>5</v>
      </c>
      <c r="C271" s="25"/>
      <c r="D271" s="34">
        <f>SUM(D268:D270)</f>
        <v>-359757.05000000005</v>
      </c>
      <c r="E271" s="13"/>
      <c r="F271" s="35">
        <f>IF(D$12=0,0,D271/D$12)</f>
        <v>-2.2469504062325529</v>
      </c>
      <c r="G271" s="13"/>
      <c r="H271" s="34">
        <f>SUM(H268:H270)</f>
        <v>58205.270000000281</v>
      </c>
      <c r="I271" s="13"/>
      <c r="J271" s="35">
        <f>IF(H$12=0,0,H271/H$12)</f>
        <v>5.7720456262893093E-2</v>
      </c>
      <c r="K271" s="15"/>
      <c r="L271" s="34">
        <f>+D271-H271</f>
        <v>-417962.3200000003</v>
      </c>
      <c r="M271" s="15"/>
      <c r="N271" s="35">
        <f>IF(H271=0,0,L271/H271)</f>
        <v>-7.1808329383232525</v>
      </c>
      <c r="O271" s="26"/>
      <c r="P271" s="34">
        <f>SUM(P268:P270)</f>
        <v>-500245.83999999991</v>
      </c>
      <c r="Q271" s="13"/>
      <c r="R271" s="35">
        <f>IF(P$12=0,0,P271/P$12)</f>
        <v>-0.21227468986600856</v>
      </c>
      <c r="S271" s="13"/>
      <c r="T271" s="34">
        <f>SUM(T268:T270)</f>
        <v>231262.67999999865</v>
      </c>
      <c r="U271" s="13"/>
      <c r="V271" s="35">
        <f>IF(T$12=0,0,T271/T$12)</f>
        <v>4.0297468681788122E-2</v>
      </c>
      <c r="W271" s="15"/>
      <c r="X271" s="34">
        <f>+P271-T271</f>
        <v>-731508.51999999862</v>
      </c>
      <c r="Y271" s="15"/>
      <c r="Z271" s="35">
        <f>IF(T271=0,0,X271/T271)</f>
        <v>-3.1631066456550743</v>
      </c>
    </row>
    <row r="272" spans="1:26" ht="15.75" thickTop="1" x14ac:dyDescent="0.25">
      <c r="A272" s="9"/>
      <c r="C272" s="9"/>
      <c r="D272" s="18"/>
      <c r="E272" s="18"/>
      <c r="G272" s="18"/>
      <c r="H272" s="18"/>
      <c r="I272" s="18"/>
      <c r="J272" s="43"/>
      <c r="K272" s="18"/>
      <c r="L272" s="18"/>
      <c r="M272" s="18"/>
      <c r="P272" s="18"/>
      <c r="Q272" s="18"/>
      <c r="R272" s="43"/>
      <c r="S272" s="18"/>
      <c r="T272" s="18"/>
      <c r="U272" s="18"/>
      <c r="V272" s="43"/>
      <c r="W272" s="18"/>
      <c r="X272" s="18"/>
    </row>
    <row r="273" spans="1:24" x14ac:dyDescent="0.25">
      <c r="A273" s="9"/>
      <c r="B273" s="56">
        <v>44151.571808217595</v>
      </c>
      <c r="D273" s="18"/>
      <c r="E273" s="18"/>
      <c r="G273" s="18"/>
      <c r="H273" s="18"/>
      <c r="I273" s="18"/>
      <c r="J273" s="43"/>
      <c r="K273" s="18"/>
      <c r="L273" s="18"/>
      <c r="M273" s="18"/>
      <c r="P273" s="18"/>
      <c r="Q273" s="18"/>
      <c r="R273" s="43"/>
      <c r="S273" s="18"/>
      <c r="T273" s="18"/>
      <c r="U273" s="18"/>
      <c r="V273" s="43"/>
      <c r="W273" s="18"/>
      <c r="X273" s="18"/>
    </row>
    <row r="274" spans="1:24" x14ac:dyDescent="0.25">
      <c r="A274" s="9"/>
      <c r="B274" s="62" t="s">
        <v>313</v>
      </c>
      <c r="D274" s="18"/>
      <c r="E274" s="18"/>
      <c r="G274" s="18"/>
      <c r="H274" s="18"/>
      <c r="I274" s="18"/>
      <c r="J274" s="43"/>
      <c r="K274" s="18"/>
      <c r="L274" s="18"/>
      <c r="M274" s="18"/>
      <c r="P274" s="18"/>
      <c r="Q274" s="18"/>
      <c r="R274" s="43"/>
      <c r="S274" s="18"/>
      <c r="T274" s="18"/>
      <c r="U274" s="18"/>
      <c r="V274" s="43"/>
      <c r="W274" s="18"/>
      <c r="X274" s="18"/>
    </row>
    <row r="275" spans="1:24" x14ac:dyDescent="0.25">
      <c r="A275" s="9"/>
      <c r="B275" s="54"/>
      <c r="D275" s="18"/>
      <c r="E275" s="18"/>
      <c r="G275" s="18"/>
      <c r="H275" s="18"/>
      <c r="I275" s="18"/>
      <c r="J275" s="43"/>
      <c r="K275" s="18"/>
      <c r="L275" s="18"/>
      <c r="M275" s="18"/>
      <c r="P275" s="18"/>
      <c r="Q275" s="18"/>
      <c r="R275" s="43"/>
      <c r="S275" s="18"/>
      <c r="T275" s="18"/>
      <c r="U275" s="18"/>
      <c r="V275" s="43"/>
      <c r="W275" s="18"/>
      <c r="X275" s="18"/>
    </row>
    <row r="276" spans="1:24" x14ac:dyDescent="0.25">
      <c r="D276" s="18"/>
      <c r="E276" s="18"/>
      <c r="G276" s="18"/>
      <c r="H276" s="18"/>
      <c r="I276" s="18"/>
      <c r="J276" s="43"/>
      <c r="K276" s="18"/>
      <c r="L276" s="18"/>
      <c r="M276" s="18"/>
      <c r="P276" s="18"/>
      <c r="Q276" s="18"/>
      <c r="R276" s="43"/>
      <c r="S276" s="18"/>
      <c r="T276" s="18"/>
      <c r="U276" s="18"/>
      <c r="V276" s="43"/>
      <c r="W276" s="18"/>
      <c r="X276" s="18"/>
    </row>
  </sheetData>
  <pageMargins left="0.25" right="0.25" top="0.75" bottom="0.75" header="0.3" footer="0.3"/>
  <pageSetup scale="55" fitToWidth="2" orientation="landscape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268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",RIGHT(202104,2),", ",2021)</f>
        <v>Period 04,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44135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308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61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50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50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2"/>
      <c r="F10" s="31" t="s">
        <v>14</v>
      </c>
      <c r="G10" s="32"/>
      <c r="H10" s="49" t="s">
        <v>306</v>
      </c>
      <c r="I10" s="32"/>
      <c r="J10" s="31" t="s">
        <v>14</v>
      </c>
      <c r="K10" s="10"/>
      <c r="L10" s="42" t="s">
        <v>11</v>
      </c>
      <c r="M10" s="10"/>
      <c r="N10" s="31" t="s">
        <v>15</v>
      </c>
      <c r="O10" s="10"/>
      <c r="P10" s="59" t="s">
        <v>10</v>
      </c>
      <c r="Q10" s="32"/>
      <c r="R10" s="31" t="s">
        <v>14</v>
      </c>
      <c r="S10" s="32"/>
      <c r="T10" s="49" t="s">
        <v>306</v>
      </c>
      <c r="U10" s="32"/>
      <c r="V10" s="31" t="s">
        <v>14</v>
      </c>
      <c r="W10" s="10"/>
      <c r="X10" s="42" t="s">
        <v>11</v>
      </c>
      <c r="Y10" s="10"/>
      <c r="Z10" s="31" t="s">
        <v>15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160109.03000000003</v>
      </c>
      <c r="E12" s="4"/>
      <c r="F12" s="12"/>
      <c r="G12" s="4"/>
      <c r="H12" s="4">
        <f>SUM(OSRRefH13x_0)</f>
        <v>478812.74</v>
      </c>
      <c r="I12" s="4"/>
      <c r="J12" s="12"/>
      <c r="K12" s="4"/>
      <c r="L12" s="4">
        <f t="shared" ref="L12:L103" si="0">+D12-H12</f>
        <v>-318703.70999999996</v>
      </c>
      <c r="M12" s="4"/>
      <c r="N12" s="12">
        <f t="shared" ref="N12:N103" si="1">IF(H12=0,0,L12/H12)</f>
        <v>-0.66561242710459201</v>
      </c>
      <c r="O12" s="10"/>
      <c r="P12" s="4">
        <f>SUM(OSRRefP13x_0)</f>
        <v>2354010.2599999998</v>
      </c>
      <c r="Q12" s="4"/>
      <c r="R12" s="12"/>
      <c r="S12" s="4"/>
      <c r="T12" s="4">
        <f>SUM(OSRRefT13x_0)</f>
        <v>4620816.0699999984</v>
      </c>
      <c r="U12" s="4"/>
      <c r="V12" s="12"/>
      <c r="W12" s="4"/>
      <c r="X12" s="4">
        <f t="shared" ref="X12:X103" si="2">+P12-T12</f>
        <v>-2266805.8099999987</v>
      </c>
      <c r="Y12" s="4"/>
      <c r="Z12" s="12">
        <f t="shared" ref="Z12:Z103" si="3">IF(T12=0,0,X12/T12)</f>
        <v>-0.49056395573001016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-11383.24</f>
        <v>-11383.24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-11383.24</v>
      </c>
      <c r="M13" s="2"/>
      <c r="N13" s="19">
        <f t="shared" si="1"/>
        <v>0</v>
      </c>
      <c r="O13" s="11"/>
      <c r="P13" s="2">
        <f>-47460.32</f>
        <v>-47460.32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-47460.32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--17630.93</f>
        <v>17630.93</v>
      </c>
      <c r="E14" s="2"/>
      <c r="F14" s="19"/>
      <c r="G14" s="2"/>
      <c r="H14" s="2">
        <f>--31204.32</f>
        <v>31204.32</v>
      </c>
      <c r="I14" s="2"/>
      <c r="J14" s="19"/>
      <c r="K14" s="2"/>
      <c r="L14" s="2">
        <f t="shared" si="0"/>
        <v>-13573.39</v>
      </c>
      <c r="M14" s="2"/>
      <c r="N14" s="19">
        <f t="shared" si="1"/>
        <v>-0.43498432268352588</v>
      </c>
      <c r="O14" s="11"/>
      <c r="P14" s="2">
        <f>--712327.57</f>
        <v>712327.57</v>
      </c>
      <c r="Q14" s="2"/>
      <c r="R14" s="19"/>
      <c r="S14" s="2"/>
      <c r="T14" s="2">
        <f>--1495159.74</f>
        <v>1495159.74</v>
      </c>
      <c r="U14" s="2"/>
      <c r="V14" s="19"/>
      <c r="W14" s="2"/>
      <c r="X14" s="2">
        <f t="shared" si="2"/>
        <v>-782832.17</v>
      </c>
      <c r="Y14" s="2"/>
      <c r="Z14" s="19">
        <f t="shared" si="3"/>
        <v>-0.52357761452298068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--2483.62</f>
        <v>2483.62</v>
      </c>
      <c r="E15" s="2"/>
      <c r="F15" s="19"/>
      <c r="G15" s="2"/>
      <c r="H15" s="2">
        <f>--8985.78</f>
        <v>8985.7800000000007</v>
      </c>
      <c r="I15" s="2"/>
      <c r="J15" s="19"/>
      <c r="K15" s="2"/>
      <c r="L15" s="2">
        <f t="shared" si="0"/>
        <v>-6502.1600000000008</v>
      </c>
      <c r="M15" s="2"/>
      <c r="N15" s="19">
        <f t="shared" si="1"/>
        <v>-0.72360551894215086</v>
      </c>
      <c r="O15" s="11"/>
      <c r="P15" s="2">
        <f>--319139.52</f>
        <v>319139.52</v>
      </c>
      <c r="Q15" s="2"/>
      <c r="R15" s="19"/>
      <c r="S15" s="2"/>
      <c r="T15" s="2">
        <f>--666296.36</f>
        <v>666296.36</v>
      </c>
      <c r="U15" s="2"/>
      <c r="V15" s="19"/>
      <c r="W15" s="2"/>
      <c r="X15" s="2">
        <f t="shared" si="2"/>
        <v>-347156.83999999997</v>
      </c>
      <c r="Y15" s="2"/>
      <c r="Z15" s="19">
        <f t="shared" si="3"/>
        <v>-0.52102466836228845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--70</f>
        <v>70</v>
      </c>
      <c r="E16" s="2"/>
      <c r="F16" s="19"/>
      <c r="G16" s="2"/>
      <c r="H16" s="2">
        <f>--307.97</f>
        <v>307.97000000000003</v>
      </c>
      <c r="I16" s="2"/>
      <c r="J16" s="19"/>
      <c r="K16" s="2"/>
      <c r="L16" s="2">
        <f t="shared" si="0"/>
        <v>-237.97000000000003</v>
      </c>
      <c r="M16" s="2"/>
      <c r="N16" s="19">
        <f t="shared" si="1"/>
        <v>-0.77270513361691073</v>
      </c>
      <c r="O16" s="11"/>
      <c r="P16" s="2">
        <f>--10665.63</f>
        <v>10665.63</v>
      </c>
      <c r="Q16" s="2"/>
      <c r="R16" s="19"/>
      <c r="S16" s="2"/>
      <c r="T16" s="2">
        <f>--15844.66</f>
        <v>15844.66</v>
      </c>
      <c r="U16" s="2"/>
      <c r="V16" s="19"/>
      <c r="W16" s="2"/>
      <c r="X16" s="2">
        <f t="shared" si="2"/>
        <v>-5179.0300000000007</v>
      </c>
      <c r="Y16" s="2"/>
      <c r="Z16" s="19">
        <f t="shared" si="3"/>
        <v>-0.32686280425076969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>--354.45</f>
        <v>354.45</v>
      </c>
      <c r="E17" s="2"/>
      <c r="F17" s="19"/>
      <c r="G17" s="2"/>
      <c r="H17" s="2">
        <f>--460.04</f>
        <v>460.04</v>
      </c>
      <c r="I17" s="2"/>
      <c r="J17" s="19"/>
      <c r="K17" s="2"/>
      <c r="L17" s="2">
        <f t="shared" si="0"/>
        <v>-105.59000000000003</v>
      </c>
      <c r="M17" s="2"/>
      <c r="N17" s="19">
        <f t="shared" si="1"/>
        <v>-0.22952351969393972</v>
      </c>
      <c r="O17" s="11"/>
      <c r="P17" s="2">
        <f>--2459.56</f>
        <v>2459.56</v>
      </c>
      <c r="Q17" s="2"/>
      <c r="R17" s="19"/>
      <c r="S17" s="2"/>
      <c r="T17" s="2">
        <f>--30160.48</f>
        <v>30160.48</v>
      </c>
      <c r="U17" s="2"/>
      <c r="V17" s="19"/>
      <c r="W17" s="2"/>
      <c r="X17" s="2">
        <f t="shared" si="2"/>
        <v>-27700.92</v>
      </c>
      <c r="Y17" s="2"/>
      <c r="Z17" s="19">
        <f t="shared" si="3"/>
        <v>-0.91845089998567653</v>
      </c>
    </row>
    <row r="18" spans="1:26" s="24" customFormat="1" hidden="1" outlineLevel="1" x14ac:dyDescent="0.25">
      <c r="A18" s="44"/>
      <c r="B18" s="11" t="str">
        <f>CONCATENATE("          ", "4011", " - ", "TAXABLE SALES-NO VALUE TEXT")</f>
        <v xml:space="preserve">          4011 - TAXABLE SALES-NO VALUE TEXT</v>
      </c>
      <c r="C18" s="11"/>
      <c r="D18" s="2">
        <f>0</f>
        <v>0</v>
      </c>
      <c r="E18" s="2"/>
      <c r="F18" s="19"/>
      <c r="G18" s="2"/>
      <c r="H18" s="2">
        <f>0</f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0</f>
        <v>0</v>
      </c>
      <c r="Q18" s="2"/>
      <c r="R18" s="19"/>
      <c r="S18" s="2"/>
      <c r="T18" s="2">
        <f>--9.6</f>
        <v>9.6</v>
      </c>
      <c r="U18" s="2"/>
      <c r="V18" s="19"/>
      <c r="W18" s="2"/>
      <c r="X18" s="2">
        <f t="shared" si="2"/>
        <v>-9.6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"4013", " - ", "TAXABLE SALES-TRADE BOOKS")</f>
        <v xml:space="preserve">          4013 - TAXABLE SALES-TRADE BOOKS</v>
      </c>
      <c r="C19" s="11"/>
      <c r="D19" s="2">
        <f>--157.47</f>
        <v>157.47</v>
      </c>
      <c r="E19" s="2"/>
      <c r="F19" s="19"/>
      <c r="G19" s="2"/>
      <c r="H19" s="2">
        <f>--686.63</f>
        <v>686.63</v>
      </c>
      <c r="I19" s="2"/>
      <c r="J19" s="19"/>
      <c r="K19" s="2"/>
      <c r="L19" s="2">
        <f t="shared" si="0"/>
        <v>-529.16</v>
      </c>
      <c r="M19" s="2"/>
      <c r="N19" s="19">
        <f t="shared" si="1"/>
        <v>-0.77066251110496187</v>
      </c>
      <c r="O19" s="11"/>
      <c r="P19" s="2">
        <f>--197.37</f>
        <v>197.37</v>
      </c>
      <c r="Q19" s="2"/>
      <c r="R19" s="19"/>
      <c r="S19" s="2"/>
      <c r="T19" s="2">
        <f>--827.39</f>
        <v>827.39</v>
      </c>
      <c r="U19" s="2"/>
      <c r="V19" s="19"/>
      <c r="W19" s="2"/>
      <c r="X19" s="2">
        <f t="shared" si="2"/>
        <v>-630.02</v>
      </c>
      <c r="Y19" s="2"/>
      <c r="Z19" s="19">
        <f t="shared" si="3"/>
        <v>-0.76145469488391204</v>
      </c>
    </row>
    <row r="20" spans="1:26" s="24" customFormat="1" hidden="1" outlineLevel="1" x14ac:dyDescent="0.25">
      <c r="A20" s="44"/>
      <c r="B20" s="11" t="str">
        <f>CONCATENATE("          ", "4014", " - ", "TAXABLE SALES-REMAINDERS")</f>
        <v xml:space="preserve">          4014 - TAXABLE SALES-REMAINDERS</v>
      </c>
      <c r="C20" s="11"/>
      <c r="D20" s="2">
        <f>--35.8</f>
        <v>35.799999999999997</v>
      </c>
      <c r="E20" s="2"/>
      <c r="F20" s="19"/>
      <c r="G20" s="2"/>
      <c r="H20" s="2">
        <f>--171.13</f>
        <v>171.13</v>
      </c>
      <c r="I20" s="2"/>
      <c r="J20" s="19"/>
      <c r="K20" s="2"/>
      <c r="L20" s="2">
        <f t="shared" si="0"/>
        <v>-135.32999999999998</v>
      </c>
      <c r="M20" s="2"/>
      <c r="N20" s="19">
        <f t="shared" si="1"/>
        <v>-0.79080231403026935</v>
      </c>
      <c r="O20" s="11"/>
      <c r="P20" s="2">
        <f>--340.24</f>
        <v>340.24</v>
      </c>
      <c r="Q20" s="2"/>
      <c r="R20" s="19"/>
      <c r="S20" s="2"/>
      <c r="T20" s="2">
        <f>--694.22</f>
        <v>694.22</v>
      </c>
      <c r="U20" s="2"/>
      <c r="V20" s="19"/>
      <c r="W20" s="2"/>
      <c r="X20" s="2">
        <f t="shared" si="2"/>
        <v>-353.98</v>
      </c>
      <c r="Y20" s="2"/>
      <c r="Z20" s="19">
        <f t="shared" si="3"/>
        <v>-0.50989599838667854</v>
      </c>
    </row>
    <row r="21" spans="1:26" s="24" customFormat="1" hidden="1" outlineLevel="1" x14ac:dyDescent="0.25">
      <c r="A21" s="44"/>
      <c r="B21" s="11" t="str">
        <f>CONCATENATE("          ", "4017", " - ", "TAXABLE SALES-DORM/HOUSEWARES")</f>
        <v xml:space="preserve">          4017 - TAXABLE SALES-DORM/HOUSEWARES</v>
      </c>
      <c r="C21" s="11"/>
      <c r="D21" s="2">
        <f t="shared" ref="D21:D24" si="4">0</f>
        <v>0</v>
      </c>
      <c r="E21" s="2"/>
      <c r="F21" s="19"/>
      <c r="G21" s="2"/>
      <c r="H21" s="2">
        <f>--2.98</f>
        <v>2.98</v>
      </c>
      <c r="I21" s="2"/>
      <c r="J21" s="19"/>
      <c r="K21" s="2"/>
      <c r="L21" s="2">
        <f t="shared" si="0"/>
        <v>-2.98</v>
      </c>
      <c r="M21" s="2"/>
      <c r="N21" s="19">
        <f t="shared" si="1"/>
        <v>-1</v>
      </c>
      <c r="O21" s="11"/>
      <c r="P21" s="2">
        <f>0</f>
        <v>0</v>
      </c>
      <c r="Q21" s="2"/>
      <c r="R21" s="19"/>
      <c r="S21" s="2"/>
      <c r="T21" s="2">
        <f>--225.67</f>
        <v>225.67</v>
      </c>
      <c r="U21" s="2"/>
      <c r="V21" s="19"/>
      <c r="W21" s="2"/>
      <c r="X21" s="2">
        <f t="shared" si="2"/>
        <v>-225.67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"4018", " - ", "TAXABLE SALES-STUDY GUIDES")</f>
        <v xml:space="preserve">          4018 - TAXABLE SALES-STUDY GUIDES</v>
      </c>
      <c r="C22" s="11"/>
      <c r="D22" s="2">
        <f t="shared" si="4"/>
        <v>0</v>
      </c>
      <c r="E22" s="2"/>
      <c r="F22" s="19"/>
      <c r="G22" s="2"/>
      <c r="H22" s="2">
        <f>--394.68</f>
        <v>394.68</v>
      </c>
      <c r="I22" s="2"/>
      <c r="J22" s="19"/>
      <c r="K22" s="2"/>
      <c r="L22" s="2">
        <f t="shared" si="0"/>
        <v>-394.68</v>
      </c>
      <c r="M22" s="2"/>
      <c r="N22" s="19">
        <f t="shared" si="1"/>
        <v>-1</v>
      </c>
      <c r="O22" s="11"/>
      <c r="P22" s="2">
        <f>--183.89</f>
        <v>183.89</v>
      </c>
      <c r="Q22" s="2"/>
      <c r="R22" s="19"/>
      <c r="S22" s="2"/>
      <c r="T22" s="2">
        <f>--2454.83</f>
        <v>2454.83</v>
      </c>
      <c r="U22" s="2"/>
      <c r="V22" s="19"/>
      <c r="W22" s="2"/>
      <c r="X22" s="2">
        <f t="shared" si="2"/>
        <v>-2270.94</v>
      </c>
      <c r="Y22" s="2"/>
      <c r="Z22" s="19">
        <f t="shared" si="3"/>
        <v>-0.92509053580084977</v>
      </c>
    </row>
    <row r="23" spans="1:26" s="24" customFormat="1" hidden="1" outlineLevel="1" x14ac:dyDescent="0.25">
      <c r="A23" s="44"/>
      <c r="B23" s="11" t="str">
        <f>CONCATENATE("          ", "4019", " - ", "TAXABLE SALES-BOOK RELATED")</f>
        <v xml:space="preserve">          4019 - TAXABLE SALES-BOOK RELATED</v>
      </c>
      <c r="C23" s="11"/>
      <c r="D23" s="2">
        <f t="shared" si="4"/>
        <v>0</v>
      </c>
      <c r="E23" s="2"/>
      <c r="F23" s="19"/>
      <c r="G23" s="2"/>
      <c r="H23" s="2">
        <f>--14.95</f>
        <v>14.95</v>
      </c>
      <c r="I23" s="2"/>
      <c r="J23" s="19"/>
      <c r="K23" s="2"/>
      <c r="L23" s="2">
        <f t="shared" si="0"/>
        <v>-14.95</v>
      </c>
      <c r="M23" s="2"/>
      <c r="N23" s="19">
        <f t="shared" si="1"/>
        <v>-1</v>
      </c>
      <c r="O23" s="11"/>
      <c r="P23" s="2">
        <f t="shared" ref="P23:P24" si="5">0</f>
        <v>0</v>
      </c>
      <c r="Q23" s="2"/>
      <c r="R23" s="19"/>
      <c r="S23" s="2"/>
      <c r="T23" s="2">
        <f>--29.9</f>
        <v>29.9</v>
      </c>
      <c r="U23" s="2"/>
      <c r="V23" s="19"/>
      <c r="W23" s="2"/>
      <c r="X23" s="2">
        <f t="shared" si="2"/>
        <v>-29.9</v>
      </c>
      <c r="Y23" s="2"/>
      <c r="Z23" s="19">
        <f t="shared" si="3"/>
        <v>-1</v>
      </c>
    </row>
    <row r="24" spans="1:26" s="24" customFormat="1" hidden="1" outlineLevel="1" x14ac:dyDescent="0.25">
      <c r="A24" s="44"/>
      <c r="B24" s="11" t="str">
        <f>CONCATENATE("          ", "4025", " - ", "TAXABLE SALES-TEST FORMS")</f>
        <v xml:space="preserve">          4025 - TAXABLE SALES-TEST FORMS</v>
      </c>
      <c r="C24" s="11"/>
      <c r="D24" s="2">
        <f t="shared" si="4"/>
        <v>0</v>
      </c>
      <c r="E24" s="2"/>
      <c r="F24" s="19"/>
      <c r="G24" s="2"/>
      <c r="H24" s="2">
        <f>--10035.97</f>
        <v>10035.969999999999</v>
      </c>
      <c r="I24" s="2"/>
      <c r="J24" s="19"/>
      <c r="K24" s="2"/>
      <c r="L24" s="2">
        <f t="shared" si="0"/>
        <v>-10035.969999999999</v>
      </c>
      <c r="M24" s="2"/>
      <c r="N24" s="19">
        <f t="shared" si="1"/>
        <v>-1</v>
      </c>
      <c r="O24" s="11"/>
      <c r="P24" s="2">
        <f t="shared" si="5"/>
        <v>0</v>
      </c>
      <c r="Q24" s="2"/>
      <c r="R24" s="19"/>
      <c r="S24" s="2"/>
      <c r="T24" s="2">
        <f>--26332.04</f>
        <v>26332.04</v>
      </c>
      <c r="U24" s="2"/>
      <c r="V24" s="19"/>
      <c r="W24" s="2"/>
      <c r="X24" s="2">
        <f t="shared" si="2"/>
        <v>-26332.04</v>
      </c>
      <c r="Y24" s="2"/>
      <c r="Z24" s="19">
        <f t="shared" si="3"/>
        <v>-1</v>
      </c>
    </row>
    <row r="25" spans="1:26" s="24" customFormat="1" hidden="1" outlineLevel="1" x14ac:dyDescent="0.25">
      <c r="A25" s="44"/>
      <c r="B25" s="11" t="str">
        <f>CONCATENATE("          ", "4026", " - ", "TAXABLE SALES-WRITING INSTRUME")</f>
        <v xml:space="preserve">          4026 - TAXABLE SALES-WRITING INSTRUME</v>
      </c>
      <c r="C25" s="11"/>
      <c r="D25" s="2">
        <f>--20.8</f>
        <v>20.8</v>
      </c>
      <c r="E25" s="2"/>
      <c r="F25" s="19"/>
      <c r="G25" s="2"/>
      <c r="H25" s="2">
        <f>--12565.24</f>
        <v>12565.24</v>
      </c>
      <c r="I25" s="2"/>
      <c r="J25" s="19"/>
      <c r="K25" s="2"/>
      <c r="L25" s="2">
        <f t="shared" si="0"/>
        <v>-12544.44</v>
      </c>
      <c r="M25" s="2"/>
      <c r="N25" s="19">
        <f t="shared" si="1"/>
        <v>-0.99834463965670384</v>
      </c>
      <c r="O25" s="11"/>
      <c r="P25" s="2">
        <f>--278.83</f>
        <v>278.83</v>
      </c>
      <c r="Q25" s="2"/>
      <c r="R25" s="19"/>
      <c r="S25" s="2"/>
      <c r="T25" s="2">
        <f>--37064.54</f>
        <v>37064.54</v>
      </c>
      <c r="U25" s="2"/>
      <c r="V25" s="19"/>
      <c r="W25" s="2"/>
      <c r="X25" s="2">
        <f t="shared" si="2"/>
        <v>-36785.71</v>
      </c>
      <c r="Y25" s="2"/>
      <c r="Z25" s="19">
        <f t="shared" si="3"/>
        <v>-0.99247717629842425</v>
      </c>
    </row>
    <row r="26" spans="1:26" s="24" customFormat="1" hidden="1" outlineLevel="1" x14ac:dyDescent="0.25">
      <c r="A26" s="44"/>
      <c r="B26" s="11" t="str">
        <f>CONCATENATE("          ", "4027", " - ", "TAXABLE SALES-SCHOOL SUPPLIES")</f>
        <v xml:space="preserve">          4027 - TAXABLE SALES-SCHOOL SUPPLIES</v>
      </c>
      <c r="C26" s="11"/>
      <c r="D26" s="2">
        <f>--2328.89</f>
        <v>2328.89</v>
      </c>
      <c r="E26" s="2"/>
      <c r="F26" s="19"/>
      <c r="G26" s="2"/>
      <c r="H26" s="2">
        <f>--20952.95</f>
        <v>20952.95</v>
      </c>
      <c r="I26" s="2"/>
      <c r="J26" s="19"/>
      <c r="K26" s="2"/>
      <c r="L26" s="2">
        <f t="shared" si="0"/>
        <v>-18624.060000000001</v>
      </c>
      <c r="M26" s="2"/>
      <c r="N26" s="19">
        <f t="shared" si="1"/>
        <v>-0.88885145051174186</v>
      </c>
      <c r="O26" s="11"/>
      <c r="P26" s="2">
        <f>--35003.5</f>
        <v>35003.5</v>
      </c>
      <c r="Q26" s="2"/>
      <c r="R26" s="19"/>
      <c r="S26" s="2"/>
      <c r="T26" s="2">
        <f>--144273.54</f>
        <v>144273.54</v>
      </c>
      <c r="U26" s="2"/>
      <c r="V26" s="19"/>
      <c r="W26" s="2"/>
      <c r="X26" s="2">
        <f t="shared" si="2"/>
        <v>-109270.04000000001</v>
      </c>
      <c r="Y26" s="2"/>
      <c r="Z26" s="19">
        <f t="shared" si="3"/>
        <v>-0.7573810138712892</v>
      </c>
    </row>
    <row r="27" spans="1:26" s="24" customFormat="1" hidden="1" outlineLevel="1" x14ac:dyDescent="0.25">
      <c r="A27" s="44"/>
      <c r="B27" s="11" t="str">
        <f>CONCATENATE("          ", "4028", " - ", "TAXABLE SALES-ART/TECH")</f>
        <v xml:space="preserve">          4028 - TAXABLE SALES-ART/TECH</v>
      </c>
      <c r="C27" s="11"/>
      <c r="D27" s="2">
        <f>--1769.95</f>
        <v>1769.95</v>
      </c>
      <c r="E27" s="2"/>
      <c r="F27" s="19"/>
      <c r="G27" s="2"/>
      <c r="H27" s="2">
        <f>--45836.99</f>
        <v>45836.99</v>
      </c>
      <c r="I27" s="2"/>
      <c r="J27" s="19"/>
      <c r="K27" s="2"/>
      <c r="L27" s="2">
        <f t="shared" si="0"/>
        <v>-44067.040000000001</v>
      </c>
      <c r="M27" s="2"/>
      <c r="N27" s="19">
        <f t="shared" si="1"/>
        <v>-0.9613859897868513</v>
      </c>
      <c r="O27" s="11"/>
      <c r="P27" s="2">
        <f>--14268.85</f>
        <v>14268.85</v>
      </c>
      <c r="Q27" s="2"/>
      <c r="R27" s="19"/>
      <c r="S27" s="2"/>
      <c r="T27" s="2">
        <f>--146564.67</f>
        <v>146564.67000000001</v>
      </c>
      <c r="U27" s="2"/>
      <c r="V27" s="19"/>
      <c r="W27" s="2"/>
      <c r="X27" s="2">
        <f t="shared" si="2"/>
        <v>-132295.82</v>
      </c>
      <c r="Y27" s="2"/>
      <c r="Z27" s="19">
        <f t="shared" si="3"/>
        <v>-0.90264468237809281</v>
      </c>
    </row>
    <row r="28" spans="1:26" s="24" customFormat="1" hidden="1" outlineLevel="1" x14ac:dyDescent="0.25">
      <c r="A28" s="44"/>
      <c r="B28" s="11" t="str">
        <f>CONCATENATE("          ", "4031", " - ", "TAXABLE SALES-FOOD")</f>
        <v xml:space="preserve">          4031 - TAXABLE SALES-FOOD</v>
      </c>
      <c r="C28" s="11"/>
      <c r="D28" s="2">
        <f>--429.8</f>
        <v>429.8</v>
      </c>
      <c r="E28" s="2"/>
      <c r="F28" s="19"/>
      <c r="G28" s="2"/>
      <c r="H28" s="2">
        <f>--100.46</f>
        <v>100.46</v>
      </c>
      <c r="I28" s="2"/>
      <c r="J28" s="19"/>
      <c r="K28" s="2"/>
      <c r="L28" s="2">
        <f t="shared" si="0"/>
        <v>329.34000000000003</v>
      </c>
      <c r="M28" s="2"/>
      <c r="N28" s="19">
        <f t="shared" si="1"/>
        <v>3.2783197292454713</v>
      </c>
      <c r="O28" s="11"/>
      <c r="P28" s="2">
        <f>--1667.96</f>
        <v>1667.96</v>
      </c>
      <c r="Q28" s="2"/>
      <c r="R28" s="19"/>
      <c r="S28" s="2"/>
      <c r="T28" s="2">
        <f>--221.28</f>
        <v>221.28</v>
      </c>
      <c r="U28" s="2"/>
      <c r="V28" s="19"/>
      <c r="W28" s="2"/>
      <c r="X28" s="2">
        <f t="shared" si="2"/>
        <v>1446.68</v>
      </c>
      <c r="Y28" s="2"/>
      <c r="Z28" s="19">
        <f t="shared" si="3"/>
        <v>6.5377801879971082</v>
      </c>
    </row>
    <row r="29" spans="1:26" s="24" customFormat="1" hidden="1" outlineLevel="1" x14ac:dyDescent="0.25">
      <c r="A29" s="44"/>
      <c r="B29" s="11" t="str">
        <f>CONCATENATE("          ", "4032", " - ", "TAXABLE SALES-JUICE")</f>
        <v xml:space="preserve">          4032 - TAXABLE SALES-JUICE</v>
      </c>
      <c r="C29" s="11"/>
      <c r="D29" s="2">
        <f t="shared" ref="D29:D33" si="6">0</f>
        <v>0</v>
      </c>
      <c r="E29" s="2"/>
      <c r="F29" s="19"/>
      <c r="G29" s="2"/>
      <c r="H29" s="2">
        <f>--32.07</f>
        <v>32.07</v>
      </c>
      <c r="I29" s="2"/>
      <c r="J29" s="19"/>
      <c r="K29" s="2"/>
      <c r="L29" s="2">
        <f t="shared" si="0"/>
        <v>-32.07</v>
      </c>
      <c r="M29" s="2"/>
      <c r="N29" s="19">
        <f t="shared" si="1"/>
        <v>-1</v>
      </c>
      <c r="O29" s="11"/>
      <c r="P29" s="2">
        <f t="shared" ref="P29:P30" si="7">0</f>
        <v>0</v>
      </c>
      <c r="Q29" s="2"/>
      <c r="R29" s="19"/>
      <c r="S29" s="2"/>
      <c r="T29" s="2">
        <f>--53.42</f>
        <v>53.42</v>
      </c>
      <c r="U29" s="2"/>
      <c r="V29" s="19"/>
      <c r="W29" s="2"/>
      <c r="X29" s="2">
        <f t="shared" si="2"/>
        <v>-53.42</v>
      </c>
      <c r="Y29" s="2"/>
      <c r="Z29" s="19">
        <f t="shared" si="3"/>
        <v>-1</v>
      </c>
    </row>
    <row r="30" spans="1:26" s="24" customFormat="1" hidden="1" outlineLevel="1" x14ac:dyDescent="0.25">
      <c r="A30" s="44"/>
      <c r="B30" s="11" t="str">
        <f>CONCATENATE("          ", "4033", " - ", "TAXABLE SALES-CANDY")</f>
        <v xml:space="preserve">          4033 - TAXABLE SALES-CANDY</v>
      </c>
      <c r="C30" s="11"/>
      <c r="D30" s="2">
        <f t="shared" si="6"/>
        <v>0</v>
      </c>
      <c r="E30" s="2"/>
      <c r="F30" s="19"/>
      <c r="G30" s="2"/>
      <c r="H30" s="2">
        <f>--44.43</f>
        <v>44.43</v>
      </c>
      <c r="I30" s="2"/>
      <c r="J30" s="19"/>
      <c r="K30" s="2"/>
      <c r="L30" s="2">
        <f t="shared" si="0"/>
        <v>-44.43</v>
      </c>
      <c r="M30" s="2"/>
      <c r="N30" s="19">
        <f t="shared" si="1"/>
        <v>-1</v>
      </c>
      <c r="O30" s="11"/>
      <c r="P30" s="2">
        <f t="shared" si="7"/>
        <v>0</v>
      </c>
      <c r="Q30" s="2"/>
      <c r="R30" s="19"/>
      <c r="S30" s="2"/>
      <c r="T30" s="2">
        <f>--85.4</f>
        <v>85.4</v>
      </c>
      <c r="U30" s="2"/>
      <c r="V30" s="19"/>
      <c r="W30" s="2"/>
      <c r="X30" s="2">
        <f t="shared" si="2"/>
        <v>-85.4</v>
      </c>
      <c r="Y30" s="2"/>
      <c r="Z30" s="19">
        <f t="shared" si="3"/>
        <v>-1</v>
      </c>
    </row>
    <row r="31" spans="1:26" s="24" customFormat="1" hidden="1" outlineLevel="1" x14ac:dyDescent="0.25">
      <c r="A31" s="44"/>
      <c r="B31" s="11" t="str">
        <f>CONCATENATE("          ", "4034", " - ", "TAXABLE SALES-SODA")</f>
        <v xml:space="preserve">          4034 - TAXABLE SALES-SODA</v>
      </c>
      <c r="C31" s="11"/>
      <c r="D31" s="2">
        <f t="shared" si="6"/>
        <v>0</v>
      </c>
      <c r="E31" s="2"/>
      <c r="F31" s="19"/>
      <c r="G31" s="2"/>
      <c r="H31" s="2">
        <f>--1854.69</f>
        <v>1854.69</v>
      </c>
      <c r="I31" s="2"/>
      <c r="J31" s="19"/>
      <c r="K31" s="2"/>
      <c r="L31" s="2">
        <f t="shared" si="0"/>
        <v>-1854.69</v>
      </c>
      <c r="M31" s="2"/>
      <c r="N31" s="19">
        <f t="shared" si="1"/>
        <v>-1</v>
      </c>
      <c r="O31" s="11"/>
      <c r="P31" s="2">
        <f>--6.78</f>
        <v>6.78</v>
      </c>
      <c r="Q31" s="2"/>
      <c r="R31" s="19"/>
      <c r="S31" s="2"/>
      <c r="T31" s="2">
        <f>--3714.24</f>
        <v>3714.24</v>
      </c>
      <c r="U31" s="2"/>
      <c r="V31" s="19"/>
      <c r="W31" s="2"/>
      <c r="X31" s="2">
        <f t="shared" si="2"/>
        <v>-3707.4599999999996</v>
      </c>
      <c r="Y31" s="2"/>
      <c r="Z31" s="19">
        <f t="shared" si="3"/>
        <v>-0.99817459291806665</v>
      </c>
    </row>
    <row r="32" spans="1:26" s="24" customFormat="1" hidden="1" outlineLevel="1" x14ac:dyDescent="0.25">
      <c r="A32" s="44"/>
      <c r="B32" s="11" t="str">
        <f>CONCATENATE("          ", "4035", " - ", "TAXABLE SALES-HEALTH &amp; BEAUTY")</f>
        <v xml:space="preserve">          4035 - TAXABLE SALES-HEALTH &amp; BEAUTY</v>
      </c>
      <c r="C32" s="11"/>
      <c r="D32" s="2">
        <f t="shared" si="6"/>
        <v>0</v>
      </c>
      <c r="E32" s="2"/>
      <c r="F32" s="19"/>
      <c r="G32" s="2"/>
      <c r="H32" s="2">
        <f>--425.93</f>
        <v>425.93</v>
      </c>
      <c r="I32" s="2"/>
      <c r="J32" s="19"/>
      <c r="K32" s="2"/>
      <c r="L32" s="2">
        <f t="shared" si="0"/>
        <v>-425.93</v>
      </c>
      <c r="M32" s="2"/>
      <c r="N32" s="19">
        <f t="shared" si="1"/>
        <v>-1</v>
      </c>
      <c r="O32" s="11"/>
      <c r="P32" s="2">
        <f t="shared" ref="P32:P33" si="8">0</f>
        <v>0</v>
      </c>
      <c r="Q32" s="2"/>
      <c r="R32" s="19"/>
      <c r="S32" s="2"/>
      <c r="T32" s="2">
        <f>--864.36</f>
        <v>864.36</v>
      </c>
      <c r="U32" s="2"/>
      <c r="V32" s="19"/>
      <c r="W32" s="2"/>
      <c r="X32" s="2">
        <f t="shared" si="2"/>
        <v>-864.36</v>
      </c>
      <c r="Y32" s="2"/>
      <c r="Z32" s="19">
        <f t="shared" si="3"/>
        <v>-1</v>
      </c>
    </row>
    <row r="33" spans="1:26" s="24" customFormat="1" hidden="1" outlineLevel="1" x14ac:dyDescent="0.25">
      <c r="A33" s="44"/>
      <c r="B33" s="11" t="str">
        <f>CONCATENATE("          ", "4037", " - ", "TAXABLE SALES-WATER")</f>
        <v xml:space="preserve">          4037 - TAXABLE SALES-WATER</v>
      </c>
      <c r="C33" s="11"/>
      <c r="D33" s="2">
        <f t="shared" si="6"/>
        <v>0</v>
      </c>
      <c r="E33" s="2"/>
      <c r="F33" s="19"/>
      <c r="G33" s="2"/>
      <c r="H33" s="2">
        <f>--128.42</f>
        <v>128.41999999999999</v>
      </c>
      <c r="I33" s="2"/>
      <c r="J33" s="19"/>
      <c r="K33" s="2"/>
      <c r="L33" s="2">
        <f t="shared" si="0"/>
        <v>-128.41999999999999</v>
      </c>
      <c r="M33" s="2"/>
      <c r="N33" s="19">
        <f t="shared" si="1"/>
        <v>-1</v>
      </c>
      <c r="O33" s="11"/>
      <c r="P33" s="2">
        <f t="shared" si="8"/>
        <v>0</v>
      </c>
      <c r="Q33" s="2"/>
      <c r="R33" s="19"/>
      <c r="S33" s="2"/>
      <c r="T33" s="2">
        <f>--302.57</f>
        <v>302.57</v>
      </c>
      <c r="U33" s="2"/>
      <c r="V33" s="19"/>
      <c r="W33" s="2"/>
      <c r="X33" s="2">
        <f t="shared" si="2"/>
        <v>-302.57</v>
      </c>
      <c r="Y33" s="2"/>
      <c r="Z33" s="19">
        <f t="shared" si="3"/>
        <v>-1</v>
      </c>
    </row>
    <row r="34" spans="1:26" s="24" customFormat="1" hidden="1" outlineLevel="1" x14ac:dyDescent="0.25">
      <c r="A34" s="44"/>
      <c r="B34" s="11" t="str">
        <f>CONCATENATE("          ", "4040", " - ", "TAXABLE SALES-LOGO CLOTHING")</f>
        <v xml:space="preserve">          4040 - TAXABLE SALES-LOGO CLOTHING</v>
      </c>
      <c r="C34" s="11"/>
      <c r="D34" s="2">
        <f>--54384.72</f>
        <v>54384.72</v>
      </c>
      <c r="E34" s="2"/>
      <c r="F34" s="19"/>
      <c r="G34" s="2"/>
      <c r="H34" s="2">
        <f>--215340.93</f>
        <v>215340.93</v>
      </c>
      <c r="I34" s="2"/>
      <c r="J34" s="19"/>
      <c r="K34" s="2"/>
      <c r="L34" s="2">
        <f t="shared" si="0"/>
        <v>-160956.21</v>
      </c>
      <c r="M34" s="2"/>
      <c r="N34" s="19">
        <f t="shared" si="1"/>
        <v>-0.74744829048523198</v>
      </c>
      <c r="O34" s="11"/>
      <c r="P34" s="2">
        <f>--382804.91</f>
        <v>382804.91</v>
      </c>
      <c r="Q34" s="2"/>
      <c r="R34" s="19"/>
      <c r="S34" s="2"/>
      <c r="T34" s="2">
        <f>--848240.45</f>
        <v>848240.45</v>
      </c>
      <c r="U34" s="2"/>
      <c r="V34" s="19"/>
      <c r="W34" s="2"/>
      <c r="X34" s="2">
        <f t="shared" si="2"/>
        <v>-465435.54</v>
      </c>
      <c r="Y34" s="2"/>
      <c r="Z34" s="19">
        <f t="shared" si="3"/>
        <v>-0.54870707946078257</v>
      </c>
    </row>
    <row r="35" spans="1:26" s="24" customFormat="1" hidden="1" outlineLevel="1" x14ac:dyDescent="0.25">
      <c r="A35" s="44"/>
      <c r="B35" s="11" t="str">
        <f>CONCATENATE("          ", "4041", " - ", "TAXABLE SALES-LOGO GIFTS")</f>
        <v xml:space="preserve">          4041 - TAXABLE SALES-LOGO GIFTS</v>
      </c>
      <c r="C35" s="11"/>
      <c r="D35" s="2">
        <f>--22053.6</f>
        <v>22053.599999999999</v>
      </c>
      <c r="E35" s="2"/>
      <c r="F35" s="19"/>
      <c r="G35" s="2"/>
      <c r="H35" s="2">
        <f>--27181.29</f>
        <v>27181.29</v>
      </c>
      <c r="I35" s="2"/>
      <c r="J35" s="19"/>
      <c r="K35" s="2"/>
      <c r="L35" s="2">
        <f t="shared" si="0"/>
        <v>-5127.6900000000023</v>
      </c>
      <c r="M35" s="2"/>
      <c r="N35" s="19">
        <f t="shared" si="1"/>
        <v>-0.18864777941002808</v>
      </c>
      <c r="O35" s="11"/>
      <c r="P35" s="2">
        <f>--153087.22</f>
        <v>153087.22</v>
      </c>
      <c r="Q35" s="2"/>
      <c r="R35" s="19"/>
      <c r="S35" s="2"/>
      <c r="T35" s="2">
        <f>--228813.9</f>
        <v>228813.9</v>
      </c>
      <c r="U35" s="2"/>
      <c r="V35" s="19"/>
      <c r="W35" s="2"/>
      <c r="X35" s="2">
        <f t="shared" si="2"/>
        <v>-75726.679999999993</v>
      </c>
      <c r="Y35" s="2"/>
      <c r="Z35" s="19">
        <f t="shared" si="3"/>
        <v>-0.330953145766057</v>
      </c>
    </row>
    <row r="36" spans="1:26" s="24" customFormat="1" hidden="1" outlineLevel="1" x14ac:dyDescent="0.25">
      <c r="A36" s="44"/>
      <c r="B36" s="11" t="str">
        <f>CONCATENATE("          ", "4042", " - ", "TAXABLE SALES-EVERYDAY GIFTS")</f>
        <v xml:space="preserve">          4042 - TAXABLE SALES-EVERYDAY GIFTS</v>
      </c>
      <c r="C36" s="11"/>
      <c r="D36" s="2">
        <f>--6854.18</f>
        <v>6854.18</v>
      </c>
      <c r="E36" s="2"/>
      <c r="F36" s="19"/>
      <c r="G36" s="2"/>
      <c r="H36" s="2">
        <f>--29192.1</f>
        <v>29192.1</v>
      </c>
      <c r="I36" s="2"/>
      <c r="J36" s="19"/>
      <c r="K36" s="2"/>
      <c r="L36" s="2">
        <f t="shared" si="0"/>
        <v>-22337.919999999998</v>
      </c>
      <c r="M36" s="2"/>
      <c r="N36" s="19">
        <f t="shared" si="1"/>
        <v>-0.76520428472086621</v>
      </c>
      <c r="O36" s="11"/>
      <c r="P36" s="2">
        <f>--54783.68</f>
        <v>54783.68</v>
      </c>
      <c r="Q36" s="2"/>
      <c r="R36" s="19"/>
      <c r="S36" s="2"/>
      <c r="T36" s="2">
        <f>--124310.37</f>
        <v>124310.37</v>
      </c>
      <c r="U36" s="2"/>
      <c r="V36" s="19"/>
      <c r="W36" s="2"/>
      <c r="X36" s="2">
        <f t="shared" si="2"/>
        <v>-69526.69</v>
      </c>
      <c r="Y36" s="2"/>
      <c r="Z36" s="19">
        <f t="shared" si="3"/>
        <v>-0.55929919603650124</v>
      </c>
    </row>
    <row r="37" spans="1:26" s="24" customFormat="1" hidden="1" outlineLevel="1" x14ac:dyDescent="0.25">
      <c r="A37" s="44"/>
      <c r="B37" s="11" t="str">
        <f>CONCATENATE("          ", "4043", " - ", "TAXABLE SALES-CARDS")</f>
        <v xml:space="preserve">          4043 - TAXABLE SALES-CARDS</v>
      </c>
      <c r="C37" s="11"/>
      <c r="D37" s="2">
        <f>--30454.88</f>
        <v>30454.880000000001</v>
      </c>
      <c r="E37" s="2"/>
      <c r="F37" s="19"/>
      <c r="G37" s="2"/>
      <c r="H37" s="2">
        <f>--63.04</f>
        <v>63.04</v>
      </c>
      <c r="I37" s="2"/>
      <c r="J37" s="19"/>
      <c r="K37" s="2"/>
      <c r="L37" s="2">
        <f t="shared" si="0"/>
        <v>30391.84</v>
      </c>
      <c r="M37" s="2"/>
      <c r="N37" s="19">
        <f t="shared" si="1"/>
        <v>482.10406091370561</v>
      </c>
      <c r="O37" s="11"/>
      <c r="P37" s="2">
        <f>--40246.04</f>
        <v>40246.04</v>
      </c>
      <c r="Q37" s="2"/>
      <c r="R37" s="19"/>
      <c r="S37" s="2"/>
      <c r="T37" s="2">
        <f>--520.85</f>
        <v>520.85</v>
      </c>
      <c r="U37" s="2"/>
      <c r="V37" s="19"/>
      <c r="W37" s="2"/>
      <c r="X37" s="2">
        <f t="shared" si="2"/>
        <v>39725.19</v>
      </c>
      <c r="Y37" s="2"/>
      <c r="Z37" s="19">
        <f t="shared" si="3"/>
        <v>76.269924162426804</v>
      </c>
    </row>
    <row r="38" spans="1:26" s="24" customFormat="1" hidden="1" outlineLevel="1" x14ac:dyDescent="0.25">
      <c r="A38" s="44"/>
      <c r="B38" s="11" t="str">
        <f>CONCATENATE("          ", "4044", " - ", "TAXABLE SALES-ACCESSORIES")</f>
        <v xml:space="preserve">          4044 - TAXABLE SALES-ACCESSORIES</v>
      </c>
      <c r="C38" s="11"/>
      <c r="D38" s="2">
        <f>--1157.64</f>
        <v>1157.6400000000001</v>
      </c>
      <c r="E38" s="2"/>
      <c r="F38" s="19"/>
      <c r="G38" s="2"/>
      <c r="H38" s="2">
        <f>--4838.74</f>
        <v>4838.74</v>
      </c>
      <c r="I38" s="2"/>
      <c r="J38" s="19"/>
      <c r="K38" s="2"/>
      <c r="L38" s="2">
        <f t="shared" si="0"/>
        <v>-3681.0999999999995</v>
      </c>
      <c r="M38" s="2"/>
      <c r="N38" s="19">
        <f t="shared" si="1"/>
        <v>-0.76075589926303122</v>
      </c>
      <c r="O38" s="11"/>
      <c r="P38" s="2">
        <f>--12489.16</f>
        <v>12489.16</v>
      </c>
      <c r="Q38" s="2"/>
      <c r="R38" s="19"/>
      <c r="S38" s="2"/>
      <c r="T38" s="2">
        <f>--33067.15</f>
        <v>33067.15</v>
      </c>
      <c r="U38" s="2"/>
      <c r="V38" s="19"/>
      <c r="W38" s="2"/>
      <c r="X38" s="2">
        <f t="shared" si="2"/>
        <v>-20577.990000000002</v>
      </c>
      <c r="Y38" s="2"/>
      <c r="Z38" s="19">
        <f t="shared" si="3"/>
        <v>-0.62230914971504958</v>
      </c>
    </row>
    <row r="39" spans="1:26" s="24" customFormat="1" hidden="1" outlineLevel="1" x14ac:dyDescent="0.25">
      <c r="A39" s="44"/>
      <c r="B39" s="11" t="str">
        <f>CONCATENATE("          ", "4045", " - ", "TAXABLE SALES-SPECIAL ORDERS")</f>
        <v xml:space="preserve">          4045 - TAXABLE SALES-SPECIAL ORDERS</v>
      </c>
      <c r="C39" s="11"/>
      <c r="D39" s="2">
        <f>--4950.17</f>
        <v>4950.17</v>
      </c>
      <c r="E39" s="2"/>
      <c r="F39" s="19"/>
      <c r="G39" s="2"/>
      <c r="H39" s="2">
        <f>--4525.99</f>
        <v>4525.99</v>
      </c>
      <c r="I39" s="2"/>
      <c r="J39" s="19"/>
      <c r="K39" s="2"/>
      <c r="L39" s="2">
        <f t="shared" si="0"/>
        <v>424.18000000000029</v>
      </c>
      <c r="M39" s="2"/>
      <c r="N39" s="19">
        <f t="shared" si="1"/>
        <v>9.3720931774042879E-2</v>
      </c>
      <c r="O39" s="11"/>
      <c r="P39" s="2">
        <f>--96956.61</f>
        <v>96956.61</v>
      </c>
      <c r="Q39" s="2"/>
      <c r="R39" s="19"/>
      <c r="S39" s="2"/>
      <c r="T39" s="2">
        <f>--35853.1</f>
        <v>35853.1</v>
      </c>
      <c r="U39" s="2"/>
      <c r="V39" s="19"/>
      <c r="W39" s="2"/>
      <c r="X39" s="2">
        <f t="shared" si="2"/>
        <v>61103.51</v>
      </c>
      <c r="Y39" s="2"/>
      <c r="Z39" s="19">
        <f t="shared" si="3"/>
        <v>1.7042741073993604</v>
      </c>
    </row>
    <row r="40" spans="1:26" s="24" customFormat="1" hidden="1" outlineLevel="1" x14ac:dyDescent="0.25">
      <c r="A40" s="44"/>
      <c r="B40" s="11" t="str">
        <f>CONCATENATE("          ", "4047", " - ", "TAXABLE SALES-MISC")</f>
        <v xml:space="preserve">          4047 - TAXABLE SALES-MISC</v>
      </c>
      <c r="C40" s="11"/>
      <c r="D40" s="2">
        <f t="shared" ref="D40:D46" si="9">0</f>
        <v>0</v>
      </c>
      <c r="E40" s="2"/>
      <c r="F40" s="19"/>
      <c r="G40" s="2"/>
      <c r="H40" s="2">
        <f>--402.65</f>
        <v>402.65</v>
      </c>
      <c r="I40" s="2"/>
      <c r="J40" s="19"/>
      <c r="K40" s="2"/>
      <c r="L40" s="2">
        <f t="shared" si="0"/>
        <v>-402.65</v>
      </c>
      <c r="M40" s="2"/>
      <c r="N40" s="19">
        <f t="shared" si="1"/>
        <v>-1</v>
      </c>
      <c r="O40" s="11"/>
      <c r="P40" s="2">
        <f>0</f>
        <v>0</v>
      </c>
      <c r="Q40" s="2"/>
      <c r="R40" s="19"/>
      <c r="S40" s="2"/>
      <c r="T40" s="2">
        <f>--1374</f>
        <v>1374</v>
      </c>
      <c r="U40" s="2"/>
      <c r="V40" s="19"/>
      <c r="W40" s="2"/>
      <c r="X40" s="2">
        <f t="shared" si="2"/>
        <v>-1374</v>
      </c>
      <c r="Y40" s="2"/>
      <c r="Z40" s="19">
        <f t="shared" si="3"/>
        <v>-1</v>
      </c>
    </row>
    <row r="41" spans="1:26" s="24" customFormat="1" hidden="1" outlineLevel="1" x14ac:dyDescent="0.25">
      <c r="A41" s="44"/>
      <c r="B41" s="11" t="str">
        <f>CONCATENATE("          ", "4081", " - ", "TAXABLE SALES-ELECTRONICS")</f>
        <v xml:space="preserve">          4081 - TAXABLE SALES-ELECTRONICS</v>
      </c>
      <c r="C41" s="11"/>
      <c r="D41" s="2">
        <f t="shared" si="9"/>
        <v>0</v>
      </c>
      <c r="E41" s="2"/>
      <c r="F41" s="19"/>
      <c r="G41" s="2"/>
      <c r="H41" s="2">
        <f>--873.49</f>
        <v>873.49</v>
      </c>
      <c r="I41" s="2"/>
      <c r="J41" s="19"/>
      <c r="K41" s="2"/>
      <c r="L41" s="2">
        <f t="shared" si="0"/>
        <v>-873.49</v>
      </c>
      <c r="M41" s="2"/>
      <c r="N41" s="19">
        <f t="shared" si="1"/>
        <v>-1</v>
      </c>
      <c r="O41" s="11"/>
      <c r="P41" s="2">
        <f>--71.95</f>
        <v>71.95</v>
      </c>
      <c r="Q41" s="2"/>
      <c r="R41" s="19"/>
      <c r="S41" s="2"/>
      <c r="T41" s="2">
        <f>--1792.91</f>
        <v>1792.91</v>
      </c>
      <c r="U41" s="2"/>
      <c r="V41" s="19"/>
      <c r="W41" s="2"/>
      <c r="X41" s="2">
        <f t="shared" si="2"/>
        <v>-1720.96</v>
      </c>
      <c r="Y41" s="2"/>
      <c r="Z41" s="19">
        <f t="shared" si="3"/>
        <v>-0.95986970902053081</v>
      </c>
    </row>
    <row r="42" spans="1:26" s="24" customFormat="1" hidden="1" outlineLevel="1" x14ac:dyDescent="0.25">
      <c r="A42" s="44"/>
      <c r="B42" s="11" t="str">
        <f>CONCATENATE("          ", "4082", " - ", "TAXABLE SALES-COMPUTER HARDWAR")</f>
        <v xml:space="preserve">          4082 - TAXABLE SALES-COMPUTER HARDWAR</v>
      </c>
      <c r="C42" s="11"/>
      <c r="D42" s="2">
        <f t="shared" si="9"/>
        <v>0</v>
      </c>
      <c r="E42" s="2"/>
      <c r="F42" s="19"/>
      <c r="G42" s="2"/>
      <c r="H42" s="2">
        <f>0</f>
        <v>0</v>
      </c>
      <c r="I42" s="2"/>
      <c r="J42" s="19"/>
      <c r="K42" s="2"/>
      <c r="L42" s="2">
        <f t="shared" si="0"/>
        <v>0</v>
      </c>
      <c r="M42" s="2"/>
      <c r="N42" s="19">
        <f t="shared" si="1"/>
        <v>0</v>
      </c>
      <c r="O42" s="11"/>
      <c r="P42" s="2">
        <f>0</f>
        <v>0</v>
      </c>
      <c r="Q42" s="2"/>
      <c r="R42" s="19"/>
      <c r="S42" s="2"/>
      <c r="T42" s="2">
        <f>--162</f>
        <v>162</v>
      </c>
      <c r="U42" s="2"/>
      <c r="V42" s="19"/>
      <c r="W42" s="2"/>
      <c r="X42" s="2">
        <f t="shared" si="2"/>
        <v>-162</v>
      </c>
      <c r="Y42" s="2"/>
      <c r="Z42" s="19">
        <f t="shared" si="3"/>
        <v>-1</v>
      </c>
    </row>
    <row r="43" spans="1:26" s="24" customFormat="1" hidden="1" outlineLevel="1" x14ac:dyDescent="0.25">
      <c r="A43" s="44"/>
      <c r="B43" s="11" t="str">
        <f>CONCATENATE("          ", "4083", " - ", "TAXABLE SALES-COMPUTER EQUIPME")</f>
        <v xml:space="preserve">          4083 - TAXABLE SALES-COMPUTER EQUIPME</v>
      </c>
      <c r="C43" s="11"/>
      <c r="D43" s="2">
        <f t="shared" si="9"/>
        <v>0</v>
      </c>
      <c r="E43" s="2"/>
      <c r="F43" s="19"/>
      <c r="G43" s="2"/>
      <c r="H43" s="2">
        <f>--129.89</f>
        <v>129.88999999999999</v>
      </c>
      <c r="I43" s="2"/>
      <c r="J43" s="19"/>
      <c r="K43" s="2"/>
      <c r="L43" s="2">
        <f t="shared" si="0"/>
        <v>-129.88999999999999</v>
      </c>
      <c r="M43" s="2"/>
      <c r="N43" s="19">
        <f t="shared" si="1"/>
        <v>-1</v>
      </c>
      <c r="O43" s="11"/>
      <c r="P43" s="2">
        <f>--9.99</f>
        <v>9.99</v>
      </c>
      <c r="Q43" s="2"/>
      <c r="R43" s="19"/>
      <c r="S43" s="2"/>
      <c r="T43" s="2">
        <f>--429.69</f>
        <v>429.69</v>
      </c>
      <c r="U43" s="2"/>
      <c r="V43" s="19"/>
      <c r="W43" s="2"/>
      <c r="X43" s="2">
        <f t="shared" si="2"/>
        <v>-419.7</v>
      </c>
      <c r="Y43" s="2"/>
      <c r="Z43" s="19">
        <f t="shared" si="3"/>
        <v>-0.97675068072331217</v>
      </c>
    </row>
    <row r="44" spans="1:26" s="24" customFormat="1" hidden="1" outlineLevel="1" x14ac:dyDescent="0.25">
      <c r="A44" s="44"/>
      <c r="B44" s="11" t="str">
        <f>CONCATENATE("          ", "4086", " - ", "TAXABLE SALES-COMPUTER SUPPLIE")</f>
        <v xml:space="preserve">          4086 - TAXABLE SALES-COMPUTER SUPPLIE</v>
      </c>
      <c r="C44" s="11"/>
      <c r="D44" s="2">
        <f t="shared" si="9"/>
        <v>0</v>
      </c>
      <c r="E44" s="2"/>
      <c r="F44" s="19"/>
      <c r="G44" s="2"/>
      <c r="H44" s="2">
        <f>--80.97</f>
        <v>80.97</v>
      </c>
      <c r="I44" s="2"/>
      <c r="J44" s="19"/>
      <c r="K44" s="2"/>
      <c r="L44" s="2">
        <f t="shared" si="0"/>
        <v>-80.97</v>
      </c>
      <c r="M44" s="2"/>
      <c r="N44" s="19">
        <f t="shared" si="1"/>
        <v>-1</v>
      </c>
      <c r="O44" s="11"/>
      <c r="P44" s="2">
        <f t="shared" ref="P44:P46" si="10">0</f>
        <v>0</v>
      </c>
      <c r="Q44" s="2"/>
      <c r="R44" s="19"/>
      <c r="S44" s="2"/>
      <c r="T44" s="2">
        <f>--534.79</f>
        <v>534.79</v>
      </c>
      <c r="U44" s="2"/>
      <c r="V44" s="19"/>
      <c r="W44" s="2"/>
      <c r="X44" s="2">
        <f t="shared" si="2"/>
        <v>-534.79</v>
      </c>
      <c r="Y44" s="2"/>
      <c r="Z44" s="19">
        <f t="shared" si="3"/>
        <v>-1</v>
      </c>
    </row>
    <row r="45" spans="1:26" s="24" customFormat="1" hidden="1" outlineLevel="1" x14ac:dyDescent="0.25">
      <c r="A45" s="44"/>
      <c r="B45" s="11" t="str">
        <f>CONCATENATE("          ", "4092", " - ", "TAXABLE SALES-GRAD MERCH")</f>
        <v xml:space="preserve">          4092 - TAXABLE SALES-GRAD MERCH</v>
      </c>
      <c r="C45" s="11"/>
      <c r="D45" s="2">
        <f t="shared" si="9"/>
        <v>0</v>
      </c>
      <c r="E45" s="2"/>
      <c r="F45" s="19"/>
      <c r="G45" s="2"/>
      <c r="H45" s="2">
        <f>--1178.45</f>
        <v>1178.45</v>
      </c>
      <c r="I45" s="2"/>
      <c r="J45" s="19"/>
      <c r="K45" s="2"/>
      <c r="L45" s="2">
        <f t="shared" si="0"/>
        <v>-1178.45</v>
      </c>
      <c r="M45" s="2"/>
      <c r="N45" s="19">
        <f t="shared" si="1"/>
        <v>-1</v>
      </c>
      <c r="O45" s="11"/>
      <c r="P45" s="2">
        <f t="shared" si="10"/>
        <v>0</v>
      </c>
      <c r="Q45" s="2"/>
      <c r="R45" s="19"/>
      <c r="S45" s="2"/>
      <c r="T45" s="2">
        <f>--5051.08</f>
        <v>5051.08</v>
      </c>
      <c r="U45" s="2"/>
      <c r="V45" s="19"/>
      <c r="W45" s="2"/>
      <c r="X45" s="2">
        <f t="shared" si="2"/>
        <v>-5051.08</v>
      </c>
      <c r="Y45" s="2"/>
      <c r="Z45" s="19">
        <f t="shared" si="3"/>
        <v>-1</v>
      </c>
    </row>
    <row r="46" spans="1:26" s="24" customFormat="1" hidden="1" outlineLevel="1" x14ac:dyDescent="0.25">
      <c r="A46" s="44"/>
      <c r="B46" s="11" t="str">
        <f>CONCATENATE("          ", "4095", " - ", "TAXABLE SALES-CUSTOMER SERVICE")</f>
        <v xml:space="preserve">          4095 - TAXABLE SALES-CUSTOMER SERVICE</v>
      </c>
      <c r="C46" s="11"/>
      <c r="D46" s="2">
        <f t="shared" si="9"/>
        <v>0</v>
      </c>
      <c r="E46" s="2"/>
      <c r="F46" s="19"/>
      <c r="G46" s="2"/>
      <c r="H46" s="2">
        <f>--43.76</f>
        <v>43.76</v>
      </c>
      <c r="I46" s="2"/>
      <c r="J46" s="19"/>
      <c r="K46" s="2"/>
      <c r="L46" s="2">
        <f t="shared" si="0"/>
        <v>-43.76</v>
      </c>
      <c r="M46" s="2"/>
      <c r="N46" s="19">
        <f t="shared" si="1"/>
        <v>-1</v>
      </c>
      <c r="O46" s="11"/>
      <c r="P46" s="2">
        <f t="shared" si="10"/>
        <v>0</v>
      </c>
      <c r="Q46" s="2"/>
      <c r="R46" s="19"/>
      <c r="S46" s="2"/>
      <c r="T46" s="2">
        <f>--244.61</f>
        <v>244.61</v>
      </c>
      <c r="U46" s="2"/>
      <c r="V46" s="19"/>
      <c r="W46" s="2"/>
      <c r="X46" s="2">
        <f t="shared" si="2"/>
        <v>-244.61</v>
      </c>
      <c r="Y46" s="2"/>
      <c r="Z46" s="19">
        <f t="shared" si="3"/>
        <v>-1</v>
      </c>
    </row>
    <row r="47" spans="1:26" s="24" customFormat="1" hidden="1" outlineLevel="1" x14ac:dyDescent="0.25">
      <c r="A47" s="44"/>
      <c r="B47" s="11" t="str">
        <f>CONCATENATE("          ", "4100", " - ", "NON-TAXABLE SALES")</f>
        <v xml:space="preserve">          4100 - NON-TAXABLE SALES</v>
      </c>
      <c r="C47" s="11"/>
      <c r="D47" s="2">
        <f>--135.79</f>
        <v>135.79</v>
      </c>
      <c r="E47" s="2"/>
      <c r="F47" s="19"/>
      <c r="G47" s="2"/>
      <c r="H47" s="2">
        <f>--3713.9</f>
        <v>3713.9</v>
      </c>
      <c r="I47" s="2"/>
      <c r="J47" s="19"/>
      <c r="K47" s="2"/>
      <c r="L47" s="2">
        <f t="shared" si="0"/>
        <v>-3578.11</v>
      </c>
      <c r="M47" s="2"/>
      <c r="N47" s="19">
        <f t="shared" si="1"/>
        <v>-0.96343735695629928</v>
      </c>
      <c r="O47" s="11"/>
      <c r="P47" s="2">
        <f>--164479.81</f>
        <v>164479.81</v>
      </c>
      <c r="Q47" s="2"/>
      <c r="R47" s="19"/>
      <c r="S47" s="2"/>
      <c r="T47" s="2">
        <f>--335381.67</f>
        <v>335381.67</v>
      </c>
      <c r="U47" s="2"/>
      <c r="V47" s="19"/>
      <c r="W47" s="2"/>
      <c r="X47" s="2">
        <f t="shared" si="2"/>
        <v>-170901.86</v>
      </c>
      <c r="Y47" s="2"/>
      <c r="Z47" s="19">
        <f t="shared" si="3"/>
        <v>-0.5095742411921319</v>
      </c>
    </row>
    <row r="48" spans="1:26" s="24" customFormat="1" hidden="1" outlineLevel="1" x14ac:dyDescent="0.25">
      <c r="A48" s="44"/>
      <c r="B48" s="11" t="str">
        <f>CONCATENATE("          ", "4101", " - ", "NON-TAXABLE SALES-NEW TEXT")</f>
        <v xml:space="preserve">          4101 - NON-TAXABLE SALES-NEW TEXT</v>
      </c>
      <c r="C48" s="11"/>
      <c r="D48" s="2">
        <f>--7260.05</f>
        <v>7260.05</v>
      </c>
      <c r="E48" s="2"/>
      <c r="F48" s="19"/>
      <c r="G48" s="2"/>
      <c r="H48" s="2">
        <f>--8438.54</f>
        <v>8438.5400000000009</v>
      </c>
      <c r="I48" s="2"/>
      <c r="J48" s="19"/>
      <c r="K48" s="2"/>
      <c r="L48" s="2">
        <f t="shared" si="0"/>
        <v>-1178.4900000000007</v>
      </c>
      <c r="M48" s="2"/>
      <c r="N48" s="19">
        <f t="shared" si="1"/>
        <v>-0.13965567503383294</v>
      </c>
      <c r="O48" s="11"/>
      <c r="P48" s="2">
        <f>--77664.89</f>
        <v>77664.89</v>
      </c>
      <c r="Q48" s="2"/>
      <c r="R48" s="19"/>
      <c r="S48" s="2"/>
      <c r="T48" s="2">
        <f>--92331.09</f>
        <v>92331.09</v>
      </c>
      <c r="U48" s="2"/>
      <c r="V48" s="19"/>
      <c r="W48" s="2"/>
      <c r="X48" s="2">
        <f t="shared" si="2"/>
        <v>-14666.199999999997</v>
      </c>
      <c r="Y48" s="2"/>
      <c r="Z48" s="19">
        <f t="shared" si="3"/>
        <v>-0.15884357045931113</v>
      </c>
    </row>
    <row r="49" spans="1:26" s="24" customFormat="1" hidden="1" outlineLevel="1" x14ac:dyDescent="0.25">
      <c r="A49" s="44"/>
      <c r="B49" s="11" t="str">
        <f>CONCATENATE("          ", "4102", " - ", "NON-TAXABLE SALES-USED TEXT")</f>
        <v xml:space="preserve">          4102 - NON-TAXABLE SALES-USED TEXT</v>
      </c>
      <c r="C49" s="11"/>
      <c r="D49" s="2">
        <f>--2341.65</f>
        <v>2341.65</v>
      </c>
      <c r="E49" s="2"/>
      <c r="F49" s="19"/>
      <c r="G49" s="2"/>
      <c r="H49" s="2">
        <f>--578.81</f>
        <v>578.80999999999995</v>
      </c>
      <c r="I49" s="2"/>
      <c r="J49" s="19"/>
      <c r="K49" s="2"/>
      <c r="L49" s="2">
        <f t="shared" si="0"/>
        <v>1762.8400000000001</v>
      </c>
      <c r="M49" s="2"/>
      <c r="N49" s="19">
        <f t="shared" si="1"/>
        <v>3.0456280990307705</v>
      </c>
      <c r="O49" s="11"/>
      <c r="P49" s="2">
        <f>--32712.47</f>
        <v>32712.47</v>
      </c>
      <c r="Q49" s="2"/>
      <c r="R49" s="19"/>
      <c r="S49" s="2"/>
      <c r="T49" s="2">
        <f>--37022.32</f>
        <v>37022.32</v>
      </c>
      <c r="U49" s="2"/>
      <c r="V49" s="19"/>
      <c r="W49" s="2"/>
      <c r="X49" s="2">
        <f t="shared" si="2"/>
        <v>-4309.8499999999985</v>
      </c>
      <c r="Y49" s="2"/>
      <c r="Z49" s="19">
        <f t="shared" si="3"/>
        <v>-0.11641220755479394</v>
      </c>
    </row>
    <row r="50" spans="1:26" s="24" customFormat="1" hidden="1" outlineLevel="1" x14ac:dyDescent="0.25">
      <c r="A50" s="44"/>
      <c r="B50" s="11" t="str">
        <f>CONCATENATE("          ", "4103", " - ", "NON-TAXABLE SALES-RENTAL TEXT")</f>
        <v xml:space="preserve">          4103 - NON-TAXABLE SALES-RENTAL TEXT</v>
      </c>
      <c r="C50" s="11"/>
      <c r="D50" s="2">
        <f>0</f>
        <v>0</v>
      </c>
      <c r="E50" s="2"/>
      <c r="F50" s="19"/>
      <c r="G50" s="2"/>
      <c r="H50" s="2">
        <f>0</f>
        <v>0</v>
      </c>
      <c r="I50" s="2"/>
      <c r="J50" s="19"/>
      <c r="K50" s="2"/>
      <c r="L50" s="2">
        <f t="shared" si="0"/>
        <v>0</v>
      </c>
      <c r="M50" s="2"/>
      <c r="N50" s="19">
        <f t="shared" si="1"/>
        <v>0</v>
      </c>
      <c r="O50" s="11"/>
      <c r="P50" s="2">
        <f>--284.97</f>
        <v>284.97000000000003</v>
      </c>
      <c r="Q50" s="2"/>
      <c r="R50" s="19"/>
      <c r="S50" s="2"/>
      <c r="T50" s="2">
        <f>--329.98</f>
        <v>329.98</v>
      </c>
      <c r="U50" s="2"/>
      <c r="V50" s="19"/>
      <c r="W50" s="2"/>
      <c r="X50" s="2">
        <f t="shared" si="2"/>
        <v>-45.009999999999991</v>
      </c>
      <c r="Y50" s="2"/>
      <c r="Z50" s="19">
        <f t="shared" si="3"/>
        <v>-0.13640220619431478</v>
      </c>
    </row>
    <row r="51" spans="1:26" s="24" customFormat="1" hidden="1" outlineLevel="1" x14ac:dyDescent="0.25">
      <c r="A51" s="44"/>
      <c r="B51" s="11" t="str">
        <f>CONCATENATE("          ", "4104", " - ", "NON-TAXABLE SALES-DIGITAL TEXT")</f>
        <v xml:space="preserve">          4104 - NON-TAXABLE SALES-DIGITAL TEXT</v>
      </c>
      <c r="C51" s="11"/>
      <c r="D51" s="2">
        <f>--6767.67</f>
        <v>6767.67</v>
      </c>
      <c r="E51" s="2"/>
      <c r="F51" s="19"/>
      <c r="G51" s="2"/>
      <c r="H51" s="2">
        <f>--1559.03</f>
        <v>1559.03</v>
      </c>
      <c r="I51" s="2"/>
      <c r="J51" s="19"/>
      <c r="K51" s="2"/>
      <c r="L51" s="2">
        <f t="shared" si="0"/>
        <v>5208.6400000000003</v>
      </c>
      <c r="M51" s="2"/>
      <c r="N51" s="19">
        <f t="shared" si="1"/>
        <v>3.3409491799388085</v>
      </c>
      <c r="O51" s="11"/>
      <c r="P51" s="2">
        <f>--293475.52</f>
        <v>293475.52</v>
      </c>
      <c r="Q51" s="2"/>
      <c r="R51" s="19"/>
      <c r="S51" s="2"/>
      <c r="T51" s="2">
        <f>--320492.85</f>
        <v>320492.84999999998</v>
      </c>
      <c r="U51" s="2"/>
      <c r="V51" s="19"/>
      <c r="W51" s="2"/>
      <c r="X51" s="2">
        <f t="shared" si="2"/>
        <v>-27017.329999999958</v>
      </c>
      <c r="Y51" s="2"/>
      <c r="Z51" s="19">
        <f t="shared" si="3"/>
        <v>-8.4299322122162665E-2</v>
      </c>
    </row>
    <row r="52" spans="1:26" s="24" customFormat="1" hidden="1" outlineLevel="1" x14ac:dyDescent="0.25">
      <c r="A52" s="44"/>
      <c r="B52" s="11" t="str">
        <f>CONCATENATE("          ", "4111", " - ", "NON-TAXABLE SALES-NO VALUE TEX")</f>
        <v xml:space="preserve">          4111 - NON-TAXABLE SALES-NO VALUE TEX</v>
      </c>
      <c r="C52" s="11"/>
      <c r="D52" s="2">
        <f>0</f>
        <v>0</v>
      </c>
      <c r="E52" s="2"/>
      <c r="F52" s="19"/>
      <c r="G52" s="2"/>
      <c r="H52" s="2">
        <f>--757.3</f>
        <v>757.3</v>
      </c>
      <c r="I52" s="2"/>
      <c r="J52" s="19"/>
      <c r="K52" s="2"/>
      <c r="L52" s="2">
        <f t="shared" si="0"/>
        <v>-757.3</v>
      </c>
      <c r="M52" s="2"/>
      <c r="N52" s="19">
        <f t="shared" si="1"/>
        <v>-1</v>
      </c>
      <c r="O52" s="11"/>
      <c r="P52" s="2">
        <f>0</f>
        <v>0</v>
      </c>
      <c r="Q52" s="2"/>
      <c r="R52" s="19"/>
      <c r="S52" s="2"/>
      <c r="T52" s="2">
        <f>--7099.47</f>
        <v>7099.47</v>
      </c>
      <c r="U52" s="2"/>
      <c r="V52" s="19"/>
      <c r="W52" s="2"/>
      <c r="X52" s="2">
        <f t="shared" si="2"/>
        <v>-7099.47</v>
      </c>
      <c r="Y52" s="2"/>
      <c r="Z52" s="19">
        <f t="shared" si="3"/>
        <v>-1</v>
      </c>
    </row>
    <row r="53" spans="1:26" s="24" customFormat="1" hidden="1" outlineLevel="1" x14ac:dyDescent="0.25">
      <c r="A53" s="44"/>
      <c r="B53" s="11" t="str">
        <f>CONCATENATE("          ", "4113", " - ", "NON-TAXABLE SALES-TRADE BOOKS")</f>
        <v xml:space="preserve">          4113 - NON-TAXABLE SALES-TRADE BOOKS</v>
      </c>
      <c r="C53" s="11"/>
      <c r="D53" s="2">
        <f>--1655.95</f>
        <v>1655.95</v>
      </c>
      <c r="E53" s="2"/>
      <c r="F53" s="19"/>
      <c r="G53" s="2"/>
      <c r="H53" s="2">
        <f t="shared" ref="H53:H55" si="11">0</f>
        <v>0</v>
      </c>
      <c r="I53" s="2"/>
      <c r="J53" s="19"/>
      <c r="K53" s="2"/>
      <c r="L53" s="2">
        <f t="shared" si="0"/>
        <v>1655.95</v>
      </c>
      <c r="M53" s="2"/>
      <c r="N53" s="19">
        <f t="shared" si="1"/>
        <v>0</v>
      </c>
      <c r="O53" s="11"/>
      <c r="P53" s="2">
        <f>--1655.95</f>
        <v>1655.95</v>
      </c>
      <c r="Q53" s="2"/>
      <c r="R53" s="19"/>
      <c r="S53" s="2"/>
      <c r="T53" s="2">
        <f>--1146.72</f>
        <v>1146.72</v>
      </c>
      <c r="U53" s="2"/>
      <c r="V53" s="19"/>
      <c r="W53" s="2"/>
      <c r="X53" s="2">
        <f t="shared" si="2"/>
        <v>509.23</v>
      </c>
      <c r="Y53" s="2"/>
      <c r="Z53" s="19">
        <f t="shared" si="3"/>
        <v>0.44407527556857823</v>
      </c>
    </row>
    <row r="54" spans="1:26" s="24" customFormat="1" hidden="1" outlineLevel="1" x14ac:dyDescent="0.25">
      <c r="A54" s="44"/>
      <c r="B54" s="11" t="str">
        <f>CONCATENATE("          ", "4118", " - ", "NON-TAXABLE SALES-STUDY GUIDES")</f>
        <v xml:space="preserve">          4118 - NON-TAXABLE SALES-STUDY GUIDES</v>
      </c>
      <c r="C54" s="11"/>
      <c r="D54" s="2">
        <f>--97.3</f>
        <v>97.3</v>
      </c>
      <c r="E54" s="2"/>
      <c r="F54" s="19"/>
      <c r="G54" s="2"/>
      <c r="H54" s="2">
        <f t="shared" si="11"/>
        <v>0</v>
      </c>
      <c r="I54" s="2"/>
      <c r="J54" s="19"/>
      <c r="K54" s="2"/>
      <c r="L54" s="2">
        <f t="shared" si="0"/>
        <v>97.3</v>
      </c>
      <c r="M54" s="2"/>
      <c r="N54" s="19">
        <f t="shared" si="1"/>
        <v>0</v>
      </c>
      <c r="O54" s="11"/>
      <c r="P54" s="2">
        <f>--205.63</f>
        <v>205.63</v>
      </c>
      <c r="Q54" s="2"/>
      <c r="R54" s="19"/>
      <c r="S54" s="2"/>
      <c r="T54" s="2">
        <f>--20.92</f>
        <v>20.92</v>
      </c>
      <c r="U54" s="2"/>
      <c r="V54" s="19"/>
      <c r="W54" s="2"/>
      <c r="X54" s="2">
        <f t="shared" si="2"/>
        <v>184.70999999999998</v>
      </c>
      <c r="Y54" s="2"/>
      <c r="Z54" s="19">
        <f t="shared" si="3"/>
        <v>8.829349904397704</v>
      </c>
    </row>
    <row r="55" spans="1:26" s="24" customFormat="1" hidden="1" outlineLevel="1" x14ac:dyDescent="0.25">
      <c r="A55" s="44"/>
      <c r="B55" s="11" t="str">
        <f>CONCATENATE("          ", "4125", " - ", "NON-TAXABLE SALES-TEST FORMS")</f>
        <v xml:space="preserve">          4125 - NON-TAXABLE SALES-TEST FORMS</v>
      </c>
      <c r="C55" s="11"/>
      <c r="D55" s="2">
        <f t="shared" ref="D55:D56" si="12">0</f>
        <v>0</v>
      </c>
      <c r="E55" s="2"/>
      <c r="F55" s="19"/>
      <c r="G55" s="2"/>
      <c r="H55" s="2">
        <f t="shared" si="11"/>
        <v>0</v>
      </c>
      <c r="I55" s="2"/>
      <c r="J55" s="19"/>
      <c r="K55" s="2"/>
      <c r="L55" s="2">
        <f t="shared" si="0"/>
        <v>0</v>
      </c>
      <c r="M55" s="2"/>
      <c r="N55" s="19">
        <f t="shared" si="1"/>
        <v>0</v>
      </c>
      <c r="O55" s="11"/>
      <c r="P55" s="2">
        <f>0</f>
        <v>0</v>
      </c>
      <c r="Q55" s="2"/>
      <c r="R55" s="19"/>
      <c r="S55" s="2"/>
      <c r="T55" s="2">
        <f>--124.18</f>
        <v>124.18</v>
      </c>
      <c r="U55" s="2"/>
      <c r="V55" s="19"/>
      <c r="W55" s="2"/>
      <c r="X55" s="2">
        <f t="shared" si="2"/>
        <v>-124.18</v>
      </c>
      <c r="Y55" s="2"/>
      <c r="Z55" s="19">
        <f t="shared" si="3"/>
        <v>-1</v>
      </c>
    </row>
    <row r="56" spans="1:26" s="24" customFormat="1" hidden="1" outlineLevel="1" x14ac:dyDescent="0.25">
      <c r="A56" s="44"/>
      <c r="B56" s="11" t="str">
        <f>CONCATENATE("          ", "4126", " - ", "NON-TAXABLE SALES-WRITING INST")</f>
        <v xml:space="preserve">          4126 - NON-TAXABLE SALES-WRITING INST</v>
      </c>
      <c r="C56" s="11"/>
      <c r="D56" s="2">
        <f t="shared" si="12"/>
        <v>0</v>
      </c>
      <c r="E56" s="2"/>
      <c r="F56" s="19"/>
      <c r="G56" s="2"/>
      <c r="H56" s="2">
        <f>--115.27</f>
        <v>115.27</v>
      </c>
      <c r="I56" s="2"/>
      <c r="J56" s="19"/>
      <c r="K56" s="2"/>
      <c r="L56" s="2">
        <f t="shared" si="0"/>
        <v>-115.27</v>
      </c>
      <c r="M56" s="2"/>
      <c r="N56" s="19">
        <f t="shared" si="1"/>
        <v>-1</v>
      </c>
      <c r="O56" s="11"/>
      <c r="P56" s="2">
        <f>--52.68</f>
        <v>52.68</v>
      </c>
      <c r="Q56" s="2"/>
      <c r="R56" s="19"/>
      <c r="S56" s="2"/>
      <c r="T56" s="2">
        <f>--1458.53</f>
        <v>1458.53</v>
      </c>
      <c r="U56" s="2"/>
      <c r="V56" s="19"/>
      <c r="W56" s="2"/>
      <c r="X56" s="2">
        <f t="shared" si="2"/>
        <v>-1405.85</v>
      </c>
      <c r="Y56" s="2"/>
      <c r="Z56" s="19">
        <f t="shared" si="3"/>
        <v>-0.96388144227407047</v>
      </c>
    </row>
    <row r="57" spans="1:26" s="24" customFormat="1" hidden="1" outlineLevel="1" x14ac:dyDescent="0.25">
      <c r="A57" s="44"/>
      <c r="B57" s="11" t="str">
        <f>CONCATENATE("          ", "4127", " - ", "NON-TAXABLE SALES-SCHOOL SUPPL")</f>
        <v xml:space="preserve">          4127 - NON-TAXABLE SALES-SCHOOL SUPPL</v>
      </c>
      <c r="C57" s="11"/>
      <c r="D57" s="2">
        <f>--160.95</f>
        <v>160.94999999999999</v>
      </c>
      <c r="E57" s="2"/>
      <c r="F57" s="19"/>
      <c r="G57" s="2"/>
      <c r="H57" s="2">
        <f>--179.63</f>
        <v>179.63</v>
      </c>
      <c r="I57" s="2"/>
      <c r="J57" s="19"/>
      <c r="K57" s="2"/>
      <c r="L57" s="2">
        <f t="shared" si="0"/>
        <v>-18.680000000000007</v>
      </c>
      <c r="M57" s="2"/>
      <c r="N57" s="19">
        <f t="shared" si="1"/>
        <v>-0.10399153816177703</v>
      </c>
      <c r="O57" s="11"/>
      <c r="P57" s="2">
        <f>--2831.69</f>
        <v>2831.69</v>
      </c>
      <c r="Q57" s="2"/>
      <c r="R57" s="19"/>
      <c r="S57" s="2"/>
      <c r="T57" s="2">
        <f>--2597.12</f>
        <v>2597.12</v>
      </c>
      <c r="U57" s="2"/>
      <c r="V57" s="19"/>
      <c r="W57" s="2"/>
      <c r="X57" s="2">
        <f t="shared" si="2"/>
        <v>234.57000000000016</v>
      </c>
      <c r="Y57" s="2"/>
      <c r="Z57" s="19">
        <f t="shared" si="3"/>
        <v>9.0319276737309093E-2</v>
      </c>
    </row>
    <row r="58" spans="1:26" s="24" customFormat="1" hidden="1" outlineLevel="1" x14ac:dyDescent="0.25">
      <c r="A58" s="44"/>
      <c r="B58" s="11" t="str">
        <f>CONCATENATE("          ", "4128", " - ", "NON-TAXABLE SALES-ART/TECH")</f>
        <v xml:space="preserve">          4128 - NON-TAXABLE SALES-ART/TECH</v>
      </c>
      <c r="C58" s="11"/>
      <c r="D58" s="2">
        <f>0</f>
        <v>0</v>
      </c>
      <c r="E58" s="2"/>
      <c r="F58" s="19"/>
      <c r="G58" s="2"/>
      <c r="H58" s="2">
        <f>--85.82</f>
        <v>85.82</v>
      </c>
      <c r="I58" s="2"/>
      <c r="J58" s="19"/>
      <c r="K58" s="2"/>
      <c r="L58" s="2">
        <f t="shared" si="0"/>
        <v>-85.82</v>
      </c>
      <c r="M58" s="2"/>
      <c r="N58" s="19">
        <f t="shared" si="1"/>
        <v>-1</v>
      </c>
      <c r="O58" s="11"/>
      <c r="P58" s="2">
        <f>0</f>
        <v>0</v>
      </c>
      <c r="Q58" s="2"/>
      <c r="R58" s="19"/>
      <c r="S58" s="2"/>
      <c r="T58" s="2">
        <f>--348.72</f>
        <v>348.72</v>
      </c>
      <c r="U58" s="2"/>
      <c r="V58" s="19"/>
      <c r="W58" s="2"/>
      <c r="X58" s="2">
        <f t="shared" si="2"/>
        <v>-348.72</v>
      </c>
      <c r="Y58" s="2"/>
      <c r="Z58" s="19">
        <f t="shared" si="3"/>
        <v>-1</v>
      </c>
    </row>
    <row r="59" spans="1:26" s="24" customFormat="1" hidden="1" outlineLevel="1" x14ac:dyDescent="0.25">
      <c r="A59" s="44"/>
      <c r="B59" s="11" t="str">
        <f>CONCATENATE("          ", "4131", " - ", "NON-TAXABLE SALES-FOOD")</f>
        <v xml:space="preserve">          4131 - NON-TAXABLE SALES-FOOD</v>
      </c>
      <c r="C59" s="11"/>
      <c r="D59" s="2">
        <f>--1521.48</f>
        <v>1521.48</v>
      </c>
      <c r="E59" s="2"/>
      <c r="F59" s="19"/>
      <c r="G59" s="2"/>
      <c r="H59" s="2">
        <f>--13457.13</f>
        <v>13457.13</v>
      </c>
      <c r="I59" s="2"/>
      <c r="J59" s="19"/>
      <c r="K59" s="2"/>
      <c r="L59" s="2">
        <f t="shared" si="0"/>
        <v>-11935.65</v>
      </c>
      <c r="M59" s="2"/>
      <c r="N59" s="19">
        <f t="shared" si="1"/>
        <v>-0.88693874548287788</v>
      </c>
      <c r="O59" s="11"/>
      <c r="P59" s="2">
        <f>--5525.44</f>
        <v>5525.44</v>
      </c>
      <c r="Q59" s="2"/>
      <c r="R59" s="19"/>
      <c r="S59" s="2"/>
      <c r="T59" s="2">
        <f>--26722.42</f>
        <v>26722.42</v>
      </c>
      <c r="U59" s="2"/>
      <c r="V59" s="19"/>
      <c r="W59" s="2"/>
      <c r="X59" s="2">
        <f t="shared" si="2"/>
        <v>-21196.98</v>
      </c>
      <c r="Y59" s="2"/>
      <c r="Z59" s="19">
        <f t="shared" si="3"/>
        <v>-0.79322830791522625</v>
      </c>
    </row>
    <row r="60" spans="1:26" s="24" customFormat="1" hidden="1" outlineLevel="1" x14ac:dyDescent="0.25">
      <c r="A60" s="44"/>
      <c r="B60" s="11" t="str">
        <f>CONCATENATE("          ", "4132", " - ", "NON-TAXABLE SALES-JUICE")</f>
        <v xml:space="preserve">          4132 - NON-TAXABLE SALES-JUICE</v>
      </c>
      <c r="C60" s="11"/>
      <c r="D60" s="2">
        <f t="shared" ref="D60:D64" si="13">0</f>
        <v>0</v>
      </c>
      <c r="E60" s="2"/>
      <c r="F60" s="19"/>
      <c r="G60" s="2"/>
      <c r="H60" s="2">
        <f>--3958.43</f>
        <v>3958.43</v>
      </c>
      <c r="I60" s="2"/>
      <c r="J60" s="19"/>
      <c r="K60" s="2"/>
      <c r="L60" s="2">
        <f t="shared" si="0"/>
        <v>-3958.43</v>
      </c>
      <c r="M60" s="2"/>
      <c r="N60" s="19">
        <f t="shared" si="1"/>
        <v>-1</v>
      </c>
      <c r="O60" s="11"/>
      <c r="P60" s="2">
        <f>--22.49</f>
        <v>22.49</v>
      </c>
      <c r="Q60" s="2"/>
      <c r="R60" s="19"/>
      <c r="S60" s="2"/>
      <c r="T60" s="2">
        <f>--7768.8</f>
        <v>7768.8</v>
      </c>
      <c r="U60" s="2"/>
      <c r="V60" s="19"/>
      <c r="W60" s="2"/>
      <c r="X60" s="2">
        <f t="shared" si="2"/>
        <v>-7746.31</v>
      </c>
      <c r="Y60" s="2"/>
      <c r="Z60" s="19">
        <f t="shared" si="3"/>
        <v>-0.99710508701472556</v>
      </c>
    </row>
    <row r="61" spans="1:26" s="24" customFormat="1" hidden="1" outlineLevel="1" x14ac:dyDescent="0.25">
      <c r="A61" s="44"/>
      <c r="B61" s="11" t="str">
        <f>CONCATENATE("          ", "4133", " - ", "NON-TAXABLE SALES-CANDY")</f>
        <v xml:space="preserve">          4133 - NON-TAXABLE SALES-CANDY</v>
      </c>
      <c r="C61" s="11"/>
      <c r="D61" s="2">
        <f t="shared" si="13"/>
        <v>0</v>
      </c>
      <c r="E61" s="2"/>
      <c r="F61" s="19"/>
      <c r="G61" s="2"/>
      <c r="H61" s="2">
        <f>--3801.88</f>
        <v>3801.88</v>
      </c>
      <c r="I61" s="2"/>
      <c r="J61" s="19"/>
      <c r="K61" s="2"/>
      <c r="L61" s="2">
        <f t="shared" si="0"/>
        <v>-3801.88</v>
      </c>
      <c r="M61" s="2"/>
      <c r="N61" s="19">
        <f t="shared" si="1"/>
        <v>-1</v>
      </c>
      <c r="O61" s="11"/>
      <c r="P61" s="2">
        <f>--80.71</f>
        <v>80.709999999999994</v>
      </c>
      <c r="Q61" s="2"/>
      <c r="R61" s="19"/>
      <c r="S61" s="2"/>
      <c r="T61" s="2">
        <f>--8466.86</f>
        <v>8466.86</v>
      </c>
      <c r="U61" s="2"/>
      <c r="V61" s="19"/>
      <c r="W61" s="2"/>
      <c r="X61" s="2">
        <f t="shared" si="2"/>
        <v>-8386.1500000000015</v>
      </c>
      <c r="Y61" s="2"/>
      <c r="Z61" s="19">
        <f t="shared" si="3"/>
        <v>-0.99046754050498065</v>
      </c>
    </row>
    <row r="62" spans="1:26" s="24" customFormat="1" hidden="1" outlineLevel="1" x14ac:dyDescent="0.25">
      <c r="A62" s="44"/>
      <c r="B62" s="11" t="str">
        <f>CONCATENATE("          ", "4134", " - ", "NON-TAXABLE SALES-SODA")</f>
        <v xml:space="preserve">          4134 - NON-TAXABLE SALES-SODA</v>
      </c>
      <c r="C62" s="11"/>
      <c r="D62" s="2">
        <f t="shared" si="13"/>
        <v>0</v>
      </c>
      <c r="E62" s="2"/>
      <c r="F62" s="19"/>
      <c r="G62" s="2"/>
      <c r="H62" s="2">
        <f>0</f>
        <v>0</v>
      </c>
      <c r="I62" s="2"/>
      <c r="J62" s="19"/>
      <c r="K62" s="2"/>
      <c r="L62" s="2">
        <f t="shared" si="0"/>
        <v>0</v>
      </c>
      <c r="M62" s="2"/>
      <c r="N62" s="19">
        <f t="shared" si="1"/>
        <v>0</v>
      </c>
      <c r="O62" s="11"/>
      <c r="P62" s="2">
        <f>--45.53</f>
        <v>45.53</v>
      </c>
      <c r="Q62" s="2"/>
      <c r="R62" s="19"/>
      <c r="S62" s="2"/>
      <c r="T62" s="2">
        <f>0</f>
        <v>0</v>
      </c>
      <c r="U62" s="2"/>
      <c r="V62" s="19"/>
      <c r="W62" s="2"/>
      <c r="X62" s="2">
        <f t="shared" si="2"/>
        <v>45.53</v>
      </c>
      <c r="Y62" s="2"/>
      <c r="Z62" s="19">
        <f t="shared" si="3"/>
        <v>0</v>
      </c>
    </row>
    <row r="63" spans="1:26" s="24" customFormat="1" hidden="1" outlineLevel="1" x14ac:dyDescent="0.25">
      <c r="A63" s="44"/>
      <c r="B63" s="11" t="str">
        <f>CONCATENATE("          ", "4135", " - ", "NON-TAXABLE SALES")</f>
        <v xml:space="preserve">          4135 - NON-TAXABLE SALES</v>
      </c>
      <c r="C63" s="11"/>
      <c r="D63" s="2">
        <f t="shared" si="13"/>
        <v>0</v>
      </c>
      <c r="E63" s="2"/>
      <c r="F63" s="19"/>
      <c r="G63" s="2"/>
      <c r="H63" s="2">
        <f>--17.9</f>
        <v>17.899999999999999</v>
      </c>
      <c r="I63" s="2"/>
      <c r="J63" s="19"/>
      <c r="K63" s="2"/>
      <c r="L63" s="2">
        <f t="shared" si="0"/>
        <v>-17.899999999999999</v>
      </c>
      <c r="M63" s="2"/>
      <c r="N63" s="19">
        <f t="shared" si="1"/>
        <v>-1</v>
      </c>
      <c r="O63" s="11"/>
      <c r="P63" s="2">
        <f>0</f>
        <v>0</v>
      </c>
      <c r="Q63" s="2"/>
      <c r="R63" s="19"/>
      <c r="S63" s="2"/>
      <c r="T63" s="2">
        <f>--103.96</f>
        <v>103.96</v>
      </c>
      <c r="U63" s="2"/>
      <c r="V63" s="19"/>
      <c r="W63" s="2"/>
      <c r="X63" s="2">
        <f t="shared" si="2"/>
        <v>-103.96</v>
      </c>
      <c r="Y63" s="2"/>
      <c r="Z63" s="19">
        <f t="shared" si="3"/>
        <v>-1</v>
      </c>
    </row>
    <row r="64" spans="1:26" s="24" customFormat="1" hidden="1" outlineLevel="1" x14ac:dyDescent="0.25">
      <c r="A64" s="44"/>
      <c r="B64" s="11" t="str">
        <f>CONCATENATE("          ", "4137", " - ", "NON-TAXABLE SALES-WATER")</f>
        <v xml:space="preserve">          4137 - NON-TAXABLE SALES-WATER</v>
      </c>
      <c r="C64" s="11"/>
      <c r="D64" s="2">
        <f t="shared" si="13"/>
        <v>0</v>
      </c>
      <c r="E64" s="2"/>
      <c r="F64" s="19"/>
      <c r="G64" s="2"/>
      <c r="H64" s="2">
        <f>--2024.43</f>
        <v>2024.43</v>
      </c>
      <c r="I64" s="2"/>
      <c r="J64" s="19"/>
      <c r="K64" s="2"/>
      <c r="L64" s="2">
        <f t="shared" si="0"/>
        <v>-2024.43</v>
      </c>
      <c r="M64" s="2"/>
      <c r="N64" s="19">
        <f t="shared" si="1"/>
        <v>-1</v>
      </c>
      <c r="O64" s="11"/>
      <c r="P64" s="2">
        <f>--68.25</f>
        <v>68.25</v>
      </c>
      <c r="Q64" s="2"/>
      <c r="R64" s="19"/>
      <c r="S64" s="2"/>
      <c r="T64" s="2">
        <f>--4265.3</f>
        <v>4265.3</v>
      </c>
      <c r="U64" s="2"/>
      <c r="V64" s="19"/>
      <c r="W64" s="2"/>
      <c r="X64" s="2">
        <f t="shared" si="2"/>
        <v>-4197.05</v>
      </c>
      <c r="Y64" s="2"/>
      <c r="Z64" s="19">
        <f t="shared" si="3"/>
        <v>-0.9839987808594941</v>
      </c>
    </row>
    <row r="65" spans="1:26" s="24" customFormat="1" hidden="1" outlineLevel="1" x14ac:dyDescent="0.25">
      <c r="A65" s="44"/>
      <c r="B65" s="11" t="str">
        <f>CONCATENATE("          ", "4140", " - ", "NON-TAXABLE SALES-LOGO CLOTHIN")</f>
        <v xml:space="preserve">          4140 - NON-TAXABLE SALES-LOGO CLOTHIN</v>
      </c>
      <c r="C65" s="11"/>
      <c r="D65" s="2">
        <f>--13163.04</f>
        <v>13163.04</v>
      </c>
      <c r="E65" s="2"/>
      <c r="F65" s="19"/>
      <c r="G65" s="2"/>
      <c r="H65" s="2">
        <f>--4377.82</f>
        <v>4377.82</v>
      </c>
      <c r="I65" s="2"/>
      <c r="J65" s="19"/>
      <c r="K65" s="2"/>
      <c r="L65" s="2">
        <f t="shared" si="0"/>
        <v>8785.2200000000012</v>
      </c>
      <c r="M65" s="2"/>
      <c r="N65" s="19">
        <f t="shared" si="1"/>
        <v>2.0067567876248913</v>
      </c>
      <c r="O65" s="11"/>
      <c r="P65" s="2">
        <f>--30615.48</f>
        <v>30615.48</v>
      </c>
      <c r="Q65" s="2"/>
      <c r="R65" s="19"/>
      <c r="S65" s="2"/>
      <c r="T65" s="2">
        <f>--12635.52</f>
        <v>12635.52</v>
      </c>
      <c r="U65" s="2"/>
      <c r="V65" s="19"/>
      <c r="W65" s="2"/>
      <c r="X65" s="2">
        <f t="shared" si="2"/>
        <v>17979.96</v>
      </c>
      <c r="Y65" s="2"/>
      <c r="Z65" s="19">
        <f t="shared" si="3"/>
        <v>1.4229695335055461</v>
      </c>
    </row>
    <row r="66" spans="1:26" s="24" customFormat="1" hidden="1" outlineLevel="1" x14ac:dyDescent="0.25">
      <c r="A66" s="44"/>
      <c r="B66" s="11" t="str">
        <f>CONCATENATE("          ", "4141", " - ", "NON-TAXABLE SALES-LOGO GIFTS")</f>
        <v xml:space="preserve">          4141 - NON-TAXABLE SALES-LOGO GIFTS</v>
      </c>
      <c r="C66" s="11"/>
      <c r="D66" s="2">
        <f>--437.71</f>
        <v>437.71</v>
      </c>
      <c r="E66" s="2"/>
      <c r="F66" s="19"/>
      <c r="G66" s="2"/>
      <c r="H66" s="2">
        <f>--581.29</f>
        <v>581.29</v>
      </c>
      <c r="I66" s="2"/>
      <c r="J66" s="19"/>
      <c r="K66" s="2"/>
      <c r="L66" s="2">
        <f t="shared" si="0"/>
        <v>-143.57999999999998</v>
      </c>
      <c r="M66" s="2"/>
      <c r="N66" s="19">
        <f t="shared" si="1"/>
        <v>-0.24700235682705704</v>
      </c>
      <c r="O66" s="11"/>
      <c r="P66" s="2">
        <f>--3382.7</f>
        <v>3382.7</v>
      </c>
      <c r="Q66" s="2"/>
      <c r="R66" s="19"/>
      <c r="S66" s="2"/>
      <c r="T66" s="2">
        <f>--1395.93</f>
        <v>1395.93</v>
      </c>
      <c r="U66" s="2"/>
      <c r="V66" s="19"/>
      <c r="W66" s="2"/>
      <c r="X66" s="2">
        <f t="shared" si="2"/>
        <v>1986.7699999999998</v>
      </c>
      <c r="Y66" s="2"/>
      <c r="Z66" s="19">
        <f t="shared" si="3"/>
        <v>1.4232590459406989</v>
      </c>
    </row>
    <row r="67" spans="1:26" s="24" customFormat="1" hidden="1" outlineLevel="1" x14ac:dyDescent="0.25">
      <c r="A67" s="44"/>
      <c r="B67" s="11" t="str">
        <f>CONCATENATE("          ", "4142", " - ", "NON-TAXABLE SALES-EVERYDAY GIF")</f>
        <v xml:space="preserve">          4142 - NON-TAXABLE SALES-EVERYDAY GIF</v>
      </c>
      <c r="C67" s="11"/>
      <c r="D67" s="2">
        <f>--310.68</f>
        <v>310.68</v>
      </c>
      <c r="E67" s="2"/>
      <c r="F67" s="19"/>
      <c r="G67" s="2"/>
      <c r="H67" s="2">
        <f>--2883.11</f>
        <v>2883.11</v>
      </c>
      <c r="I67" s="2"/>
      <c r="J67" s="19"/>
      <c r="K67" s="2"/>
      <c r="L67" s="2">
        <f t="shared" si="0"/>
        <v>-2572.4300000000003</v>
      </c>
      <c r="M67" s="2"/>
      <c r="N67" s="19">
        <f t="shared" si="1"/>
        <v>-0.89224136436001411</v>
      </c>
      <c r="O67" s="11"/>
      <c r="P67" s="2">
        <f>--1320.41</f>
        <v>1320.41</v>
      </c>
      <c r="Q67" s="2"/>
      <c r="R67" s="19"/>
      <c r="S67" s="2"/>
      <c r="T67" s="2">
        <f>--5919.61</f>
        <v>5919.61</v>
      </c>
      <c r="U67" s="2"/>
      <c r="V67" s="19"/>
      <c r="W67" s="2"/>
      <c r="X67" s="2">
        <f t="shared" si="2"/>
        <v>-4599.2</v>
      </c>
      <c r="Y67" s="2"/>
      <c r="Z67" s="19">
        <f t="shared" si="3"/>
        <v>-0.77694307564180753</v>
      </c>
    </row>
    <row r="68" spans="1:26" s="24" customFormat="1" hidden="1" outlineLevel="1" x14ac:dyDescent="0.25">
      <c r="A68" s="44"/>
      <c r="B68" s="11" t="str">
        <f>CONCATENATE("          ", "4143", " - ", "NON-TAXABLE SALES-CARDS")</f>
        <v xml:space="preserve">          4143 - NON-TAXABLE SALES-CARDS</v>
      </c>
      <c r="C68" s="11"/>
      <c r="D68" s="2">
        <f>--9.99</f>
        <v>9.99</v>
      </c>
      <c r="E68" s="2"/>
      <c r="F68" s="19"/>
      <c r="G68" s="2"/>
      <c r="H68" s="2">
        <f>0</f>
        <v>0</v>
      </c>
      <c r="I68" s="2"/>
      <c r="J68" s="19"/>
      <c r="K68" s="2"/>
      <c r="L68" s="2">
        <f t="shared" si="0"/>
        <v>9.99</v>
      </c>
      <c r="M68" s="2"/>
      <c r="N68" s="19">
        <f t="shared" si="1"/>
        <v>0</v>
      </c>
      <c r="O68" s="11"/>
      <c r="P68" s="2">
        <f>--29.97</f>
        <v>29.97</v>
      </c>
      <c r="Q68" s="2"/>
      <c r="R68" s="19"/>
      <c r="S68" s="2"/>
      <c r="T68" s="2">
        <f>0</f>
        <v>0</v>
      </c>
      <c r="U68" s="2"/>
      <c r="V68" s="19"/>
      <c r="W68" s="2"/>
      <c r="X68" s="2">
        <f t="shared" si="2"/>
        <v>29.97</v>
      </c>
      <c r="Y68" s="2"/>
      <c r="Z68" s="19">
        <f t="shared" si="3"/>
        <v>0</v>
      </c>
    </row>
    <row r="69" spans="1:26" s="24" customFormat="1" hidden="1" outlineLevel="1" x14ac:dyDescent="0.25">
      <c r="A69" s="44"/>
      <c r="B69" s="11" t="str">
        <f>CONCATENATE("          ", "4144", " - ", "NON-TAXABLE SALES-ACCESSORIES")</f>
        <v xml:space="preserve">          4144 - NON-TAXABLE SALES-ACCESSORIES</v>
      </c>
      <c r="C69" s="11"/>
      <c r="D69" s="2">
        <f>--154</f>
        <v>154</v>
      </c>
      <c r="E69" s="2"/>
      <c r="F69" s="19"/>
      <c r="G69" s="2"/>
      <c r="H69" s="2">
        <f>--71.85</f>
        <v>71.849999999999994</v>
      </c>
      <c r="I69" s="2"/>
      <c r="J69" s="19"/>
      <c r="K69" s="2"/>
      <c r="L69" s="2">
        <f t="shared" si="0"/>
        <v>82.15</v>
      </c>
      <c r="M69" s="2"/>
      <c r="N69" s="19">
        <f t="shared" si="1"/>
        <v>1.1433542101600558</v>
      </c>
      <c r="O69" s="11"/>
      <c r="P69" s="2">
        <f>--369.75</f>
        <v>369.75</v>
      </c>
      <c r="Q69" s="2"/>
      <c r="R69" s="19"/>
      <c r="S69" s="2"/>
      <c r="T69" s="2">
        <f>--211.61</f>
        <v>211.61</v>
      </c>
      <c r="U69" s="2"/>
      <c r="V69" s="19"/>
      <c r="W69" s="2"/>
      <c r="X69" s="2">
        <f t="shared" si="2"/>
        <v>158.13999999999999</v>
      </c>
      <c r="Y69" s="2"/>
      <c r="Z69" s="19">
        <f t="shared" si="3"/>
        <v>0.7473181796701478</v>
      </c>
    </row>
    <row r="70" spans="1:26" s="24" customFormat="1" hidden="1" outlineLevel="1" x14ac:dyDescent="0.25">
      <c r="A70" s="44"/>
      <c r="B70" s="11" t="str">
        <f>CONCATENATE("          ", "4145", " - ", "NON-TAXABLE SALES-SPECIAL ORDE")</f>
        <v xml:space="preserve">          4145 - NON-TAXABLE SALES-SPECIAL ORDE</v>
      </c>
      <c r="C70" s="11"/>
      <c r="D70" s="2">
        <f>0</f>
        <v>0</v>
      </c>
      <c r="E70" s="2"/>
      <c r="F70" s="19"/>
      <c r="G70" s="2"/>
      <c r="H70" s="2">
        <f>0</f>
        <v>0</v>
      </c>
      <c r="I70" s="2"/>
      <c r="J70" s="19"/>
      <c r="K70" s="2"/>
      <c r="L70" s="2">
        <f t="shared" si="0"/>
        <v>0</v>
      </c>
      <c r="M70" s="2"/>
      <c r="N70" s="19">
        <f t="shared" si="1"/>
        <v>0</v>
      </c>
      <c r="O70" s="11"/>
      <c r="P70" s="2">
        <f>--35846</f>
        <v>35846</v>
      </c>
      <c r="Q70" s="2"/>
      <c r="R70" s="19"/>
      <c r="S70" s="2"/>
      <c r="T70" s="2">
        <f>--90</f>
        <v>90</v>
      </c>
      <c r="U70" s="2"/>
      <c r="V70" s="19"/>
      <c r="W70" s="2"/>
      <c r="X70" s="2">
        <f t="shared" si="2"/>
        <v>35756</v>
      </c>
      <c r="Y70" s="2"/>
      <c r="Z70" s="19">
        <f t="shared" si="3"/>
        <v>397.28888888888889</v>
      </c>
    </row>
    <row r="71" spans="1:26" s="24" customFormat="1" hidden="1" outlineLevel="1" x14ac:dyDescent="0.25">
      <c r="A71" s="44"/>
      <c r="B71" s="11" t="str">
        <f>CONCATENATE("          ", "4146", " - ", "NON-TAXABLE SALES-COIN OP MACH")</f>
        <v xml:space="preserve">          4146 - NON-TAXABLE SALES-COIN OP MACH</v>
      </c>
      <c r="C71" s="11"/>
      <c r="D71" s="2">
        <f>--21.3</f>
        <v>21.3</v>
      </c>
      <c r="E71" s="2"/>
      <c r="F71" s="19"/>
      <c r="G71" s="2"/>
      <c r="H71" s="2">
        <f>--40316.8</f>
        <v>40316.800000000003</v>
      </c>
      <c r="I71" s="2"/>
      <c r="J71" s="19"/>
      <c r="K71" s="2"/>
      <c r="L71" s="2">
        <f t="shared" si="0"/>
        <v>-40295.5</v>
      </c>
      <c r="M71" s="2"/>
      <c r="N71" s="19">
        <f t="shared" si="1"/>
        <v>-0.99947168426065558</v>
      </c>
      <c r="O71" s="11"/>
      <c r="P71" s="2">
        <f t="shared" ref="P71:P72" si="14">--86.5</f>
        <v>86.5</v>
      </c>
      <c r="Q71" s="2"/>
      <c r="R71" s="19"/>
      <c r="S71" s="2"/>
      <c r="T71" s="2">
        <f>--90410.3</f>
        <v>90410.3</v>
      </c>
      <c r="U71" s="2"/>
      <c r="V71" s="19"/>
      <c r="W71" s="2"/>
      <c r="X71" s="2">
        <f t="shared" si="2"/>
        <v>-90323.8</v>
      </c>
      <c r="Y71" s="2"/>
      <c r="Z71" s="19">
        <f t="shared" si="3"/>
        <v>-0.99904325060308397</v>
      </c>
    </row>
    <row r="72" spans="1:26" s="24" customFormat="1" hidden="1" outlineLevel="1" x14ac:dyDescent="0.25">
      <c r="A72" s="44"/>
      <c r="B72" s="11" t="str">
        <f>CONCATENATE("          ", "4147", " - ", "NON-TAXABLE SALES-MISC")</f>
        <v xml:space="preserve">          4147 - NON-TAXABLE SALES-MISC</v>
      </c>
      <c r="C72" s="11"/>
      <c r="D72" s="2">
        <f>--38.5</f>
        <v>38.5</v>
      </c>
      <c r="E72" s="2"/>
      <c r="F72" s="19"/>
      <c r="G72" s="2"/>
      <c r="H72" s="2">
        <f>-240</f>
        <v>-240</v>
      </c>
      <c r="I72" s="2"/>
      <c r="J72" s="19"/>
      <c r="K72" s="2"/>
      <c r="L72" s="2">
        <f t="shared" si="0"/>
        <v>278.5</v>
      </c>
      <c r="M72" s="2"/>
      <c r="N72" s="19">
        <f t="shared" si="1"/>
        <v>-1.1604166666666667</v>
      </c>
      <c r="O72" s="11"/>
      <c r="P72" s="2">
        <f t="shared" si="14"/>
        <v>86.5</v>
      </c>
      <c r="Q72" s="2"/>
      <c r="R72" s="19"/>
      <c r="S72" s="2"/>
      <c r="T72" s="2">
        <f>--174.9</f>
        <v>174.9</v>
      </c>
      <c r="U72" s="2"/>
      <c r="V72" s="19"/>
      <c r="W72" s="2"/>
      <c r="X72" s="2">
        <f t="shared" si="2"/>
        <v>-88.4</v>
      </c>
      <c r="Y72" s="2"/>
      <c r="Z72" s="19">
        <f t="shared" si="3"/>
        <v>-0.50543167524299604</v>
      </c>
    </row>
    <row r="73" spans="1:26" s="24" customFormat="1" hidden="1" outlineLevel="1" x14ac:dyDescent="0.25">
      <c r="A73" s="44"/>
      <c r="B73" s="11" t="str">
        <f>CONCATENATE("          ", "4186", " - ", "NON-TAXABLE SALES-COMPUTER SUP")</f>
        <v xml:space="preserve">          4186 - NON-TAXABLE SALES-COMPUTER SUP</v>
      </c>
      <c r="C73" s="11"/>
      <c r="D73" s="2">
        <f>0</f>
        <v>0</v>
      </c>
      <c r="E73" s="2"/>
      <c r="F73" s="19"/>
      <c r="G73" s="2"/>
      <c r="H73" s="2">
        <f>--4.01</f>
        <v>4.01</v>
      </c>
      <c r="I73" s="2"/>
      <c r="J73" s="19"/>
      <c r="K73" s="2"/>
      <c r="L73" s="2">
        <f t="shared" si="0"/>
        <v>-4.01</v>
      </c>
      <c r="M73" s="2"/>
      <c r="N73" s="19">
        <f t="shared" si="1"/>
        <v>-1</v>
      </c>
      <c r="O73" s="11"/>
      <c r="P73" s="2">
        <f>0</f>
        <v>0</v>
      </c>
      <c r="Q73" s="2"/>
      <c r="R73" s="19"/>
      <c r="S73" s="2"/>
      <c r="T73" s="2">
        <f>-30.97</f>
        <v>-30.97</v>
      </c>
      <c r="U73" s="2"/>
      <c r="V73" s="19"/>
      <c r="W73" s="2"/>
      <c r="X73" s="2">
        <f t="shared" si="2"/>
        <v>30.97</v>
      </c>
      <c r="Y73" s="2"/>
      <c r="Z73" s="19">
        <f t="shared" si="3"/>
        <v>-1</v>
      </c>
    </row>
    <row r="74" spans="1:26" s="24" customFormat="1" hidden="1" outlineLevel="1" x14ac:dyDescent="0.25">
      <c r="A74" s="44"/>
      <c r="B74" s="11" t="str">
        <f>CONCATENATE("          ", "4201", " - ", "SALES RETURN TAXABLE-NEW TEXT")</f>
        <v xml:space="preserve">          4201 - SALES RETURN TAXABLE-NEW TEXT</v>
      </c>
      <c r="C74" s="11"/>
      <c r="D74" s="2">
        <f>-1512.25</f>
        <v>-1512.25</v>
      </c>
      <c r="E74" s="2"/>
      <c r="F74" s="19"/>
      <c r="G74" s="2"/>
      <c r="H74" s="2">
        <f>-4543.92</f>
        <v>-4543.92</v>
      </c>
      <c r="I74" s="2"/>
      <c r="J74" s="19"/>
      <c r="K74" s="2"/>
      <c r="L74" s="2">
        <f t="shared" si="0"/>
        <v>3031.67</v>
      </c>
      <c r="M74" s="2"/>
      <c r="N74" s="19">
        <f t="shared" si="1"/>
        <v>-0.66719264423669433</v>
      </c>
      <c r="O74" s="11"/>
      <c r="P74" s="2">
        <f>-33761.24</f>
        <v>-33761.24</v>
      </c>
      <c r="Q74" s="2"/>
      <c r="R74" s="19"/>
      <c r="S74" s="2"/>
      <c r="T74" s="2">
        <f>-77783.67</f>
        <v>-77783.67</v>
      </c>
      <c r="U74" s="2"/>
      <c r="V74" s="19"/>
      <c r="W74" s="2"/>
      <c r="X74" s="2">
        <f t="shared" si="2"/>
        <v>44022.43</v>
      </c>
      <c r="Y74" s="2"/>
      <c r="Z74" s="19">
        <f t="shared" si="3"/>
        <v>-0.56595979593145962</v>
      </c>
    </row>
    <row r="75" spans="1:26" s="24" customFormat="1" hidden="1" outlineLevel="1" x14ac:dyDescent="0.25">
      <c r="A75" s="44"/>
      <c r="B75" s="11" t="str">
        <f>CONCATENATE("          ", "4202", " - ", "SALES RETURN TAXABLE-USED TEXT")</f>
        <v xml:space="preserve">          4202 - SALES RETURN TAXABLE-USED TEXT</v>
      </c>
      <c r="C75" s="11"/>
      <c r="D75" s="2">
        <f>-136.05</f>
        <v>-136.05000000000001</v>
      </c>
      <c r="E75" s="2"/>
      <c r="F75" s="19"/>
      <c r="G75" s="2"/>
      <c r="H75" s="2">
        <f>-3577.9</f>
        <v>-3577.9</v>
      </c>
      <c r="I75" s="2"/>
      <c r="J75" s="19"/>
      <c r="K75" s="2"/>
      <c r="L75" s="2">
        <f t="shared" si="0"/>
        <v>3441.85</v>
      </c>
      <c r="M75" s="2"/>
      <c r="N75" s="19">
        <f t="shared" si="1"/>
        <v>-0.96197490147852083</v>
      </c>
      <c r="O75" s="11"/>
      <c r="P75" s="2">
        <f>-10529</f>
        <v>-10529</v>
      </c>
      <c r="Q75" s="2"/>
      <c r="R75" s="19"/>
      <c r="S75" s="2"/>
      <c r="T75" s="2">
        <f>-26929</f>
        <v>-26929</v>
      </c>
      <c r="U75" s="2"/>
      <c r="V75" s="19"/>
      <c r="W75" s="2"/>
      <c r="X75" s="2">
        <f t="shared" si="2"/>
        <v>16400</v>
      </c>
      <c r="Y75" s="2"/>
      <c r="Z75" s="19">
        <f t="shared" si="3"/>
        <v>-0.60900887519031532</v>
      </c>
    </row>
    <row r="76" spans="1:26" s="24" customFormat="1" hidden="1" outlineLevel="1" x14ac:dyDescent="0.25">
      <c r="A76" s="44"/>
      <c r="B76" s="11" t="str">
        <f>CONCATENATE("          ", "4203", " - ", "SALES RETURN TAXABLE-RENTAL TE")</f>
        <v xml:space="preserve">          4203 - SALES RETURN TAXABLE-RENTAL TE</v>
      </c>
      <c r="C76" s="11"/>
      <c r="D76" s="2">
        <f>0</f>
        <v>0</v>
      </c>
      <c r="E76" s="2"/>
      <c r="F76" s="19"/>
      <c r="G76" s="2"/>
      <c r="H76" s="2">
        <f>0</f>
        <v>0</v>
      </c>
      <c r="I76" s="2"/>
      <c r="J76" s="19"/>
      <c r="K76" s="2"/>
      <c r="L76" s="2">
        <f t="shared" si="0"/>
        <v>0</v>
      </c>
      <c r="M76" s="2"/>
      <c r="N76" s="19">
        <f t="shared" si="1"/>
        <v>0</v>
      </c>
      <c r="O76" s="11"/>
      <c r="P76" s="2">
        <f>0</f>
        <v>0</v>
      </c>
      <c r="Q76" s="2"/>
      <c r="R76" s="19"/>
      <c r="S76" s="2"/>
      <c r="T76" s="2">
        <f>-144.99</f>
        <v>-144.99</v>
      </c>
      <c r="U76" s="2"/>
      <c r="V76" s="19"/>
      <c r="W76" s="2"/>
      <c r="X76" s="2">
        <f t="shared" si="2"/>
        <v>144.99</v>
      </c>
      <c r="Y76" s="2"/>
      <c r="Z76" s="19">
        <f t="shared" si="3"/>
        <v>-1</v>
      </c>
    </row>
    <row r="77" spans="1:26" s="24" customFormat="1" hidden="1" outlineLevel="1" x14ac:dyDescent="0.25">
      <c r="A77" s="44"/>
      <c r="B77" s="11" t="str">
        <f>CONCATENATE("          ", "4204", " - ", "SALES RETURN TAXABLE-DIGITAL T")</f>
        <v xml:space="preserve">          4204 - SALES RETURN TAXABLE-DIGITAL T</v>
      </c>
      <c r="C77" s="11"/>
      <c r="D77" s="2">
        <f>-383.9</f>
        <v>-383.9</v>
      </c>
      <c r="E77" s="2"/>
      <c r="F77" s="19"/>
      <c r="G77" s="2"/>
      <c r="H77" s="2">
        <f>-193.34</f>
        <v>-193.34</v>
      </c>
      <c r="I77" s="2"/>
      <c r="J77" s="19"/>
      <c r="K77" s="2"/>
      <c r="L77" s="2">
        <f t="shared" si="0"/>
        <v>-190.55999999999997</v>
      </c>
      <c r="M77" s="2"/>
      <c r="N77" s="19">
        <f t="shared" si="1"/>
        <v>0.98562118547636268</v>
      </c>
      <c r="O77" s="11"/>
      <c r="P77" s="2">
        <f>-1630.85</f>
        <v>-1630.85</v>
      </c>
      <c r="Q77" s="2"/>
      <c r="R77" s="19"/>
      <c r="S77" s="2"/>
      <c r="T77" s="2">
        <f>-11250.06</f>
        <v>-11250.06</v>
      </c>
      <c r="U77" s="2"/>
      <c r="V77" s="19"/>
      <c r="W77" s="2"/>
      <c r="X77" s="2">
        <f t="shared" si="2"/>
        <v>9619.2099999999991</v>
      </c>
      <c r="Y77" s="2"/>
      <c r="Z77" s="19">
        <f t="shared" si="3"/>
        <v>-0.85503632869513579</v>
      </c>
    </row>
    <row r="78" spans="1:26" s="24" customFormat="1" hidden="1" outlineLevel="1" x14ac:dyDescent="0.25">
      <c r="A78" s="44"/>
      <c r="B78" s="11" t="str">
        <f>CONCATENATE("          ", "4213", " - ", "NON-TAXABLE SALES-TRADE BOOKS")</f>
        <v xml:space="preserve">          4213 - NON-TAXABLE SALES-TRADE BOOKS</v>
      </c>
      <c r="C78" s="11"/>
      <c r="D78" s="2">
        <f t="shared" ref="D78:D81" si="15">0</f>
        <v>0</v>
      </c>
      <c r="E78" s="2"/>
      <c r="F78" s="19"/>
      <c r="G78" s="2"/>
      <c r="H78" s="2">
        <f>-35.37</f>
        <v>-35.369999999999997</v>
      </c>
      <c r="I78" s="2"/>
      <c r="J78" s="19"/>
      <c r="K78" s="2"/>
      <c r="L78" s="2">
        <f t="shared" si="0"/>
        <v>35.369999999999997</v>
      </c>
      <c r="M78" s="2"/>
      <c r="N78" s="19">
        <f t="shared" si="1"/>
        <v>-1</v>
      </c>
      <c r="O78" s="11"/>
      <c r="P78" s="2">
        <f t="shared" ref="P78:P81" si="16">0</f>
        <v>0</v>
      </c>
      <c r="Q78" s="2"/>
      <c r="R78" s="19"/>
      <c r="S78" s="2"/>
      <c r="T78" s="2">
        <f>-35.37</f>
        <v>-35.369999999999997</v>
      </c>
      <c r="U78" s="2"/>
      <c r="V78" s="19"/>
      <c r="W78" s="2"/>
      <c r="X78" s="2">
        <f t="shared" si="2"/>
        <v>35.369999999999997</v>
      </c>
      <c r="Y78" s="2"/>
      <c r="Z78" s="19">
        <f t="shared" si="3"/>
        <v>-1</v>
      </c>
    </row>
    <row r="79" spans="1:26" s="24" customFormat="1" hidden="1" outlineLevel="1" x14ac:dyDescent="0.25">
      <c r="A79" s="44"/>
      <c r="B79" s="11" t="str">
        <f>CONCATENATE("          ", "4217", " - ", "NON-TAXABLE SALES-DORM/HOUSEWA")</f>
        <v xml:space="preserve">          4217 - NON-TAXABLE SALES-DORM/HOUSEWA</v>
      </c>
      <c r="C79" s="11"/>
      <c r="D79" s="2">
        <f t="shared" si="15"/>
        <v>0</v>
      </c>
      <c r="E79" s="2"/>
      <c r="F79" s="19"/>
      <c r="G79" s="2"/>
      <c r="H79" s="2">
        <f>-2.98</f>
        <v>-2.98</v>
      </c>
      <c r="I79" s="2"/>
      <c r="J79" s="19"/>
      <c r="K79" s="2"/>
      <c r="L79" s="2">
        <f t="shared" si="0"/>
        <v>2.98</v>
      </c>
      <c r="M79" s="2"/>
      <c r="N79" s="19">
        <f t="shared" si="1"/>
        <v>-1</v>
      </c>
      <c r="O79" s="11"/>
      <c r="P79" s="2">
        <f t="shared" si="16"/>
        <v>0</v>
      </c>
      <c r="Q79" s="2"/>
      <c r="R79" s="19"/>
      <c r="S79" s="2"/>
      <c r="T79" s="2">
        <f>-2.98</f>
        <v>-2.98</v>
      </c>
      <c r="U79" s="2"/>
      <c r="V79" s="19"/>
      <c r="W79" s="2"/>
      <c r="X79" s="2">
        <f t="shared" si="2"/>
        <v>2.98</v>
      </c>
      <c r="Y79" s="2"/>
      <c r="Z79" s="19">
        <f t="shared" si="3"/>
        <v>-1</v>
      </c>
    </row>
    <row r="80" spans="1:26" s="24" customFormat="1" hidden="1" outlineLevel="1" x14ac:dyDescent="0.25">
      <c r="A80" s="44"/>
      <c r="B80" s="11" t="str">
        <f>CONCATENATE("          ", "4218", " - ", "SALES RETURN TAXABLE-STUDY GUI")</f>
        <v xml:space="preserve">          4218 - SALES RETURN TAXABLE-STUDY GUI</v>
      </c>
      <c r="C80" s="11"/>
      <c r="D80" s="2">
        <f t="shared" si="15"/>
        <v>0</v>
      </c>
      <c r="E80" s="2"/>
      <c r="F80" s="19"/>
      <c r="G80" s="2"/>
      <c r="H80" s="2">
        <f>0</f>
        <v>0</v>
      </c>
      <c r="I80" s="2"/>
      <c r="J80" s="19"/>
      <c r="K80" s="2"/>
      <c r="L80" s="2">
        <f t="shared" si="0"/>
        <v>0</v>
      </c>
      <c r="M80" s="2"/>
      <c r="N80" s="19">
        <f t="shared" si="1"/>
        <v>0</v>
      </c>
      <c r="O80" s="11"/>
      <c r="P80" s="2">
        <f t="shared" si="16"/>
        <v>0</v>
      </c>
      <c r="Q80" s="2"/>
      <c r="R80" s="19"/>
      <c r="S80" s="2"/>
      <c r="T80" s="2">
        <f>-32.75</f>
        <v>-32.75</v>
      </c>
      <c r="U80" s="2"/>
      <c r="V80" s="19"/>
      <c r="W80" s="2"/>
      <c r="X80" s="2">
        <f t="shared" si="2"/>
        <v>32.75</v>
      </c>
      <c r="Y80" s="2"/>
      <c r="Z80" s="19">
        <f t="shared" si="3"/>
        <v>-1</v>
      </c>
    </row>
    <row r="81" spans="1:26" s="24" customFormat="1" hidden="1" outlineLevel="1" x14ac:dyDescent="0.25">
      <c r="A81" s="44"/>
      <c r="B81" s="11" t="str">
        <f>CONCATENATE("          ", "4225", " - ", "SALES RETURN TAXABLE-TEST FORM")</f>
        <v xml:space="preserve">          4225 - SALES RETURN TAXABLE-TEST FORM</v>
      </c>
      <c r="C81" s="11"/>
      <c r="D81" s="2">
        <f t="shared" si="15"/>
        <v>0</v>
      </c>
      <c r="E81" s="2"/>
      <c r="F81" s="19"/>
      <c r="G81" s="2"/>
      <c r="H81" s="2">
        <f>-8.45</f>
        <v>-8.4499999999999993</v>
      </c>
      <c r="I81" s="2"/>
      <c r="J81" s="19"/>
      <c r="K81" s="2"/>
      <c r="L81" s="2">
        <f t="shared" si="0"/>
        <v>8.4499999999999993</v>
      </c>
      <c r="M81" s="2"/>
      <c r="N81" s="19">
        <f t="shared" si="1"/>
        <v>-1</v>
      </c>
      <c r="O81" s="11"/>
      <c r="P81" s="2">
        <f t="shared" si="16"/>
        <v>0</v>
      </c>
      <c r="Q81" s="2"/>
      <c r="R81" s="19"/>
      <c r="S81" s="2"/>
      <c r="T81" s="2">
        <f>-41.55</f>
        <v>-41.55</v>
      </c>
      <c r="U81" s="2"/>
      <c r="V81" s="19"/>
      <c r="W81" s="2"/>
      <c r="X81" s="2">
        <f t="shared" si="2"/>
        <v>41.55</v>
      </c>
      <c r="Y81" s="2"/>
      <c r="Z81" s="19">
        <f t="shared" si="3"/>
        <v>-1</v>
      </c>
    </row>
    <row r="82" spans="1:26" s="24" customFormat="1" hidden="1" outlineLevel="1" x14ac:dyDescent="0.25">
      <c r="A82" s="44"/>
      <c r="B82" s="11" t="str">
        <f>CONCATENATE("          ", "4226", " - ", "SALES RETURN TAXABLE-WRITING I")</f>
        <v xml:space="preserve">          4226 - SALES RETURN TAXABLE-WRITING I</v>
      </c>
      <c r="C82" s="11"/>
      <c r="D82" s="2">
        <f>-5.36</f>
        <v>-5.36</v>
      </c>
      <c r="E82" s="2"/>
      <c r="F82" s="19"/>
      <c r="G82" s="2"/>
      <c r="H82" s="2">
        <f>-166.9</f>
        <v>-166.9</v>
      </c>
      <c r="I82" s="2"/>
      <c r="J82" s="19"/>
      <c r="K82" s="2"/>
      <c r="L82" s="2">
        <f t="shared" si="0"/>
        <v>161.54</v>
      </c>
      <c r="M82" s="2"/>
      <c r="N82" s="19">
        <f t="shared" si="1"/>
        <v>-0.9678849610545236</v>
      </c>
      <c r="O82" s="11"/>
      <c r="P82" s="2">
        <f>-34.23</f>
        <v>-34.229999999999997</v>
      </c>
      <c r="Q82" s="2"/>
      <c r="R82" s="19"/>
      <c r="S82" s="2"/>
      <c r="T82" s="2">
        <f>-475.97</f>
        <v>-475.97</v>
      </c>
      <c r="U82" s="2"/>
      <c r="V82" s="19"/>
      <c r="W82" s="2"/>
      <c r="X82" s="2">
        <f t="shared" si="2"/>
        <v>441.74</v>
      </c>
      <c r="Y82" s="2"/>
      <c r="Z82" s="19">
        <f t="shared" si="3"/>
        <v>-0.92808370275437524</v>
      </c>
    </row>
    <row r="83" spans="1:26" s="24" customFormat="1" hidden="1" outlineLevel="1" x14ac:dyDescent="0.25">
      <c r="A83" s="44"/>
      <c r="B83" s="11" t="str">
        <f>CONCATENATE("          ", "4227", " - ", "SALES RETURN TAXABLE-SCHOOL SU")</f>
        <v xml:space="preserve">          4227 - SALES RETURN TAXABLE-SCHOOL SU</v>
      </c>
      <c r="C83" s="11"/>
      <c r="D83" s="2">
        <f>-9.99</f>
        <v>-9.99</v>
      </c>
      <c r="E83" s="2"/>
      <c r="F83" s="19"/>
      <c r="G83" s="2"/>
      <c r="H83" s="2">
        <f>-324.85</f>
        <v>-324.85000000000002</v>
      </c>
      <c r="I83" s="2"/>
      <c r="J83" s="19"/>
      <c r="K83" s="2"/>
      <c r="L83" s="2">
        <f t="shared" si="0"/>
        <v>314.86</v>
      </c>
      <c r="M83" s="2"/>
      <c r="N83" s="19">
        <f t="shared" si="1"/>
        <v>-0.96924734492842846</v>
      </c>
      <c r="O83" s="11"/>
      <c r="P83" s="2">
        <f>-578.66</f>
        <v>-578.66</v>
      </c>
      <c r="Q83" s="2"/>
      <c r="R83" s="19"/>
      <c r="S83" s="2"/>
      <c r="T83" s="2">
        <f>-4826.48</f>
        <v>-4826.4799999999996</v>
      </c>
      <c r="U83" s="2"/>
      <c r="V83" s="19"/>
      <c r="W83" s="2"/>
      <c r="X83" s="2">
        <f t="shared" si="2"/>
        <v>4247.82</v>
      </c>
      <c r="Y83" s="2"/>
      <c r="Z83" s="19">
        <f t="shared" si="3"/>
        <v>-0.88010724171653054</v>
      </c>
    </row>
    <row r="84" spans="1:26" s="24" customFormat="1" hidden="1" outlineLevel="1" x14ac:dyDescent="0.25">
      <c r="A84" s="44"/>
      <c r="B84" s="11" t="str">
        <f>CONCATENATE("          ", "4228", " - ", "SALES RETURN TAXABLE-ART/TECH")</f>
        <v xml:space="preserve">          4228 - SALES RETURN TAXABLE-ART/TECH</v>
      </c>
      <c r="C84" s="11"/>
      <c r="D84" s="2">
        <f>0</f>
        <v>0</v>
      </c>
      <c r="E84" s="2"/>
      <c r="F84" s="19"/>
      <c r="G84" s="2"/>
      <c r="H84" s="2">
        <f>-502.99</f>
        <v>-502.99</v>
      </c>
      <c r="I84" s="2"/>
      <c r="J84" s="19"/>
      <c r="K84" s="2"/>
      <c r="L84" s="2">
        <f t="shared" si="0"/>
        <v>502.99</v>
      </c>
      <c r="M84" s="2"/>
      <c r="N84" s="19">
        <f t="shared" si="1"/>
        <v>-1</v>
      </c>
      <c r="O84" s="11"/>
      <c r="P84" s="2">
        <f>-222.2</f>
        <v>-222.2</v>
      </c>
      <c r="Q84" s="2"/>
      <c r="R84" s="19"/>
      <c r="S84" s="2"/>
      <c r="T84" s="2">
        <f>-2430.26</f>
        <v>-2430.2600000000002</v>
      </c>
      <c r="U84" s="2"/>
      <c r="V84" s="19"/>
      <c r="W84" s="2"/>
      <c r="X84" s="2">
        <f t="shared" si="2"/>
        <v>2208.0600000000004</v>
      </c>
      <c r="Y84" s="2"/>
      <c r="Z84" s="19">
        <f t="shared" si="3"/>
        <v>-0.908569453474114</v>
      </c>
    </row>
    <row r="85" spans="1:26" s="24" customFormat="1" hidden="1" outlineLevel="1" x14ac:dyDescent="0.25">
      <c r="A85" s="44"/>
      <c r="B85" s="11" t="str">
        <f>CONCATENATE("          ", "4240", " - ", "SALES RETURN TAXABLE-LOGO CLOT")</f>
        <v xml:space="preserve">          4240 - SALES RETURN TAXABLE-LOGO CLOT</v>
      </c>
      <c r="C85" s="11"/>
      <c r="D85" s="2">
        <f>-2239.56</f>
        <v>-2239.56</v>
      </c>
      <c r="E85" s="2"/>
      <c r="F85" s="19"/>
      <c r="G85" s="2"/>
      <c r="H85" s="2">
        <f>-9501.82</f>
        <v>-9501.82</v>
      </c>
      <c r="I85" s="2"/>
      <c r="J85" s="19"/>
      <c r="K85" s="2"/>
      <c r="L85" s="2">
        <f t="shared" si="0"/>
        <v>7262.26</v>
      </c>
      <c r="M85" s="2"/>
      <c r="N85" s="19">
        <f t="shared" si="1"/>
        <v>-0.76430199688059763</v>
      </c>
      <c r="O85" s="11"/>
      <c r="P85" s="2">
        <f>-13849.52</f>
        <v>-13849.52</v>
      </c>
      <c r="Q85" s="2"/>
      <c r="R85" s="19"/>
      <c r="S85" s="2"/>
      <c r="T85" s="2">
        <f>-30294.8</f>
        <v>-30294.799999999999</v>
      </c>
      <c r="U85" s="2"/>
      <c r="V85" s="19"/>
      <c r="W85" s="2"/>
      <c r="X85" s="2">
        <f t="shared" si="2"/>
        <v>16445.28</v>
      </c>
      <c r="Y85" s="2"/>
      <c r="Z85" s="19">
        <f t="shared" si="3"/>
        <v>-0.54284167579914699</v>
      </c>
    </row>
    <row r="86" spans="1:26" s="24" customFormat="1" hidden="1" outlineLevel="1" x14ac:dyDescent="0.25">
      <c r="A86" s="44"/>
      <c r="B86" s="11" t="str">
        <f>CONCATENATE("          ", "4241", " - ", "SALES RETURN TAXABLE-LOGO GIFT")</f>
        <v xml:space="preserve">          4241 - SALES RETURN TAXABLE-LOGO GIFT</v>
      </c>
      <c r="C86" s="11"/>
      <c r="D86" s="2">
        <f>-379.45</f>
        <v>-379.45</v>
      </c>
      <c r="E86" s="2"/>
      <c r="F86" s="19"/>
      <c r="G86" s="2"/>
      <c r="H86" s="2">
        <f>-327.07</f>
        <v>-327.07</v>
      </c>
      <c r="I86" s="2"/>
      <c r="J86" s="19"/>
      <c r="K86" s="2"/>
      <c r="L86" s="2">
        <f t="shared" si="0"/>
        <v>-52.379999999999995</v>
      </c>
      <c r="M86" s="2"/>
      <c r="N86" s="19">
        <f t="shared" si="1"/>
        <v>0.16014920353441159</v>
      </c>
      <c r="O86" s="11"/>
      <c r="P86" s="2">
        <f>-2696.56</f>
        <v>-2696.56</v>
      </c>
      <c r="Q86" s="2"/>
      <c r="R86" s="19"/>
      <c r="S86" s="2"/>
      <c r="T86" s="2">
        <f>-2717.95</f>
        <v>-2717.95</v>
      </c>
      <c r="U86" s="2"/>
      <c r="V86" s="19"/>
      <c r="W86" s="2"/>
      <c r="X86" s="2">
        <f t="shared" si="2"/>
        <v>21.389999999999873</v>
      </c>
      <c r="Y86" s="2"/>
      <c r="Z86" s="19">
        <f t="shared" si="3"/>
        <v>-7.8699019481594124E-3</v>
      </c>
    </row>
    <row r="87" spans="1:26" s="24" customFormat="1" hidden="1" outlineLevel="1" x14ac:dyDescent="0.25">
      <c r="A87" s="44"/>
      <c r="B87" s="11" t="str">
        <f>CONCATENATE("          ", "4242", " - ", "SALES RETURN TAXABLE-EVERYDAY")</f>
        <v xml:space="preserve">          4242 - SALES RETURN TAXABLE-EVERYDAY</v>
      </c>
      <c r="C87" s="11"/>
      <c r="D87" s="2">
        <f>-266.95</f>
        <v>-266.95</v>
      </c>
      <c r="E87" s="2"/>
      <c r="F87" s="19"/>
      <c r="G87" s="2"/>
      <c r="H87" s="2">
        <f>-165.1</f>
        <v>-165.1</v>
      </c>
      <c r="I87" s="2"/>
      <c r="J87" s="19"/>
      <c r="K87" s="2"/>
      <c r="L87" s="2">
        <f t="shared" si="0"/>
        <v>-101.85</v>
      </c>
      <c r="M87" s="2"/>
      <c r="N87" s="19">
        <f t="shared" si="1"/>
        <v>0.61689884918231375</v>
      </c>
      <c r="O87" s="11"/>
      <c r="P87" s="2">
        <f>-1321.51</f>
        <v>-1321.51</v>
      </c>
      <c r="Q87" s="2"/>
      <c r="R87" s="19"/>
      <c r="S87" s="2"/>
      <c r="T87" s="2">
        <f>-1159.57</f>
        <v>-1159.57</v>
      </c>
      <c r="U87" s="2"/>
      <c r="V87" s="19"/>
      <c r="W87" s="2"/>
      <c r="X87" s="2">
        <f t="shared" si="2"/>
        <v>-161.94000000000005</v>
      </c>
      <c r="Y87" s="2"/>
      <c r="Z87" s="19">
        <f t="shared" si="3"/>
        <v>0.13965521702010233</v>
      </c>
    </row>
    <row r="88" spans="1:26" s="24" customFormat="1" hidden="1" outlineLevel="1" x14ac:dyDescent="0.25">
      <c r="A88" s="44"/>
      <c r="B88" s="11" t="str">
        <f>CONCATENATE("          ", "4243", " - ", "SALES RETURN TAXABLE-CARDS")</f>
        <v xml:space="preserve">          4243 - SALES RETURN TAXABLE-CARDS</v>
      </c>
      <c r="C88" s="11"/>
      <c r="D88" s="2">
        <f>-829.55</f>
        <v>-829.55</v>
      </c>
      <c r="E88" s="2"/>
      <c r="F88" s="19"/>
      <c r="G88" s="2"/>
      <c r="H88" s="2">
        <f>0</f>
        <v>0</v>
      </c>
      <c r="I88" s="2"/>
      <c r="J88" s="19"/>
      <c r="K88" s="2"/>
      <c r="L88" s="2">
        <f t="shared" si="0"/>
        <v>-829.55</v>
      </c>
      <c r="M88" s="2"/>
      <c r="N88" s="19">
        <f t="shared" si="1"/>
        <v>0</v>
      </c>
      <c r="O88" s="11"/>
      <c r="P88" s="2">
        <f>-982.92</f>
        <v>-982.92</v>
      </c>
      <c r="Q88" s="2"/>
      <c r="R88" s="19"/>
      <c r="S88" s="2"/>
      <c r="T88" s="2">
        <f>-4.5</f>
        <v>-4.5</v>
      </c>
      <c r="U88" s="2"/>
      <c r="V88" s="19"/>
      <c r="W88" s="2"/>
      <c r="X88" s="2">
        <f t="shared" si="2"/>
        <v>-978.42</v>
      </c>
      <c r="Y88" s="2"/>
      <c r="Z88" s="19">
        <f t="shared" si="3"/>
        <v>217.42666666666665</v>
      </c>
    </row>
    <row r="89" spans="1:26" s="24" customFormat="1" hidden="1" outlineLevel="1" x14ac:dyDescent="0.25">
      <c r="A89" s="44"/>
      <c r="B89" s="11" t="str">
        <f>CONCATENATE("          ", "4244", " - ", "SALES RETURN TAXABLE-ACCESSORI")</f>
        <v xml:space="preserve">          4244 - SALES RETURN TAXABLE-ACCESSORI</v>
      </c>
      <c r="C89" s="11"/>
      <c r="D89" s="2">
        <f>0</f>
        <v>0</v>
      </c>
      <c r="E89" s="2"/>
      <c r="F89" s="19"/>
      <c r="G89" s="2"/>
      <c r="H89" s="2">
        <f>-177.85</f>
        <v>-177.85</v>
      </c>
      <c r="I89" s="2"/>
      <c r="J89" s="19"/>
      <c r="K89" s="2"/>
      <c r="L89" s="2">
        <f t="shared" si="0"/>
        <v>177.85</v>
      </c>
      <c r="M89" s="2"/>
      <c r="N89" s="19">
        <f t="shared" si="1"/>
        <v>-1</v>
      </c>
      <c r="O89" s="11"/>
      <c r="P89" s="2">
        <f>-410.99</f>
        <v>-410.99</v>
      </c>
      <c r="Q89" s="2"/>
      <c r="R89" s="19"/>
      <c r="S89" s="2"/>
      <c r="T89" s="2">
        <f>-1432.36</f>
        <v>-1432.36</v>
      </c>
      <c r="U89" s="2"/>
      <c r="V89" s="19"/>
      <c r="W89" s="2"/>
      <c r="X89" s="2">
        <f t="shared" si="2"/>
        <v>1021.3699999999999</v>
      </c>
      <c r="Y89" s="2"/>
      <c r="Z89" s="19">
        <f t="shared" si="3"/>
        <v>-0.71306794381300787</v>
      </c>
    </row>
    <row r="90" spans="1:26" s="24" customFormat="1" hidden="1" outlineLevel="1" x14ac:dyDescent="0.25">
      <c r="A90" s="44"/>
      <c r="B90" s="11" t="str">
        <f>CONCATENATE("          ", "4245", " - ", "SALES RETURN TAXABLE-SPECIAL O")</f>
        <v xml:space="preserve">          4245 - SALES RETURN TAXABLE-SPECIAL O</v>
      </c>
      <c r="C90" s="11"/>
      <c r="D90" s="2">
        <f>-363.98</f>
        <v>-363.98</v>
      </c>
      <c r="E90" s="2"/>
      <c r="F90" s="19"/>
      <c r="G90" s="2"/>
      <c r="H90" s="2">
        <f>0</f>
        <v>0</v>
      </c>
      <c r="I90" s="2"/>
      <c r="J90" s="19"/>
      <c r="K90" s="2"/>
      <c r="L90" s="2">
        <f t="shared" si="0"/>
        <v>-363.98</v>
      </c>
      <c r="M90" s="2"/>
      <c r="N90" s="19">
        <f t="shared" si="1"/>
        <v>0</v>
      </c>
      <c r="O90" s="11"/>
      <c r="P90" s="2">
        <f>-1546.93</f>
        <v>-1546.93</v>
      </c>
      <c r="Q90" s="2"/>
      <c r="R90" s="19"/>
      <c r="S90" s="2"/>
      <c r="T90" s="2">
        <f>-91.96</f>
        <v>-91.96</v>
      </c>
      <c r="U90" s="2"/>
      <c r="V90" s="19"/>
      <c r="W90" s="2"/>
      <c r="X90" s="2">
        <f t="shared" si="2"/>
        <v>-1454.97</v>
      </c>
      <c r="Y90" s="2"/>
      <c r="Z90" s="19">
        <f t="shared" si="3"/>
        <v>15.821770334928232</v>
      </c>
    </row>
    <row r="91" spans="1:26" s="24" customFormat="1" hidden="1" outlineLevel="1" x14ac:dyDescent="0.25">
      <c r="A91" s="44"/>
      <c r="B91" s="11" t="str">
        <f>CONCATENATE("          ", "4281", " - ", "SALES RETURN TAXABLE-ELECTRONI")</f>
        <v xml:space="preserve">          4281 - SALES RETURN TAXABLE-ELECTRONI</v>
      </c>
      <c r="C91" s="11"/>
      <c r="D91" s="2">
        <f t="shared" ref="D91:D93" si="17">0</f>
        <v>0</v>
      </c>
      <c r="E91" s="2"/>
      <c r="F91" s="19"/>
      <c r="G91" s="2"/>
      <c r="H91" s="2">
        <f>-19.99</f>
        <v>-19.989999999999998</v>
      </c>
      <c r="I91" s="2"/>
      <c r="J91" s="19"/>
      <c r="K91" s="2"/>
      <c r="L91" s="2">
        <f t="shared" si="0"/>
        <v>19.989999999999998</v>
      </c>
      <c r="M91" s="2"/>
      <c r="N91" s="19">
        <f t="shared" si="1"/>
        <v>-1</v>
      </c>
      <c r="O91" s="11"/>
      <c r="P91" s="2">
        <f t="shared" ref="P91:P93" si="18">0</f>
        <v>0</v>
      </c>
      <c r="Q91" s="2"/>
      <c r="R91" s="19"/>
      <c r="S91" s="2"/>
      <c r="T91" s="2">
        <f>-44.98</f>
        <v>-44.98</v>
      </c>
      <c r="U91" s="2"/>
      <c r="V91" s="19"/>
      <c r="W91" s="2"/>
      <c r="X91" s="2">
        <f t="shared" si="2"/>
        <v>44.98</v>
      </c>
      <c r="Y91" s="2"/>
      <c r="Z91" s="19">
        <f t="shared" si="3"/>
        <v>-1</v>
      </c>
    </row>
    <row r="92" spans="1:26" s="24" customFormat="1" hidden="1" outlineLevel="1" x14ac:dyDescent="0.25">
      <c r="A92" s="44"/>
      <c r="B92" s="11" t="str">
        <f>CONCATENATE("          ", "4292", " - ", "SALES RETURN TAXABLE-GRAD MERC")</f>
        <v xml:space="preserve">          4292 - SALES RETURN TAXABLE-GRAD MERC</v>
      </c>
      <c r="C92" s="11"/>
      <c r="D92" s="2">
        <f t="shared" si="17"/>
        <v>0</v>
      </c>
      <c r="E92" s="2"/>
      <c r="F92" s="19"/>
      <c r="G92" s="2"/>
      <c r="H92" s="2">
        <f>-39.95</f>
        <v>-39.950000000000003</v>
      </c>
      <c r="I92" s="2"/>
      <c r="J92" s="19"/>
      <c r="K92" s="2"/>
      <c r="L92" s="2">
        <f t="shared" si="0"/>
        <v>39.950000000000003</v>
      </c>
      <c r="M92" s="2"/>
      <c r="N92" s="19">
        <f t="shared" si="1"/>
        <v>-1</v>
      </c>
      <c r="O92" s="11"/>
      <c r="P92" s="2">
        <f t="shared" si="18"/>
        <v>0</v>
      </c>
      <c r="Q92" s="2"/>
      <c r="R92" s="19"/>
      <c r="S92" s="2"/>
      <c r="T92" s="2">
        <f>-409.1</f>
        <v>-409.1</v>
      </c>
      <c r="U92" s="2"/>
      <c r="V92" s="19"/>
      <c r="W92" s="2"/>
      <c r="X92" s="2">
        <f t="shared" si="2"/>
        <v>409.1</v>
      </c>
      <c r="Y92" s="2"/>
      <c r="Z92" s="19">
        <f t="shared" si="3"/>
        <v>-1</v>
      </c>
    </row>
    <row r="93" spans="1:26" s="24" customFormat="1" hidden="1" outlineLevel="1" x14ac:dyDescent="0.25">
      <c r="A93" s="44"/>
      <c r="B93" s="11" t="str">
        <f>CONCATENATE("          ", "4295", " - ", "SALES RETURN TAXABLE-CUSTOMER")</f>
        <v xml:space="preserve">          4295 - SALES RETURN TAXABLE-CUSTOMER</v>
      </c>
      <c r="C93" s="11"/>
      <c r="D93" s="2">
        <f t="shared" si="17"/>
        <v>0</v>
      </c>
      <c r="E93" s="2"/>
      <c r="F93" s="19"/>
      <c r="G93" s="2"/>
      <c r="H93" s="2">
        <f>0</f>
        <v>0</v>
      </c>
      <c r="I93" s="2"/>
      <c r="J93" s="19"/>
      <c r="K93" s="2"/>
      <c r="L93" s="2">
        <f t="shared" si="0"/>
        <v>0</v>
      </c>
      <c r="M93" s="2"/>
      <c r="N93" s="19">
        <f t="shared" si="1"/>
        <v>0</v>
      </c>
      <c r="O93" s="11"/>
      <c r="P93" s="2">
        <f t="shared" si="18"/>
        <v>0</v>
      </c>
      <c r="Q93" s="2"/>
      <c r="R93" s="19"/>
      <c r="S93" s="2"/>
      <c r="T93" s="2">
        <f>--0.99</f>
        <v>0.99</v>
      </c>
      <c r="U93" s="2"/>
      <c r="V93" s="19"/>
      <c r="W93" s="2"/>
      <c r="X93" s="2">
        <f t="shared" si="2"/>
        <v>-0.99</v>
      </c>
      <c r="Y93" s="2"/>
      <c r="Z93" s="19">
        <f t="shared" si="3"/>
        <v>-1</v>
      </c>
    </row>
    <row r="94" spans="1:26" s="24" customFormat="1" hidden="1" outlineLevel="1" x14ac:dyDescent="0.25">
      <c r="A94" s="44"/>
      <c r="B94" s="11" t="str">
        <f>CONCATENATE("          ", "4301", " - ", "SALES RETURN NON TAXABLE-NEW T")</f>
        <v xml:space="preserve">          4301 - SALES RETURN NON TAXABLE-NEW T</v>
      </c>
      <c r="C94" s="11"/>
      <c r="D94" s="2">
        <f>-535.49</f>
        <v>-535.49</v>
      </c>
      <c r="E94" s="2"/>
      <c r="F94" s="19"/>
      <c r="G94" s="2"/>
      <c r="H94" s="2">
        <f>-5585.76</f>
        <v>-5585.76</v>
      </c>
      <c r="I94" s="2"/>
      <c r="J94" s="19"/>
      <c r="K94" s="2"/>
      <c r="L94" s="2">
        <f t="shared" si="0"/>
        <v>5050.2700000000004</v>
      </c>
      <c r="M94" s="2"/>
      <c r="N94" s="19">
        <f t="shared" si="1"/>
        <v>-0.90413300965311794</v>
      </c>
      <c r="O94" s="11"/>
      <c r="P94" s="2">
        <f>-2376.17</f>
        <v>-2376.17</v>
      </c>
      <c r="Q94" s="2"/>
      <c r="R94" s="19"/>
      <c r="S94" s="2"/>
      <c r="T94" s="2">
        <f>-12310.98</f>
        <v>-12310.98</v>
      </c>
      <c r="U94" s="2"/>
      <c r="V94" s="19"/>
      <c r="W94" s="2"/>
      <c r="X94" s="2">
        <f t="shared" si="2"/>
        <v>9934.81</v>
      </c>
      <c r="Y94" s="2"/>
      <c r="Z94" s="19">
        <f t="shared" si="3"/>
        <v>-0.80698774589837685</v>
      </c>
    </row>
    <row r="95" spans="1:26" s="24" customFormat="1" hidden="1" outlineLevel="1" x14ac:dyDescent="0.25">
      <c r="A95" s="44"/>
      <c r="B95" s="11" t="str">
        <f>CONCATENATE("          ", "4302", " - ", "SALES RETURN NON TAXABLE-TEXT")</f>
        <v xml:space="preserve">          4302 - SALES RETURN NON TAXABLE-TEXT</v>
      </c>
      <c r="C95" s="11"/>
      <c r="D95" s="2">
        <f>-169.72</f>
        <v>-169.72</v>
      </c>
      <c r="E95" s="2"/>
      <c r="F95" s="19"/>
      <c r="G95" s="2"/>
      <c r="H95" s="2">
        <f>-35.1</f>
        <v>-35.1</v>
      </c>
      <c r="I95" s="2"/>
      <c r="J95" s="19"/>
      <c r="K95" s="2"/>
      <c r="L95" s="2">
        <f t="shared" si="0"/>
        <v>-134.62</v>
      </c>
      <c r="M95" s="2"/>
      <c r="N95" s="19">
        <f t="shared" si="1"/>
        <v>3.8353276353276353</v>
      </c>
      <c r="O95" s="11"/>
      <c r="P95" s="2">
        <f>-1316.8</f>
        <v>-1316.8</v>
      </c>
      <c r="Q95" s="2"/>
      <c r="R95" s="19"/>
      <c r="S95" s="2"/>
      <c r="T95" s="2">
        <f>-683.8</f>
        <v>-683.8</v>
      </c>
      <c r="U95" s="2"/>
      <c r="V95" s="19"/>
      <c r="W95" s="2"/>
      <c r="X95" s="2">
        <f t="shared" si="2"/>
        <v>-633</v>
      </c>
      <c r="Y95" s="2"/>
      <c r="Z95" s="19">
        <f t="shared" si="3"/>
        <v>0.92570927171687634</v>
      </c>
    </row>
    <row r="96" spans="1:26" s="24" customFormat="1" hidden="1" outlineLevel="1" x14ac:dyDescent="0.25">
      <c r="A96" s="44"/>
      <c r="B96" s="11" t="str">
        <f>CONCATENATE("          ", "4303", " - ", "SALES RETURN NON-TAXABLE-RENTA")</f>
        <v xml:space="preserve">          4303 - SALES RETURN NON-TAXABLE-RENTA</v>
      </c>
      <c r="C96" s="11"/>
      <c r="D96" s="2">
        <f>0</f>
        <v>0</v>
      </c>
      <c r="E96" s="2"/>
      <c r="F96" s="19"/>
      <c r="G96" s="2"/>
      <c r="H96" s="2">
        <f>0</f>
        <v>0</v>
      </c>
      <c r="I96" s="2"/>
      <c r="J96" s="19"/>
      <c r="K96" s="2"/>
      <c r="L96" s="2">
        <f t="shared" si="0"/>
        <v>0</v>
      </c>
      <c r="M96" s="2"/>
      <c r="N96" s="19">
        <f t="shared" si="1"/>
        <v>0</v>
      </c>
      <c r="O96" s="11"/>
      <c r="P96" s="2">
        <f>0</f>
        <v>0</v>
      </c>
      <c r="Q96" s="2"/>
      <c r="R96" s="19"/>
      <c r="S96" s="2"/>
      <c r="T96" s="2">
        <f>-184.99</f>
        <v>-184.99</v>
      </c>
      <c r="U96" s="2"/>
      <c r="V96" s="19"/>
      <c r="W96" s="2"/>
      <c r="X96" s="2">
        <f t="shared" si="2"/>
        <v>184.99</v>
      </c>
      <c r="Y96" s="2"/>
      <c r="Z96" s="19">
        <f t="shared" si="3"/>
        <v>-1</v>
      </c>
    </row>
    <row r="97" spans="1:26" s="24" customFormat="1" hidden="1" outlineLevel="1" x14ac:dyDescent="0.25">
      <c r="A97" s="44"/>
      <c r="B97" s="11" t="str">
        <f>CONCATENATE("          ", "4304", " - ", "SALES RETURN NON TAXABLE-DIGIT")</f>
        <v xml:space="preserve">          4304 - SALES RETURN NON TAXABLE-DIGIT</v>
      </c>
      <c r="C97" s="11"/>
      <c r="D97" s="2">
        <f>-692.75</f>
        <v>-692.75</v>
      </c>
      <c r="E97" s="2"/>
      <c r="F97" s="19"/>
      <c r="G97" s="2"/>
      <c r="H97" s="2">
        <f>-617.98</f>
        <v>-617.98</v>
      </c>
      <c r="I97" s="2"/>
      <c r="J97" s="19"/>
      <c r="K97" s="2"/>
      <c r="L97" s="2">
        <f t="shared" si="0"/>
        <v>-74.769999999999982</v>
      </c>
      <c r="M97" s="2"/>
      <c r="N97" s="19">
        <f t="shared" si="1"/>
        <v>0.12099097058157218</v>
      </c>
      <c r="O97" s="11"/>
      <c r="P97" s="2">
        <f>-14102.11</f>
        <v>-14102.11</v>
      </c>
      <c r="Q97" s="2"/>
      <c r="R97" s="19"/>
      <c r="S97" s="2"/>
      <c r="T97" s="2">
        <f>-13133.29</f>
        <v>-13133.29</v>
      </c>
      <c r="U97" s="2"/>
      <c r="V97" s="19"/>
      <c r="W97" s="2"/>
      <c r="X97" s="2">
        <f t="shared" si="2"/>
        <v>-968.81999999999971</v>
      </c>
      <c r="Y97" s="2"/>
      <c r="Z97" s="19">
        <f t="shared" si="3"/>
        <v>7.3768263702392894E-2</v>
      </c>
    </row>
    <row r="98" spans="1:26" s="24" customFormat="1" hidden="1" outlineLevel="1" x14ac:dyDescent="0.25">
      <c r="A98" s="44"/>
      <c r="B98" s="11" t="str">
        <f>CONCATENATE("          ", "4311", " - ", "SALES RETURN NON TAXABLE-NO VA")</f>
        <v xml:space="preserve">          4311 - SALES RETURN NON TAXABLE-NO VA</v>
      </c>
      <c r="C98" s="11"/>
      <c r="D98" s="2">
        <f t="shared" ref="D98:D99" si="19">0</f>
        <v>0</v>
      </c>
      <c r="E98" s="2"/>
      <c r="F98" s="19"/>
      <c r="G98" s="2"/>
      <c r="H98" s="2">
        <f>-0.02</f>
        <v>-0.02</v>
      </c>
      <c r="I98" s="2"/>
      <c r="J98" s="19"/>
      <c r="K98" s="2"/>
      <c r="L98" s="2">
        <f t="shared" si="0"/>
        <v>0.02</v>
      </c>
      <c r="M98" s="2"/>
      <c r="N98" s="19">
        <f t="shared" si="1"/>
        <v>-1</v>
      </c>
      <c r="O98" s="11"/>
      <c r="P98" s="2">
        <f t="shared" ref="P98:P99" si="20">0</f>
        <v>0</v>
      </c>
      <c r="Q98" s="2"/>
      <c r="R98" s="19"/>
      <c r="S98" s="2"/>
      <c r="T98" s="2">
        <f>-387.96</f>
        <v>-387.96</v>
      </c>
      <c r="U98" s="2"/>
      <c r="V98" s="19"/>
      <c r="W98" s="2"/>
      <c r="X98" s="2">
        <f t="shared" si="2"/>
        <v>387.96</v>
      </c>
      <c r="Y98" s="2"/>
      <c r="Z98" s="19">
        <f t="shared" si="3"/>
        <v>-1</v>
      </c>
    </row>
    <row r="99" spans="1:26" s="24" customFormat="1" hidden="1" outlineLevel="1" x14ac:dyDescent="0.25">
      <c r="A99" s="44"/>
      <c r="B99" s="11" t="str">
        <f>CONCATENATE("          ", "4327", " - ", "SALES RETURN NON TAXABLE-SCHOO")</f>
        <v xml:space="preserve">          4327 - SALES RETURN NON TAXABLE-SCHOO</v>
      </c>
      <c r="C99" s="11"/>
      <c r="D99" s="2">
        <f t="shared" si="19"/>
        <v>0</v>
      </c>
      <c r="E99" s="2"/>
      <c r="F99" s="19"/>
      <c r="G99" s="2"/>
      <c r="H99" s="2">
        <f t="shared" ref="H99:H100" si="21">0</f>
        <v>0</v>
      </c>
      <c r="I99" s="2"/>
      <c r="J99" s="19"/>
      <c r="K99" s="2"/>
      <c r="L99" s="2">
        <f t="shared" si="0"/>
        <v>0</v>
      </c>
      <c r="M99" s="2"/>
      <c r="N99" s="19">
        <f t="shared" si="1"/>
        <v>0</v>
      </c>
      <c r="O99" s="11"/>
      <c r="P99" s="2">
        <f t="shared" si="20"/>
        <v>0</v>
      </c>
      <c r="Q99" s="2"/>
      <c r="R99" s="19"/>
      <c r="S99" s="2"/>
      <c r="T99" s="2">
        <f>-21.87</f>
        <v>-21.87</v>
      </c>
      <c r="U99" s="2"/>
      <c r="V99" s="19"/>
      <c r="W99" s="2"/>
      <c r="X99" s="2">
        <f t="shared" si="2"/>
        <v>21.87</v>
      </c>
      <c r="Y99" s="2"/>
      <c r="Z99" s="19">
        <f t="shared" si="3"/>
        <v>-1</v>
      </c>
    </row>
    <row r="100" spans="1:26" s="24" customFormat="1" hidden="1" outlineLevel="1" x14ac:dyDescent="0.25">
      <c r="A100" s="44"/>
      <c r="B100" s="11" t="str">
        <f>CONCATENATE("          ", "4340", " - ", "SALES RETURN NON TAXABLE-LOGO")</f>
        <v xml:space="preserve">          4340 - SALES RETURN NON TAXABLE-LOGO</v>
      </c>
      <c r="C100" s="11"/>
      <c r="D100" s="2">
        <f>-195.69</f>
        <v>-195.69</v>
      </c>
      <c r="E100" s="2"/>
      <c r="F100" s="19"/>
      <c r="G100" s="2"/>
      <c r="H100" s="2">
        <f t="shared" si="21"/>
        <v>0</v>
      </c>
      <c r="I100" s="2"/>
      <c r="J100" s="19"/>
      <c r="K100" s="2"/>
      <c r="L100" s="2">
        <f t="shared" si="0"/>
        <v>-195.69</v>
      </c>
      <c r="M100" s="2"/>
      <c r="N100" s="19">
        <f t="shared" si="1"/>
        <v>0</v>
      </c>
      <c r="O100" s="11"/>
      <c r="P100" s="2">
        <f>-736.73</f>
        <v>-736.73</v>
      </c>
      <c r="Q100" s="2"/>
      <c r="R100" s="19"/>
      <c r="S100" s="2"/>
      <c r="T100" s="2">
        <f>-293.45</f>
        <v>-293.45</v>
      </c>
      <c r="U100" s="2"/>
      <c r="V100" s="19"/>
      <c r="W100" s="2"/>
      <c r="X100" s="2">
        <f t="shared" si="2"/>
        <v>-443.28000000000003</v>
      </c>
      <c r="Y100" s="2"/>
      <c r="Z100" s="19">
        <f t="shared" si="3"/>
        <v>1.5105810189129325</v>
      </c>
    </row>
    <row r="101" spans="1:26" s="24" customFormat="1" hidden="1" outlineLevel="1" x14ac:dyDescent="0.25">
      <c r="A101" s="44"/>
      <c r="B101" s="11" t="str">
        <f>CONCATENATE("          ", "4341", " - ", "SALES RETURN NON TAXABLE-LOGO")</f>
        <v xml:space="preserve">          4341 - SALES RETURN NON TAXABLE-LOGO</v>
      </c>
      <c r="C101" s="11"/>
      <c r="D101" s="2">
        <f t="shared" ref="D101:D103" si="22">0</f>
        <v>0</v>
      </c>
      <c r="E101" s="2"/>
      <c r="F101" s="19"/>
      <c r="G101" s="2"/>
      <c r="H101" s="2">
        <f>-6.95</f>
        <v>-6.95</v>
      </c>
      <c r="I101" s="2"/>
      <c r="J101" s="19"/>
      <c r="K101" s="2"/>
      <c r="L101" s="2">
        <f t="shared" si="0"/>
        <v>6.95</v>
      </c>
      <c r="M101" s="2"/>
      <c r="N101" s="19">
        <f t="shared" si="1"/>
        <v>-1</v>
      </c>
      <c r="O101" s="11"/>
      <c r="P101" s="2">
        <f>-146.9</f>
        <v>-146.9</v>
      </c>
      <c r="Q101" s="2"/>
      <c r="R101" s="19"/>
      <c r="S101" s="2"/>
      <c r="T101" s="2">
        <f>-10.9</f>
        <v>-10.9</v>
      </c>
      <c r="U101" s="2"/>
      <c r="V101" s="19"/>
      <c r="W101" s="2"/>
      <c r="X101" s="2">
        <f t="shared" si="2"/>
        <v>-136</v>
      </c>
      <c r="Y101" s="2"/>
      <c r="Z101" s="19">
        <f t="shared" si="3"/>
        <v>12.477064220183486</v>
      </c>
    </row>
    <row r="102" spans="1:26" s="24" customFormat="1" hidden="1" outlineLevel="1" x14ac:dyDescent="0.25">
      <c r="A102" s="44"/>
      <c r="B102" s="11" t="str">
        <f>CONCATENATE("          ", "4342", " - ", "SALES RETURN NON TAXABLE-EVERY")</f>
        <v xml:space="preserve">          4342 - SALES RETURN NON TAXABLE-EVERY</v>
      </c>
      <c r="C102" s="11"/>
      <c r="D102" s="2">
        <f t="shared" si="22"/>
        <v>0</v>
      </c>
      <c r="E102" s="2"/>
      <c r="F102" s="19"/>
      <c r="G102" s="2"/>
      <c r="H102" s="2">
        <f>-92.85</f>
        <v>-92.85</v>
      </c>
      <c r="I102" s="2"/>
      <c r="J102" s="19"/>
      <c r="K102" s="2"/>
      <c r="L102" s="2">
        <f t="shared" si="0"/>
        <v>92.85</v>
      </c>
      <c r="M102" s="2"/>
      <c r="N102" s="19">
        <f t="shared" si="1"/>
        <v>-1</v>
      </c>
      <c r="O102" s="11"/>
      <c r="P102" s="2">
        <f>-118.7</f>
        <v>-118.7</v>
      </c>
      <c r="Q102" s="2"/>
      <c r="R102" s="19"/>
      <c r="S102" s="2"/>
      <c r="T102" s="2">
        <f>-102.85</f>
        <v>-102.85</v>
      </c>
      <c r="U102" s="2"/>
      <c r="V102" s="19"/>
      <c r="W102" s="2"/>
      <c r="X102" s="2">
        <f t="shared" si="2"/>
        <v>-15.850000000000009</v>
      </c>
      <c r="Y102" s="2"/>
      <c r="Z102" s="19">
        <f t="shared" si="3"/>
        <v>0.15410792416140018</v>
      </c>
    </row>
    <row r="103" spans="1:26" s="24" customFormat="1" hidden="1" outlineLevel="1" x14ac:dyDescent="0.25">
      <c r="A103" s="44"/>
      <c r="B103" s="11" t="str">
        <f>CONCATENATE("          ", "4346", " - ", "SALES RETURN NON TAXABLE-COIN-")</f>
        <v xml:space="preserve">          4346 - SALES RETURN NON TAXABLE-COIN-</v>
      </c>
      <c r="C103" s="11"/>
      <c r="D103" s="2">
        <f t="shared" si="22"/>
        <v>0</v>
      </c>
      <c r="E103" s="2"/>
      <c r="F103" s="19"/>
      <c r="G103" s="2"/>
      <c r="H103" s="2">
        <f>0</f>
        <v>0</v>
      </c>
      <c r="I103" s="2"/>
      <c r="J103" s="19"/>
      <c r="K103" s="2"/>
      <c r="L103" s="2">
        <f t="shared" si="0"/>
        <v>0</v>
      </c>
      <c r="M103" s="2"/>
      <c r="N103" s="19">
        <f t="shared" si="1"/>
        <v>0</v>
      </c>
      <c r="O103" s="11"/>
      <c r="P103" s="2">
        <f>0</f>
        <v>0</v>
      </c>
      <c r="Q103" s="2"/>
      <c r="R103" s="19"/>
      <c r="S103" s="2"/>
      <c r="T103" s="2">
        <f>-8.15</f>
        <v>-8.15</v>
      </c>
      <c r="U103" s="2"/>
      <c r="V103" s="19"/>
      <c r="W103" s="2"/>
      <c r="X103" s="2">
        <f t="shared" si="2"/>
        <v>8.15</v>
      </c>
      <c r="Y103" s="2"/>
      <c r="Z103" s="19">
        <f t="shared" si="3"/>
        <v>-1</v>
      </c>
    </row>
    <row r="104" spans="1:26" x14ac:dyDescent="0.25">
      <c r="A104" s="9"/>
      <c r="B104" s="10"/>
      <c r="C104" s="9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s="23" customFormat="1" collapsed="1" x14ac:dyDescent="0.25">
      <c r="A105" s="10"/>
      <c r="B105" s="26" t="s">
        <v>8</v>
      </c>
      <c r="C105" s="10"/>
      <c r="D105" s="4">
        <f>SUM(OSRRefD16x_0)</f>
        <v>86470.499999999985</v>
      </c>
      <c r="E105" s="4"/>
      <c r="F105" s="12">
        <f t="shared" ref="F105:F153" si="23">IF(D$12=0,0,D105/D$12)</f>
        <v>0.54007259927812923</v>
      </c>
      <c r="G105" s="4"/>
      <c r="H105" s="4">
        <f>SUM(OSRRefH16x_0)</f>
        <v>213090.59999999995</v>
      </c>
      <c r="I105" s="4"/>
      <c r="J105" s="12">
        <f t="shared" ref="J105:J153" si="24">IF(H$12=0,0,H105/H$12)</f>
        <v>0.44503953675083907</v>
      </c>
      <c r="K105" s="4"/>
      <c r="L105" s="4">
        <f t="shared" ref="L105:L153" si="25">+D105-H105</f>
        <v>-126620.09999999996</v>
      </c>
      <c r="M105" s="4"/>
      <c r="N105" s="12">
        <f t="shared" ref="N105:N153" si="26">IF(H105=0,0,L105/H105)</f>
        <v>-0.59420781583044957</v>
      </c>
      <c r="O105" s="10"/>
      <c r="P105" s="4">
        <f>SUM(OSRRefP16x_0)</f>
        <v>1540429.9300000002</v>
      </c>
      <c r="Q105" s="4"/>
      <c r="R105" s="12">
        <f t="shared" ref="R105:R153" si="27">IF(P$12=0,0,P105/P$12)</f>
        <v>0.65438539337547341</v>
      </c>
      <c r="S105" s="4"/>
      <c r="T105" s="4">
        <f>SUM(OSRRefT16x_0)</f>
        <v>2815193.22</v>
      </c>
      <c r="U105" s="4"/>
      <c r="V105" s="12">
        <f t="shared" ref="V105:V153" si="28">IF(T$12=0,0,T105/T$12)</f>
        <v>0.60924156628463277</v>
      </c>
      <c r="W105" s="4"/>
      <c r="X105" s="4">
        <f t="shared" ref="X105:X153" si="29">+P105-T105</f>
        <v>-1274763.29</v>
      </c>
      <c r="Y105" s="4"/>
      <c r="Z105" s="12">
        <f t="shared" ref="Z105:Z153" si="30">IF(T105=0,0,X105/T105)</f>
        <v>-0.45281555842905874</v>
      </c>
    </row>
    <row r="106" spans="1:26" s="24" customFormat="1" hidden="1" outlineLevel="1" x14ac:dyDescent="0.25">
      <c r="A106" s="44"/>
      <c r="B106" s="11" t="str">
        <f>CONCATENATE("          ", "5001", " - ", "PURCHASES @ COST-NEW TEXT")</f>
        <v xml:space="preserve">          5001 - PURCHASES @ COST-NEW TEXT</v>
      </c>
      <c r="C106" s="11"/>
      <c r="D106" s="2">
        <v>55775.07</v>
      </c>
      <c r="E106" s="2"/>
      <c r="F106" s="19">
        <f t="shared" si="23"/>
        <v>0.34835680411029901</v>
      </c>
      <c r="G106" s="2"/>
      <c r="H106" s="2">
        <v>-175502.53</v>
      </c>
      <c r="I106" s="2"/>
      <c r="J106" s="19">
        <f t="shared" si="24"/>
        <v>-0.36653688454488492</v>
      </c>
      <c r="K106" s="2"/>
      <c r="L106" s="2">
        <f t="shared" si="25"/>
        <v>231277.6</v>
      </c>
      <c r="M106" s="2"/>
      <c r="N106" s="19">
        <f t="shared" si="26"/>
        <v>-1.3178020852462926</v>
      </c>
      <c r="O106" s="11"/>
      <c r="P106" s="2">
        <v>1349196.8299999998</v>
      </c>
      <c r="Q106" s="2"/>
      <c r="R106" s="19">
        <f t="shared" si="27"/>
        <v>0.5731482368305395</v>
      </c>
      <c r="S106" s="2"/>
      <c r="T106" s="2">
        <v>1757148.42</v>
      </c>
      <c r="U106" s="2"/>
      <c r="V106" s="19">
        <f t="shared" si="28"/>
        <v>0.38026798586683425</v>
      </c>
      <c r="W106" s="2"/>
      <c r="X106" s="2">
        <f t="shared" si="29"/>
        <v>-407951.59000000008</v>
      </c>
      <c r="Y106" s="2"/>
      <c r="Z106" s="19">
        <f t="shared" si="30"/>
        <v>-0.23216683653848666</v>
      </c>
    </row>
    <row r="107" spans="1:26" s="24" customFormat="1" hidden="1" outlineLevel="1" x14ac:dyDescent="0.25">
      <c r="A107" s="44"/>
      <c r="B107" s="11" t="str">
        <f>CONCATENATE("          ", "5002", " - ", "PURCHASES @ COST-USED TEXT")</f>
        <v xml:space="preserve">          5002 - PURCHASES @ COST-USED TEXT</v>
      </c>
      <c r="C107" s="11"/>
      <c r="D107" s="2">
        <v>6331.95</v>
      </c>
      <c r="E107" s="2"/>
      <c r="F107" s="19">
        <f t="shared" si="23"/>
        <v>3.9547738188158398E-2</v>
      </c>
      <c r="G107" s="2"/>
      <c r="H107" s="2">
        <v>14221.93</v>
      </c>
      <c r="I107" s="2"/>
      <c r="J107" s="19">
        <f t="shared" si="24"/>
        <v>2.970248870153288E-2</v>
      </c>
      <c r="K107" s="2"/>
      <c r="L107" s="2">
        <f t="shared" si="25"/>
        <v>-7889.9800000000005</v>
      </c>
      <c r="M107" s="2"/>
      <c r="N107" s="19">
        <f t="shared" si="26"/>
        <v>-0.55477561765526906</v>
      </c>
      <c r="O107" s="11"/>
      <c r="P107" s="2">
        <v>303063.33</v>
      </c>
      <c r="Q107" s="2"/>
      <c r="R107" s="19">
        <f t="shared" si="27"/>
        <v>0.12874341932562353</v>
      </c>
      <c r="S107" s="2"/>
      <c r="T107" s="2">
        <v>368033.17</v>
      </c>
      <c r="U107" s="2"/>
      <c r="V107" s="19">
        <f t="shared" si="28"/>
        <v>7.9646790615494054E-2</v>
      </c>
      <c r="W107" s="2"/>
      <c r="X107" s="2">
        <f t="shared" si="29"/>
        <v>-64969.839999999967</v>
      </c>
      <c r="Y107" s="2"/>
      <c r="Z107" s="19">
        <f t="shared" si="30"/>
        <v>-0.17653256634449543</v>
      </c>
    </row>
    <row r="108" spans="1:26" s="24" customFormat="1" hidden="1" outlineLevel="1" x14ac:dyDescent="0.25">
      <c r="A108" s="44"/>
      <c r="B108" s="11" t="str">
        <f>CONCATENATE("          ", "5003", " - ", "PURCHASES @ COST-RENTAL TEXT")</f>
        <v xml:space="preserve">          5003 - PURCHASES @ COST-RENTAL TEXT</v>
      </c>
      <c r="C108" s="11"/>
      <c r="D108" s="2">
        <v>10600.69</v>
      </c>
      <c r="E108" s="2"/>
      <c r="F108" s="19">
        <f t="shared" si="23"/>
        <v>6.6209195071633364E-2</v>
      </c>
      <c r="G108" s="2"/>
      <c r="H108" s="2"/>
      <c r="I108" s="2"/>
      <c r="J108" s="19">
        <f t="shared" si="24"/>
        <v>0</v>
      </c>
      <c r="K108" s="2"/>
      <c r="L108" s="2">
        <f t="shared" si="25"/>
        <v>10600.69</v>
      </c>
      <c r="M108" s="2"/>
      <c r="N108" s="19">
        <f t="shared" si="26"/>
        <v>0</v>
      </c>
      <c r="O108" s="11"/>
      <c r="P108" s="2">
        <v>-485.41</v>
      </c>
      <c r="Q108" s="2"/>
      <c r="R108" s="19">
        <f t="shared" si="27"/>
        <v>-2.0620555833941016E-4</v>
      </c>
      <c r="S108" s="2"/>
      <c r="T108" s="2">
        <v>-78.400000000000006</v>
      </c>
      <c r="U108" s="2"/>
      <c r="V108" s="19">
        <f t="shared" si="28"/>
        <v>-1.6966699996782177E-5</v>
      </c>
      <c r="W108" s="2"/>
      <c r="X108" s="2">
        <f t="shared" si="29"/>
        <v>-407.01</v>
      </c>
      <c r="Y108" s="2"/>
      <c r="Z108" s="19">
        <f t="shared" si="30"/>
        <v>5.1914540816326529</v>
      </c>
    </row>
    <row r="109" spans="1:26" s="24" customFormat="1" hidden="1" outlineLevel="1" x14ac:dyDescent="0.25">
      <c r="A109" s="44"/>
      <c r="B109" s="11" t="str">
        <f>CONCATENATE("          ", "5004", " - ", "PURCHASES @ COST-DIGITAL TEXT")</f>
        <v xml:space="preserve">          5004 - PURCHASES @ COST-DIGITAL TEXT</v>
      </c>
      <c r="C109" s="11"/>
      <c r="D109" s="2">
        <v>12903.46</v>
      </c>
      <c r="E109" s="2"/>
      <c r="F109" s="19">
        <f t="shared" si="23"/>
        <v>8.059170678880509E-2</v>
      </c>
      <c r="G109" s="2"/>
      <c r="H109" s="2">
        <v>-30949.360000000001</v>
      </c>
      <c r="I109" s="2"/>
      <c r="J109" s="19">
        <f t="shared" si="24"/>
        <v>-6.4637712020778726E-2</v>
      </c>
      <c r="K109" s="2"/>
      <c r="L109" s="2">
        <f t="shared" si="25"/>
        <v>43852.82</v>
      </c>
      <c r="M109" s="2"/>
      <c r="N109" s="19">
        <f t="shared" si="26"/>
        <v>-1.416921706943213</v>
      </c>
      <c r="O109" s="11"/>
      <c r="P109" s="2">
        <v>195519.53</v>
      </c>
      <c r="Q109" s="2"/>
      <c r="R109" s="19">
        <f t="shared" si="27"/>
        <v>8.3058061947444542E-2</v>
      </c>
      <c r="S109" s="2"/>
      <c r="T109" s="2">
        <v>322779.02999999997</v>
      </c>
      <c r="U109" s="2"/>
      <c r="V109" s="19">
        <f t="shared" si="28"/>
        <v>6.9853252133448382E-2</v>
      </c>
      <c r="W109" s="2"/>
      <c r="X109" s="2">
        <f t="shared" si="29"/>
        <v>-127259.49999999997</v>
      </c>
      <c r="Y109" s="2"/>
      <c r="Z109" s="19">
        <f t="shared" si="30"/>
        <v>-0.39426198164112453</v>
      </c>
    </row>
    <row r="110" spans="1:26" s="24" customFormat="1" hidden="1" outlineLevel="1" x14ac:dyDescent="0.25">
      <c r="A110" s="44"/>
      <c r="B110" s="11" t="str">
        <f>CONCATENATE("          ", "5011", " - ", "PURCHASES @ COST-NO VALUE TEXT")</f>
        <v xml:space="preserve">          5011 - PURCHASES @ COST-NO VALUE TEXT</v>
      </c>
      <c r="C110" s="11"/>
      <c r="D110" s="2">
        <v>67.17</v>
      </c>
      <c r="E110" s="2"/>
      <c r="F110" s="19">
        <f t="shared" si="23"/>
        <v>4.1952661882968116E-4</v>
      </c>
      <c r="G110" s="2"/>
      <c r="H110" s="2">
        <v>90</v>
      </c>
      <c r="I110" s="2"/>
      <c r="J110" s="19">
        <f t="shared" si="24"/>
        <v>1.8796492340617338E-4</v>
      </c>
      <c r="K110" s="2"/>
      <c r="L110" s="2">
        <f t="shared" si="25"/>
        <v>-22.83</v>
      </c>
      <c r="M110" s="2"/>
      <c r="N110" s="19">
        <f t="shared" si="26"/>
        <v>-0.25366666666666665</v>
      </c>
      <c r="O110" s="11"/>
      <c r="P110" s="2">
        <v>67.17</v>
      </c>
      <c r="Q110" s="2"/>
      <c r="R110" s="19">
        <f t="shared" si="27"/>
        <v>2.8534285147933045E-5</v>
      </c>
      <c r="S110" s="2"/>
      <c r="T110" s="2">
        <v>3675</v>
      </c>
      <c r="U110" s="2"/>
      <c r="V110" s="19">
        <f t="shared" si="28"/>
        <v>7.9531406234916444E-4</v>
      </c>
      <c r="W110" s="2"/>
      <c r="X110" s="2">
        <f t="shared" si="29"/>
        <v>-3607.83</v>
      </c>
      <c r="Y110" s="2"/>
      <c r="Z110" s="19">
        <f t="shared" si="30"/>
        <v>-0.98172244897959182</v>
      </c>
    </row>
    <row r="111" spans="1:26" s="24" customFormat="1" hidden="1" outlineLevel="1" x14ac:dyDescent="0.25">
      <c r="A111" s="44"/>
      <c r="B111" s="11" t="str">
        <f>CONCATENATE("          ", "5013", " - ", "PURCHASES @ COST-TRADE BOOKS")</f>
        <v xml:space="preserve">          5013 - PURCHASES @ COST-TRADE BOOKS</v>
      </c>
      <c r="C111" s="11"/>
      <c r="D111" s="2">
        <v>1384.46</v>
      </c>
      <c r="E111" s="2"/>
      <c r="F111" s="19">
        <f t="shared" si="23"/>
        <v>8.6469826217796704E-3</v>
      </c>
      <c r="G111" s="2"/>
      <c r="H111" s="2">
        <v>212.56</v>
      </c>
      <c r="I111" s="2"/>
      <c r="J111" s="19">
        <f t="shared" si="24"/>
        <v>4.4393137910240236E-4</v>
      </c>
      <c r="K111" s="2"/>
      <c r="L111" s="2">
        <f t="shared" si="25"/>
        <v>1171.9000000000001</v>
      </c>
      <c r="M111" s="2"/>
      <c r="N111" s="19">
        <f t="shared" si="26"/>
        <v>5.5132668423033504</v>
      </c>
      <c r="O111" s="11"/>
      <c r="P111" s="2">
        <v>1483.64</v>
      </c>
      <c r="Q111" s="2"/>
      <c r="R111" s="19">
        <f t="shared" si="27"/>
        <v>6.3026063446299516E-4</v>
      </c>
      <c r="S111" s="2"/>
      <c r="T111" s="2">
        <v>687.35</v>
      </c>
      <c r="U111" s="2"/>
      <c r="V111" s="19">
        <f t="shared" si="28"/>
        <v>1.4875078115801312E-4</v>
      </c>
      <c r="W111" s="2"/>
      <c r="X111" s="2">
        <f t="shared" si="29"/>
        <v>796.29000000000008</v>
      </c>
      <c r="Y111" s="2"/>
      <c r="Z111" s="19">
        <f t="shared" si="30"/>
        <v>1.1584927620571761</v>
      </c>
    </row>
    <row r="112" spans="1:26" s="24" customFormat="1" hidden="1" outlineLevel="1" x14ac:dyDescent="0.25">
      <c r="A112" s="44"/>
      <c r="B112" s="11" t="str">
        <f>CONCATENATE("          ", "5014", " - ", "PURCHASES @ COST-REMAINDERS")</f>
        <v xml:space="preserve">          5014 - PURCHASES @ COST-REMAINDERS</v>
      </c>
      <c r="C112" s="11"/>
      <c r="D112" s="2">
        <v>102.92</v>
      </c>
      <c r="E112" s="2"/>
      <c r="F112" s="19">
        <f t="shared" si="23"/>
        <v>6.4281196382240272E-4</v>
      </c>
      <c r="G112" s="2"/>
      <c r="H112" s="2">
        <v>52</v>
      </c>
      <c r="I112" s="2"/>
      <c r="J112" s="19">
        <f t="shared" si="24"/>
        <v>1.0860195574578906E-4</v>
      </c>
      <c r="K112" s="2"/>
      <c r="L112" s="2">
        <f t="shared" si="25"/>
        <v>50.92</v>
      </c>
      <c r="M112" s="2"/>
      <c r="N112" s="19">
        <f t="shared" si="26"/>
        <v>0.97923076923076924</v>
      </c>
      <c r="O112" s="11"/>
      <c r="P112" s="2">
        <v>90.41</v>
      </c>
      <c r="Q112" s="2"/>
      <c r="R112" s="19">
        <f t="shared" si="27"/>
        <v>3.8406799467390602E-5</v>
      </c>
      <c r="S112" s="2"/>
      <c r="T112" s="2">
        <v>341.97</v>
      </c>
      <c r="U112" s="2"/>
      <c r="V112" s="19">
        <f t="shared" si="28"/>
        <v>7.400640813647451E-5</v>
      </c>
      <c r="W112" s="2"/>
      <c r="X112" s="2">
        <f t="shared" si="29"/>
        <v>-251.56000000000003</v>
      </c>
      <c r="Y112" s="2"/>
      <c r="Z112" s="19">
        <f t="shared" si="30"/>
        <v>-0.7356200836330673</v>
      </c>
    </row>
    <row r="113" spans="1:26" s="24" customFormat="1" hidden="1" outlineLevel="1" x14ac:dyDescent="0.25">
      <c r="A113" s="44"/>
      <c r="B113" s="11" t="str">
        <f>CONCATENATE("          ", "5017", " - ", "PURCHASES @ COST-DORM/HOUSEWAR")</f>
        <v xml:space="preserve">          5017 - PURCHASES @ COST-DORM/HOUSEWAR</v>
      </c>
      <c r="C113" s="11"/>
      <c r="D113" s="2"/>
      <c r="E113" s="2"/>
      <c r="F113" s="19">
        <f t="shared" si="23"/>
        <v>0</v>
      </c>
      <c r="G113" s="2"/>
      <c r="H113" s="2"/>
      <c r="I113" s="2"/>
      <c r="J113" s="19">
        <f t="shared" si="24"/>
        <v>0</v>
      </c>
      <c r="K113" s="2"/>
      <c r="L113" s="2">
        <f t="shared" si="25"/>
        <v>0</v>
      </c>
      <c r="M113" s="2"/>
      <c r="N113" s="19">
        <f t="shared" si="26"/>
        <v>0</v>
      </c>
      <c r="O113" s="11"/>
      <c r="P113" s="2"/>
      <c r="Q113" s="2"/>
      <c r="R113" s="19">
        <f t="shared" si="27"/>
        <v>0</v>
      </c>
      <c r="S113" s="2"/>
      <c r="T113" s="2">
        <v>0</v>
      </c>
      <c r="U113" s="2"/>
      <c r="V113" s="19">
        <f t="shared" si="28"/>
        <v>0</v>
      </c>
      <c r="W113" s="2"/>
      <c r="X113" s="2">
        <f t="shared" si="29"/>
        <v>0</v>
      </c>
      <c r="Y113" s="2"/>
      <c r="Z113" s="19">
        <f t="shared" si="30"/>
        <v>0</v>
      </c>
    </row>
    <row r="114" spans="1:26" s="24" customFormat="1" hidden="1" outlineLevel="1" x14ac:dyDescent="0.25">
      <c r="A114" s="44"/>
      <c r="B114" s="11" t="str">
        <f>CONCATENATE("          ", "5018", " - ", "PURCHASES @ COST-STUDY GUIDES")</f>
        <v xml:space="preserve">          5018 - PURCHASES @ COST-STUDY GUIDES</v>
      </c>
      <c r="C114" s="11"/>
      <c r="D114" s="2"/>
      <c r="E114" s="2"/>
      <c r="F114" s="19">
        <f t="shared" si="23"/>
        <v>0</v>
      </c>
      <c r="G114" s="2"/>
      <c r="H114" s="2">
        <v>298.16000000000003</v>
      </c>
      <c r="I114" s="2"/>
      <c r="J114" s="19">
        <f t="shared" si="24"/>
        <v>6.2270690625316279E-4</v>
      </c>
      <c r="K114" s="2"/>
      <c r="L114" s="2">
        <f t="shared" si="25"/>
        <v>-298.16000000000003</v>
      </c>
      <c r="M114" s="2"/>
      <c r="N114" s="19">
        <f t="shared" si="26"/>
        <v>-1</v>
      </c>
      <c r="O114" s="11"/>
      <c r="P114" s="2"/>
      <c r="Q114" s="2"/>
      <c r="R114" s="19">
        <f t="shared" si="27"/>
        <v>0</v>
      </c>
      <c r="S114" s="2"/>
      <c r="T114" s="2">
        <v>802.09</v>
      </c>
      <c r="U114" s="2"/>
      <c r="V114" s="19">
        <f t="shared" si="28"/>
        <v>1.7358189286248744E-4</v>
      </c>
      <c r="W114" s="2"/>
      <c r="X114" s="2">
        <f t="shared" si="29"/>
        <v>-802.09</v>
      </c>
      <c r="Y114" s="2"/>
      <c r="Z114" s="19">
        <f t="shared" si="30"/>
        <v>-1</v>
      </c>
    </row>
    <row r="115" spans="1:26" s="24" customFormat="1" hidden="1" outlineLevel="1" x14ac:dyDescent="0.25">
      <c r="A115" s="44"/>
      <c r="B115" s="11" t="str">
        <f>CONCATENATE("          ", "5025", " - ", "PURCHASES @ COST-TEST FORMS")</f>
        <v xml:space="preserve">          5025 - PURCHASES @ COST-TEST FORMS</v>
      </c>
      <c r="C115" s="11"/>
      <c r="D115" s="2">
        <v>599.29</v>
      </c>
      <c r="E115" s="2"/>
      <c r="F115" s="19">
        <f t="shared" si="23"/>
        <v>3.7430118713479175E-3</v>
      </c>
      <c r="G115" s="2"/>
      <c r="H115" s="2">
        <v>0</v>
      </c>
      <c r="I115" s="2"/>
      <c r="J115" s="19">
        <f t="shared" si="24"/>
        <v>0</v>
      </c>
      <c r="K115" s="2"/>
      <c r="L115" s="2">
        <f t="shared" si="25"/>
        <v>599.29</v>
      </c>
      <c r="M115" s="2"/>
      <c r="N115" s="19">
        <f t="shared" si="26"/>
        <v>0</v>
      </c>
      <c r="O115" s="11"/>
      <c r="P115" s="2">
        <v>599.29</v>
      </c>
      <c r="Q115" s="2"/>
      <c r="R115" s="19">
        <f t="shared" si="27"/>
        <v>2.5458257773269008E-4</v>
      </c>
      <c r="S115" s="2"/>
      <c r="T115" s="2">
        <v>3252.39</v>
      </c>
      <c r="U115" s="2"/>
      <c r="V115" s="19">
        <f t="shared" si="28"/>
        <v>7.0385619135885692E-4</v>
      </c>
      <c r="W115" s="2"/>
      <c r="X115" s="2">
        <f t="shared" si="29"/>
        <v>-2653.1</v>
      </c>
      <c r="Y115" s="2"/>
      <c r="Z115" s="19">
        <f t="shared" si="30"/>
        <v>-0.81573857993660048</v>
      </c>
    </row>
    <row r="116" spans="1:26" s="24" customFormat="1" hidden="1" outlineLevel="1" x14ac:dyDescent="0.25">
      <c r="A116" s="44"/>
      <c r="B116" s="11" t="str">
        <f>CONCATENATE("          ", "5026", " - ", "PURCHASES @ COST-WRITING INSTR")</f>
        <v xml:space="preserve">          5026 - PURCHASES @ COST-WRITING INSTR</v>
      </c>
      <c r="C116" s="11"/>
      <c r="D116" s="2">
        <v>380.02</v>
      </c>
      <c r="E116" s="2"/>
      <c r="F116" s="19">
        <f t="shared" si="23"/>
        <v>2.3735076029128394E-3</v>
      </c>
      <c r="G116" s="2"/>
      <c r="H116" s="2">
        <v>10530.19</v>
      </c>
      <c r="I116" s="2"/>
      <c r="J116" s="19">
        <f t="shared" si="24"/>
        <v>2.1992292853360587E-2</v>
      </c>
      <c r="K116" s="2"/>
      <c r="L116" s="2">
        <f t="shared" si="25"/>
        <v>-10150.17</v>
      </c>
      <c r="M116" s="2"/>
      <c r="N116" s="19">
        <f t="shared" si="26"/>
        <v>-0.96391138241570185</v>
      </c>
      <c r="O116" s="11"/>
      <c r="P116" s="2">
        <v>380.02</v>
      </c>
      <c r="Q116" s="2"/>
      <c r="R116" s="19">
        <f t="shared" si="27"/>
        <v>1.6143515024441739E-4</v>
      </c>
      <c r="S116" s="2"/>
      <c r="T116" s="2">
        <v>25317.57</v>
      </c>
      <c r="U116" s="2"/>
      <c r="V116" s="19">
        <f t="shared" si="28"/>
        <v>5.4790256994583231E-3</v>
      </c>
      <c r="W116" s="2"/>
      <c r="X116" s="2">
        <f t="shared" si="29"/>
        <v>-24937.55</v>
      </c>
      <c r="Y116" s="2"/>
      <c r="Z116" s="19">
        <f t="shared" si="30"/>
        <v>-0.98498987067084243</v>
      </c>
    </row>
    <row r="117" spans="1:26" s="24" customFormat="1" hidden="1" outlineLevel="1" x14ac:dyDescent="0.25">
      <c r="A117" s="44"/>
      <c r="B117" s="11" t="str">
        <f>CONCATENATE("          ", "5027", " - ", "PURCHASES @ COST-SCHOOL SUPPLI")</f>
        <v xml:space="preserve">          5027 - PURCHASES @ COST-SCHOOL SUPPLI</v>
      </c>
      <c r="C117" s="11"/>
      <c r="D117" s="2">
        <v>10567.95</v>
      </c>
      <c r="E117" s="2"/>
      <c r="F117" s="19">
        <f t="shared" si="23"/>
        <v>6.6004709415827451E-2</v>
      </c>
      <c r="G117" s="2"/>
      <c r="H117" s="2">
        <v>9839.7000000000007</v>
      </c>
      <c r="I117" s="2"/>
      <c r="J117" s="19">
        <f t="shared" si="24"/>
        <v>2.0550205075996936E-2</v>
      </c>
      <c r="K117" s="2"/>
      <c r="L117" s="2">
        <f t="shared" si="25"/>
        <v>728.25</v>
      </c>
      <c r="M117" s="2"/>
      <c r="N117" s="19">
        <f t="shared" si="26"/>
        <v>7.4011402786670316E-2</v>
      </c>
      <c r="O117" s="11"/>
      <c r="P117" s="2">
        <v>19071.350000000002</v>
      </c>
      <c r="Q117" s="2"/>
      <c r="R117" s="19">
        <f t="shared" si="27"/>
        <v>8.10164268357947E-3</v>
      </c>
      <c r="S117" s="2"/>
      <c r="T117" s="2">
        <v>72022.38</v>
      </c>
      <c r="U117" s="2"/>
      <c r="V117" s="19">
        <f t="shared" si="28"/>
        <v>1.5586506562681693E-2</v>
      </c>
      <c r="W117" s="2"/>
      <c r="X117" s="2">
        <f t="shared" si="29"/>
        <v>-52951.03</v>
      </c>
      <c r="Y117" s="2"/>
      <c r="Z117" s="19">
        <f t="shared" si="30"/>
        <v>-0.73520244679501001</v>
      </c>
    </row>
    <row r="118" spans="1:26" s="24" customFormat="1" hidden="1" outlineLevel="1" x14ac:dyDescent="0.25">
      <c r="A118" s="44"/>
      <c r="B118" s="11" t="str">
        <f>CONCATENATE("          ", "5028", " - ", "PURCHASES @ COST-ART/TECH")</f>
        <v xml:space="preserve">          5028 - PURCHASES @ COST-ART/TECH</v>
      </c>
      <c r="C118" s="11"/>
      <c r="D118" s="2">
        <v>41425.96</v>
      </c>
      <c r="E118" s="2"/>
      <c r="F118" s="19">
        <f t="shared" si="23"/>
        <v>0.25873593762950153</v>
      </c>
      <c r="G118" s="2"/>
      <c r="H118" s="2">
        <v>19494.289999999997</v>
      </c>
      <c r="I118" s="2"/>
      <c r="J118" s="19">
        <f t="shared" si="24"/>
        <v>4.0713808074530344E-2</v>
      </c>
      <c r="K118" s="2"/>
      <c r="L118" s="2">
        <f t="shared" si="25"/>
        <v>21931.670000000002</v>
      </c>
      <c r="M118" s="2"/>
      <c r="N118" s="19">
        <f t="shared" si="26"/>
        <v>1.1250304576365697</v>
      </c>
      <c r="O118" s="11"/>
      <c r="P118" s="2">
        <v>41342.559999999998</v>
      </c>
      <c r="Q118" s="2"/>
      <c r="R118" s="19">
        <f t="shared" si="27"/>
        <v>1.7562608244536707E-2</v>
      </c>
      <c r="S118" s="2"/>
      <c r="T118" s="2">
        <v>90339.069999999992</v>
      </c>
      <c r="U118" s="2"/>
      <c r="V118" s="19">
        <f t="shared" si="28"/>
        <v>1.9550457891304905E-2</v>
      </c>
      <c r="W118" s="2"/>
      <c r="X118" s="2">
        <f t="shared" si="29"/>
        <v>-48996.509999999995</v>
      </c>
      <c r="Y118" s="2"/>
      <c r="Z118" s="19">
        <f t="shared" si="30"/>
        <v>-0.54236234665687832</v>
      </c>
    </row>
    <row r="119" spans="1:26" s="24" customFormat="1" hidden="1" outlineLevel="1" x14ac:dyDescent="0.25">
      <c r="A119" s="44"/>
      <c r="B119" s="11" t="str">
        <f>CONCATENATE("          ", "5031", " - ", "PURCHASES @ COST-FOOD")</f>
        <v xml:space="preserve">          5031 - PURCHASES @ COST-FOOD</v>
      </c>
      <c r="C119" s="11"/>
      <c r="D119" s="2">
        <v>4469.18</v>
      </c>
      <c r="E119" s="2"/>
      <c r="F119" s="19">
        <f t="shared" si="23"/>
        <v>2.7913353793974017E-2</v>
      </c>
      <c r="G119" s="2"/>
      <c r="H119" s="2">
        <v>7839.04</v>
      </c>
      <c r="I119" s="2"/>
      <c r="J119" s="19">
        <f t="shared" si="24"/>
        <v>1.6371828368643659E-2</v>
      </c>
      <c r="K119" s="2"/>
      <c r="L119" s="2">
        <f t="shared" si="25"/>
        <v>-3369.8599999999997</v>
      </c>
      <c r="M119" s="2"/>
      <c r="N119" s="19">
        <f t="shared" si="26"/>
        <v>-0.42988172021063797</v>
      </c>
      <c r="O119" s="11"/>
      <c r="P119" s="2">
        <v>8535.1</v>
      </c>
      <c r="Q119" s="2"/>
      <c r="R119" s="19">
        <f t="shared" si="27"/>
        <v>3.6257700932875291E-3</v>
      </c>
      <c r="S119" s="2"/>
      <c r="T119" s="2">
        <v>15989.089999999998</v>
      </c>
      <c r="U119" s="2"/>
      <c r="V119" s="19">
        <f t="shared" si="28"/>
        <v>3.4602307812697688E-3</v>
      </c>
      <c r="W119" s="2"/>
      <c r="X119" s="2">
        <f t="shared" si="29"/>
        <v>-7453.989999999998</v>
      </c>
      <c r="Y119" s="2"/>
      <c r="Z119" s="19">
        <f t="shared" si="30"/>
        <v>-0.46619225984718321</v>
      </c>
    </row>
    <row r="120" spans="1:26" s="24" customFormat="1" hidden="1" outlineLevel="1" x14ac:dyDescent="0.25">
      <c r="A120" s="44"/>
      <c r="B120" s="11" t="str">
        <f>CONCATENATE("          ", "5032", " - ", "PURCHASES @ COST-JUICE")</f>
        <v xml:space="preserve">          5032 - PURCHASES @ COST-JUICE</v>
      </c>
      <c r="C120" s="11"/>
      <c r="D120" s="2"/>
      <c r="E120" s="2"/>
      <c r="F120" s="19">
        <f t="shared" si="23"/>
        <v>0</v>
      </c>
      <c r="G120" s="2"/>
      <c r="H120" s="2">
        <v>2565.13</v>
      </c>
      <c r="I120" s="2"/>
      <c r="J120" s="19">
        <f t="shared" si="24"/>
        <v>5.357271821965306E-3</v>
      </c>
      <c r="K120" s="2"/>
      <c r="L120" s="2">
        <f t="shared" si="25"/>
        <v>-2565.13</v>
      </c>
      <c r="M120" s="2"/>
      <c r="N120" s="19">
        <f t="shared" si="26"/>
        <v>-1</v>
      </c>
      <c r="O120" s="11"/>
      <c r="P120" s="2"/>
      <c r="Q120" s="2"/>
      <c r="R120" s="19">
        <f t="shared" si="27"/>
        <v>0</v>
      </c>
      <c r="S120" s="2"/>
      <c r="T120" s="2">
        <v>3384.28</v>
      </c>
      <c r="U120" s="2"/>
      <c r="V120" s="19">
        <f t="shared" si="28"/>
        <v>7.3239876868762732E-4</v>
      </c>
      <c r="W120" s="2"/>
      <c r="X120" s="2">
        <f t="shared" si="29"/>
        <v>-3384.28</v>
      </c>
      <c r="Y120" s="2"/>
      <c r="Z120" s="19">
        <f t="shared" si="30"/>
        <v>-1</v>
      </c>
    </row>
    <row r="121" spans="1:26" s="24" customFormat="1" hidden="1" outlineLevel="1" x14ac:dyDescent="0.25">
      <c r="A121" s="44"/>
      <c r="B121" s="11" t="str">
        <f>CONCATENATE("          ", "5033", " - ", "PURCHASES @ COST-CANDY")</f>
        <v xml:space="preserve">          5033 - PURCHASES @ COST-CANDY</v>
      </c>
      <c r="C121" s="11"/>
      <c r="D121" s="2"/>
      <c r="E121" s="2"/>
      <c r="F121" s="19">
        <f t="shared" si="23"/>
        <v>0</v>
      </c>
      <c r="G121" s="2"/>
      <c r="H121" s="2">
        <v>2102.09</v>
      </c>
      <c r="I121" s="2"/>
      <c r="J121" s="19">
        <f t="shared" si="24"/>
        <v>4.3902131760320331E-3</v>
      </c>
      <c r="K121" s="2"/>
      <c r="L121" s="2">
        <f t="shared" si="25"/>
        <v>-2102.09</v>
      </c>
      <c r="M121" s="2"/>
      <c r="N121" s="19">
        <f t="shared" si="26"/>
        <v>-1</v>
      </c>
      <c r="O121" s="11"/>
      <c r="P121" s="2"/>
      <c r="Q121" s="2"/>
      <c r="R121" s="19">
        <f t="shared" si="27"/>
        <v>0</v>
      </c>
      <c r="S121" s="2"/>
      <c r="T121" s="2">
        <v>4455.2</v>
      </c>
      <c r="U121" s="2"/>
      <c r="V121" s="19">
        <f t="shared" si="28"/>
        <v>9.6415869675591773E-4</v>
      </c>
      <c r="W121" s="2"/>
      <c r="X121" s="2">
        <f t="shared" si="29"/>
        <v>-4455.2</v>
      </c>
      <c r="Y121" s="2"/>
      <c r="Z121" s="19">
        <f t="shared" si="30"/>
        <v>-1</v>
      </c>
    </row>
    <row r="122" spans="1:26" s="24" customFormat="1" hidden="1" outlineLevel="1" x14ac:dyDescent="0.25">
      <c r="A122" s="44"/>
      <c r="B122" s="11" t="str">
        <f>CONCATENATE("          ", "5034", " - ", "PURCHASES @ COST-SODA")</f>
        <v xml:space="preserve">          5034 - PURCHASES @ COST-SODA</v>
      </c>
      <c r="C122" s="11"/>
      <c r="D122" s="2"/>
      <c r="E122" s="2"/>
      <c r="F122" s="19">
        <f t="shared" si="23"/>
        <v>0</v>
      </c>
      <c r="G122" s="2"/>
      <c r="H122" s="2">
        <v>876</v>
      </c>
      <c r="I122" s="2"/>
      <c r="J122" s="19">
        <f t="shared" si="24"/>
        <v>1.8295252544867542E-3</v>
      </c>
      <c r="K122" s="2"/>
      <c r="L122" s="2">
        <f t="shared" si="25"/>
        <v>-876</v>
      </c>
      <c r="M122" s="2"/>
      <c r="N122" s="19">
        <f t="shared" si="26"/>
        <v>-1</v>
      </c>
      <c r="O122" s="11"/>
      <c r="P122" s="2"/>
      <c r="Q122" s="2"/>
      <c r="R122" s="19">
        <f t="shared" si="27"/>
        <v>0</v>
      </c>
      <c r="S122" s="2"/>
      <c r="T122" s="2">
        <v>1494.54</v>
      </c>
      <c r="U122" s="2"/>
      <c r="V122" s="19">
        <f t="shared" si="28"/>
        <v>3.2343637516825044E-4</v>
      </c>
      <c r="W122" s="2"/>
      <c r="X122" s="2">
        <f t="shared" si="29"/>
        <v>-1494.54</v>
      </c>
      <c r="Y122" s="2"/>
      <c r="Z122" s="19">
        <f t="shared" si="30"/>
        <v>-1</v>
      </c>
    </row>
    <row r="123" spans="1:26" s="24" customFormat="1" hidden="1" outlineLevel="1" x14ac:dyDescent="0.25">
      <c r="A123" s="44"/>
      <c r="B123" s="11" t="str">
        <f>CONCATENATE("          ", "5035", " - ", "PURCHASES @ COST-HEALTH &amp; BEAU")</f>
        <v xml:space="preserve">          5035 - PURCHASES @ COST-HEALTH &amp; BEAU</v>
      </c>
      <c r="C123" s="11"/>
      <c r="D123" s="2"/>
      <c r="E123" s="2"/>
      <c r="F123" s="19">
        <f t="shared" si="23"/>
        <v>0</v>
      </c>
      <c r="G123" s="2"/>
      <c r="H123" s="2">
        <v>291.13</v>
      </c>
      <c r="I123" s="2"/>
      <c r="J123" s="19">
        <f t="shared" si="24"/>
        <v>6.0802475723599166E-4</v>
      </c>
      <c r="K123" s="2"/>
      <c r="L123" s="2">
        <f t="shared" si="25"/>
        <v>-291.13</v>
      </c>
      <c r="M123" s="2"/>
      <c r="N123" s="19">
        <f t="shared" si="26"/>
        <v>-1</v>
      </c>
      <c r="O123" s="11"/>
      <c r="P123" s="2"/>
      <c r="Q123" s="2"/>
      <c r="R123" s="19">
        <f t="shared" si="27"/>
        <v>0</v>
      </c>
      <c r="S123" s="2"/>
      <c r="T123" s="2">
        <v>578.69000000000005</v>
      </c>
      <c r="U123" s="2"/>
      <c r="V123" s="19">
        <f t="shared" si="28"/>
        <v>1.2523545435124845E-4</v>
      </c>
      <c r="W123" s="2"/>
      <c r="X123" s="2">
        <f t="shared" si="29"/>
        <v>-578.69000000000005</v>
      </c>
      <c r="Y123" s="2"/>
      <c r="Z123" s="19">
        <f t="shared" si="30"/>
        <v>-1</v>
      </c>
    </row>
    <row r="124" spans="1:26" s="24" customFormat="1" hidden="1" outlineLevel="1" x14ac:dyDescent="0.25">
      <c r="A124" s="44"/>
      <c r="B124" s="11" t="str">
        <f>CONCATENATE("          ", "5037", " - ", "PURCHASES @ COST-WATER")</f>
        <v xml:space="preserve">          5037 - PURCHASES @ COST-WATER</v>
      </c>
      <c r="C124" s="11"/>
      <c r="D124" s="2"/>
      <c r="E124" s="2"/>
      <c r="F124" s="19">
        <f t="shared" si="23"/>
        <v>0</v>
      </c>
      <c r="G124" s="2"/>
      <c r="H124" s="2">
        <v>1463.27</v>
      </c>
      <c r="I124" s="2"/>
      <c r="J124" s="19">
        <f t="shared" si="24"/>
        <v>3.0560381496950143E-3</v>
      </c>
      <c r="K124" s="2"/>
      <c r="L124" s="2">
        <f t="shared" si="25"/>
        <v>-1463.27</v>
      </c>
      <c r="M124" s="2"/>
      <c r="N124" s="19">
        <f t="shared" si="26"/>
        <v>-1</v>
      </c>
      <c r="O124" s="11"/>
      <c r="P124" s="2"/>
      <c r="Q124" s="2"/>
      <c r="R124" s="19">
        <f t="shared" si="27"/>
        <v>0</v>
      </c>
      <c r="S124" s="2"/>
      <c r="T124" s="2">
        <v>2855.85</v>
      </c>
      <c r="U124" s="2"/>
      <c r="V124" s="19">
        <f t="shared" si="28"/>
        <v>6.180401809414589E-4</v>
      </c>
      <c r="W124" s="2"/>
      <c r="X124" s="2">
        <f t="shared" si="29"/>
        <v>-2855.85</v>
      </c>
      <c r="Y124" s="2"/>
      <c r="Z124" s="19">
        <f t="shared" si="30"/>
        <v>-1</v>
      </c>
    </row>
    <row r="125" spans="1:26" s="24" customFormat="1" hidden="1" outlineLevel="1" x14ac:dyDescent="0.25">
      <c r="A125" s="44"/>
      <c r="B125" s="11" t="str">
        <f>CONCATENATE("          ", "5040", " - ", "PURCHASES @ COST-LOGO CLOTHING")</f>
        <v xml:space="preserve">          5040 - PURCHASES @ COST-LOGO CLOTHING</v>
      </c>
      <c r="C125" s="11"/>
      <c r="D125" s="2">
        <v>25420.9</v>
      </c>
      <c r="E125" s="2"/>
      <c r="F125" s="19">
        <f t="shared" si="23"/>
        <v>0.15877243151120207</v>
      </c>
      <c r="G125" s="2"/>
      <c r="H125" s="2">
        <v>176749.05</v>
      </c>
      <c r="I125" s="2"/>
      <c r="J125" s="19">
        <f t="shared" si="24"/>
        <v>0.36914024050404337</v>
      </c>
      <c r="K125" s="2"/>
      <c r="L125" s="2">
        <f t="shared" si="25"/>
        <v>-151328.15</v>
      </c>
      <c r="M125" s="2"/>
      <c r="N125" s="19">
        <f t="shared" si="26"/>
        <v>-0.85617518170536133</v>
      </c>
      <c r="O125" s="11"/>
      <c r="P125" s="2">
        <v>39170.950000000004</v>
      </c>
      <c r="Q125" s="2"/>
      <c r="R125" s="19">
        <f t="shared" si="27"/>
        <v>1.6640093148956796E-2</v>
      </c>
      <c r="S125" s="2"/>
      <c r="T125" s="2">
        <v>512600.91000000003</v>
      </c>
      <c r="U125" s="2"/>
      <c r="V125" s="19">
        <f t="shared" si="28"/>
        <v>0.11093298288325945</v>
      </c>
      <c r="W125" s="2"/>
      <c r="X125" s="2">
        <f t="shared" si="29"/>
        <v>-473429.96</v>
      </c>
      <c r="Y125" s="2"/>
      <c r="Z125" s="19">
        <f t="shared" si="30"/>
        <v>-0.92358392418772728</v>
      </c>
    </row>
    <row r="126" spans="1:26" s="24" customFormat="1" hidden="1" outlineLevel="1" x14ac:dyDescent="0.25">
      <c r="A126" s="44"/>
      <c r="B126" s="11" t="str">
        <f>CONCATENATE("          ", "5041", " - ", "PURCHASES @ COST-LOGO GIFTS")</f>
        <v xml:space="preserve">          5041 - PURCHASES @ COST-LOGO GIFTS</v>
      </c>
      <c r="C126" s="11"/>
      <c r="D126" s="2">
        <v>15289.8</v>
      </c>
      <c r="E126" s="2"/>
      <c r="F126" s="19">
        <f t="shared" si="23"/>
        <v>9.5496175325026925E-2</v>
      </c>
      <c r="G126" s="2"/>
      <c r="H126" s="2">
        <v>27759.98</v>
      </c>
      <c r="I126" s="2"/>
      <c r="J126" s="19">
        <f t="shared" si="24"/>
        <v>5.7976694605076713E-2</v>
      </c>
      <c r="K126" s="2"/>
      <c r="L126" s="2">
        <f t="shared" si="25"/>
        <v>-12470.18</v>
      </c>
      <c r="M126" s="2"/>
      <c r="N126" s="19">
        <f t="shared" si="26"/>
        <v>-0.44921430058667189</v>
      </c>
      <c r="O126" s="11"/>
      <c r="P126" s="2">
        <v>17287.34</v>
      </c>
      <c r="Q126" s="2"/>
      <c r="R126" s="19">
        <f t="shared" si="27"/>
        <v>7.3437827751863761E-3</v>
      </c>
      <c r="S126" s="2"/>
      <c r="T126" s="2">
        <v>70456.460000000006</v>
      </c>
      <c r="U126" s="2"/>
      <c r="V126" s="19">
        <f t="shared" si="28"/>
        <v>1.524762269968474E-2</v>
      </c>
      <c r="W126" s="2"/>
      <c r="X126" s="2">
        <f t="shared" si="29"/>
        <v>-53169.12000000001</v>
      </c>
      <c r="Y126" s="2"/>
      <c r="Z126" s="19">
        <f t="shared" si="30"/>
        <v>-0.75463797074107908</v>
      </c>
    </row>
    <row r="127" spans="1:26" s="24" customFormat="1" hidden="1" outlineLevel="1" x14ac:dyDescent="0.25">
      <c r="A127" s="44"/>
      <c r="B127" s="11" t="str">
        <f>CONCATENATE("          ", "5042", " - ", "PURCHASES @ COST-EVERYDAY GIFT")</f>
        <v xml:space="preserve">          5042 - PURCHASES @ COST-EVERYDAY GIFT</v>
      </c>
      <c r="C127" s="11"/>
      <c r="D127" s="2">
        <v>9421.5300000000007</v>
      </c>
      <c r="E127" s="2"/>
      <c r="F127" s="19">
        <f t="shared" si="23"/>
        <v>5.8844463675783928E-2</v>
      </c>
      <c r="G127" s="2"/>
      <c r="H127" s="2">
        <v>13956.79</v>
      </c>
      <c r="I127" s="2"/>
      <c r="J127" s="19">
        <f t="shared" si="24"/>
        <v>2.9148744037178296E-2</v>
      </c>
      <c r="K127" s="2"/>
      <c r="L127" s="2">
        <f t="shared" si="25"/>
        <v>-4535.26</v>
      </c>
      <c r="M127" s="2"/>
      <c r="N127" s="19">
        <f t="shared" si="26"/>
        <v>-0.32495007806236248</v>
      </c>
      <c r="O127" s="11"/>
      <c r="P127" s="2">
        <v>10912.68</v>
      </c>
      <c r="Q127" s="2"/>
      <c r="R127" s="19">
        <f t="shared" si="27"/>
        <v>4.6357826834620515E-3</v>
      </c>
      <c r="S127" s="2"/>
      <c r="T127" s="2">
        <v>49248.47</v>
      </c>
      <c r="U127" s="2"/>
      <c r="V127" s="19">
        <f t="shared" si="28"/>
        <v>1.0657959385083253E-2</v>
      </c>
      <c r="W127" s="2"/>
      <c r="X127" s="2">
        <f t="shared" si="29"/>
        <v>-38335.79</v>
      </c>
      <c r="Y127" s="2"/>
      <c r="Z127" s="19">
        <f t="shared" si="30"/>
        <v>-0.77841585738602637</v>
      </c>
    </row>
    <row r="128" spans="1:26" s="24" customFormat="1" hidden="1" outlineLevel="1" x14ac:dyDescent="0.25">
      <c r="A128" s="44"/>
      <c r="B128" s="11" t="str">
        <f>CONCATENATE("          ", "5043", " - ", "PURCHASES @ COST-CARDS")</f>
        <v xml:space="preserve">          5043 - PURCHASES @ COST-CARDS</v>
      </c>
      <c r="C128" s="11"/>
      <c r="D128" s="2">
        <v>2526.75</v>
      </c>
      <c r="E128" s="2"/>
      <c r="F128" s="19">
        <f t="shared" si="23"/>
        <v>1.5781433439450602E-2</v>
      </c>
      <c r="G128" s="2"/>
      <c r="H128" s="2">
        <v>331.09</v>
      </c>
      <c r="I128" s="2"/>
      <c r="J128" s="19">
        <f t="shared" si="24"/>
        <v>6.9148118322833265E-4</v>
      </c>
      <c r="K128" s="2"/>
      <c r="L128" s="2">
        <f t="shared" si="25"/>
        <v>2195.66</v>
      </c>
      <c r="M128" s="2"/>
      <c r="N128" s="19">
        <f t="shared" si="26"/>
        <v>6.631610740282099</v>
      </c>
      <c r="O128" s="11"/>
      <c r="P128" s="2">
        <v>5643</v>
      </c>
      <c r="Q128" s="2"/>
      <c r="R128" s="19">
        <f t="shared" si="27"/>
        <v>2.397185813455206E-3</v>
      </c>
      <c r="S128" s="2"/>
      <c r="T128" s="2">
        <v>1340.08</v>
      </c>
      <c r="U128" s="2"/>
      <c r="V128" s="19">
        <f t="shared" si="28"/>
        <v>2.9000937923071246E-4</v>
      </c>
      <c r="W128" s="2"/>
      <c r="X128" s="2">
        <f t="shared" si="29"/>
        <v>4302.92</v>
      </c>
      <c r="Y128" s="2"/>
      <c r="Z128" s="19">
        <f t="shared" si="30"/>
        <v>3.2109426302907291</v>
      </c>
    </row>
    <row r="129" spans="1:26" s="24" customFormat="1" hidden="1" outlineLevel="1" x14ac:dyDescent="0.25">
      <c r="A129" s="44"/>
      <c r="B129" s="11" t="str">
        <f>CONCATENATE("          ", "5044", " - ", "PURCHASES @ COST-ACCESSORIES")</f>
        <v xml:space="preserve">          5044 - PURCHASES @ COST-ACCESSORIES</v>
      </c>
      <c r="C129" s="11"/>
      <c r="D129" s="2"/>
      <c r="E129" s="2"/>
      <c r="F129" s="19">
        <f t="shared" si="23"/>
        <v>0</v>
      </c>
      <c r="G129" s="2"/>
      <c r="H129" s="2">
        <v>3747.48</v>
      </c>
      <c r="I129" s="2"/>
      <c r="J129" s="19">
        <f t="shared" si="24"/>
        <v>7.8266087907351845E-3</v>
      </c>
      <c r="K129" s="2"/>
      <c r="L129" s="2">
        <f t="shared" si="25"/>
        <v>-3747.48</v>
      </c>
      <c r="M129" s="2"/>
      <c r="N129" s="19">
        <f t="shared" si="26"/>
        <v>-1</v>
      </c>
      <c r="O129" s="11"/>
      <c r="P129" s="2"/>
      <c r="Q129" s="2"/>
      <c r="R129" s="19">
        <f t="shared" si="27"/>
        <v>0</v>
      </c>
      <c r="S129" s="2"/>
      <c r="T129" s="2">
        <v>24151.129999999997</v>
      </c>
      <c r="U129" s="2"/>
      <c r="V129" s="19">
        <f t="shared" si="28"/>
        <v>5.226594098128646E-3</v>
      </c>
      <c r="W129" s="2"/>
      <c r="X129" s="2">
        <f t="shared" si="29"/>
        <v>-24151.129999999997</v>
      </c>
      <c r="Y129" s="2"/>
      <c r="Z129" s="19">
        <f t="shared" si="30"/>
        <v>-1</v>
      </c>
    </row>
    <row r="130" spans="1:26" s="24" customFormat="1" hidden="1" outlineLevel="1" x14ac:dyDescent="0.25">
      <c r="A130" s="44"/>
      <c r="B130" s="11" t="str">
        <f>CONCATENATE("          ", "5045", " - ", "PURCHASES @ COST-SPECIAL ORDER")</f>
        <v xml:space="preserve">          5045 - PURCHASES @ COST-SPECIAL ORDER</v>
      </c>
      <c r="C130" s="11"/>
      <c r="D130" s="2">
        <v>10080.23</v>
      </c>
      <c r="E130" s="2"/>
      <c r="F130" s="19">
        <f t="shared" si="23"/>
        <v>6.2958535193174292E-2</v>
      </c>
      <c r="G130" s="2"/>
      <c r="H130" s="2">
        <v>3599.17</v>
      </c>
      <c r="I130" s="2"/>
      <c r="J130" s="19">
        <f t="shared" si="24"/>
        <v>7.5168634819532997E-3</v>
      </c>
      <c r="K130" s="2"/>
      <c r="L130" s="2">
        <f t="shared" si="25"/>
        <v>6481.0599999999995</v>
      </c>
      <c r="M130" s="2"/>
      <c r="N130" s="19">
        <f t="shared" si="26"/>
        <v>1.8007096080485221</v>
      </c>
      <c r="O130" s="11"/>
      <c r="P130" s="2">
        <v>71254.52</v>
      </c>
      <c r="Q130" s="2"/>
      <c r="R130" s="19">
        <f t="shared" si="27"/>
        <v>3.0269417772206316E-2</v>
      </c>
      <c r="S130" s="2"/>
      <c r="T130" s="2">
        <v>28063.200000000001</v>
      </c>
      <c r="U130" s="2"/>
      <c r="V130" s="19">
        <f t="shared" si="28"/>
        <v>6.0732129508889992E-3</v>
      </c>
      <c r="W130" s="2"/>
      <c r="X130" s="2">
        <f t="shared" si="29"/>
        <v>43191.320000000007</v>
      </c>
      <c r="Y130" s="2"/>
      <c r="Z130" s="19">
        <f t="shared" si="30"/>
        <v>1.539073234698823</v>
      </c>
    </row>
    <row r="131" spans="1:26" s="24" customFormat="1" hidden="1" outlineLevel="1" x14ac:dyDescent="0.25">
      <c r="A131" s="44"/>
      <c r="B131" s="11" t="str">
        <f>CONCATENATE("          ", "5081", " - ", "PURCHASES @ COST-ELECTRONICS")</f>
        <v xml:space="preserve">          5081 - PURCHASES @ COST-ELECTRONICS</v>
      </c>
      <c r="C131" s="11"/>
      <c r="D131" s="2"/>
      <c r="E131" s="2"/>
      <c r="F131" s="19">
        <f t="shared" si="23"/>
        <v>0</v>
      </c>
      <c r="G131" s="2"/>
      <c r="H131" s="2">
        <v>490.99</v>
      </c>
      <c r="I131" s="2"/>
      <c r="J131" s="19">
        <f t="shared" si="24"/>
        <v>1.025432197146634E-3</v>
      </c>
      <c r="K131" s="2"/>
      <c r="L131" s="2">
        <f t="shared" si="25"/>
        <v>-490.99</v>
      </c>
      <c r="M131" s="2"/>
      <c r="N131" s="19">
        <f t="shared" si="26"/>
        <v>-1</v>
      </c>
      <c r="O131" s="11"/>
      <c r="P131" s="2"/>
      <c r="Q131" s="2"/>
      <c r="R131" s="19">
        <f t="shared" si="27"/>
        <v>0</v>
      </c>
      <c r="S131" s="2"/>
      <c r="T131" s="2">
        <v>963.07</v>
      </c>
      <c r="U131" s="2"/>
      <c r="V131" s="19">
        <f t="shared" si="28"/>
        <v>2.0841989497322717E-4</v>
      </c>
      <c r="W131" s="2"/>
      <c r="X131" s="2">
        <f t="shared" si="29"/>
        <v>-963.07</v>
      </c>
      <c r="Y131" s="2"/>
      <c r="Z131" s="19">
        <f t="shared" si="30"/>
        <v>-1</v>
      </c>
    </row>
    <row r="132" spans="1:26" s="24" customFormat="1" hidden="1" outlineLevel="1" x14ac:dyDescent="0.25">
      <c r="A132" s="44"/>
      <c r="B132" s="11" t="str">
        <f>CONCATENATE("          ", "5082", " - ", "PURCHASES @ COST-COMPUTER HARD")</f>
        <v xml:space="preserve">          5082 - PURCHASES @ COST-COMPUTER HARD</v>
      </c>
      <c r="C132" s="11"/>
      <c r="D132" s="2"/>
      <c r="E132" s="2"/>
      <c r="F132" s="19">
        <f t="shared" si="23"/>
        <v>0</v>
      </c>
      <c r="G132" s="2"/>
      <c r="H132" s="2"/>
      <c r="I132" s="2"/>
      <c r="J132" s="19">
        <f t="shared" si="24"/>
        <v>0</v>
      </c>
      <c r="K132" s="2"/>
      <c r="L132" s="2">
        <f t="shared" si="25"/>
        <v>0</v>
      </c>
      <c r="M132" s="2"/>
      <c r="N132" s="19">
        <f t="shared" si="26"/>
        <v>0</v>
      </c>
      <c r="O132" s="11"/>
      <c r="P132" s="2"/>
      <c r="Q132" s="2"/>
      <c r="R132" s="19">
        <f t="shared" si="27"/>
        <v>0</v>
      </c>
      <c r="S132" s="2"/>
      <c r="T132" s="2">
        <v>149.6</v>
      </c>
      <c r="U132" s="2"/>
      <c r="V132" s="19">
        <f t="shared" si="28"/>
        <v>3.2375233667329254E-5</v>
      </c>
      <c r="W132" s="2"/>
      <c r="X132" s="2">
        <f t="shared" si="29"/>
        <v>-149.6</v>
      </c>
      <c r="Y132" s="2"/>
      <c r="Z132" s="19">
        <f t="shared" si="30"/>
        <v>-1</v>
      </c>
    </row>
    <row r="133" spans="1:26" s="24" customFormat="1" hidden="1" outlineLevel="1" x14ac:dyDescent="0.25">
      <c r="A133" s="44"/>
      <c r="B133" s="11" t="str">
        <f>CONCATENATE("          ", "5083", " - ", "PURCHASES @ COST-COMPUTER EQUI")</f>
        <v xml:space="preserve">          5083 - PURCHASES @ COST-COMPUTER EQUI</v>
      </c>
      <c r="C133" s="11"/>
      <c r="D133" s="2"/>
      <c r="E133" s="2"/>
      <c r="F133" s="19">
        <f t="shared" si="23"/>
        <v>0</v>
      </c>
      <c r="G133" s="2"/>
      <c r="H133" s="2">
        <v>76.150000000000006</v>
      </c>
      <c r="I133" s="2"/>
      <c r="J133" s="19">
        <f t="shared" si="24"/>
        <v>1.5903921019311224E-4</v>
      </c>
      <c r="K133" s="2"/>
      <c r="L133" s="2">
        <f t="shared" si="25"/>
        <v>-76.150000000000006</v>
      </c>
      <c r="M133" s="2"/>
      <c r="N133" s="19">
        <f t="shared" si="26"/>
        <v>-1</v>
      </c>
      <c r="O133" s="11"/>
      <c r="P133" s="2"/>
      <c r="Q133" s="2"/>
      <c r="R133" s="19">
        <f t="shared" si="27"/>
        <v>0</v>
      </c>
      <c r="S133" s="2"/>
      <c r="T133" s="2">
        <v>232.15</v>
      </c>
      <c r="U133" s="2"/>
      <c r="V133" s="19">
        <f t="shared" si="28"/>
        <v>5.0240043421594161E-5</v>
      </c>
      <c r="W133" s="2"/>
      <c r="X133" s="2">
        <f t="shared" si="29"/>
        <v>-232.15</v>
      </c>
      <c r="Y133" s="2"/>
      <c r="Z133" s="19">
        <f t="shared" si="30"/>
        <v>-1</v>
      </c>
    </row>
    <row r="134" spans="1:26" s="24" customFormat="1" hidden="1" outlineLevel="1" x14ac:dyDescent="0.25">
      <c r="A134" s="44"/>
      <c r="B134" s="11" t="str">
        <f>CONCATENATE("          ", "5086", " - ", "PURCHASES @ COST-COMPUTER SUPP")</f>
        <v xml:space="preserve">          5086 - PURCHASES @ COST-COMPUTER SUPP</v>
      </c>
      <c r="C134" s="11"/>
      <c r="D134" s="2"/>
      <c r="E134" s="2"/>
      <c r="F134" s="19">
        <f t="shared" si="23"/>
        <v>0</v>
      </c>
      <c r="G134" s="2"/>
      <c r="H134" s="2">
        <v>54</v>
      </c>
      <c r="I134" s="2"/>
      <c r="J134" s="19">
        <f t="shared" si="24"/>
        <v>1.1277895404370402E-4</v>
      </c>
      <c r="K134" s="2"/>
      <c r="L134" s="2">
        <f t="shared" si="25"/>
        <v>-54</v>
      </c>
      <c r="M134" s="2"/>
      <c r="N134" s="19">
        <f t="shared" si="26"/>
        <v>-1</v>
      </c>
      <c r="O134" s="11"/>
      <c r="P134" s="2"/>
      <c r="Q134" s="2"/>
      <c r="R134" s="19">
        <f t="shared" si="27"/>
        <v>0</v>
      </c>
      <c r="S134" s="2"/>
      <c r="T134" s="2">
        <v>141</v>
      </c>
      <c r="U134" s="2"/>
      <c r="V134" s="19">
        <f t="shared" si="28"/>
        <v>3.0514090555437331E-5</v>
      </c>
      <c r="W134" s="2"/>
      <c r="X134" s="2">
        <f t="shared" si="29"/>
        <v>-141</v>
      </c>
      <c r="Y134" s="2"/>
      <c r="Z134" s="19">
        <f t="shared" si="30"/>
        <v>-1</v>
      </c>
    </row>
    <row r="135" spans="1:26" s="24" customFormat="1" hidden="1" outlineLevel="1" x14ac:dyDescent="0.25">
      <c r="A135" s="44"/>
      <c r="B135" s="11" t="str">
        <f>CONCATENATE("          ", "5092", " - ", "PURCHASES @ COST-GRAD MERCH")</f>
        <v xml:space="preserve">          5092 - PURCHASES @ COST-GRAD MERCH</v>
      </c>
      <c r="C135" s="11"/>
      <c r="D135" s="2"/>
      <c r="E135" s="2"/>
      <c r="F135" s="19">
        <f t="shared" si="23"/>
        <v>0</v>
      </c>
      <c r="G135" s="2"/>
      <c r="H135" s="2">
        <v>1296.1400000000001</v>
      </c>
      <c r="I135" s="2"/>
      <c r="J135" s="19">
        <f t="shared" si="24"/>
        <v>2.7069872869297509E-3</v>
      </c>
      <c r="K135" s="2"/>
      <c r="L135" s="2">
        <f t="shared" si="25"/>
        <v>-1296.1400000000001</v>
      </c>
      <c r="M135" s="2"/>
      <c r="N135" s="19">
        <f t="shared" si="26"/>
        <v>-1</v>
      </c>
      <c r="O135" s="11"/>
      <c r="P135" s="2"/>
      <c r="Q135" s="2"/>
      <c r="R135" s="19">
        <f t="shared" si="27"/>
        <v>0</v>
      </c>
      <c r="S135" s="2"/>
      <c r="T135" s="2">
        <v>1296.1400000000001</v>
      </c>
      <c r="U135" s="2"/>
      <c r="V135" s="19">
        <f t="shared" si="28"/>
        <v>2.8050023640088329E-4</v>
      </c>
      <c r="W135" s="2"/>
      <c r="X135" s="2">
        <f t="shared" si="29"/>
        <v>-1296.1400000000001</v>
      </c>
      <c r="Y135" s="2"/>
      <c r="Z135" s="19">
        <f t="shared" si="30"/>
        <v>-1</v>
      </c>
    </row>
    <row r="136" spans="1:26" s="24" customFormat="1" hidden="1" outlineLevel="1" x14ac:dyDescent="0.25">
      <c r="A136" s="44"/>
      <c r="B136" s="11" t="str">
        <f>CONCATENATE("          ", "5095", " - ", "PURCHASES @ COST-CUSTOMER SERV")</f>
        <v xml:space="preserve">          5095 - PURCHASES @ COST-CUSTOMER SERV</v>
      </c>
      <c r="C136" s="11"/>
      <c r="D136" s="2"/>
      <c r="E136" s="2"/>
      <c r="F136" s="19">
        <f t="shared" si="23"/>
        <v>0</v>
      </c>
      <c r="G136" s="2"/>
      <c r="H136" s="2"/>
      <c r="I136" s="2"/>
      <c r="J136" s="19">
        <f t="shared" si="24"/>
        <v>0</v>
      </c>
      <c r="K136" s="2"/>
      <c r="L136" s="2">
        <f t="shared" si="25"/>
        <v>0</v>
      </c>
      <c r="M136" s="2"/>
      <c r="N136" s="19">
        <f t="shared" si="26"/>
        <v>0</v>
      </c>
      <c r="O136" s="11"/>
      <c r="P136" s="2"/>
      <c r="Q136" s="2"/>
      <c r="R136" s="19">
        <f t="shared" si="27"/>
        <v>0</v>
      </c>
      <c r="S136" s="2"/>
      <c r="T136" s="2">
        <v>0</v>
      </c>
      <c r="U136" s="2"/>
      <c r="V136" s="19">
        <f t="shared" si="28"/>
        <v>0</v>
      </c>
      <c r="W136" s="2"/>
      <c r="X136" s="2">
        <f t="shared" si="29"/>
        <v>0</v>
      </c>
      <c r="Y136" s="2"/>
      <c r="Z136" s="19">
        <f t="shared" si="30"/>
        <v>0</v>
      </c>
    </row>
    <row r="137" spans="1:26" s="24" customFormat="1" hidden="1" outlineLevel="1" x14ac:dyDescent="0.25">
      <c r="A137" s="44"/>
      <c r="B137" s="11" t="str">
        <f>CONCATENATE("          ", "5200", " - ", "PURCHASES OFFSET")</f>
        <v xml:space="preserve">          5200 - PURCHASES OFFSET</v>
      </c>
      <c r="C137" s="11"/>
      <c r="D137" s="2">
        <v>-234183.50999999998</v>
      </c>
      <c r="E137" s="2"/>
      <c r="F137" s="19">
        <f t="shared" si="23"/>
        <v>-1.4626502327819981</v>
      </c>
      <c r="G137" s="2"/>
      <c r="H137" s="2">
        <v>-102488</v>
      </c>
      <c r="I137" s="2"/>
      <c r="J137" s="19">
        <f t="shared" si="24"/>
        <v>-0.2140461007783544</v>
      </c>
      <c r="K137" s="2"/>
      <c r="L137" s="2">
        <f t="shared" si="25"/>
        <v>-131695.50999999998</v>
      </c>
      <c r="M137" s="2"/>
      <c r="N137" s="19">
        <f t="shared" si="26"/>
        <v>1.2849846811334007</v>
      </c>
      <c r="O137" s="11"/>
      <c r="P137" s="2">
        <v>-1769157.19</v>
      </c>
      <c r="Q137" s="2"/>
      <c r="R137" s="19">
        <f t="shared" si="27"/>
        <v>-0.75155033096584722</v>
      </c>
      <c r="S137" s="2"/>
      <c r="T137" s="2">
        <v>-2738772</v>
      </c>
      <c r="U137" s="2"/>
      <c r="V137" s="19">
        <f t="shared" si="28"/>
        <v>-0.5927030980049377</v>
      </c>
      <c r="W137" s="2"/>
      <c r="X137" s="2">
        <f t="shared" si="29"/>
        <v>969614.81</v>
      </c>
      <c r="Y137" s="2"/>
      <c r="Z137" s="19">
        <f t="shared" si="30"/>
        <v>-0.3540326869122366</v>
      </c>
    </row>
    <row r="138" spans="1:26" s="24" customFormat="1" hidden="1" outlineLevel="1" x14ac:dyDescent="0.25">
      <c r="A138" s="44"/>
      <c r="B138" s="11" t="str">
        <f>CONCATENATE("          ", "5300", " - ", "COG$ OFFSET")</f>
        <v xml:space="preserve">          5300 - COG$ OFFSET</v>
      </c>
      <c r="C138" s="11"/>
      <c r="D138" s="2">
        <v>85211</v>
      </c>
      <c r="E138" s="2"/>
      <c r="F138" s="19">
        <f t="shared" si="23"/>
        <v>0.53220608481607801</v>
      </c>
      <c r="G138" s="2"/>
      <c r="H138" s="2">
        <v>204645</v>
      </c>
      <c r="I138" s="2"/>
      <c r="J138" s="19">
        <f t="shared" si="24"/>
        <v>0.42740090833840388</v>
      </c>
      <c r="K138" s="2"/>
      <c r="L138" s="2">
        <f t="shared" si="25"/>
        <v>-119434</v>
      </c>
      <c r="M138" s="2"/>
      <c r="N138" s="19">
        <f t="shared" si="26"/>
        <v>-0.58361552933128102</v>
      </c>
      <c r="O138" s="11"/>
      <c r="P138" s="2">
        <v>1195689</v>
      </c>
      <c r="Q138" s="2"/>
      <c r="R138" s="19">
        <f t="shared" si="27"/>
        <v>0.5079370384732308</v>
      </c>
      <c r="S138" s="2"/>
      <c r="T138" s="2">
        <v>2132393</v>
      </c>
      <c r="U138" s="2"/>
      <c r="V138" s="19">
        <f t="shared" si="28"/>
        <v>0.46147541206936649</v>
      </c>
      <c r="W138" s="2"/>
      <c r="X138" s="2">
        <f t="shared" si="29"/>
        <v>-936704</v>
      </c>
      <c r="Y138" s="2"/>
      <c r="Z138" s="19">
        <f t="shared" si="30"/>
        <v>-0.43927362357689226</v>
      </c>
    </row>
    <row r="139" spans="1:26" s="24" customFormat="1" hidden="1" outlineLevel="1" x14ac:dyDescent="0.25">
      <c r="A139" s="44"/>
      <c r="B139" s="11" t="str">
        <f>CONCATENATE("          ", "5500", " - ", "FREIGHT-IN")</f>
        <v xml:space="preserve">          5500 - FREIGHT-IN</v>
      </c>
      <c r="C139" s="11"/>
      <c r="D139" s="2"/>
      <c r="E139" s="2"/>
      <c r="F139" s="19">
        <f t="shared" si="23"/>
        <v>0</v>
      </c>
      <c r="G139" s="2"/>
      <c r="H139" s="2">
        <v>35.229999999999997</v>
      </c>
      <c r="I139" s="2"/>
      <c r="J139" s="19">
        <f t="shared" si="24"/>
        <v>7.357782501777208E-5</v>
      </c>
      <c r="K139" s="2"/>
      <c r="L139" s="2">
        <f t="shared" si="25"/>
        <v>-35.229999999999997</v>
      </c>
      <c r="M139" s="2"/>
      <c r="N139" s="19">
        <f t="shared" si="26"/>
        <v>-1</v>
      </c>
      <c r="O139" s="11"/>
      <c r="P139" s="2"/>
      <c r="Q139" s="2"/>
      <c r="R139" s="19">
        <f t="shared" si="27"/>
        <v>0</v>
      </c>
      <c r="S139" s="2"/>
      <c r="T139" s="2">
        <v>35.229999999999997</v>
      </c>
      <c r="U139" s="2"/>
      <c r="V139" s="19">
        <f t="shared" si="28"/>
        <v>7.6241943990642351E-6</v>
      </c>
      <c r="W139" s="2"/>
      <c r="X139" s="2">
        <f t="shared" si="29"/>
        <v>-35.229999999999997</v>
      </c>
      <c r="Y139" s="2"/>
      <c r="Z139" s="19">
        <f t="shared" si="30"/>
        <v>-1</v>
      </c>
    </row>
    <row r="140" spans="1:26" s="24" customFormat="1" hidden="1" outlineLevel="1" x14ac:dyDescent="0.25">
      <c r="A140" s="44"/>
      <c r="B140" s="11" t="str">
        <f>CONCATENATE("          ", "5501", " - ", "FREIGHT-IN-NEW TEXT")</f>
        <v xml:space="preserve">          5501 - FREIGHT-IN-NEW TEXT</v>
      </c>
      <c r="C140" s="11"/>
      <c r="D140" s="2">
        <v>23295.74</v>
      </c>
      <c r="E140" s="2"/>
      <c r="F140" s="19">
        <f t="shared" si="23"/>
        <v>0.14549922637092985</v>
      </c>
      <c r="G140" s="2"/>
      <c r="H140" s="2">
        <v>7434.02</v>
      </c>
      <c r="I140" s="2"/>
      <c r="J140" s="19">
        <f t="shared" si="24"/>
        <v>1.55259444433329E-2</v>
      </c>
      <c r="K140" s="2"/>
      <c r="L140" s="2">
        <f t="shared" si="25"/>
        <v>15861.720000000001</v>
      </c>
      <c r="M140" s="2"/>
      <c r="N140" s="19">
        <f t="shared" si="26"/>
        <v>2.1336665760920739</v>
      </c>
      <c r="O140" s="11"/>
      <c r="P140" s="2">
        <v>34058.620000000003</v>
      </c>
      <c r="Q140" s="2"/>
      <c r="R140" s="19">
        <f t="shared" si="27"/>
        <v>1.4468339657958842E-2</v>
      </c>
      <c r="S140" s="2"/>
      <c r="T140" s="2">
        <v>34017.480000000003</v>
      </c>
      <c r="U140" s="2"/>
      <c r="V140" s="19">
        <f t="shared" si="28"/>
        <v>7.3617905332466552E-3</v>
      </c>
      <c r="W140" s="2"/>
      <c r="X140" s="2">
        <f t="shared" si="29"/>
        <v>41.139999999999418</v>
      </c>
      <c r="Y140" s="2"/>
      <c r="Z140" s="19">
        <f t="shared" si="30"/>
        <v>1.2093782373062147E-3</v>
      </c>
    </row>
    <row r="141" spans="1:26" s="24" customFormat="1" hidden="1" outlineLevel="1" x14ac:dyDescent="0.25">
      <c r="A141" s="44"/>
      <c r="B141" s="11" t="str">
        <f>CONCATENATE("          ", "5502", " - ", "FREIGHT-IN-USED TEXT")</f>
        <v xml:space="preserve">          5502 - FREIGHT-IN-USED TEXT</v>
      </c>
      <c r="C141" s="11"/>
      <c r="D141" s="2">
        <v>2233.9</v>
      </c>
      <c r="E141" s="2"/>
      <c r="F141" s="19">
        <f t="shared" si="23"/>
        <v>1.395236733368505E-2</v>
      </c>
      <c r="G141" s="2"/>
      <c r="H141" s="2">
        <v>591.29999999999995</v>
      </c>
      <c r="I141" s="2"/>
      <c r="J141" s="19">
        <f t="shared" si="24"/>
        <v>1.2349295467785589E-3</v>
      </c>
      <c r="K141" s="2"/>
      <c r="L141" s="2">
        <f t="shared" si="25"/>
        <v>1642.6000000000001</v>
      </c>
      <c r="M141" s="2"/>
      <c r="N141" s="19">
        <f t="shared" si="26"/>
        <v>2.7779468966683583</v>
      </c>
      <c r="O141" s="11"/>
      <c r="P141" s="2">
        <v>10744.72</v>
      </c>
      <c r="Q141" s="2"/>
      <c r="R141" s="19">
        <f t="shared" si="27"/>
        <v>4.5644321023477616E-3</v>
      </c>
      <c r="S141" s="2"/>
      <c r="T141" s="2">
        <v>6852.47</v>
      </c>
      <c r="U141" s="2"/>
      <c r="V141" s="19">
        <f t="shared" si="28"/>
        <v>1.4829566674355863E-3</v>
      </c>
      <c r="W141" s="2"/>
      <c r="X141" s="2">
        <f t="shared" si="29"/>
        <v>3892.2499999999991</v>
      </c>
      <c r="Y141" s="2"/>
      <c r="Z141" s="19">
        <f t="shared" si="30"/>
        <v>0.56800686467799189</v>
      </c>
    </row>
    <row r="142" spans="1:26" s="24" customFormat="1" hidden="1" outlineLevel="1" x14ac:dyDescent="0.25">
      <c r="A142" s="44"/>
      <c r="B142" s="11" t="str">
        <f>CONCATENATE("          ", "5504", " - ", "FREIGHT-IN-DIGITAL TEXT")</f>
        <v xml:space="preserve">          5504 - FREIGHT-IN-DIGITAL TEXT</v>
      </c>
      <c r="C142" s="11"/>
      <c r="D142" s="2">
        <v>10.99</v>
      </c>
      <c r="E142" s="2"/>
      <c r="F142" s="19">
        <f t="shared" si="23"/>
        <v>6.8640725635524738E-5</v>
      </c>
      <c r="G142" s="2"/>
      <c r="H142" s="2">
        <v>93.94</v>
      </c>
      <c r="I142" s="2"/>
      <c r="J142" s="19">
        <f t="shared" si="24"/>
        <v>1.9619361005306584E-4</v>
      </c>
      <c r="K142" s="2"/>
      <c r="L142" s="2">
        <f t="shared" si="25"/>
        <v>-82.95</v>
      </c>
      <c r="M142" s="2"/>
      <c r="N142" s="19">
        <f t="shared" si="26"/>
        <v>-0.88301043219076014</v>
      </c>
      <c r="O142" s="11"/>
      <c r="P142" s="2">
        <v>21.98</v>
      </c>
      <c r="Q142" s="2"/>
      <c r="R142" s="19">
        <f t="shared" si="27"/>
        <v>9.3372575190050374E-6</v>
      </c>
      <c r="S142" s="2"/>
      <c r="T142" s="2">
        <v>100.97</v>
      </c>
      <c r="U142" s="2"/>
      <c r="V142" s="19">
        <f t="shared" si="28"/>
        <v>2.1851118605549696E-5</v>
      </c>
      <c r="W142" s="2"/>
      <c r="X142" s="2">
        <f t="shared" si="29"/>
        <v>-78.989999999999995</v>
      </c>
      <c r="Y142" s="2"/>
      <c r="Z142" s="19">
        <f t="shared" si="30"/>
        <v>-0.78231157769634541</v>
      </c>
    </row>
    <row r="143" spans="1:26" s="24" customFormat="1" hidden="1" outlineLevel="1" x14ac:dyDescent="0.25">
      <c r="A143" s="44"/>
      <c r="B143" s="11" t="str">
        <f>CONCATENATE("          ", "5525", " - ", "FREIGHT-IN-TEST FORMS")</f>
        <v xml:space="preserve">          5525 - FREIGHT-IN-TEST FORMS</v>
      </c>
      <c r="C143" s="11"/>
      <c r="D143" s="2">
        <v>48.14</v>
      </c>
      <c r="E143" s="2"/>
      <c r="F143" s="19">
        <f t="shared" si="23"/>
        <v>3.0067011211047868E-4</v>
      </c>
      <c r="G143" s="2"/>
      <c r="H143" s="2">
        <v>39.22</v>
      </c>
      <c r="I143" s="2"/>
      <c r="J143" s="19">
        <f t="shared" si="24"/>
        <v>8.1910936622112436E-5</v>
      </c>
      <c r="K143" s="2"/>
      <c r="L143" s="2">
        <f t="shared" si="25"/>
        <v>8.9200000000000017</v>
      </c>
      <c r="M143" s="2"/>
      <c r="N143" s="19">
        <f t="shared" si="26"/>
        <v>0.22743498215196334</v>
      </c>
      <c r="O143" s="11"/>
      <c r="P143" s="2">
        <v>48.14</v>
      </c>
      <c r="Q143" s="2"/>
      <c r="R143" s="19">
        <f t="shared" si="27"/>
        <v>2.045020823316208E-5</v>
      </c>
      <c r="S143" s="2"/>
      <c r="T143" s="2">
        <v>39.22</v>
      </c>
      <c r="U143" s="2"/>
      <c r="V143" s="19">
        <f t="shared" si="28"/>
        <v>8.4876782381861847E-6</v>
      </c>
      <c r="W143" s="2"/>
      <c r="X143" s="2">
        <f t="shared" si="29"/>
        <v>8.9200000000000017</v>
      </c>
      <c r="Y143" s="2"/>
      <c r="Z143" s="19">
        <f t="shared" si="30"/>
        <v>0.22743498215196334</v>
      </c>
    </row>
    <row r="144" spans="1:26" s="24" customFormat="1" hidden="1" outlineLevel="1" x14ac:dyDescent="0.25">
      <c r="A144" s="44"/>
      <c r="B144" s="11" t="str">
        <f>CONCATENATE("          ", "5526", " - ", "FREIGHT-IN-WRITING INSTRUMENTS")</f>
        <v xml:space="preserve">          5526 - FREIGHT-IN-WRITING INSTRUMENTS</v>
      </c>
      <c r="C144" s="11"/>
      <c r="D144" s="2"/>
      <c r="E144" s="2"/>
      <c r="F144" s="19">
        <f t="shared" si="23"/>
        <v>0</v>
      </c>
      <c r="G144" s="2"/>
      <c r="H144" s="2"/>
      <c r="I144" s="2"/>
      <c r="J144" s="19">
        <f t="shared" si="24"/>
        <v>0</v>
      </c>
      <c r="K144" s="2"/>
      <c r="L144" s="2">
        <f t="shared" si="25"/>
        <v>0</v>
      </c>
      <c r="M144" s="2"/>
      <c r="N144" s="19">
        <f t="shared" si="26"/>
        <v>0</v>
      </c>
      <c r="O144" s="11"/>
      <c r="P144" s="2"/>
      <c r="Q144" s="2"/>
      <c r="R144" s="19">
        <f t="shared" si="27"/>
        <v>0</v>
      </c>
      <c r="S144" s="2"/>
      <c r="T144" s="2">
        <v>56.57</v>
      </c>
      <c r="U144" s="2"/>
      <c r="V144" s="19">
        <f t="shared" si="28"/>
        <v>1.2242426260433261E-5</v>
      </c>
      <c r="W144" s="2"/>
      <c r="X144" s="2">
        <f t="shared" si="29"/>
        <v>-56.57</v>
      </c>
      <c r="Y144" s="2"/>
      <c r="Z144" s="19">
        <f t="shared" si="30"/>
        <v>-1</v>
      </c>
    </row>
    <row r="145" spans="1:26" s="24" customFormat="1" hidden="1" outlineLevel="1" x14ac:dyDescent="0.25">
      <c r="A145" s="44"/>
      <c r="B145" s="11" t="str">
        <f>CONCATENATE("          ", "5527", " - ", "FREIGHT-IN-SCHOOL SUPPLIES")</f>
        <v xml:space="preserve">          5527 - FREIGHT-IN-SCHOOL SUPPLIES</v>
      </c>
      <c r="C145" s="11"/>
      <c r="D145" s="2">
        <v>56</v>
      </c>
      <c r="E145" s="2"/>
      <c r="F145" s="19">
        <f t="shared" si="23"/>
        <v>3.4976165928929799E-4</v>
      </c>
      <c r="G145" s="2"/>
      <c r="H145" s="2">
        <v>344.59</v>
      </c>
      <c r="I145" s="2"/>
      <c r="J145" s="19">
        <f t="shared" si="24"/>
        <v>7.1967592173925862E-4</v>
      </c>
      <c r="K145" s="2"/>
      <c r="L145" s="2">
        <f t="shared" si="25"/>
        <v>-288.58999999999997</v>
      </c>
      <c r="M145" s="2"/>
      <c r="N145" s="19">
        <f t="shared" si="26"/>
        <v>-0.83748802925215471</v>
      </c>
      <c r="O145" s="11"/>
      <c r="P145" s="2">
        <v>56</v>
      </c>
      <c r="Q145" s="2"/>
      <c r="R145" s="19">
        <f t="shared" si="27"/>
        <v>2.3789191131223023E-5</v>
      </c>
      <c r="S145" s="2"/>
      <c r="T145" s="2">
        <v>738.49</v>
      </c>
      <c r="U145" s="2"/>
      <c r="V145" s="19">
        <f t="shared" si="28"/>
        <v>1.5981809031407742E-4</v>
      </c>
      <c r="W145" s="2"/>
      <c r="X145" s="2">
        <f t="shared" si="29"/>
        <v>-682.49</v>
      </c>
      <c r="Y145" s="2"/>
      <c r="Z145" s="19">
        <f t="shared" si="30"/>
        <v>-0.92416958929707915</v>
      </c>
    </row>
    <row r="146" spans="1:26" s="24" customFormat="1" hidden="1" outlineLevel="1" x14ac:dyDescent="0.25">
      <c r="A146" s="44"/>
      <c r="B146" s="11" t="str">
        <f>CONCATENATE("          ", "5528", " - ", "FREIGHT-IN-ART/TECH")</f>
        <v xml:space="preserve">          5528 - FREIGHT-IN-ART/TECH</v>
      </c>
      <c r="C146" s="11"/>
      <c r="D146" s="2">
        <v>239.39</v>
      </c>
      <c r="E146" s="2"/>
      <c r="F146" s="19">
        <f t="shared" si="23"/>
        <v>1.4951686360225899E-3</v>
      </c>
      <c r="G146" s="2"/>
      <c r="H146" s="2">
        <v>185.67</v>
      </c>
      <c r="I146" s="2"/>
      <c r="J146" s="19">
        <f t="shared" si="24"/>
        <v>3.8777163698693561E-4</v>
      </c>
      <c r="K146" s="2"/>
      <c r="L146" s="2">
        <f t="shared" si="25"/>
        <v>53.72</v>
      </c>
      <c r="M146" s="2"/>
      <c r="N146" s="19">
        <f t="shared" si="26"/>
        <v>0.28933053266548175</v>
      </c>
      <c r="O146" s="11"/>
      <c r="P146" s="2">
        <v>284.2</v>
      </c>
      <c r="Q146" s="2"/>
      <c r="R146" s="19">
        <f t="shared" si="27"/>
        <v>1.2073014499095684E-4</v>
      </c>
      <c r="S146" s="2"/>
      <c r="T146" s="2">
        <v>818.44</v>
      </c>
      <c r="U146" s="2"/>
      <c r="V146" s="19">
        <f t="shared" si="28"/>
        <v>1.7712022889497964E-4</v>
      </c>
      <c r="W146" s="2"/>
      <c r="X146" s="2">
        <f t="shared" si="29"/>
        <v>-534.24</v>
      </c>
      <c r="Y146" s="2"/>
      <c r="Z146" s="19">
        <f t="shared" si="30"/>
        <v>-0.65275401984262738</v>
      </c>
    </row>
    <row r="147" spans="1:26" s="24" customFormat="1" hidden="1" outlineLevel="1" x14ac:dyDescent="0.25">
      <c r="A147" s="44"/>
      <c r="B147" s="11" t="str">
        <f>CONCATENATE("          ", "5540", " - ", "FREIGHT-IN-LOGO CLOTHING")</f>
        <v xml:space="preserve">          5540 - FREIGHT-IN-LOGO CLOTHING</v>
      </c>
      <c r="C147" s="11"/>
      <c r="D147" s="2">
        <v>1036.57</v>
      </c>
      <c r="E147" s="2"/>
      <c r="F147" s="19">
        <f t="shared" si="23"/>
        <v>6.4741507708840637E-3</v>
      </c>
      <c r="G147" s="2"/>
      <c r="H147" s="2">
        <v>9102.58</v>
      </c>
      <c r="I147" s="2"/>
      <c r="J147" s="19">
        <f t="shared" si="24"/>
        <v>1.9010730583317394E-2</v>
      </c>
      <c r="K147" s="2"/>
      <c r="L147" s="2">
        <f t="shared" si="25"/>
        <v>-8066.01</v>
      </c>
      <c r="M147" s="2"/>
      <c r="N147" s="19">
        <f t="shared" si="26"/>
        <v>-0.88612349465755869</v>
      </c>
      <c r="O147" s="11"/>
      <c r="P147" s="2">
        <v>3202.33</v>
      </c>
      <c r="Q147" s="2"/>
      <c r="R147" s="19">
        <f t="shared" si="27"/>
        <v>1.3603721506294541E-3</v>
      </c>
      <c r="S147" s="2"/>
      <c r="T147" s="2">
        <v>14107.44</v>
      </c>
      <c r="U147" s="2"/>
      <c r="V147" s="19">
        <f t="shared" si="28"/>
        <v>3.0530191607475096E-3</v>
      </c>
      <c r="W147" s="2"/>
      <c r="X147" s="2">
        <f t="shared" si="29"/>
        <v>-10905.11</v>
      </c>
      <c r="Y147" s="2"/>
      <c r="Z147" s="19">
        <f t="shared" si="30"/>
        <v>-0.77300417368424035</v>
      </c>
    </row>
    <row r="148" spans="1:26" s="24" customFormat="1" hidden="1" outlineLevel="1" x14ac:dyDescent="0.25">
      <c r="A148" s="44"/>
      <c r="B148" s="11" t="str">
        <f>CONCATENATE("          ", "5541", " - ", "FREIGHT-IN-LOGO GIFTS")</f>
        <v xml:space="preserve">          5541 - FREIGHT-IN-LOGO GIFTS</v>
      </c>
      <c r="C148" s="11"/>
      <c r="D148" s="2">
        <v>773.7</v>
      </c>
      <c r="E148" s="2"/>
      <c r="F148" s="19">
        <f t="shared" si="23"/>
        <v>4.8323320677166048E-3</v>
      </c>
      <c r="G148" s="2"/>
      <c r="H148" s="2">
        <v>718.84</v>
      </c>
      <c r="I148" s="2"/>
      <c r="J148" s="19">
        <f t="shared" si="24"/>
        <v>1.5012967282365963E-3</v>
      </c>
      <c r="K148" s="2"/>
      <c r="L148" s="2">
        <f t="shared" si="25"/>
        <v>54.860000000000014</v>
      </c>
      <c r="M148" s="2"/>
      <c r="N148" s="19">
        <f t="shared" si="26"/>
        <v>7.6317400255967963E-2</v>
      </c>
      <c r="O148" s="11"/>
      <c r="P148" s="2">
        <v>1134.81</v>
      </c>
      <c r="Q148" s="2"/>
      <c r="R148" s="19">
        <f t="shared" si="27"/>
        <v>4.8207521406469999E-4</v>
      </c>
      <c r="S148" s="2"/>
      <c r="T148" s="2">
        <v>1536.85</v>
      </c>
      <c r="U148" s="2"/>
      <c r="V148" s="19">
        <f t="shared" si="28"/>
        <v>3.3259276645477914E-4</v>
      </c>
      <c r="W148" s="2"/>
      <c r="X148" s="2">
        <f t="shared" si="29"/>
        <v>-402.03999999999996</v>
      </c>
      <c r="Y148" s="2"/>
      <c r="Z148" s="19">
        <f t="shared" si="30"/>
        <v>-0.26160002602726357</v>
      </c>
    </row>
    <row r="149" spans="1:26" s="24" customFormat="1" hidden="1" outlineLevel="1" x14ac:dyDescent="0.25">
      <c r="A149" s="44"/>
      <c r="B149" s="11" t="str">
        <f>CONCATENATE("          ", "5542", " - ", "FREIGHT-IN-EVERYDAY GIFTS")</f>
        <v xml:space="preserve">          5542 - FREIGHT-IN-EVERYDAY GIFTS</v>
      </c>
      <c r="C149" s="11"/>
      <c r="D149" s="2">
        <v>104.17</v>
      </c>
      <c r="E149" s="2"/>
      <c r="F149" s="19">
        <f t="shared" si="23"/>
        <v>6.5061914371725312E-4</v>
      </c>
      <c r="G149" s="2"/>
      <c r="H149" s="2">
        <v>596.04999999999995</v>
      </c>
      <c r="I149" s="2"/>
      <c r="J149" s="19">
        <f t="shared" si="24"/>
        <v>1.2448499177361069E-3</v>
      </c>
      <c r="K149" s="2"/>
      <c r="L149" s="2">
        <f t="shared" si="25"/>
        <v>-491.87999999999994</v>
      </c>
      <c r="M149" s="2"/>
      <c r="N149" s="19">
        <f t="shared" si="26"/>
        <v>-0.8252327824846909</v>
      </c>
      <c r="O149" s="11"/>
      <c r="P149" s="2">
        <v>175.55</v>
      </c>
      <c r="Q149" s="2"/>
      <c r="R149" s="19">
        <f t="shared" si="27"/>
        <v>7.4574866126539326E-5</v>
      </c>
      <c r="S149" s="2"/>
      <c r="T149" s="2">
        <v>767.73</v>
      </c>
      <c r="U149" s="2"/>
      <c r="V149" s="19">
        <f t="shared" si="28"/>
        <v>1.6614597689450995E-4</v>
      </c>
      <c r="W149" s="2"/>
      <c r="X149" s="2">
        <f t="shared" si="29"/>
        <v>-592.18000000000006</v>
      </c>
      <c r="Y149" s="2"/>
      <c r="Z149" s="19">
        <f t="shared" si="30"/>
        <v>-0.77133888215909241</v>
      </c>
    </row>
    <row r="150" spans="1:26" s="24" customFormat="1" hidden="1" outlineLevel="1" x14ac:dyDescent="0.25">
      <c r="A150" s="44"/>
      <c r="B150" s="11" t="str">
        <f>CONCATENATE("          ", "5543", " - ", "FREIGHT-IN-CARDS")</f>
        <v xml:space="preserve">          5543 - FREIGHT-IN-CARDS</v>
      </c>
      <c r="C150" s="11"/>
      <c r="D150" s="2">
        <v>107.42</v>
      </c>
      <c r="E150" s="2"/>
      <c r="F150" s="19">
        <f t="shared" si="23"/>
        <v>6.7091781144386407E-4</v>
      </c>
      <c r="G150" s="2"/>
      <c r="H150" s="2"/>
      <c r="I150" s="2"/>
      <c r="J150" s="19">
        <f t="shared" si="24"/>
        <v>0</v>
      </c>
      <c r="K150" s="2"/>
      <c r="L150" s="2">
        <f t="shared" si="25"/>
        <v>107.42</v>
      </c>
      <c r="M150" s="2"/>
      <c r="N150" s="19">
        <f t="shared" si="26"/>
        <v>0</v>
      </c>
      <c r="O150" s="11"/>
      <c r="P150" s="2">
        <v>189.19</v>
      </c>
      <c r="Q150" s="2"/>
      <c r="R150" s="19">
        <f t="shared" si="27"/>
        <v>8.0369233394930067E-5</v>
      </c>
      <c r="S150" s="2"/>
      <c r="T150" s="2">
        <v>4.58</v>
      </c>
      <c r="U150" s="2"/>
      <c r="V150" s="19">
        <f t="shared" si="28"/>
        <v>9.9116691307732614E-7</v>
      </c>
      <c r="W150" s="2"/>
      <c r="X150" s="2">
        <f t="shared" si="29"/>
        <v>184.60999999999999</v>
      </c>
      <c r="Y150" s="2"/>
      <c r="Z150" s="19">
        <f t="shared" si="30"/>
        <v>40.307860262008731</v>
      </c>
    </row>
    <row r="151" spans="1:26" s="24" customFormat="1" hidden="1" outlineLevel="1" x14ac:dyDescent="0.25">
      <c r="A151" s="44"/>
      <c r="B151" s="11" t="str">
        <f>CONCATENATE("          ", "5544", " - ", "FREIGHT-IN-ACCESSORIES")</f>
        <v xml:space="preserve">          5544 - FREIGHT-IN-ACCESSORIES</v>
      </c>
      <c r="C151" s="11"/>
      <c r="D151" s="2"/>
      <c r="E151" s="2"/>
      <c r="F151" s="19">
        <f t="shared" si="23"/>
        <v>0</v>
      </c>
      <c r="G151" s="2"/>
      <c r="H151" s="2">
        <v>223.25</v>
      </c>
      <c r="I151" s="2"/>
      <c r="J151" s="19">
        <f t="shared" si="24"/>
        <v>4.6625743500475783E-4</v>
      </c>
      <c r="K151" s="2"/>
      <c r="L151" s="2">
        <f t="shared" si="25"/>
        <v>-223.25</v>
      </c>
      <c r="M151" s="2"/>
      <c r="N151" s="19">
        <f t="shared" si="26"/>
        <v>-1</v>
      </c>
      <c r="O151" s="11"/>
      <c r="P151" s="2"/>
      <c r="Q151" s="2"/>
      <c r="R151" s="19">
        <f t="shared" si="27"/>
        <v>0</v>
      </c>
      <c r="S151" s="2"/>
      <c r="T151" s="2">
        <v>359.09</v>
      </c>
      <c r="U151" s="2"/>
      <c r="V151" s="19">
        <f t="shared" si="28"/>
        <v>7.7711381401077945E-5</v>
      </c>
      <c r="W151" s="2"/>
      <c r="X151" s="2">
        <f t="shared" si="29"/>
        <v>-359.09</v>
      </c>
      <c r="Y151" s="2"/>
      <c r="Z151" s="19">
        <f t="shared" si="30"/>
        <v>-1</v>
      </c>
    </row>
    <row r="152" spans="1:26" s="24" customFormat="1" hidden="1" outlineLevel="1" x14ac:dyDescent="0.25">
      <c r="A152" s="44"/>
      <c r="B152" s="11" t="str">
        <f>CONCATENATE("          ", "5545", " - ", "FREIGHT-IN-SPECIAL ORDERS")</f>
        <v xml:space="preserve">          5545 - FREIGHT-IN-SPECIAL ORDERS</v>
      </c>
      <c r="C152" s="11"/>
      <c r="D152" s="2">
        <v>189.66</v>
      </c>
      <c r="E152" s="2"/>
      <c r="F152" s="19">
        <f t="shared" si="23"/>
        <v>1.1845677910858616E-3</v>
      </c>
      <c r="G152" s="2"/>
      <c r="H152" s="2">
        <v>84.47</v>
      </c>
      <c r="I152" s="2"/>
      <c r="J152" s="19">
        <f t="shared" si="24"/>
        <v>1.7641552311243848E-4</v>
      </c>
      <c r="K152" s="2"/>
      <c r="L152" s="2">
        <f t="shared" si="25"/>
        <v>105.19</v>
      </c>
      <c r="M152" s="2"/>
      <c r="N152" s="19">
        <f t="shared" si="26"/>
        <v>1.2452941872854268</v>
      </c>
      <c r="O152" s="11"/>
      <c r="P152" s="2">
        <v>850.27</v>
      </c>
      <c r="Q152" s="2"/>
      <c r="R152" s="19">
        <f t="shared" si="27"/>
        <v>3.6120063469901784E-4</v>
      </c>
      <c r="S152" s="2"/>
      <c r="T152" s="2">
        <v>346.98</v>
      </c>
      <c r="U152" s="2"/>
      <c r="V152" s="19">
        <f t="shared" si="28"/>
        <v>7.509063220514643E-5</v>
      </c>
      <c r="W152" s="2"/>
      <c r="X152" s="2">
        <f t="shared" si="29"/>
        <v>503.28999999999996</v>
      </c>
      <c r="Y152" s="2"/>
      <c r="Z152" s="19">
        <f t="shared" si="30"/>
        <v>1.4504870597728974</v>
      </c>
    </row>
    <row r="153" spans="1:26" s="24" customFormat="1" hidden="1" outlineLevel="1" x14ac:dyDescent="0.25">
      <c r="A153" s="44"/>
      <c r="B153" s="11" t="str">
        <f>CONCATENATE("          ", "5592", " - ", "FREIGHT-IN-GRAD MERCH")</f>
        <v xml:space="preserve">          5592 - FREIGHT-IN-GRAD MERCH</v>
      </c>
      <c r="C153" s="11"/>
      <c r="D153" s="2"/>
      <c r="E153" s="2"/>
      <c r="F153" s="19">
        <f t="shared" si="23"/>
        <v>0</v>
      </c>
      <c r="G153" s="2"/>
      <c r="H153" s="2"/>
      <c r="I153" s="2"/>
      <c r="J153" s="19">
        <f t="shared" si="24"/>
        <v>0</v>
      </c>
      <c r="K153" s="2"/>
      <c r="L153" s="2">
        <f t="shared" si="25"/>
        <v>0</v>
      </c>
      <c r="M153" s="2"/>
      <c r="N153" s="19">
        <f t="shared" si="26"/>
        <v>0</v>
      </c>
      <c r="O153" s="11"/>
      <c r="P153" s="2"/>
      <c r="Q153" s="2"/>
      <c r="R153" s="19">
        <f t="shared" si="27"/>
        <v>0</v>
      </c>
      <c r="S153" s="2"/>
      <c r="T153" s="2">
        <v>70.78</v>
      </c>
      <c r="U153" s="2"/>
      <c r="V153" s="19">
        <f t="shared" si="28"/>
        <v>1.5317640634850032E-5</v>
      </c>
      <c r="W153" s="2"/>
      <c r="X153" s="2">
        <f t="shared" si="29"/>
        <v>-70.78</v>
      </c>
      <c r="Y153" s="2"/>
      <c r="Z153" s="19">
        <f t="shared" si="30"/>
        <v>-1</v>
      </c>
    </row>
    <row r="154" spans="1:26" x14ac:dyDescent="0.25">
      <c r="A154" s="9"/>
      <c r="B154" s="10"/>
      <c r="C154" s="10"/>
      <c r="D154" s="3"/>
      <c r="E154" s="3"/>
      <c r="F154" s="8"/>
      <c r="G154" s="3"/>
      <c r="H154" s="3"/>
      <c r="I154" s="3"/>
      <c r="J154" s="8"/>
      <c r="K154" s="3"/>
      <c r="L154" s="3"/>
      <c r="M154" s="3"/>
      <c r="N154" s="8"/>
      <c r="O154" s="10"/>
      <c r="P154" s="3"/>
      <c r="Q154" s="3"/>
      <c r="R154" s="8"/>
      <c r="S154" s="3"/>
      <c r="T154" s="3"/>
      <c r="U154" s="3"/>
      <c r="V154" s="8"/>
      <c r="W154" s="3"/>
      <c r="X154" s="3"/>
      <c r="Y154" s="3"/>
      <c r="Z154" s="8"/>
    </row>
    <row r="155" spans="1:26" s="23" customFormat="1" x14ac:dyDescent="0.25">
      <c r="A155" s="10"/>
      <c r="B155" s="25" t="s">
        <v>6</v>
      </c>
      <c r="C155" s="25"/>
      <c r="D155" s="20">
        <f>D12-D105</f>
        <v>73638.530000000042</v>
      </c>
      <c r="E155" s="13"/>
      <c r="F155" s="21">
        <f>IF(D$12=0,0,D155/D$12)</f>
        <v>0.45992740072187077</v>
      </c>
      <c r="G155" s="13"/>
      <c r="H155" s="20">
        <f>H12-H105</f>
        <v>265722.14</v>
      </c>
      <c r="I155" s="13"/>
      <c r="J155" s="21">
        <f>IF(H$12=0,0,H155/H$12)</f>
        <v>0.55496046324916082</v>
      </c>
      <c r="K155" s="15"/>
      <c r="L155" s="20">
        <f>+D155-H155</f>
        <v>-192083.61</v>
      </c>
      <c r="M155" s="15"/>
      <c r="N155" s="21">
        <f>IF(H155=0,0,L155/H155)</f>
        <v>-0.72287393891980534</v>
      </c>
      <c r="O155" s="26"/>
      <c r="P155" s="20">
        <f>P12-P105</f>
        <v>813580.32999999961</v>
      </c>
      <c r="Q155" s="13"/>
      <c r="R155" s="21">
        <f>IF(P$12=0,0,P155/P$12)</f>
        <v>0.34561460662452664</v>
      </c>
      <c r="S155" s="13"/>
      <c r="T155" s="20">
        <f>T12-T105</f>
        <v>1805622.8499999982</v>
      </c>
      <c r="U155" s="13"/>
      <c r="V155" s="21">
        <f>IF(T$12=0,0,T155/T$12)</f>
        <v>0.39075843371536728</v>
      </c>
      <c r="W155" s="15"/>
      <c r="X155" s="20">
        <f>+P155-T155</f>
        <v>-992042.51999999862</v>
      </c>
      <c r="Y155" s="15"/>
      <c r="Z155" s="21">
        <f>IF(T155=0,0,X155/T155)</f>
        <v>-0.54941845690532753</v>
      </c>
    </row>
    <row r="156" spans="1:26" x14ac:dyDescent="0.25">
      <c r="A156" s="9"/>
      <c r="B156" s="10"/>
      <c r="C156" s="9"/>
      <c r="D156" s="1"/>
      <c r="E156" s="1"/>
      <c r="F156" s="5"/>
      <c r="G156" s="1"/>
      <c r="H156" s="1"/>
      <c r="I156" s="1"/>
      <c r="J156" s="5"/>
      <c r="K156" s="1"/>
      <c r="L156" s="1"/>
      <c r="M156" s="1"/>
      <c r="N156" s="5"/>
      <c r="O156" s="37"/>
      <c r="P156" s="1"/>
      <c r="Q156" s="1"/>
      <c r="R156" s="5"/>
      <c r="S156" s="1"/>
      <c r="T156" s="1"/>
      <c r="U156" s="1"/>
      <c r="V156" s="5"/>
      <c r="W156" s="1"/>
      <c r="X156" s="1"/>
      <c r="Y156" s="1"/>
      <c r="Z156" s="5"/>
    </row>
    <row r="157" spans="1:26" s="23" customFormat="1" x14ac:dyDescent="0.25">
      <c r="A157" s="10"/>
      <c r="B157" s="26" t="s">
        <v>9</v>
      </c>
      <c r="C157" s="10"/>
      <c r="D157" s="22">
        <f>SUM(OSRRefD22x_0)</f>
        <v>320952.99000000011</v>
      </c>
      <c r="E157" s="22"/>
      <c r="F157" s="36">
        <f t="shared" ref="F157:F168" si="31">IF(D$12=0,0,D157/D$12)</f>
        <v>2.0045901845760983</v>
      </c>
      <c r="G157" s="22"/>
      <c r="H157" s="22">
        <f>SUM(OSRRefH22x_0)</f>
        <v>402930.09000000008</v>
      </c>
      <c r="I157" s="22"/>
      <c r="J157" s="36">
        <f t="shared" ref="J157:J168" si="32">IF(H$12=0,0,H157/H$12)</f>
        <v>0.84151915005436173</v>
      </c>
      <c r="K157" s="4"/>
      <c r="L157" s="22">
        <f t="shared" ref="L157:L168" si="33">+D157-H157</f>
        <v>-81977.099999999977</v>
      </c>
      <c r="M157" s="4"/>
      <c r="N157" s="36">
        <f t="shared" ref="N157:N168" si="34">IF(H157=0,0,L157/H157)</f>
        <v>-0.20345241528127114</v>
      </c>
      <c r="O157" s="10"/>
      <c r="P157" s="22">
        <f>SUM(OSRRefP22x_0)</f>
        <v>1123241.1299999997</v>
      </c>
      <c r="Q157" s="22"/>
      <c r="R157" s="36">
        <f t="shared" ref="R157:R168" si="35">IF(P$12=0,0,P157/P$12)</f>
        <v>0.47716067728608785</v>
      </c>
      <c r="S157" s="22"/>
      <c r="T157" s="22">
        <f>SUM(OSRRefT22x_0)</f>
        <v>1523023.7099999993</v>
      </c>
      <c r="U157" s="22"/>
      <c r="V157" s="36">
        <f t="shared" ref="V157:V168" si="36">IF(T$12=0,0,T157/T$12)</f>
        <v>0.32960059152495108</v>
      </c>
      <c r="W157" s="4"/>
      <c r="X157" s="22">
        <f t="shared" ref="X157:X168" si="37">+P157-T157</f>
        <v>-399782.57999999961</v>
      </c>
      <c r="Y157" s="4"/>
      <c r="Z157" s="36">
        <f t="shared" ref="Z157:Z168" si="38">IF(T157=0,0,X157/T157)</f>
        <v>-0.26249268305875539</v>
      </c>
    </row>
    <row r="158" spans="1:26" s="29" customFormat="1" outlineLevel="1" collapsed="1" x14ac:dyDescent="0.25">
      <c r="A158" s="27"/>
      <c r="B158" s="14" t="str">
        <f>CONCATENATE("     ","*Benefits                                         ")</f>
        <v xml:space="preserve">     *Benefits                                         </v>
      </c>
      <c r="C158" s="14"/>
      <c r="D158" s="1">
        <f>SUM(OSRRefD22_0x_0)</f>
        <v>47918.080000000002</v>
      </c>
      <c r="E158" s="1"/>
      <c r="F158" s="5">
        <f t="shared" si="31"/>
        <v>0.29928405662066654</v>
      </c>
      <c r="G158" s="1"/>
      <c r="H158" s="1">
        <f>SUM(OSRRefH22_0x_0)</f>
        <v>60988.17</v>
      </c>
      <c r="I158" s="1"/>
      <c r="J158" s="5">
        <f t="shared" si="32"/>
        <v>0.12737374114147423</v>
      </c>
      <c r="K158" s="1"/>
      <c r="L158" s="1">
        <f t="shared" si="33"/>
        <v>-13070.089999999997</v>
      </c>
      <c r="M158" s="1"/>
      <c r="N158" s="5">
        <f t="shared" si="34"/>
        <v>-0.21430533167333923</v>
      </c>
      <c r="O158" s="14"/>
      <c r="P158" s="1">
        <f>SUM(OSRRefP22_0x_0)</f>
        <v>180908.62999999998</v>
      </c>
      <c r="Q158" s="1"/>
      <c r="R158" s="5">
        <f t="shared" si="35"/>
        <v>7.6851249577816194E-2</v>
      </c>
      <c r="S158" s="1"/>
      <c r="T158" s="1">
        <f>SUM(OSRRefT22_0x_0)</f>
        <v>217425.46000000002</v>
      </c>
      <c r="U158" s="1"/>
      <c r="V158" s="5">
        <f t="shared" si="36"/>
        <v>4.7053476421968922E-2</v>
      </c>
      <c r="W158" s="1"/>
      <c r="X158" s="1">
        <f t="shared" si="37"/>
        <v>-36516.830000000045</v>
      </c>
      <c r="Y158" s="1"/>
      <c r="Z158" s="5">
        <f t="shared" si="38"/>
        <v>-0.16795103020593835</v>
      </c>
    </row>
    <row r="159" spans="1:26" s="24" customFormat="1" hidden="1" outlineLevel="2" x14ac:dyDescent="0.25">
      <c r="A159" s="28"/>
      <c r="B159" s="11" t="str">
        <f>CONCATENATE("          ", "6111", " - ", "F.I.C.A.")</f>
        <v xml:space="preserve">          6111 - F.I.C.A.</v>
      </c>
      <c r="C159" s="11"/>
      <c r="D159" s="6">
        <v>12100.84</v>
      </c>
      <c r="E159" s="2"/>
      <c r="F159" s="7">
        <f t="shared" si="31"/>
        <v>7.5578747807041227E-2</v>
      </c>
      <c r="G159" s="2"/>
      <c r="H159" s="6">
        <v>15804.64</v>
      </c>
      <c r="I159" s="2"/>
      <c r="J159" s="7">
        <f t="shared" si="32"/>
        <v>3.3007977189579374E-2</v>
      </c>
      <c r="K159" s="2"/>
      <c r="L159" s="6">
        <f t="shared" si="33"/>
        <v>-3703.7999999999993</v>
      </c>
      <c r="M159" s="2"/>
      <c r="N159" s="7">
        <f t="shared" si="34"/>
        <v>-0.23434890006985287</v>
      </c>
      <c r="O159" s="11"/>
      <c r="P159" s="6">
        <v>41707.870000000003</v>
      </c>
      <c r="Q159" s="2"/>
      <c r="R159" s="7">
        <f t="shared" si="35"/>
        <v>1.7717794484039338E-2</v>
      </c>
      <c r="S159" s="2"/>
      <c r="T159" s="6">
        <v>48200.75</v>
      </c>
      <c r="U159" s="2"/>
      <c r="V159" s="7">
        <f t="shared" si="36"/>
        <v>1.0431220215177277E-2</v>
      </c>
      <c r="W159" s="2"/>
      <c r="X159" s="6">
        <f t="shared" si="37"/>
        <v>-6492.8799999999974</v>
      </c>
      <c r="Y159" s="2"/>
      <c r="Z159" s="7">
        <f t="shared" si="38"/>
        <v>-0.1347049579104059</v>
      </c>
    </row>
    <row r="160" spans="1:26" s="24" customFormat="1" hidden="1" outlineLevel="2" x14ac:dyDescent="0.25">
      <c r="A160" s="28"/>
      <c r="B160" s="11" t="str">
        <f>CONCATENATE("          ", "6112", " - ", "COMPENSATION INSURANCE")</f>
        <v xml:space="preserve">          6112 - COMPENSATION INSURANCE</v>
      </c>
      <c r="C160" s="11"/>
      <c r="D160" s="6">
        <v>1743.97</v>
      </c>
      <c r="E160" s="2"/>
      <c r="F160" s="7">
        <f t="shared" si="31"/>
        <v>1.0892390016977805E-2</v>
      </c>
      <c r="G160" s="2"/>
      <c r="H160" s="6">
        <v>88.86</v>
      </c>
      <c r="I160" s="2"/>
      <c r="J160" s="7">
        <f t="shared" si="32"/>
        <v>1.8558403437636184E-4</v>
      </c>
      <c r="K160" s="2"/>
      <c r="L160" s="6">
        <f t="shared" si="33"/>
        <v>1655.1100000000001</v>
      </c>
      <c r="M160" s="2"/>
      <c r="N160" s="7">
        <f t="shared" si="34"/>
        <v>18.626040963313077</v>
      </c>
      <c r="O160" s="11"/>
      <c r="P160" s="6">
        <v>9958.42</v>
      </c>
      <c r="Q160" s="2"/>
      <c r="R160" s="7">
        <f t="shared" si="35"/>
        <v>4.2304063704463211E-3</v>
      </c>
      <c r="S160" s="2"/>
      <c r="T160" s="6">
        <v>8248.8799999999992</v>
      </c>
      <c r="U160" s="2"/>
      <c r="V160" s="7">
        <f t="shared" si="36"/>
        <v>1.7851565340491905E-3</v>
      </c>
      <c r="W160" s="2"/>
      <c r="X160" s="6">
        <f t="shared" si="37"/>
        <v>1709.5400000000009</v>
      </c>
      <c r="Y160" s="2"/>
      <c r="Z160" s="7">
        <f t="shared" si="38"/>
        <v>0.20724510478998373</v>
      </c>
    </row>
    <row r="161" spans="1:26" s="24" customFormat="1" hidden="1" outlineLevel="2" x14ac:dyDescent="0.25">
      <c r="A161" s="28"/>
      <c r="B161" s="11" t="str">
        <f>CONCATENATE("          ", "6113", " - ", "GROUP INSURANCE")</f>
        <v xml:space="preserve">          6113 - GROUP INSURANCE</v>
      </c>
      <c r="C161" s="11"/>
      <c r="D161" s="6">
        <v>14801.22</v>
      </c>
      <c r="E161" s="2"/>
      <c r="F161" s="7">
        <f t="shared" si="31"/>
        <v>9.2444629762606118E-2</v>
      </c>
      <c r="G161" s="2"/>
      <c r="H161" s="6">
        <v>19005.5</v>
      </c>
      <c r="I161" s="2"/>
      <c r="J161" s="7">
        <f t="shared" si="32"/>
        <v>3.9692970575511424E-2</v>
      </c>
      <c r="K161" s="2"/>
      <c r="L161" s="6">
        <f t="shared" si="33"/>
        <v>-4204.2800000000007</v>
      </c>
      <c r="M161" s="2"/>
      <c r="N161" s="7">
        <f t="shared" si="34"/>
        <v>-0.2212138591460367</v>
      </c>
      <c r="O161" s="11"/>
      <c r="P161" s="6">
        <v>58586.21</v>
      </c>
      <c r="Q161" s="2"/>
      <c r="R161" s="7">
        <f t="shared" si="35"/>
        <v>2.4887831202570886E-2</v>
      </c>
      <c r="S161" s="2"/>
      <c r="T161" s="6">
        <v>75569.600000000006</v>
      </c>
      <c r="U161" s="2"/>
      <c r="V161" s="7">
        <f t="shared" si="36"/>
        <v>1.6354167500979979E-2</v>
      </c>
      <c r="W161" s="2"/>
      <c r="X161" s="6">
        <f t="shared" si="37"/>
        <v>-16983.390000000007</v>
      </c>
      <c r="Y161" s="2"/>
      <c r="Z161" s="7">
        <f t="shared" si="38"/>
        <v>-0.22473838686455935</v>
      </c>
    </row>
    <row r="162" spans="1:26" s="24" customFormat="1" hidden="1" outlineLevel="2" x14ac:dyDescent="0.25">
      <c r="A162" s="28"/>
      <c r="B162" s="11" t="str">
        <f>CONCATENATE("          ", "6114", " - ", "STATE UNEMPLOYMENT INSURANCE")</f>
        <v xml:space="preserve">          6114 - STATE UNEMPLOYMENT INSURANCE</v>
      </c>
      <c r="C162" s="11"/>
      <c r="D162" s="6">
        <v>302.25</v>
      </c>
      <c r="E162" s="2"/>
      <c r="F162" s="7">
        <f t="shared" si="31"/>
        <v>1.887776098574827E-3</v>
      </c>
      <c r="G162" s="2"/>
      <c r="H162" s="6">
        <v>601.82000000000005</v>
      </c>
      <c r="I162" s="2"/>
      <c r="J162" s="7">
        <f t="shared" si="32"/>
        <v>1.2569005578255917E-3</v>
      </c>
      <c r="K162" s="2"/>
      <c r="L162" s="6">
        <f t="shared" si="33"/>
        <v>-299.57000000000005</v>
      </c>
      <c r="M162" s="2"/>
      <c r="N162" s="7">
        <f t="shared" si="34"/>
        <v>-0.4977734206241069</v>
      </c>
      <c r="O162" s="11"/>
      <c r="P162" s="6">
        <v>1438.09</v>
      </c>
      <c r="Q162" s="2"/>
      <c r="R162" s="7">
        <f t="shared" si="35"/>
        <v>6.1091067631965207E-4</v>
      </c>
      <c r="S162" s="2"/>
      <c r="T162" s="6">
        <v>2006.24</v>
      </c>
      <c r="U162" s="2"/>
      <c r="V162" s="7">
        <f t="shared" si="36"/>
        <v>4.341743903258198E-4</v>
      </c>
      <c r="W162" s="2"/>
      <c r="X162" s="6">
        <f t="shared" si="37"/>
        <v>-568.15000000000009</v>
      </c>
      <c r="Y162" s="2"/>
      <c r="Z162" s="7">
        <f t="shared" si="38"/>
        <v>-0.28319144269877983</v>
      </c>
    </row>
    <row r="163" spans="1:26" s="24" customFormat="1" hidden="1" outlineLevel="2" x14ac:dyDescent="0.25">
      <c r="A163" s="28"/>
      <c r="B163" s="11" t="str">
        <f>CONCATENATE("          ", "6115", " - ", "P.E.R.S.")</f>
        <v xml:space="preserve">          6115 - P.E.R.S.</v>
      </c>
      <c r="C163" s="11"/>
      <c r="D163" s="6">
        <v>4938.6400000000003</v>
      </c>
      <c r="E163" s="2"/>
      <c r="F163" s="7">
        <f t="shared" si="31"/>
        <v>3.0845480732723193E-2</v>
      </c>
      <c r="G163" s="2"/>
      <c r="H163" s="6">
        <v>10951.07</v>
      </c>
      <c r="I163" s="2"/>
      <c r="J163" s="7">
        <f t="shared" si="32"/>
        <v>2.2871300375173809E-2</v>
      </c>
      <c r="K163" s="2"/>
      <c r="L163" s="6">
        <f t="shared" si="33"/>
        <v>-6012.4299999999994</v>
      </c>
      <c r="M163" s="2"/>
      <c r="N163" s="7">
        <f t="shared" si="34"/>
        <v>-0.54902671611084575</v>
      </c>
      <c r="O163" s="11"/>
      <c r="P163" s="6">
        <v>25183.17</v>
      </c>
      <c r="Q163" s="2"/>
      <c r="R163" s="7">
        <f t="shared" si="35"/>
        <v>1.0697986507501459E-2</v>
      </c>
      <c r="S163" s="2"/>
      <c r="T163" s="6">
        <v>29641.030000000002</v>
      </c>
      <c r="U163" s="2"/>
      <c r="V163" s="7">
        <f t="shared" si="36"/>
        <v>6.414674280683934E-3</v>
      </c>
      <c r="W163" s="2"/>
      <c r="X163" s="6">
        <f t="shared" si="37"/>
        <v>-4457.8600000000042</v>
      </c>
      <c r="Y163" s="2"/>
      <c r="Z163" s="7">
        <f t="shared" si="38"/>
        <v>-0.15039490867894956</v>
      </c>
    </row>
    <row r="164" spans="1:26" s="24" customFormat="1" hidden="1" outlineLevel="2" x14ac:dyDescent="0.25">
      <c r="A164" s="28"/>
      <c r="B164" s="11" t="str">
        <f>CONCATENATE("          ", "6116", " - ", "EDUCATIONAL BENEFITS")</f>
        <v xml:space="preserve">          6116 - EDUCATIONAL BENEFITS</v>
      </c>
      <c r="C164" s="11"/>
      <c r="D164" s="6"/>
      <c r="E164" s="2"/>
      <c r="F164" s="7">
        <f t="shared" si="31"/>
        <v>0</v>
      </c>
      <c r="G164" s="2"/>
      <c r="H164" s="6"/>
      <c r="I164" s="2"/>
      <c r="J164" s="7">
        <f t="shared" si="32"/>
        <v>0</v>
      </c>
      <c r="K164" s="2"/>
      <c r="L164" s="6">
        <f t="shared" si="33"/>
        <v>0</v>
      </c>
      <c r="M164" s="2"/>
      <c r="N164" s="7">
        <f t="shared" si="34"/>
        <v>0</v>
      </c>
      <c r="O164" s="11"/>
      <c r="P164" s="6">
        <v>0</v>
      </c>
      <c r="Q164" s="2"/>
      <c r="R164" s="7">
        <f t="shared" si="35"/>
        <v>0</v>
      </c>
      <c r="S164" s="2"/>
      <c r="T164" s="6"/>
      <c r="U164" s="2"/>
      <c r="V164" s="7">
        <f t="shared" si="36"/>
        <v>0</v>
      </c>
      <c r="W164" s="2"/>
      <c r="X164" s="6">
        <f t="shared" si="37"/>
        <v>0</v>
      </c>
      <c r="Y164" s="2"/>
      <c r="Z164" s="7">
        <f t="shared" si="38"/>
        <v>0</v>
      </c>
    </row>
    <row r="165" spans="1:26" s="24" customFormat="1" hidden="1" outlineLevel="2" x14ac:dyDescent="0.25">
      <c r="A165" s="28"/>
      <c r="B165" s="11" t="str">
        <f>CONCATENATE("          ", "6117", " - ", "RETIREMENT STAFF HOURLY")</f>
        <v xml:space="preserve">          6117 - RETIREMENT STAFF HOURLY</v>
      </c>
      <c r="C165" s="11"/>
      <c r="D165" s="6">
        <v>222.97</v>
      </c>
      <c r="E165" s="2"/>
      <c r="F165" s="7">
        <f t="shared" si="31"/>
        <v>1.3926135209238351E-3</v>
      </c>
      <c r="G165" s="2"/>
      <c r="H165" s="6">
        <v>91.29</v>
      </c>
      <c r="I165" s="2"/>
      <c r="J165" s="7">
        <f t="shared" si="32"/>
        <v>1.9065908730832854E-4</v>
      </c>
      <c r="K165" s="2"/>
      <c r="L165" s="6">
        <f t="shared" si="33"/>
        <v>131.68</v>
      </c>
      <c r="M165" s="2"/>
      <c r="N165" s="7">
        <f t="shared" si="34"/>
        <v>1.4424361923540365</v>
      </c>
      <c r="O165" s="11"/>
      <c r="P165" s="6">
        <v>1060.74</v>
      </c>
      <c r="Q165" s="2"/>
      <c r="R165" s="7">
        <f t="shared" si="35"/>
        <v>4.506097607238127E-4</v>
      </c>
      <c r="S165" s="2"/>
      <c r="T165" s="6">
        <v>552.63</v>
      </c>
      <c r="U165" s="2"/>
      <c r="V165" s="7">
        <f t="shared" si="36"/>
        <v>1.1959575789823639E-4</v>
      </c>
      <c r="W165" s="2"/>
      <c r="X165" s="6">
        <f t="shared" si="37"/>
        <v>508.11</v>
      </c>
      <c r="Y165" s="2"/>
      <c r="Z165" s="7">
        <f t="shared" si="38"/>
        <v>0.91943976982791387</v>
      </c>
    </row>
    <row r="166" spans="1:26" s="24" customFormat="1" hidden="1" outlineLevel="2" x14ac:dyDescent="0.25">
      <c r="A166" s="28"/>
      <c r="B166" s="11" t="str">
        <f>CONCATENATE("          ", "6118", " - ", "VACATION")</f>
        <v xml:space="preserve">          6118 - VACATION</v>
      </c>
      <c r="C166" s="11"/>
      <c r="D166" s="6">
        <v>6844.14</v>
      </c>
      <c r="E166" s="2"/>
      <c r="F166" s="7">
        <f t="shared" si="31"/>
        <v>4.2746745764433144E-2</v>
      </c>
      <c r="G166" s="2"/>
      <c r="H166" s="6">
        <v>7232.76</v>
      </c>
      <c r="I166" s="2"/>
      <c r="J166" s="7">
        <f t="shared" si="32"/>
        <v>1.5105613104613717E-2</v>
      </c>
      <c r="K166" s="2"/>
      <c r="L166" s="6">
        <f t="shared" si="33"/>
        <v>-388.61999999999989</v>
      </c>
      <c r="M166" s="2"/>
      <c r="N166" s="7">
        <f t="shared" si="34"/>
        <v>-5.3730526106216696E-2</v>
      </c>
      <c r="O166" s="11"/>
      <c r="P166" s="6">
        <v>21273.710000000003</v>
      </c>
      <c r="Q166" s="2"/>
      <c r="R166" s="7">
        <f t="shared" si="35"/>
        <v>9.0372205939323325E-3</v>
      </c>
      <c r="S166" s="2"/>
      <c r="T166" s="6">
        <v>24697.98</v>
      </c>
      <c r="U166" s="2"/>
      <c r="V166" s="7">
        <f t="shared" si="36"/>
        <v>5.3449389947260997E-3</v>
      </c>
      <c r="W166" s="2"/>
      <c r="X166" s="6">
        <f t="shared" si="37"/>
        <v>-3424.2699999999968</v>
      </c>
      <c r="Y166" s="2"/>
      <c r="Z166" s="7">
        <f t="shared" si="38"/>
        <v>-0.13864575159587939</v>
      </c>
    </row>
    <row r="167" spans="1:26" s="24" customFormat="1" hidden="1" outlineLevel="2" x14ac:dyDescent="0.25">
      <c r="A167" s="28"/>
      <c r="B167" s="11" t="str">
        <f>CONCATENATE("          ", "6119", " - ", "SICK LEAVE")</f>
        <v xml:space="preserve">          6119 - SICK LEAVE</v>
      </c>
      <c r="C167" s="11"/>
      <c r="D167" s="6">
        <v>5141</v>
      </c>
      <c r="E167" s="2"/>
      <c r="F167" s="7">
        <f t="shared" si="31"/>
        <v>3.2109369471540729E-2</v>
      </c>
      <c r="G167" s="2"/>
      <c r="H167" s="6">
        <v>5069.59</v>
      </c>
      <c r="I167" s="2"/>
      <c r="J167" s="7">
        <f t="shared" si="32"/>
        <v>1.0587834400563361E-2</v>
      </c>
      <c r="K167" s="2"/>
      <c r="L167" s="6">
        <f t="shared" si="33"/>
        <v>71.409999999999854</v>
      </c>
      <c r="M167" s="2"/>
      <c r="N167" s="7">
        <f t="shared" si="34"/>
        <v>1.4085951723906637E-2</v>
      </c>
      <c r="O167" s="11"/>
      <c r="P167" s="6">
        <v>15619.46</v>
      </c>
      <c r="Q167" s="2"/>
      <c r="R167" s="7">
        <f t="shared" si="35"/>
        <v>6.6352557019016562E-3</v>
      </c>
      <c r="S167" s="2"/>
      <c r="T167" s="6">
        <v>20571.350000000002</v>
      </c>
      <c r="U167" s="2"/>
      <c r="V167" s="7">
        <f t="shared" si="36"/>
        <v>4.451886785443942E-3</v>
      </c>
      <c r="W167" s="2"/>
      <c r="X167" s="6">
        <f t="shared" si="37"/>
        <v>-4951.8900000000031</v>
      </c>
      <c r="Y167" s="2"/>
      <c r="Z167" s="7">
        <f t="shared" si="38"/>
        <v>-0.24071779440824265</v>
      </c>
    </row>
    <row r="168" spans="1:26" s="24" customFormat="1" hidden="1" outlineLevel="2" x14ac:dyDescent="0.25">
      <c r="A168" s="28"/>
      <c r="B168" s="11" t="str">
        <f>CONCATENATE("          ", "6156", " - ", "EMPLOYEE MEALS")</f>
        <v xml:space="preserve">          6156 - EMPLOYEE MEALS</v>
      </c>
      <c r="C168" s="11"/>
      <c r="D168" s="6">
        <v>1823.05</v>
      </c>
      <c r="E168" s="2"/>
      <c r="F168" s="7">
        <f t="shared" si="31"/>
        <v>1.138630344584562E-2</v>
      </c>
      <c r="G168" s="2"/>
      <c r="H168" s="6">
        <v>2142.64</v>
      </c>
      <c r="I168" s="2"/>
      <c r="J168" s="7">
        <f t="shared" si="32"/>
        <v>4.4749018165222585E-3</v>
      </c>
      <c r="K168" s="2"/>
      <c r="L168" s="6">
        <f t="shared" si="33"/>
        <v>-319.58999999999992</v>
      </c>
      <c r="M168" s="2"/>
      <c r="N168" s="7">
        <f t="shared" si="34"/>
        <v>-0.14915711458761152</v>
      </c>
      <c r="O168" s="11"/>
      <c r="P168" s="6">
        <v>6080.96</v>
      </c>
      <c r="Q168" s="2"/>
      <c r="R168" s="7">
        <f t="shared" si="35"/>
        <v>2.5832342803807492E-3</v>
      </c>
      <c r="S168" s="2"/>
      <c r="T168" s="6">
        <v>7937</v>
      </c>
      <c r="U168" s="2"/>
      <c r="V168" s="7">
        <f t="shared" si="36"/>
        <v>1.7176619626844405E-3</v>
      </c>
      <c r="W168" s="2"/>
      <c r="X168" s="6">
        <f t="shared" si="37"/>
        <v>-1856.04</v>
      </c>
      <c r="Y168" s="2"/>
      <c r="Z168" s="7">
        <f t="shared" si="38"/>
        <v>-0.2338465415144261</v>
      </c>
    </row>
    <row r="169" spans="1:26" s="29" customFormat="1" outlineLevel="1" collapsed="1" x14ac:dyDescent="0.25">
      <c r="A169" s="27"/>
      <c r="B169" s="14" t="str">
        <f>CONCATENATE("     ","*Payroll                                          ")</f>
        <v xml:space="preserve">     *Payroll                                          </v>
      </c>
      <c r="C169" s="14"/>
      <c r="D169" s="1">
        <f>SUM(OSRRefD22_1x_0)</f>
        <v>117475.85999999999</v>
      </c>
      <c r="E169" s="1"/>
      <c r="F169" s="5">
        <f t="shared" ref="F169:F176" si="39">IF(D$12=0,0,D169/D$12)</f>
        <v>0.73372413785780832</v>
      </c>
      <c r="G169" s="1"/>
      <c r="H169" s="1">
        <f>SUM(OSRRefH22_1x_0)</f>
        <v>184807.12</v>
      </c>
      <c r="I169" s="1"/>
      <c r="J169" s="5">
        <f t="shared" ref="J169:J176" si="40">IF(H$12=0,0,H169/H$12)</f>
        <v>0.38596951284128322</v>
      </c>
      <c r="K169" s="1"/>
      <c r="L169" s="1">
        <f t="shared" ref="L169:L176" si="41">+D169-H169</f>
        <v>-67331.260000000009</v>
      </c>
      <c r="M169" s="1"/>
      <c r="N169" s="5">
        <f t="shared" ref="N169:N176" si="42">IF(H169=0,0,L169/H169)</f>
        <v>-0.3643326079644551</v>
      </c>
      <c r="O169" s="14"/>
      <c r="P169" s="1">
        <f>SUM(OSRRefP22_1x_0)</f>
        <v>518204.42999999993</v>
      </c>
      <c r="Q169" s="1"/>
      <c r="R169" s="5">
        <f t="shared" ref="R169:R176" si="43">IF(P$12=0,0,P169/P$12)</f>
        <v>0.22013686125565143</v>
      </c>
      <c r="S169" s="1"/>
      <c r="T169" s="1">
        <f>SUM(OSRRefT22_1x_0)</f>
        <v>751398.41999999993</v>
      </c>
      <c r="U169" s="1"/>
      <c r="V169" s="5">
        <f t="shared" ref="V169:V176" si="44">IF(T$12=0,0,T169/T$12)</f>
        <v>0.16261162717086902</v>
      </c>
      <c r="W169" s="1"/>
      <c r="X169" s="1">
        <f t="shared" ref="X169:X176" si="45">+P169-T169</f>
        <v>-233193.99</v>
      </c>
      <c r="Y169" s="1"/>
      <c r="Z169" s="5">
        <f t="shared" ref="Z169:Z176" si="46">IF(T169=0,0,X169/T169)</f>
        <v>-0.31034666003157158</v>
      </c>
    </row>
    <row r="170" spans="1:26" s="24" customFormat="1" hidden="1" outlineLevel="2" x14ac:dyDescent="0.25">
      <c r="A170" s="28"/>
      <c r="B170" s="11" t="str">
        <f>CONCATENATE("          ", "6001", " - ", "ADMINISTRATIVE SALARIES")</f>
        <v xml:space="preserve">          6001 - ADMINISTRATIVE SALARIES</v>
      </c>
      <c r="C170" s="11"/>
      <c r="D170" s="6">
        <v>4205.17</v>
      </c>
      <c r="E170" s="2"/>
      <c r="F170" s="7">
        <f t="shared" si="39"/>
        <v>2.626441494274245E-2</v>
      </c>
      <c r="G170" s="2"/>
      <c r="H170" s="6">
        <v>12324.99</v>
      </c>
      <c r="I170" s="2"/>
      <c r="J170" s="7">
        <f t="shared" si="40"/>
        <v>2.5740731125909473E-2</v>
      </c>
      <c r="K170" s="2"/>
      <c r="L170" s="6">
        <f t="shared" si="41"/>
        <v>-8119.82</v>
      </c>
      <c r="M170" s="2"/>
      <c r="N170" s="7">
        <f t="shared" si="42"/>
        <v>-0.65880945948029168</v>
      </c>
      <c r="O170" s="11"/>
      <c r="P170" s="6">
        <v>17142.5</v>
      </c>
      <c r="Q170" s="2"/>
      <c r="R170" s="7">
        <f t="shared" si="43"/>
        <v>7.2822537315534053E-3</v>
      </c>
      <c r="S170" s="2"/>
      <c r="T170" s="6">
        <v>46083.689999999995</v>
      </c>
      <c r="U170" s="2"/>
      <c r="V170" s="7">
        <f t="shared" si="44"/>
        <v>9.9730630481468206E-3</v>
      </c>
      <c r="W170" s="2"/>
      <c r="X170" s="6">
        <f t="shared" si="45"/>
        <v>-28941.189999999995</v>
      </c>
      <c r="Y170" s="2"/>
      <c r="Z170" s="7">
        <f t="shared" si="46"/>
        <v>-0.6280137289353348</v>
      </c>
    </row>
    <row r="171" spans="1:26" s="24" customFormat="1" hidden="1" outlineLevel="2" x14ac:dyDescent="0.25">
      <c r="A171" s="28"/>
      <c r="B171" s="11" t="str">
        <f>CONCATENATE("          ", "6002", " - ", "STAFF SALARIES")</f>
        <v xml:space="preserve">          6002 - STAFF SALARIES</v>
      </c>
      <c r="C171" s="11"/>
      <c r="D171" s="6">
        <v>55040.29</v>
      </c>
      <c r="E171" s="2"/>
      <c r="F171" s="7">
        <f t="shared" si="39"/>
        <v>0.34376755639578849</v>
      </c>
      <c r="G171" s="2"/>
      <c r="H171" s="6">
        <v>65123.100000000006</v>
      </c>
      <c r="I171" s="2"/>
      <c r="J171" s="7">
        <f t="shared" si="40"/>
        <v>0.136009538927473</v>
      </c>
      <c r="K171" s="2"/>
      <c r="L171" s="6">
        <f t="shared" si="41"/>
        <v>-10082.810000000005</v>
      </c>
      <c r="M171" s="2"/>
      <c r="N171" s="7">
        <f t="shared" si="42"/>
        <v>-0.15482693544994025</v>
      </c>
      <c r="O171" s="11"/>
      <c r="P171" s="6">
        <v>226974.17</v>
      </c>
      <c r="Q171" s="2"/>
      <c r="R171" s="7">
        <f t="shared" si="43"/>
        <v>9.6420212713941203E-2</v>
      </c>
      <c r="S171" s="2"/>
      <c r="T171" s="6">
        <v>245044.26</v>
      </c>
      <c r="U171" s="2"/>
      <c r="V171" s="7">
        <f t="shared" si="44"/>
        <v>5.303051588461085E-2</v>
      </c>
      <c r="W171" s="2"/>
      <c r="X171" s="6">
        <f t="shared" si="45"/>
        <v>-18070.089999999997</v>
      </c>
      <c r="Y171" s="2"/>
      <c r="Z171" s="7">
        <f t="shared" si="46"/>
        <v>-7.37421476430421E-2</v>
      </c>
    </row>
    <row r="172" spans="1:26" s="24" customFormat="1" hidden="1" outlineLevel="2" x14ac:dyDescent="0.25">
      <c r="A172" s="28"/>
      <c r="B172" s="11" t="str">
        <f>CONCATENATE("          ", "6004", " - ", "STAFF HOURLY")</f>
        <v xml:space="preserve">          6004 - STAFF HOURLY</v>
      </c>
      <c r="C172" s="11"/>
      <c r="D172" s="6">
        <v>18098.75</v>
      </c>
      <c r="E172" s="2"/>
      <c r="F172" s="7">
        <f t="shared" si="39"/>
        <v>0.11304015769753896</v>
      </c>
      <c r="G172" s="2"/>
      <c r="H172" s="6">
        <v>4439.95</v>
      </c>
      <c r="I172" s="2"/>
      <c r="J172" s="7">
        <f t="shared" si="40"/>
        <v>9.2728317964137705E-3</v>
      </c>
      <c r="K172" s="2"/>
      <c r="L172" s="6">
        <f t="shared" si="41"/>
        <v>13658.8</v>
      </c>
      <c r="M172" s="2"/>
      <c r="N172" s="7">
        <f t="shared" si="42"/>
        <v>3.0763409497854703</v>
      </c>
      <c r="O172" s="11"/>
      <c r="P172" s="6">
        <v>63576.800000000003</v>
      </c>
      <c r="Q172" s="2"/>
      <c r="R172" s="7">
        <f t="shared" si="43"/>
        <v>2.7007868691277501E-2</v>
      </c>
      <c r="S172" s="2"/>
      <c r="T172" s="6">
        <v>10542.16</v>
      </c>
      <c r="U172" s="2"/>
      <c r="V172" s="7">
        <f t="shared" si="44"/>
        <v>2.2814498219142498E-3</v>
      </c>
      <c r="W172" s="2"/>
      <c r="X172" s="6">
        <f t="shared" si="45"/>
        <v>53034.64</v>
      </c>
      <c r="Y172" s="2"/>
      <c r="Z172" s="7">
        <f t="shared" si="46"/>
        <v>5.0307185624198461</v>
      </c>
    </row>
    <row r="173" spans="1:26" s="24" customFormat="1" hidden="1" outlineLevel="2" x14ac:dyDescent="0.25">
      <c r="A173" s="28"/>
      <c r="B173" s="11" t="str">
        <f>CONCATENATE("          ", "6005", " - ", "TEMPORARY WAGES-HOURLY")</f>
        <v xml:space="preserve">          6005 - TEMPORARY WAGES-HOURLY</v>
      </c>
      <c r="C173" s="11"/>
      <c r="D173" s="6">
        <v>19636.400000000001</v>
      </c>
      <c r="E173" s="2"/>
      <c r="F173" s="7">
        <f t="shared" si="39"/>
        <v>0.12264392582979235</v>
      </c>
      <c r="G173" s="2"/>
      <c r="H173" s="6">
        <v>23952.5</v>
      </c>
      <c r="I173" s="2"/>
      <c r="J173" s="7">
        <f t="shared" si="40"/>
        <v>5.0024775865404082E-2</v>
      </c>
      <c r="K173" s="2"/>
      <c r="L173" s="6">
        <f t="shared" si="41"/>
        <v>-4316.0999999999985</v>
      </c>
      <c r="M173" s="2"/>
      <c r="N173" s="7">
        <f t="shared" si="42"/>
        <v>-0.18019413422398492</v>
      </c>
      <c r="O173" s="11"/>
      <c r="P173" s="6">
        <v>80368.899999999994</v>
      </c>
      <c r="Q173" s="2"/>
      <c r="R173" s="7">
        <f t="shared" si="43"/>
        <v>3.4141270055466966E-2</v>
      </c>
      <c r="S173" s="2"/>
      <c r="T173" s="6">
        <v>74768.26999999999</v>
      </c>
      <c r="U173" s="2"/>
      <c r="V173" s="7">
        <f t="shared" si="44"/>
        <v>1.6180750081229704E-2</v>
      </c>
      <c r="W173" s="2"/>
      <c r="X173" s="6">
        <f t="shared" si="45"/>
        <v>5600.6300000000047</v>
      </c>
      <c r="Y173" s="2"/>
      <c r="Z173" s="7">
        <f t="shared" si="46"/>
        <v>7.4906507800702168E-2</v>
      </c>
    </row>
    <row r="174" spans="1:26" s="24" customFormat="1" hidden="1" outlineLevel="2" x14ac:dyDescent="0.25">
      <c r="A174" s="28"/>
      <c r="B174" s="11" t="str">
        <f>CONCATENATE("          ", "6006", " - ", "TEMPORARY PART TIME")</f>
        <v xml:space="preserve">          6006 - TEMPORARY PART TIME</v>
      </c>
      <c r="C174" s="11"/>
      <c r="D174" s="6">
        <v>1802.76</v>
      </c>
      <c r="E174" s="2"/>
      <c r="F174" s="7">
        <f t="shared" si="39"/>
        <v>1.1259577301792409E-2</v>
      </c>
      <c r="G174" s="2"/>
      <c r="H174" s="6">
        <v>4321.62</v>
      </c>
      <c r="I174" s="2"/>
      <c r="J174" s="7">
        <f t="shared" si="40"/>
        <v>9.0256996921176322E-3</v>
      </c>
      <c r="K174" s="2"/>
      <c r="L174" s="6">
        <f t="shared" si="41"/>
        <v>-2518.8599999999997</v>
      </c>
      <c r="M174" s="2"/>
      <c r="N174" s="7">
        <f t="shared" si="42"/>
        <v>-0.58285087536618208</v>
      </c>
      <c r="O174" s="11"/>
      <c r="P174" s="6">
        <v>7507.17</v>
      </c>
      <c r="Q174" s="2"/>
      <c r="R174" s="7">
        <f t="shared" si="43"/>
        <v>3.1890982497247062E-3</v>
      </c>
      <c r="S174" s="2"/>
      <c r="T174" s="6">
        <v>18538</v>
      </c>
      <c r="U174" s="2"/>
      <c r="V174" s="7">
        <f t="shared" si="44"/>
        <v>4.0118454660758671E-3</v>
      </c>
      <c r="W174" s="2"/>
      <c r="X174" s="6">
        <f t="shared" si="45"/>
        <v>-11030.83</v>
      </c>
      <c r="Y174" s="2"/>
      <c r="Z174" s="7">
        <f t="shared" si="46"/>
        <v>-0.59503883914122346</v>
      </c>
    </row>
    <row r="175" spans="1:26" s="24" customFormat="1" hidden="1" outlineLevel="2" x14ac:dyDescent="0.25">
      <c r="A175" s="28"/>
      <c r="B175" s="11" t="str">
        <f>CONCATENATE("          ", "6007", " - ", "STUDENT HOURLY")</f>
        <v xml:space="preserve">          6007 - STUDENT HOURLY</v>
      </c>
      <c r="C175" s="11"/>
      <c r="D175" s="6">
        <v>17216.47</v>
      </c>
      <c r="E175" s="2"/>
      <c r="F175" s="7">
        <f t="shared" si="39"/>
        <v>0.10752966275543609</v>
      </c>
      <c r="G175" s="2"/>
      <c r="H175" s="6">
        <v>73537.959999999992</v>
      </c>
      <c r="I175" s="2"/>
      <c r="J175" s="7">
        <f t="shared" si="40"/>
        <v>0.15358396687606932</v>
      </c>
      <c r="K175" s="2"/>
      <c r="L175" s="6">
        <f t="shared" si="41"/>
        <v>-56321.489999999991</v>
      </c>
      <c r="M175" s="2"/>
      <c r="N175" s="7">
        <f t="shared" si="42"/>
        <v>-0.76588322547973864</v>
      </c>
      <c r="O175" s="11"/>
      <c r="P175" s="6">
        <v>119670.17</v>
      </c>
      <c r="Q175" s="2"/>
      <c r="R175" s="7">
        <f t="shared" si="43"/>
        <v>5.083672405064199E-2</v>
      </c>
      <c r="S175" s="2"/>
      <c r="T175" s="6">
        <v>351691.04</v>
      </c>
      <c r="U175" s="2"/>
      <c r="V175" s="7">
        <f t="shared" si="44"/>
        <v>7.6110157745361215E-2</v>
      </c>
      <c r="W175" s="2"/>
      <c r="X175" s="6">
        <f t="shared" si="45"/>
        <v>-232020.87</v>
      </c>
      <c r="Y175" s="2"/>
      <c r="Z175" s="7">
        <f t="shared" si="46"/>
        <v>-0.65972926122883313</v>
      </c>
    </row>
    <row r="176" spans="1:26" s="24" customFormat="1" hidden="1" outlineLevel="2" x14ac:dyDescent="0.25">
      <c r="A176" s="28"/>
      <c r="B176" s="11" t="str">
        <f>CONCATENATE("          ", "6008", " - ", "STUDENT HOURLY-FICA EXEMPT")</f>
        <v xml:space="preserve">          6008 - STUDENT HOURLY-FICA EXEMPT</v>
      </c>
      <c r="C176" s="11"/>
      <c r="D176" s="6">
        <v>1476.02</v>
      </c>
      <c r="E176" s="2"/>
      <c r="F176" s="7">
        <f t="shared" si="39"/>
        <v>9.218842934717671E-3</v>
      </c>
      <c r="G176" s="2"/>
      <c r="H176" s="6">
        <v>1107</v>
      </c>
      <c r="I176" s="2"/>
      <c r="J176" s="7">
        <f t="shared" si="40"/>
        <v>2.3119685578959323E-3</v>
      </c>
      <c r="K176" s="2"/>
      <c r="L176" s="6">
        <f t="shared" si="41"/>
        <v>369.02</v>
      </c>
      <c r="M176" s="2"/>
      <c r="N176" s="7">
        <f t="shared" si="42"/>
        <v>0.33335140018066844</v>
      </c>
      <c r="O176" s="11"/>
      <c r="P176" s="6">
        <v>2964.72</v>
      </c>
      <c r="Q176" s="2"/>
      <c r="R176" s="7">
        <f t="shared" si="43"/>
        <v>1.2594337630457057E-3</v>
      </c>
      <c r="S176" s="2"/>
      <c r="T176" s="6">
        <v>4731</v>
      </c>
      <c r="U176" s="2"/>
      <c r="V176" s="7">
        <f t="shared" si="44"/>
        <v>1.0238451235303121E-3</v>
      </c>
      <c r="W176" s="2"/>
      <c r="X176" s="6">
        <f t="shared" si="45"/>
        <v>-1766.2800000000002</v>
      </c>
      <c r="Y176" s="2"/>
      <c r="Z176" s="7">
        <f t="shared" si="46"/>
        <v>-0.37334178820545344</v>
      </c>
    </row>
    <row r="177" spans="1:26" s="29" customFormat="1" outlineLevel="1" collapsed="1" x14ac:dyDescent="0.25">
      <c r="A177" s="27"/>
      <c r="B177" s="14" t="str">
        <f>CONCATENATE("     ","Advertising/Promo                                 ")</f>
        <v xml:space="preserve">     Advertising/Promo                                 </v>
      </c>
      <c r="C177" s="14"/>
      <c r="D177" s="1">
        <f>SUM(OSRRefD22_2x_0)</f>
        <v>1316.16</v>
      </c>
      <c r="E177" s="1"/>
      <c r="F177" s="5">
        <f t="shared" ref="F177:F181" si="47">IF(D$12=0,0,D177/D$12)</f>
        <v>8.2203983123250446E-3</v>
      </c>
      <c r="G177" s="1"/>
      <c r="H177" s="1">
        <f>SUM(OSRRefH22_2x_0)</f>
        <v>10759.12</v>
      </c>
      <c r="I177" s="1"/>
      <c r="J177" s="5">
        <f t="shared" ref="J177:J181" si="48">IF(H$12=0,0,H177/H$12)</f>
        <v>2.2470412963531423E-2</v>
      </c>
      <c r="K177" s="1"/>
      <c r="L177" s="1">
        <f t="shared" ref="L177:L181" si="49">+D177-H177</f>
        <v>-9442.9600000000009</v>
      </c>
      <c r="M177" s="1"/>
      <c r="N177" s="5">
        <f t="shared" ref="N177:N181" si="50">IF(H177=0,0,L177/H177)</f>
        <v>-0.87767029273769603</v>
      </c>
      <c r="O177" s="14"/>
      <c r="P177" s="1">
        <f>SUM(OSRRefP22_2x_0)</f>
        <v>13709.75</v>
      </c>
      <c r="Q177" s="1"/>
      <c r="R177" s="5">
        <f t="shared" ref="R177:R181" si="51">IF(P$12=0,0,P177/P$12)</f>
        <v>5.8239975555586581E-3</v>
      </c>
      <c r="S177" s="1"/>
      <c r="T177" s="1">
        <f>SUM(OSRRefT22_2x_0)</f>
        <v>17766.8</v>
      </c>
      <c r="U177" s="1"/>
      <c r="V177" s="5">
        <f t="shared" ref="V177:V181" si="52">IF(T$12=0,0,T177/T$12)</f>
        <v>3.8449485395769074E-3</v>
      </c>
      <c r="W177" s="1"/>
      <c r="X177" s="1">
        <f t="shared" ref="X177:X181" si="53">+P177-T177</f>
        <v>-4057.0499999999993</v>
      </c>
      <c r="Y177" s="1"/>
      <c r="Z177" s="5">
        <f t="shared" ref="Z177:Z181" si="54">IF(T177=0,0,X177/T177)</f>
        <v>-0.2283500686674021</v>
      </c>
    </row>
    <row r="178" spans="1:26" s="24" customFormat="1" hidden="1" outlineLevel="2" x14ac:dyDescent="0.25">
      <c r="A178" s="28"/>
      <c r="B178" s="11" t="str">
        <f>CONCATENATE("          ", "6362", " - ", "ADVERTISING EXPENSE")</f>
        <v xml:space="preserve">          6362 - ADVERTISING EXPENSE</v>
      </c>
      <c r="C178" s="11"/>
      <c r="D178" s="6">
        <v>1316.16</v>
      </c>
      <c r="E178" s="2"/>
      <c r="F178" s="7">
        <f t="shared" si="47"/>
        <v>8.2203983123250446E-3</v>
      </c>
      <c r="G178" s="2"/>
      <c r="H178" s="6">
        <v>10759.12</v>
      </c>
      <c r="I178" s="2"/>
      <c r="J178" s="7">
        <f t="shared" si="48"/>
        <v>2.2470412963531423E-2</v>
      </c>
      <c r="K178" s="2"/>
      <c r="L178" s="6">
        <f t="shared" si="49"/>
        <v>-9442.9600000000009</v>
      </c>
      <c r="M178" s="2"/>
      <c r="N178" s="7">
        <f t="shared" si="50"/>
        <v>-0.87767029273769603</v>
      </c>
      <c r="O178" s="11"/>
      <c r="P178" s="6">
        <v>13709.75</v>
      </c>
      <c r="Q178" s="2"/>
      <c r="R178" s="7">
        <f t="shared" si="51"/>
        <v>5.8239975555586581E-3</v>
      </c>
      <c r="S178" s="2"/>
      <c r="T178" s="6">
        <v>17766.8</v>
      </c>
      <c r="U178" s="2"/>
      <c r="V178" s="7">
        <f t="shared" si="52"/>
        <v>3.8449485395769074E-3</v>
      </c>
      <c r="W178" s="2"/>
      <c r="X178" s="6">
        <f t="shared" si="53"/>
        <v>-4057.0499999999993</v>
      </c>
      <c r="Y178" s="2"/>
      <c r="Z178" s="7">
        <f t="shared" si="54"/>
        <v>-0.2283500686674021</v>
      </c>
    </row>
    <row r="179" spans="1:26" s="29" customFormat="1" outlineLevel="1" collapsed="1" x14ac:dyDescent="0.25">
      <c r="A179" s="27"/>
      <c r="B179" s="14" t="str">
        <f>CONCATENATE("     ","Bad Debts/Over/Short                              ")</f>
        <v xml:space="preserve">     Bad Debts/Over/Short                              </v>
      </c>
      <c r="C179" s="14"/>
      <c r="D179" s="1">
        <f>SUM(OSRRefD22_3x_0)</f>
        <v>-29.45</v>
      </c>
      <c r="E179" s="1"/>
      <c r="F179" s="5">
        <f t="shared" si="47"/>
        <v>-1.8393715832267546E-4</v>
      </c>
      <c r="G179" s="1"/>
      <c r="H179" s="1">
        <f>SUM(OSRRefH22_3x_0)</f>
        <v>87.5</v>
      </c>
      <c r="I179" s="1"/>
      <c r="J179" s="5">
        <f t="shared" si="48"/>
        <v>1.8274367553377965E-4</v>
      </c>
      <c r="K179" s="1"/>
      <c r="L179" s="1">
        <f t="shared" si="49"/>
        <v>-116.95</v>
      </c>
      <c r="M179" s="1"/>
      <c r="N179" s="5">
        <f t="shared" si="50"/>
        <v>-1.3365714285714285</v>
      </c>
      <c r="O179" s="14"/>
      <c r="P179" s="1">
        <f>SUM(OSRRefP22_3x_0)</f>
        <v>50.56</v>
      </c>
      <c r="Q179" s="1"/>
      <c r="R179" s="5">
        <f t="shared" si="51"/>
        <v>2.1478241135618502E-5</v>
      </c>
      <c r="S179" s="1"/>
      <c r="T179" s="1">
        <f>SUM(OSRRefT22_3x_0)</f>
        <v>-77.650000000000006</v>
      </c>
      <c r="U179" s="1"/>
      <c r="V179" s="5">
        <f t="shared" si="52"/>
        <v>-1.6804391004466022E-5</v>
      </c>
      <c r="W179" s="1"/>
      <c r="X179" s="1">
        <f t="shared" si="53"/>
        <v>128.21</v>
      </c>
      <c r="Y179" s="1"/>
      <c r="Z179" s="5">
        <f t="shared" si="54"/>
        <v>-1.6511268512556343</v>
      </c>
    </row>
    <row r="180" spans="1:26" s="24" customFormat="1" hidden="1" outlineLevel="2" x14ac:dyDescent="0.25">
      <c r="A180" s="28"/>
      <c r="B180" s="11" t="str">
        <f>CONCATENATE("          ", "6272", " - ", "CASH (OVER/SHORT)")</f>
        <v xml:space="preserve">          6272 - CASH (OVER/SHORT)</v>
      </c>
      <c r="C180" s="11"/>
      <c r="D180" s="6">
        <v>-29.45</v>
      </c>
      <c r="E180" s="2"/>
      <c r="F180" s="7">
        <f t="shared" si="47"/>
        <v>-1.8393715832267546E-4</v>
      </c>
      <c r="G180" s="2"/>
      <c r="H180" s="6">
        <v>42.7</v>
      </c>
      <c r="I180" s="2"/>
      <c r="J180" s="7">
        <f t="shared" si="48"/>
        <v>8.9178913660484474E-5</v>
      </c>
      <c r="K180" s="2"/>
      <c r="L180" s="6">
        <f t="shared" si="49"/>
        <v>-72.150000000000006</v>
      </c>
      <c r="M180" s="2"/>
      <c r="N180" s="7">
        <f t="shared" si="50"/>
        <v>-1.689695550351288</v>
      </c>
      <c r="O180" s="11"/>
      <c r="P180" s="6">
        <v>50.56</v>
      </c>
      <c r="Q180" s="2"/>
      <c r="R180" s="7">
        <f t="shared" si="51"/>
        <v>2.1478241135618502E-5</v>
      </c>
      <c r="S180" s="2"/>
      <c r="T180" s="6">
        <v>-122.45</v>
      </c>
      <c r="U180" s="2"/>
      <c r="V180" s="7">
        <f t="shared" si="52"/>
        <v>-2.6499648145484408E-5</v>
      </c>
      <c r="W180" s="2"/>
      <c r="X180" s="6">
        <f t="shared" si="53"/>
        <v>173.01</v>
      </c>
      <c r="Y180" s="2"/>
      <c r="Z180" s="7">
        <f t="shared" si="54"/>
        <v>-1.4129032258064516</v>
      </c>
    </row>
    <row r="181" spans="1:26" s="24" customFormat="1" hidden="1" outlineLevel="2" x14ac:dyDescent="0.25">
      <c r="A181" s="28"/>
      <c r="B181" s="11" t="str">
        <f>CONCATENATE("          ", "6342", " - ", "BAD DEBT")</f>
        <v xml:space="preserve">          6342 - BAD DEBT</v>
      </c>
      <c r="C181" s="11"/>
      <c r="D181" s="6"/>
      <c r="E181" s="2"/>
      <c r="F181" s="7">
        <f t="shared" si="47"/>
        <v>0</v>
      </c>
      <c r="G181" s="2"/>
      <c r="H181" s="6">
        <v>44.8</v>
      </c>
      <c r="I181" s="2"/>
      <c r="J181" s="7">
        <f t="shared" si="48"/>
        <v>9.3564761873295179E-5</v>
      </c>
      <c r="K181" s="2"/>
      <c r="L181" s="6">
        <f t="shared" si="49"/>
        <v>-44.8</v>
      </c>
      <c r="M181" s="2"/>
      <c r="N181" s="7">
        <f t="shared" si="50"/>
        <v>-1</v>
      </c>
      <c r="O181" s="11"/>
      <c r="P181" s="6"/>
      <c r="Q181" s="2"/>
      <c r="R181" s="7">
        <f t="shared" si="51"/>
        <v>0</v>
      </c>
      <c r="S181" s="2"/>
      <c r="T181" s="6">
        <v>44.8</v>
      </c>
      <c r="U181" s="2"/>
      <c r="V181" s="7">
        <f t="shared" si="52"/>
        <v>9.6952571410183861E-6</v>
      </c>
      <c r="W181" s="2"/>
      <c r="X181" s="6">
        <f t="shared" si="53"/>
        <v>-44.8</v>
      </c>
      <c r="Y181" s="2"/>
      <c r="Z181" s="7">
        <f t="shared" si="54"/>
        <v>-1</v>
      </c>
    </row>
    <row r="182" spans="1:26" s="29" customFormat="1" outlineLevel="1" collapsed="1" x14ac:dyDescent="0.25">
      <c r="A182" s="27"/>
      <c r="B182" s="14" t="str">
        <f>CONCATENATE("     ","Bank/card Fees                                    ")</f>
        <v xml:space="preserve">     Bank/card Fees                                    </v>
      </c>
      <c r="C182" s="14"/>
      <c r="D182" s="1">
        <f>SUM(OSRRefD22_4x_0)</f>
        <v>4891.9799999999996</v>
      </c>
      <c r="E182" s="1"/>
      <c r="F182" s="5">
        <f t="shared" ref="F182:F186" si="55">IF(D$12=0,0,D182/D$12)</f>
        <v>3.0554054321608209E-2</v>
      </c>
      <c r="G182" s="1"/>
      <c r="H182" s="1">
        <f>SUM(OSRRefH22_4x_0)</f>
        <v>11091.96</v>
      </c>
      <c r="I182" s="1"/>
      <c r="J182" s="5">
        <f t="shared" ref="J182:J186" si="56">IF(H$12=0,0,H182/H$12)</f>
        <v>2.3165549020270428E-2</v>
      </c>
      <c r="K182" s="1"/>
      <c r="L182" s="1">
        <f t="shared" ref="L182:L186" si="57">+D182-H182</f>
        <v>-6199.98</v>
      </c>
      <c r="M182" s="1"/>
      <c r="N182" s="5">
        <f t="shared" ref="N182:N186" si="58">IF(H182=0,0,L182/H182)</f>
        <v>-0.55896162625902002</v>
      </c>
      <c r="O182" s="14"/>
      <c r="P182" s="1">
        <f>SUM(OSRRefP22_4x_0)</f>
        <v>39139.75</v>
      </c>
      <c r="Q182" s="1"/>
      <c r="R182" s="5">
        <f t="shared" ref="R182:R186" si="59">IF(P$12=0,0,P182/P$12)</f>
        <v>1.6626839171040828E-2</v>
      </c>
      <c r="S182" s="1"/>
      <c r="T182" s="1">
        <f>SUM(OSRRefT22_4x_0)</f>
        <v>71349.02</v>
      </c>
      <c r="U182" s="1"/>
      <c r="V182" s="5">
        <f t="shared" ref="V182:V186" si="60">IF(T$12=0,0,T182/T$12)</f>
        <v>1.5440783385260351E-2</v>
      </c>
      <c r="W182" s="1"/>
      <c r="X182" s="1">
        <f t="shared" ref="X182:X186" si="61">+P182-T182</f>
        <v>-32209.270000000004</v>
      </c>
      <c r="Y182" s="1"/>
      <c r="Z182" s="5">
        <f t="shared" ref="Z182:Z186" si="62">IF(T182=0,0,X182/T182)</f>
        <v>-0.45143254945898348</v>
      </c>
    </row>
    <row r="183" spans="1:26" s="24" customFormat="1" hidden="1" outlineLevel="2" x14ac:dyDescent="0.25">
      <c r="A183" s="28"/>
      <c r="B183" s="11" t="str">
        <f>CONCATENATE("          ", "6381", " - ", "BANK/CREDIT CARD FEES")</f>
        <v xml:space="preserve">          6381 - BANK/CREDIT CARD FEES</v>
      </c>
      <c r="C183" s="11"/>
      <c r="D183" s="6">
        <v>4891.9799999999996</v>
      </c>
      <c r="E183" s="2"/>
      <c r="F183" s="7">
        <f t="shared" si="55"/>
        <v>3.0554054321608209E-2</v>
      </c>
      <c r="G183" s="2"/>
      <c r="H183" s="6">
        <v>11091.96</v>
      </c>
      <c r="I183" s="2"/>
      <c r="J183" s="7">
        <f t="shared" si="56"/>
        <v>2.3165549020270428E-2</v>
      </c>
      <c r="K183" s="2"/>
      <c r="L183" s="6">
        <f t="shared" si="57"/>
        <v>-6199.98</v>
      </c>
      <c r="M183" s="2"/>
      <c r="N183" s="7">
        <f t="shared" si="58"/>
        <v>-0.55896162625902002</v>
      </c>
      <c r="O183" s="11"/>
      <c r="P183" s="6">
        <v>39139.75</v>
      </c>
      <c r="Q183" s="2"/>
      <c r="R183" s="7">
        <f t="shared" si="59"/>
        <v>1.6626839171040828E-2</v>
      </c>
      <c r="S183" s="2"/>
      <c r="T183" s="6">
        <v>71349.02</v>
      </c>
      <c r="U183" s="2"/>
      <c r="V183" s="7">
        <f t="shared" si="60"/>
        <v>1.5440783385260351E-2</v>
      </c>
      <c r="W183" s="2"/>
      <c r="X183" s="6">
        <f t="shared" si="61"/>
        <v>-32209.270000000004</v>
      </c>
      <c r="Y183" s="2"/>
      <c r="Z183" s="7">
        <f t="shared" si="62"/>
        <v>-0.45143254945898348</v>
      </c>
    </row>
    <row r="184" spans="1:26" s="29" customFormat="1" outlineLevel="1" collapsed="1" x14ac:dyDescent="0.25">
      <c r="A184" s="27"/>
      <c r="B184" s="14" t="str">
        <f>CONCATENATE("     ","Depreciation                                      ")</f>
        <v xml:space="preserve">     Depreciation                                      </v>
      </c>
      <c r="C184" s="14"/>
      <c r="D184" s="1">
        <f>SUM(OSRRefD22_5x_0)</f>
        <v>30735.86</v>
      </c>
      <c r="E184" s="1"/>
      <c r="F184" s="5">
        <f t="shared" si="55"/>
        <v>0.19196831059434932</v>
      </c>
      <c r="G184" s="1"/>
      <c r="H184" s="1">
        <f>SUM(OSRRefH22_5x_0)</f>
        <v>29607.43</v>
      </c>
      <c r="I184" s="1"/>
      <c r="J184" s="5">
        <f t="shared" si="56"/>
        <v>6.1835092357818214E-2</v>
      </c>
      <c r="K184" s="1"/>
      <c r="L184" s="1">
        <f t="shared" si="57"/>
        <v>1128.4300000000003</v>
      </c>
      <c r="M184" s="1"/>
      <c r="N184" s="5">
        <f t="shared" si="58"/>
        <v>3.811306823996545E-2</v>
      </c>
      <c r="O184" s="14"/>
      <c r="P184" s="1">
        <f>SUM(OSRRefP22_5x_0)</f>
        <v>123238.89</v>
      </c>
      <c r="Q184" s="1"/>
      <c r="R184" s="5">
        <f t="shared" si="59"/>
        <v>5.2352741232317319E-2</v>
      </c>
      <c r="S184" s="1"/>
      <c r="T184" s="1">
        <f>SUM(OSRRefT22_5x_0)</f>
        <v>118429.72</v>
      </c>
      <c r="U184" s="1"/>
      <c r="V184" s="5">
        <f t="shared" si="60"/>
        <v>2.562961135131268E-2</v>
      </c>
      <c r="W184" s="1"/>
      <c r="X184" s="1">
        <f t="shared" si="61"/>
        <v>4809.1699999999983</v>
      </c>
      <c r="Y184" s="1"/>
      <c r="Z184" s="5">
        <f t="shared" si="62"/>
        <v>4.06077967591243E-2</v>
      </c>
    </row>
    <row r="185" spans="1:26" s="24" customFormat="1" hidden="1" outlineLevel="2" x14ac:dyDescent="0.25">
      <c r="A185" s="28"/>
      <c r="B185" s="11" t="str">
        <f>CONCATENATE("          ", "6321", " - ", "BUILDING DEPRECIATION")</f>
        <v xml:space="preserve">          6321 - BUILDING DEPRECIATION</v>
      </c>
      <c r="C185" s="11"/>
      <c r="D185" s="6">
        <v>16396.52</v>
      </c>
      <c r="E185" s="2"/>
      <c r="F185" s="7">
        <f t="shared" si="55"/>
        <v>0.10240846503161001</v>
      </c>
      <c r="G185" s="2"/>
      <c r="H185" s="6">
        <v>16396.52</v>
      </c>
      <c r="I185" s="2"/>
      <c r="J185" s="7">
        <f t="shared" si="56"/>
        <v>3.4244118065864332E-2</v>
      </c>
      <c r="K185" s="2"/>
      <c r="L185" s="6">
        <f t="shared" si="57"/>
        <v>0</v>
      </c>
      <c r="M185" s="2"/>
      <c r="N185" s="7">
        <f t="shared" si="58"/>
        <v>0</v>
      </c>
      <c r="O185" s="11"/>
      <c r="P185" s="6">
        <v>65586.080000000002</v>
      </c>
      <c r="Q185" s="2"/>
      <c r="R185" s="7">
        <f t="shared" si="59"/>
        <v>2.7861424869065784E-2</v>
      </c>
      <c r="S185" s="2"/>
      <c r="T185" s="6">
        <v>65586.080000000002</v>
      </c>
      <c r="U185" s="2"/>
      <c r="V185" s="7">
        <f t="shared" si="60"/>
        <v>1.4193614073022392E-2</v>
      </c>
      <c r="W185" s="2"/>
      <c r="X185" s="6">
        <f t="shared" si="61"/>
        <v>0</v>
      </c>
      <c r="Y185" s="2"/>
      <c r="Z185" s="7">
        <f t="shared" si="62"/>
        <v>0</v>
      </c>
    </row>
    <row r="186" spans="1:26" s="24" customFormat="1" hidden="1" outlineLevel="2" x14ac:dyDescent="0.25">
      <c r="A186" s="28"/>
      <c r="B186" s="11" t="str">
        <f>CONCATENATE("          ", "6322", " - ", "EQUIPMENT DEPRECIATION EXPENSE")</f>
        <v xml:space="preserve">          6322 - EQUIPMENT DEPRECIATION EXPENSE</v>
      </c>
      <c r="C186" s="11"/>
      <c r="D186" s="6">
        <v>14339.34</v>
      </c>
      <c r="E186" s="2"/>
      <c r="F186" s="7">
        <f t="shared" si="55"/>
        <v>8.9559845562739326E-2</v>
      </c>
      <c r="G186" s="2"/>
      <c r="H186" s="6">
        <v>13210.91</v>
      </c>
      <c r="I186" s="2"/>
      <c r="J186" s="7">
        <f t="shared" si="56"/>
        <v>2.7590974291953885E-2</v>
      </c>
      <c r="K186" s="2"/>
      <c r="L186" s="6">
        <f t="shared" si="57"/>
        <v>1128.4300000000003</v>
      </c>
      <c r="M186" s="2"/>
      <c r="N186" s="7">
        <f t="shared" si="58"/>
        <v>8.5416523161538485E-2</v>
      </c>
      <c r="O186" s="11"/>
      <c r="P186" s="6">
        <v>57652.81</v>
      </c>
      <c r="Q186" s="2"/>
      <c r="R186" s="7">
        <f t="shared" si="59"/>
        <v>2.4491316363251536E-2</v>
      </c>
      <c r="S186" s="2"/>
      <c r="T186" s="6">
        <v>52843.64</v>
      </c>
      <c r="U186" s="2"/>
      <c r="V186" s="7">
        <f t="shared" si="60"/>
        <v>1.1435997278290286E-2</v>
      </c>
      <c r="W186" s="2"/>
      <c r="X186" s="6">
        <f t="shared" si="61"/>
        <v>4809.1699999999983</v>
      </c>
      <c r="Y186" s="2"/>
      <c r="Z186" s="7">
        <f t="shared" si="62"/>
        <v>9.1007546035814305E-2</v>
      </c>
    </row>
    <row r="187" spans="1:26" s="29" customFormat="1" outlineLevel="1" collapsed="1" x14ac:dyDescent="0.25">
      <c r="A187" s="27"/>
      <c r="B187" s="14" t="str">
        <f>CONCATENATE("     ","Discounts and Markdowns                           ")</f>
        <v xml:space="preserve">     Discounts and Markdowns                           </v>
      </c>
      <c r="C187" s="14"/>
      <c r="D187" s="1">
        <f>SUM(OSRRefD22_6x_0)</f>
        <v>-1249.8000000000002</v>
      </c>
      <c r="E187" s="1"/>
      <c r="F187" s="5">
        <f t="shared" ref="F187:F189" si="63">IF(D$12=0,0,D187/D$12)</f>
        <v>-7.8059307460672262E-3</v>
      </c>
      <c r="G187" s="1"/>
      <c r="H187" s="1">
        <f>SUM(OSRRefH22_6x_0)</f>
        <v>33772.049999999996</v>
      </c>
      <c r="I187" s="1"/>
      <c r="J187" s="5">
        <f t="shared" ref="J187:J189" si="64">IF(H$12=0,0,H187/H$12)</f>
        <v>7.053289768354952E-2</v>
      </c>
      <c r="K187" s="1"/>
      <c r="L187" s="1">
        <f t="shared" ref="L187:L189" si="65">+D187-H187</f>
        <v>-35021.85</v>
      </c>
      <c r="M187" s="1"/>
      <c r="N187" s="5">
        <f t="shared" ref="N187:N189" si="66">IF(H187=0,0,L187/H187)</f>
        <v>-1.0370069332480558</v>
      </c>
      <c r="O187" s="14"/>
      <c r="P187" s="1">
        <f>SUM(OSRRefP22_6x_0)</f>
        <v>-418.85</v>
      </c>
      <c r="Q187" s="1"/>
      <c r="R187" s="5">
        <f t="shared" ref="R187:R189" si="67">IF(P$12=0,0,P187/P$12)</f>
        <v>-1.7793040545201365E-4</v>
      </c>
      <c r="S187" s="1"/>
      <c r="T187" s="1">
        <f>SUM(OSRRefT22_6x_0)</f>
        <v>97800.790000000008</v>
      </c>
      <c r="U187" s="1"/>
      <c r="V187" s="5">
        <f t="shared" ref="V187:V189" si="68">IF(T$12=0,0,T187/T$12)</f>
        <v>2.1165263563498654E-2</v>
      </c>
      <c r="W187" s="1"/>
      <c r="X187" s="1">
        <f t="shared" ref="X187:X189" si="69">+P187-T187</f>
        <v>-98219.640000000014</v>
      </c>
      <c r="Y187" s="1"/>
      <c r="Z187" s="5">
        <f t="shared" ref="Z187:Z189" si="70">IF(T187=0,0,X187/T187)</f>
        <v>-1.0042826852421132</v>
      </c>
    </row>
    <row r="188" spans="1:26" s="24" customFormat="1" hidden="1" outlineLevel="2" x14ac:dyDescent="0.25">
      <c r="A188" s="28"/>
      <c r="B188" s="11" t="str">
        <f>CONCATENATE("          ", "6382", " - ", "DISCOUNTS/MARK DOWNS")</f>
        <v xml:space="preserve">          6382 - DISCOUNTS/MARK DOWNS</v>
      </c>
      <c r="C188" s="11"/>
      <c r="D188" s="6">
        <v>-830.95</v>
      </c>
      <c r="E188" s="2"/>
      <c r="F188" s="7">
        <f t="shared" si="63"/>
        <v>-5.1899009069007532E-3</v>
      </c>
      <c r="G188" s="2"/>
      <c r="H188" s="6">
        <v>34241.939999999995</v>
      </c>
      <c r="I188" s="2"/>
      <c r="J188" s="7">
        <f t="shared" si="64"/>
        <v>7.1514262548653146E-2</v>
      </c>
      <c r="K188" s="2"/>
      <c r="L188" s="6">
        <f t="shared" si="65"/>
        <v>-35072.889999999992</v>
      </c>
      <c r="M188" s="2"/>
      <c r="N188" s="7">
        <f t="shared" si="66"/>
        <v>-1.0242670245903123</v>
      </c>
      <c r="O188" s="11"/>
      <c r="P188" s="6">
        <v>0</v>
      </c>
      <c r="Q188" s="2"/>
      <c r="R188" s="7">
        <f t="shared" si="67"/>
        <v>0</v>
      </c>
      <c r="S188" s="2"/>
      <c r="T188" s="6">
        <v>99918.540000000008</v>
      </c>
      <c r="U188" s="2"/>
      <c r="V188" s="7">
        <f t="shared" si="68"/>
        <v>2.162357005480204E-2</v>
      </c>
      <c r="W188" s="2"/>
      <c r="X188" s="6">
        <f t="shared" si="69"/>
        <v>-99918.540000000008</v>
      </c>
      <c r="Y188" s="2"/>
      <c r="Z188" s="7">
        <f t="shared" si="70"/>
        <v>-1</v>
      </c>
    </row>
    <row r="189" spans="1:26" s="24" customFormat="1" hidden="1" outlineLevel="2" x14ac:dyDescent="0.25">
      <c r="A189" s="28"/>
      <c r="B189" s="11" t="str">
        <f>CONCATENATE("          ", "9175", " - ", "EARNED DISCOUNTS")</f>
        <v xml:space="preserve">          9175 - EARNED DISCOUNTS</v>
      </c>
      <c r="C189" s="11"/>
      <c r="D189" s="6">
        <v>-418.85</v>
      </c>
      <c r="E189" s="2"/>
      <c r="F189" s="7">
        <f t="shared" si="63"/>
        <v>-2.6160298391664726E-3</v>
      </c>
      <c r="G189" s="2"/>
      <c r="H189" s="6">
        <v>-469.89</v>
      </c>
      <c r="I189" s="2"/>
      <c r="J189" s="7">
        <f t="shared" si="64"/>
        <v>-9.8136486510363107E-4</v>
      </c>
      <c r="K189" s="2"/>
      <c r="L189" s="6">
        <f t="shared" si="65"/>
        <v>51.039999999999964</v>
      </c>
      <c r="M189" s="2"/>
      <c r="N189" s="7">
        <f t="shared" si="66"/>
        <v>-0.10862116665602581</v>
      </c>
      <c r="O189" s="11"/>
      <c r="P189" s="6">
        <v>-418.85</v>
      </c>
      <c r="Q189" s="2"/>
      <c r="R189" s="7">
        <f t="shared" si="67"/>
        <v>-1.7793040545201365E-4</v>
      </c>
      <c r="S189" s="2"/>
      <c r="T189" s="6">
        <v>-2117.75</v>
      </c>
      <c r="U189" s="2"/>
      <c r="V189" s="7">
        <f t="shared" si="68"/>
        <v>-4.583064913033859E-4</v>
      </c>
      <c r="W189" s="2"/>
      <c r="X189" s="6">
        <f t="shared" si="69"/>
        <v>1698.9</v>
      </c>
      <c r="Y189" s="2"/>
      <c r="Z189" s="7">
        <f t="shared" si="70"/>
        <v>-0.80221933656002842</v>
      </c>
    </row>
    <row r="190" spans="1:26" s="29" customFormat="1" outlineLevel="1" collapsed="1" x14ac:dyDescent="0.25">
      <c r="A190" s="27"/>
      <c r="B190" s="14" t="str">
        <f>CONCATENATE("     ","Donations                                         ")</f>
        <v xml:space="preserve">     Donations                                         </v>
      </c>
      <c r="C190" s="14"/>
      <c r="D190" s="1">
        <f>SUM(OSRRefD22_7x_0)</f>
        <v>0</v>
      </c>
      <c r="E190" s="1"/>
      <c r="F190" s="5">
        <f t="shared" ref="F190:F198" si="71">IF(D$12=0,0,D190/D$12)</f>
        <v>0</v>
      </c>
      <c r="G190" s="1"/>
      <c r="H190" s="1">
        <f>SUM(OSRRefH22_7x_0)</f>
        <v>1006.14</v>
      </c>
      <c r="I190" s="1"/>
      <c r="J190" s="5">
        <f t="shared" ref="J190:J198" si="72">IF(H$12=0,0,H190/H$12)</f>
        <v>2.1013225337320808E-3</v>
      </c>
      <c r="K190" s="1"/>
      <c r="L190" s="1">
        <f t="shared" ref="L190:L198" si="73">+D190-H190</f>
        <v>-1006.14</v>
      </c>
      <c r="M190" s="1"/>
      <c r="N190" s="5">
        <f t="shared" ref="N190:N198" si="74">IF(H190=0,0,L190/H190)</f>
        <v>-1</v>
      </c>
      <c r="O190" s="14"/>
      <c r="P190" s="1">
        <f>SUM(OSRRefP22_7x_0)</f>
        <v>0</v>
      </c>
      <c r="Q190" s="1"/>
      <c r="R190" s="5">
        <f t="shared" ref="R190:R198" si="75">IF(P$12=0,0,P190/P$12)</f>
        <v>0</v>
      </c>
      <c r="S190" s="1"/>
      <c r="T190" s="1">
        <f>SUM(OSRRefT22_7x_0)</f>
        <v>6231.48</v>
      </c>
      <c r="U190" s="1"/>
      <c r="V190" s="5">
        <f t="shared" ref="V190:V198" si="76">IF(T$12=0,0,T190/T$12)</f>
        <v>1.3485669859177065E-3</v>
      </c>
      <c r="W190" s="1"/>
      <c r="X190" s="1">
        <f t="shared" ref="X190:X198" si="77">+P190-T190</f>
        <v>-6231.48</v>
      </c>
      <c r="Y190" s="1"/>
      <c r="Z190" s="5">
        <f t="shared" ref="Z190:Z198" si="78">IF(T190=0,0,X190/T190)</f>
        <v>-1</v>
      </c>
    </row>
    <row r="191" spans="1:26" s="24" customFormat="1" hidden="1" outlineLevel="2" x14ac:dyDescent="0.25">
      <c r="A191" s="28"/>
      <c r="B191" s="11" t="str">
        <f>CONCATENATE("          ", "6399", " - ", "DONATION-ON CAMPUS")</f>
        <v xml:space="preserve">          6399 - DONATION-ON CAMPUS</v>
      </c>
      <c r="C191" s="11"/>
      <c r="D191" s="6"/>
      <c r="E191" s="2"/>
      <c r="F191" s="7">
        <f t="shared" si="71"/>
        <v>0</v>
      </c>
      <c r="G191" s="2"/>
      <c r="H191" s="6">
        <v>1006.14</v>
      </c>
      <c r="I191" s="2"/>
      <c r="J191" s="7">
        <f t="shared" si="72"/>
        <v>2.1013225337320808E-3</v>
      </c>
      <c r="K191" s="2"/>
      <c r="L191" s="6">
        <f t="shared" si="73"/>
        <v>-1006.14</v>
      </c>
      <c r="M191" s="2"/>
      <c r="N191" s="7">
        <f t="shared" si="74"/>
        <v>-1</v>
      </c>
      <c r="O191" s="11"/>
      <c r="P191" s="6"/>
      <c r="Q191" s="2"/>
      <c r="R191" s="7">
        <f t="shared" si="75"/>
        <v>0</v>
      </c>
      <c r="S191" s="2"/>
      <c r="T191" s="6">
        <v>6231.48</v>
      </c>
      <c r="U191" s="2"/>
      <c r="V191" s="7">
        <f t="shared" si="76"/>
        <v>1.3485669859177065E-3</v>
      </c>
      <c r="W191" s="2"/>
      <c r="X191" s="6">
        <f t="shared" si="77"/>
        <v>-6231.48</v>
      </c>
      <c r="Y191" s="2"/>
      <c r="Z191" s="7">
        <f t="shared" si="78"/>
        <v>-1</v>
      </c>
    </row>
    <row r="192" spans="1:26" s="29" customFormat="1" outlineLevel="1" collapsed="1" x14ac:dyDescent="0.25">
      <c r="A192" s="27"/>
      <c r="B192" s="14" t="str">
        <f>CONCATENATE("     ","Employees' Appreciation                           ")</f>
        <v xml:space="preserve">     Employees' Appreciation                           </v>
      </c>
      <c r="C192" s="14"/>
      <c r="D192" s="1">
        <f>SUM(OSRRefD22_8x_0)</f>
        <v>0</v>
      </c>
      <c r="E192" s="1"/>
      <c r="F192" s="5">
        <f t="shared" si="71"/>
        <v>0</v>
      </c>
      <c r="G192" s="1"/>
      <c r="H192" s="1">
        <f>SUM(OSRRefH22_8x_0)</f>
        <v>60</v>
      </c>
      <c r="I192" s="1"/>
      <c r="J192" s="5">
        <f t="shared" si="72"/>
        <v>1.253099489374489E-4</v>
      </c>
      <c r="K192" s="1"/>
      <c r="L192" s="1">
        <f t="shared" si="73"/>
        <v>-60</v>
      </c>
      <c r="M192" s="1"/>
      <c r="N192" s="5">
        <f t="shared" si="74"/>
        <v>-1</v>
      </c>
      <c r="O192" s="14"/>
      <c r="P192" s="1">
        <f>SUM(OSRRefP22_8x_0)</f>
        <v>107.7</v>
      </c>
      <c r="Q192" s="1"/>
      <c r="R192" s="5">
        <f t="shared" si="75"/>
        <v>4.5751712229155708E-5</v>
      </c>
      <c r="S192" s="1"/>
      <c r="T192" s="1">
        <f>SUM(OSRRefT22_8x_0)</f>
        <v>645.13</v>
      </c>
      <c r="U192" s="1"/>
      <c r="V192" s="5">
        <f t="shared" si="76"/>
        <v>1.396138669505623E-4</v>
      </c>
      <c r="W192" s="1"/>
      <c r="X192" s="1">
        <f t="shared" si="77"/>
        <v>-537.42999999999995</v>
      </c>
      <c r="Y192" s="1"/>
      <c r="Z192" s="5">
        <f t="shared" si="78"/>
        <v>-0.83305690325980808</v>
      </c>
    </row>
    <row r="193" spans="1:26" s="24" customFormat="1" hidden="1" outlineLevel="2" x14ac:dyDescent="0.25">
      <c r="A193" s="28"/>
      <c r="B193" s="11" t="str">
        <f>CONCATENATE("          ", "6277", " - ", "EMPLOYEE APPRECIATION")</f>
        <v xml:space="preserve">          6277 - EMPLOYEE APPRECIATION</v>
      </c>
      <c r="C193" s="11"/>
      <c r="D193" s="6"/>
      <c r="E193" s="2"/>
      <c r="F193" s="7">
        <f t="shared" si="71"/>
        <v>0</v>
      </c>
      <c r="G193" s="2"/>
      <c r="H193" s="6">
        <v>60</v>
      </c>
      <c r="I193" s="2"/>
      <c r="J193" s="7">
        <f t="shared" si="72"/>
        <v>1.253099489374489E-4</v>
      </c>
      <c r="K193" s="2"/>
      <c r="L193" s="6">
        <f t="shared" si="73"/>
        <v>-60</v>
      </c>
      <c r="M193" s="2"/>
      <c r="N193" s="7">
        <f t="shared" si="74"/>
        <v>-1</v>
      </c>
      <c r="O193" s="11"/>
      <c r="P193" s="6">
        <v>107.7</v>
      </c>
      <c r="Q193" s="2"/>
      <c r="R193" s="7">
        <f t="shared" si="75"/>
        <v>4.5751712229155708E-5</v>
      </c>
      <c r="S193" s="2"/>
      <c r="T193" s="6">
        <v>645.13</v>
      </c>
      <c r="U193" s="2"/>
      <c r="V193" s="7">
        <f t="shared" si="76"/>
        <v>1.396138669505623E-4</v>
      </c>
      <c r="W193" s="2"/>
      <c r="X193" s="6">
        <f t="shared" si="77"/>
        <v>-537.42999999999995</v>
      </c>
      <c r="Y193" s="2"/>
      <c r="Z193" s="7">
        <f t="shared" si="78"/>
        <v>-0.83305690325980808</v>
      </c>
    </row>
    <row r="194" spans="1:26" s="29" customFormat="1" outlineLevel="1" collapsed="1" x14ac:dyDescent="0.25">
      <c r="A194" s="27"/>
      <c r="B194" s="14" t="str">
        <f>CONCATENATE("     ","Equipment Rental                                  ")</f>
        <v xml:space="preserve">     Equipment Rental                                  </v>
      </c>
      <c r="C194" s="14"/>
      <c r="D194" s="1">
        <f>SUM(OSRRefD22_9x_0)</f>
        <v>1479.42</v>
      </c>
      <c r="E194" s="1"/>
      <c r="F194" s="5">
        <f t="shared" si="71"/>
        <v>9.2400784640316661E-3</v>
      </c>
      <c r="G194" s="1"/>
      <c r="H194" s="1">
        <f>SUM(OSRRefH22_9x_0)</f>
        <v>2776.32</v>
      </c>
      <c r="I194" s="1"/>
      <c r="J194" s="5">
        <f t="shared" si="72"/>
        <v>5.7983419572336364E-3</v>
      </c>
      <c r="K194" s="1"/>
      <c r="L194" s="1">
        <f t="shared" si="73"/>
        <v>-1296.9000000000001</v>
      </c>
      <c r="M194" s="1"/>
      <c r="N194" s="5">
        <f t="shared" si="74"/>
        <v>-0.46712914937759337</v>
      </c>
      <c r="O194" s="14"/>
      <c r="P194" s="1">
        <f>SUM(OSRRefP22_9x_0)</f>
        <v>5967.79</v>
      </c>
      <c r="Q194" s="1"/>
      <c r="R194" s="5">
        <f t="shared" si="75"/>
        <v>2.5351588739464543E-3</v>
      </c>
      <c r="S194" s="1"/>
      <c r="T194" s="1">
        <f>SUM(OSRRefT22_9x_0)</f>
        <v>6667.02</v>
      </c>
      <c r="U194" s="1"/>
      <c r="V194" s="5">
        <f t="shared" si="76"/>
        <v>1.4428230639355448E-3</v>
      </c>
      <c r="W194" s="1"/>
      <c r="X194" s="1">
        <f t="shared" si="77"/>
        <v>-699.23000000000047</v>
      </c>
      <c r="Y194" s="1"/>
      <c r="Z194" s="5">
        <f t="shared" si="78"/>
        <v>-0.10487894141610501</v>
      </c>
    </row>
    <row r="195" spans="1:26" s="24" customFormat="1" hidden="1" outlineLevel="2" x14ac:dyDescent="0.25">
      <c r="A195" s="28"/>
      <c r="B195" s="11" t="str">
        <f>CONCATENATE("          ", "6351", " - ", "EQUIPMENT RENTAL")</f>
        <v xml:space="preserve">          6351 - EQUIPMENT RENTAL</v>
      </c>
      <c r="C195" s="11"/>
      <c r="D195" s="6">
        <v>1479.42</v>
      </c>
      <c r="E195" s="2"/>
      <c r="F195" s="7">
        <f t="shared" si="71"/>
        <v>9.2400784640316661E-3</v>
      </c>
      <c r="G195" s="2"/>
      <c r="H195" s="6">
        <v>2776.32</v>
      </c>
      <c r="I195" s="2"/>
      <c r="J195" s="7">
        <f t="shared" si="72"/>
        <v>5.7983419572336364E-3</v>
      </c>
      <c r="K195" s="2"/>
      <c r="L195" s="6">
        <f t="shared" si="73"/>
        <v>-1296.9000000000001</v>
      </c>
      <c r="M195" s="2"/>
      <c r="N195" s="7">
        <f t="shared" si="74"/>
        <v>-0.46712914937759337</v>
      </c>
      <c r="O195" s="11"/>
      <c r="P195" s="6">
        <v>5967.79</v>
      </c>
      <c r="Q195" s="2"/>
      <c r="R195" s="7">
        <f t="shared" si="75"/>
        <v>2.5351588739464543E-3</v>
      </c>
      <c r="S195" s="2"/>
      <c r="T195" s="6">
        <v>6667.02</v>
      </c>
      <c r="U195" s="2"/>
      <c r="V195" s="7">
        <f t="shared" si="76"/>
        <v>1.4428230639355448E-3</v>
      </c>
      <c r="W195" s="2"/>
      <c r="X195" s="6">
        <f t="shared" si="77"/>
        <v>-699.23000000000047</v>
      </c>
      <c r="Y195" s="2"/>
      <c r="Z195" s="7">
        <f t="shared" si="78"/>
        <v>-0.10487894141610501</v>
      </c>
    </row>
    <row r="196" spans="1:26" s="29" customFormat="1" outlineLevel="1" collapsed="1" x14ac:dyDescent="0.25">
      <c r="A196" s="27"/>
      <c r="B196" s="14" t="str">
        <f>CONCATENATE("     ","Freight out/Postage                               ")</f>
        <v xml:space="preserve">     Freight out/Postage                               </v>
      </c>
      <c r="C196" s="14"/>
      <c r="D196" s="1">
        <f>SUM(OSRRefD22_10x_0)</f>
        <v>48908.160000000003</v>
      </c>
      <c r="E196" s="1"/>
      <c r="F196" s="5">
        <f t="shared" si="71"/>
        <v>0.30546784275690131</v>
      </c>
      <c r="G196" s="1"/>
      <c r="H196" s="1">
        <f>SUM(OSRRefH22_10x_0)</f>
        <v>1632.4</v>
      </c>
      <c r="I196" s="1"/>
      <c r="J196" s="5">
        <f t="shared" si="72"/>
        <v>3.4092660107581936E-3</v>
      </c>
      <c r="K196" s="1"/>
      <c r="L196" s="1">
        <f t="shared" si="73"/>
        <v>47275.76</v>
      </c>
      <c r="M196" s="1"/>
      <c r="N196" s="5">
        <f t="shared" si="74"/>
        <v>28.960891938250427</v>
      </c>
      <c r="O196" s="14"/>
      <c r="P196" s="1">
        <f>SUM(OSRRefP22_10x_0)</f>
        <v>-31843.350000000006</v>
      </c>
      <c r="Q196" s="1"/>
      <c r="R196" s="5">
        <f t="shared" si="75"/>
        <v>-1.3527277489436265E-2</v>
      </c>
      <c r="S196" s="1"/>
      <c r="T196" s="1">
        <f>SUM(OSRRefT22_10x_0)</f>
        <v>-4078.4100000000035</v>
      </c>
      <c r="U196" s="1"/>
      <c r="V196" s="5">
        <f t="shared" si="76"/>
        <v>-8.8261682313617925E-4</v>
      </c>
      <c r="W196" s="1"/>
      <c r="X196" s="1">
        <f t="shared" si="77"/>
        <v>-27764.940000000002</v>
      </c>
      <c r="Y196" s="1"/>
      <c r="Z196" s="5">
        <f t="shared" si="78"/>
        <v>6.8077853869522631</v>
      </c>
    </row>
    <row r="197" spans="1:26" s="24" customFormat="1" hidden="1" outlineLevel="2" x14ac:dyDescent="0.25">
      <c r="A197" s="28"/>
      <c r="B197" s="11" t="str">
        <f>CONCATENATE("          ", "6305", " - ", "FREIGHT OUT")</f>
        <v xml:space="preserve">          6305 - FREIGHT OUT</v>
      </c>
      <c r="C197" s="11"/>
      <c r="D197" s="6">
        <v>60594.680000000008</v>
      </c>
      <c r="E197" s="2"/>
      <c r="F197" s="7">
        <f t="shared" si="71"/>
        <v>0.37845885394471501</v>
      </c>
      <c r="G197" s="2"/>
      <c r="H197" s="6">
        <v>4578.59</v>
      </c>
      <c r="I197" s="2"/>
      <c r="J197" s="7">
        <f t="shared" si="72"/>
        <v>9.5623813184252376E-3</v>
      </c>
      <c r="K197" s="2"/>
      <c r="L197" s="6">
        <f t="shared" si="73"/>
        <v>56016.090000000011</v>
      </c>
      <c r="M197" s="2"/>
      <c r="N197" s="7">
        <f t="shared" si="74"/>
        <v>12.234353807613262</v>
      </c>
      <c r="O197" s="11"/>
      <c r="P197" s="6">
        <v>86252.739999999991</v>
      </c>
      <c r="Q197" s="2"/>
      <c r="R197" s="7">
        <f t="shared" si="75"/>
        <v>3.6640766383065806E-2</v>
      </c>
      <c r="S197" s="2"/>
      <c r="T197" s="6">
        <v>19509.82</v>
      </c>
      <c r="U197" s="2"/>
      <c r="V197" s="7">
        <f t="shared" si="76"/>
        <v>4.2221589659594489E-3</v>
      </c>
      <c r="W197" s="2"/>
      <c r="X197" s="6">
        <f t="shared" si="77"/>
        <v>66742.919999999984</v>
      </c>
      <c r="Y197" s="2"/>
      <c r="Z197" s="7">
        <f t="shared" si="78"/>
        <v>3.4209910701380117</v>
      </c>
    </row>
    <row r="198" spans="1:26" s="24" customFormat="1" hidden="1" outlineLevel="2" x14ac:dyDescent="0.25">
      <c r="A198" s="28"/>
      <c r="B198" s="11" t="str">
        <f>CONCATENATE("          ", "6307", " - ", "POSTAGE")</f>
        <v xml:space="preserve">          6307 - POSTAGE</v>
      </c>
      <c r="C198" s="11"/>
      <c r="D198" s="6">
        <v>-11686.52</v>
      </c>
      <c r="E198" s="2"/>
      <c r="F198" s="7">
        <f t="shared" si="71"/>
        <v>-7.299101118781369E-2</v>
      </c>
      <c r="G198" s="2"/>
      <c r="H198" s="6">
        <v>-2946.19</v>
      </c>
      <c r="I198" s="2"/>
      <c r="J198" s="7">
        <f t="shared" si="72"/>
        <v>-6.1531153076670436E-3</v>
      </c>
      <c r="K198" s="2"/>
      <c r="L198" s="6">
        <f t="shared" si="73"/>
        <v>-8740.33</v>
      </c>
      <c r="M198" s="2"/>
      <c r="N198" s="7">
        <f t="shared" si="74"/>
        <v>2.9666552394787842</v>
      </c>
      <c r="O198" s="11"/>
      <c r="P198" s="6">
        <v>-118096.09</v>
      </c>
      <c r="Q198" s="2"/>
      <c r="R198" s="7">
        <f t="shared" si="75"/>
        <v>-5.0168043872502073E-2</v>
      </c>
      <c r="S198" s="2"/>
      <c r="T198" s="6">
        <v>-23588.230000000003</v>
      </c>
      <c r="U198" s="2"/>
      <c r="V198" s="7">
        <f t="shared" si="76"/>
        <v>-5.1047757890956289E-3</v>
      </c>
      <c r="W198" s="2"/>
      <c r="X198" s="6">
        <f t="shared" si="77"/>
        <v>-94507.859999999986</v>
      </c>
      <c r="Y198" s="2"/>
      <c r="Z198" s="7">
        <f t="shared" si="78"/>
        <v>4.0065685301525367</v>
      </c>
    </row>
    <row r="199" spans="1:26" s="29" customFormat="1" outlineLevel="1" collapsed="1" x14ac:dyDescent="0.25">
      <c r="A199" s="27"/>
      <c r="B199" s="14" t="str">
        <f>CONCATENATE("     ","General                                           ")</f>
        <v xml:space="preserve">     General                                           </v>
      </c>
      <c r="C199" s="14"/>
      <c r="D199" s="1">
        <f>SUM(OSRRefD22_11x_0)</f>
        <v>-40</v>
      </c>
      <c r="E199" s="1"/>
      <c r="F199" s="5">
        <f t="shared" ref="F199:F213" si="79">IF(D$12=0,0,D199/D$12)</f>
        <v>-2.4982975663521284E-4</v>
      </c>
      <c r="G199" s="1"/>
      <c r="H199" s="1">
        <f>SUM(OSRRefH22_11x_0)</f>
        <v>188.95</v>
      </c>
      <c r="I199" s="1"/>
      <c r="J199" s="5">
        <f t="shared" ref="J199:J213" si="80">IF(H$12=0,0,H199/H$12)</f>
        <v>3.9462191419551617E-4</v>
      </c>
      <c r="K199" s="1"/>
      <c r="L199" s="1">
        <f t="shared" ref="L199:L213" si="81">+D199-H199</f>
        <v>-228.95</v>
      </c>
      <c r="M199" s="1"/>
      <c r="N199" s="5">
        <f t="shared" ref="N199:N213" si="82">IF(H199=0,0,L199/H199)</f>
        <v>-1.2116962159301403</v>
      </c>
      <c r="O199" s="14"/>
      <c r="P199" s="1">
        <f>SUM(OSRRefP22_11x_0)</f>
        <v>-3246.83</v>
      </c>
      <c r="Q199" s="1"/>
      <c r="R199" s="5">
        <f t="shared" ref="R199:R213" si="83">IF(P$12=0,0,P199/P$12)</f>
        <v>-1.3792760614390867E-3</v>
      </c>
      <c r="S199" s="1"/>
      <c r="T199" s="1">
        <f>SUM(OSRRefT22_11x_0)</f>
        <v>-15512.79</v>
      </c>
      <c r="U199" s="1"/>
      <c r="V199" s="5">
        <f t="shared" ref="V199:V213" si="84">IF(T$12=0,0,T199/T$12)</f>
        <v>-3.3571537505495226E-3</v>
      </c>
      <c r="W199" s="1"/>
      <c r="X199" s="1">
        <f t="shared" ref="X199:X213" si="85">+P199-T199</f>
        <v>12265.960000000001</v>
      </c>
      <c r="Y199" s="1"/>
      <c r="Z199" s="5">
        <f t="shared" ref="Z199:Z213" si="86">IF(T199=0,0,X199/T199)</f>
        <v>-0.79069980319465427</v>
      </c>
    </row>
    <row r="200" spans="1:26" s="24" customFormat="1" hidden="1" outlineLevel="2" x14ac:dyDescent="0.25">
      <c r="A200" s="28"/>
      <c r="B200" s="11" t="str">
        <f>CONCATENATE("          ", "6279", " - ", "GENERAL EXPENSE")</f>
        <v xml:space="preserve">          6279 - GENERAL EXPENSE</v>
      </c>
      <c r="C200" s="11"/>
      <c r="D200" s="6">
        <v>-40</v>
      </c>
      <c r="E200" s="2"/>
      <c r="F200" s="7">
        <f t="shared" si="79"/>
        <v>-2.4982975663521284E-4</v>
      </c>
      <c r="G200" s="2"/>
      <c r="H200" s="6">
        <v>188.95</v>
      </c>
      <c r="I200" s="2"/>
      <c r="J200" s="7">
        <f t="shared" si="80"/>
        <v>3.9462191419551617E-4</v>
      </c>
      <c r="K200" s="2"/>
      <c r="L200" s="6">
        <f t="shared" si="81"/>
        <v>-228.95</v>
      </c>
      <c r="M200" s="2"/>
      <c r="N200" s="7">
        <f t="shared" si="82"/>
        <v>-1.2116962159301403</v>
      </c>
      <c r="O200" s="11"/>
      <c r="P200" s="6">
        <v>-3246.83</v>
      </c>
      <c r="Q200" s="2"/>
      <c r="R200" s="7">
        <f t="shared" si="83"/>
        <v>-1.3792760614390867E-3</v>
      </c>
      <c r="S200" s="2"/>
      <c r="T200" s="6">
        <v>-15512.79</v>
      </c>
      <c r="U200" s="2"/>
      <c r="V200" s="7">
        <f t="shared" si="84"/>
        <v>-3.3571537505495226E-3</v>
      </c>
      <c r="W200" s="2"/>
      <c r="X200" s="6">
        <f t="shared" si="85"/>
        <v>12265.960000000001</v>
      </c>
      <c r="Y200" s="2"/>
      <c r="Z200" s="7">
        <f t="shared" si="86"/>
        <v>-0.79069980319465427</v>
      </c>
    </row>
    <row r="201" spans="1:26" s="29" customFormat="1" outlineLevel="1" collapsed="1" x14ac:dyDescent="0.25">
      <c r="A201" s="27"/>
      <c r="B201" s="14" t="str">
        <f>CONCATENATE("     ","Insurance                                         ")</f>
        <v xml:space="preserve">     Insurance                                         </v>
      </c>
      <c r="C201" s="14"/>
      <c r="D201" s="1">
        <f>SUM(OSRRefD22_12x_0)</f>
        <v>4044.74</v>
      </c>
      <c r="E201" s="1"/>
      <c r="F201" s="5">
        <f t="shared" si="79"/>
        <v>2.5262410246317771E-2</v>
      </c>
      <c r="G201" s="1"/>
      <c r="H201" s="1">
        <f>SUM(OSRRefH22_12x_0)</f>
        <v>4044.74</v>
      </c>
      <c r="I201" s="1"/>
      <c r="J201" s="5">
        <f t="shared" si="80"/>
        <v>8.447436047754284E-3</v>
      </c>
      <c r="K201" s="1"/>
      <c r="L201" s="1">
        <f t="shared" si="81"/>
        <v>0</v>
      </c>
      <c r="M201" s="1"/>
      <c r="N201" s="5">
        <f t="shared" si="82"/>
        <v>0</v>
      </c>
      <c r="O201" s="14"/>
      <c r="P201" s="1">
        <f>SUM(OSRRefP22_12x_0)</f>
        <v>16178.96</v>
      </c>
      <c r="Q201" s="1"/>
      <c r="R201" s="5">
        <f t="shared" si="83"/>
        <v>6.8729352097216439E-3</v>
      </c>
      <c r="S201" s="1"/>
      <c r="T201" s="1">
        <f>SUM(OSRRefT22_12x_0)</f>
        <v>16178.96</v>
      </c>
      <c r="U201" s="1"/>
      <c r="V201" s="5">
        <f t="shared" si="84"/>
        <v>3.5013209257645271E-3</v>
      </c>
      <c r="W201" s="1"/>
      <c r="X201" s="1">
        <f t="shared" si="85"/>
        <v>0</v>
      </c>
      <c r="Y201" s="1"/>
      <c r="Z201" s="5">
        <f t="shared" si="86"/>
        <v>0</v>
      </c>
    </row>
    <row r="202" spans="1:26" s="24" customFormat="1" hidden="1" outlineLevel="2" x14ac:dyDescent="0.25">
      <c r="A202" s="28"/>
      <c r="B202" s="11" t="str">
        <f>CONCATENATE("          ", "6314", " - ", "LIABILITY INSURANCE")</f>
        <v xml:space="preserve">          6314 - LIABILITY INSURANCE</v>
      </c>
      <c r="C202" s="11"/>
      <c r="D202" s="6">
        <v>4044.74</v>
      </c>
      <c r="E202" s="2"/>
      <c r="F202" s="7">
        <f t="shared" si="79"/>
        <v>2.5262410246317771E-2</v>
      </c>
      <c r="G202" s="2"/>
      <c r="H202" s="6">
        <v>4044.74</v>
      </c>
      <c r="I202" s="2"/>
      <c r="J202" s="7">
        <f t="shared" si="80"/>
        <v>8.447436047754284E-3</v>
      </c>
      <c r="K202" s="2"/>
      <c r="L202" s="6">
        <f t="shared" si="81"/>
        <v>0</v>
      </c>
      <c r="M202" s="2"/>
      <c r="N202" s="7">
        <f t="shared" si="82"/>
        <v>0</v>
      </c>
      <c r="O202" s="11"/>
      <c r="P202" s="6">
        <v>16178.96</v>
      </c>
      <c r="Q202" s="2"/>
      <c r="R202" s="7">
        <f t="shared" si="83"/>
        <v>6.8729352097216439E-3</v>
      </c>
      <c r="S202" s="2"/>
      <c r="T202" s="6">
        <v>16178.96</v>
      </c>
      <c r="U202" s="2"/>
      <c r="V202" s="7">
        <f t="shared" si="84"/>
        <v>3.5013209257645271E-3</v>
      </c>
      <c r="W202" s="2"/>
      <c r="X202" s="6">
        <f t="shared" si="85"/>
        <v>0</v>
      </c>
      <c r="Y202" s="2"/>
      <c r="Z202" s="7">
        <f t="shared" si="86"/>
        <v>0</v>
      </c>
    </row>
    <row r="203" spans="1:26" s="29" customFormat="1" outlineLevel="1" collapsed="1" x14ac:dyDescent="0.25">
      <c r="A203" s="27"/>
      <c r="B203" s="14" t="str">
        <f>CONCATENATE("     ","Inventory Adjustment                              ")</f>
        <v xml:space="preserve">     Inventory Adjustment                              </v>
      </c>
      <c r="C203" s="14"/>
      <c r="D203" s="1">
        <f>SUM(OSRRefD22_13x_0)</f>
        <v>2100</v>
      </c>
      <c r="E203" s="1"/>
      <c r="F203" s="5">
        <f t="shared" si="79"/>
        <v>1.3116062223348674E-2</v>
      </c>
      <c r="G203" s="1"/>
      <c r="H203" s="1">
        <f>SUM(OSRRefH22_13x_0)</f>
        <v>4250</v>
      </c>
      <c r="I203" s="1"/>
      <c r="J203" s="5">
        <f t="shared" si="80"/>
        <v>8.8761213830692975E-3</v>
      </c>
      <c r="K203" s="1"/>
      <c r="L203" s="1">
        <f t="shared" si="81"/>
        <v>-2150</v>
      </c>
      <c r="M203" s="1"/>
      <c r="N203" s="5">
        <f t="shared" si="82"/>
        <v>-0.50588235294117645</v>
      </c>
      <c r="O203" s="14"/>
      <c r="P203" s="1">
        <f>SUM(OSRRefP22_13x_0)</f>
        <v>8400</v>
      </c>
      <c r="Q203" s="1"/>
      <c r="R203" s="5">
        <f t="shared" si="83"/>
        <v>3.5683786696834537E-3</v>
      </c>
      <c r="S203" s="1"/>
      <c r="T203" s="1">
        <f>SUM(OSRRefT22_13x_0)</f>
        <v>16900</v>
      </c>
      <c r="U203" s="1"/>
      <c r="V203" s="5">
        <f t="shared" si="84"/>
        <v>3.6573626268573823E-3</v>
      </c>
      <c r="W203" s="1"/>
      <c r="X203" s="1">
        <f t="shared" si="85"/>
        <v>-8500</v>
      </c>
      <c r="Y203" s="1"/>
      <c r="Z203" s="5">
        <f t="shared" si="86"/>
        <v>-0.50295857988165682</v>
      </c>
    </row>
    <row r="204" spans="1:26" s="24" customFormat="1" hidden="1" outlineLevel="2" x14ac:dyDescent="0.25">
      <c r="A204" s="28"/>
      <c r="B204" s="11" t="str">
        <f>CONCATENATE("          ", "6408", " - ", "INVENTORY ADJUSTMENT")</f>
        <v xml:space="preserve">          6408 - INVENTORY ADJUSTMENT</v>
      </c>
      <c r="C204" s="11"/>
      <c r="D204" s="6">
        <v>2100</v>
      </c>
      <c r="E204" s="2"/>
      <c r="F204" s="7">
        <f t="shared" si="79"/>
        <v>1.3116062223348674E-2</v>
      </c>
      <c r="G204" s="2"/>
      <c r="H204" s="6">
        <v>4250</v>
      </c>
      <c r="I204" s="2"/>
      <c r="J204" s="7">
        <f t="shared" si="80"/>
        <v>8.8761213830692975E-3</v>
      </c>
      <c r="K204" s="2"/>
      <c r="L204" s="6">
        <f t="shared" si="81"/>
        <v>-2150</v>
      </c>
      <c r="M204" s="2"/>
      <c r="N204" s="7">
        <f t="shared" si="82"/>
        <v>-0.50588235294117645</v>
      </c>
      <c r="O204" s="11"/>
      <c r="P204" s="6">
        <v>8400</v>
      </c>
      <c r="Q204" s="2"/>
      <c r="R204" s="7">
        <f t="shared" si="83"/>
        <v>3.5683786696834537E-3</v>
      </c>
      <c r="S204" s="2"/>
      <c r="T204" s="6">
        <v>16900</v>
      </c>
      <c r="U204" s="2"/>
      <c r="V204" s="7">
        <f t="shared" si="84"/>
        <v>3.6573626268573823E-3</v>
      </c>
      <c r="W204" s="2"/>
      <c r="X204" s="6">
        <f t="shared" si="85"/>
        <v>-8500</v>
      </c>
      <c r="Y204" s="2"/>
      <c r="Z204" s="7">
        <f t="shared" si="86"/>
        <v>-0.50295857988165682</v>
      </c>
    </row>
    <row r="205" spans="1:26" s="29" customFormat="1" outlineLevel="1" collapsed="1" x14ac:dyDescent="0.25">
      <c r="A205" s="27"/>
      <c r="B205" s="14" t="str">
        <f>CONCATENATE("     ","Professional Services                             ")</f>
        <v xml:space="preserve">     Professional Services                             </v>
      </c>
      <c r="C205" s="14"/>
      <c r="D205" s="1">
        <f>SUM(OSRRefD22_14x_0)</f>
        <v>0</v>
      </c>
      <c r="E205" s="1"/>
      <c r="F205" s="5">
        <f t="shared" si="79"/>
        <v>0</v>
      </c>
      <c r="G205" s="1"/>
      <c r="H205" s="1">
        <f>SUM(OSRRefH22_14x_0)</f>
        <v>0</v>
      </c>
      <c r="I205" s="1"/>
      <c r="J205" s="5">
        <f t="shared" si="80"/>
        <v>0</v>
      </c>
      <c r="K205" s="1"/>
      <c r="L205" s="1">
        <f t="shared" si="81"/>
        <v>0</v>
      </c>
      <c r="M205" s="1"/>
      <c r="N205" s="5">
        <f t="shared" si="82"/>
        <v>0</v>
      </c>
      <c r="O205" s="14"/>
      <c r="P205" s="1">
        <f>SUM(OSRRefP22_14x_0)</f>
        <v>0</v>
      </c>
      <c r="Q205" s="1"/>
      <c r="R205" s="5">
        <f t="shared" si="83"/>
        <v>0</v>
      </c>
      <c r="S205" s="1"/>
      <c r="T205" s="1">
        <f>SUM(OSRRefT22_14x_0)</f>
        <v>6158.41</v>
      </c>
      <c r="U205" s="1"/>
      <c r="V205" s="5">
        <f t="shared" si="84"/>
        <v>1.3327537618263178E-3</v>
      </c>
      <c r="W205" s="1"/>
      <c r="X205" s="1">
        <f t="shared" si="85"/>
        <v>-6158.41</v>
      </c>
      <c r="Y205" s="1"/>
      <c r="Z205" s="5">
        <f t="shared" si="86"/>
        <v>-1</v>
      </c>
    </row>
    <row r="206" spans="1:26" s="24" customFormat="1" hidden="1" outlineLevel="2" x14ac:dyDescent="0.25">
      <c r="A206" s="28"/>
      <c r="B206" s="11" t="str">
        <f>CONCATENATE("          ", "6336", " - ", "PROFESSIONAL SERVICES")</f>
        <v xml:space="preserve">          6336 - PROFESSIONAL SERVICES</v>
      </c>
      <c r="C206" s="11"/>
      <c r="D206" s="6"/>
      <c r="E206" s="2"/>
      <c r="F206" s="7">
        <f t="shared" si="79"/>
        <v>0</v>
      </c>
      <c r="G206" s="2"/>
      <c r="H206" s="6"/>
      <c r="I206" s="2"/>
      <c r="J206" s="7">
        <f t="shared" si="80"/>
        <v>0</v>
      </c>
      <c r="K206" s="2"/>
      <c r="L206" s="6">
        <f t="shared" si="81"/>
        <v>0</v>
      </c>
      <c r="M206" s="2"/>
      <c r="N206" s="7">
        <f t="shared" si="82"/>
        <v>0</v>
      </c>
      <c r="O206" s="11"/>
      <c r="P206" s="6"/>
      <c r="Q206" s="2"/>
      <c r="R206" s="7">
        <f t="shared" si="83"/>
        <v>0</v>
      </c>
      <c r="S206" s="2"/>
      <c r="T206" s="6">
        <v>6158.41</v>
      </c>
      <c r="U206" s="2"/>
      <c r="V206" s="7">
        <f t="shared" si="84"/>
        <v>1.3327537618263178E-3</v>
      </c>
      <c r="W206" s="2"/>
      <c r="X206" s="6">
        <f t="shared" si="85"/>
        <v>-6158.41</v>
      </c>
      <c r="Y206" s="2"/>
      <c r="Z206" s="7">
        <f t="shared" si="86"/>
        <v>-1</v>
      </c>
    </row>
    <row r="207" spans="1:26" s="29" customFormat="1" outlineLevel="1" collapsed="1" x14ac:dyDescent="0.25">
      <c r="A207" s="27"/>
      <c r="B207" s="14" t="str">
        <f>CONCATENATE("     ","Rent                                              ")</f>
        <v xml:space="preserve">     Rent                                              </v>
      </c>
      <c r="C207" s="14"/>
      <c r="D207" s="1">
        <f>SUM(OSRRefD22_15x_0)</f>
        <v>6100</v>
      </c>
      <c r="E207" s="1"/>
      <c r="F207" s="5">
        <f t="shared" si="79"/>
        <v>3.8099037886869962E-2</v>
      </c>
      <c r="G207" s="1"/>
      <c r="H207" s="1">
        <f>SUM(OSRRefH22_15x_0)</f>
        <v>6100</v>
      </c>
      <c r="I207" s="1"/>
      <c r="J207" s="5">
        <f t="shared" si="80"/>
        <v>1.2739844808640639E-2</v>
      </c>
      <c r="K207" s="1"/>
      <c r="L207" s="1">
        <f t="shared" si="81"/>
        <v>0</v>
      </c>
      <c r="M207" s="1"/>
      <c r="N207" s="5">
        <f t="shared" si="82"/>
        <v>0</v>
      </c>
      <c r="O207" s="14"/>
      <c r="P207" s="1">
        <f>SUM(OSRRefP22_15x_0)</f>
        <v>24400</v>
      </c>
      <c r="Q207" s="1"/>
      <c r="R207" s="5">
        <f t="shared" si="83"/>
        <v>1.036529042146146E-2</v>
      </c>
      <c r="S207" s="1"/>
      <c r="T207" s="1">
        <f>SUM(OSRRefT22_15x_0)</f>
        <v>24400</v>
      </c>
      <c r="U207" s="1"/>
      <c r="V207" s="5">
        <f t="shared" si="84"/>
        <v>5.2804525500189424E-3</v>
      </c>
      <c r="W207" s="1"/>
      <c r="X207" s="1">
        <f t="shared" si="85"/>
        <v>0</v>
      </c>
      <c r="Y207" s="1"/>
      <c r="Z207" s="5">
        <f t="shared" si="86"/>
        <v>0</v>
      </c>
    </row>
    <row r="208" spans="1:26" s="24" customFormat="1" hidden="1" outlineLevel="2" x14ac:dyDescent="0.25">
      <c r="A208" s="28"/>
      <c r="B208" s="11" t="str">
        <f>CONCATENATE("          ", "6273", " - ", "RENT")</f>
        <v xml:space="preserve">          6273 - RENT</v>
      </c>
      <c r="C208" s="11"/>
      <c r="D208" s="6">
        <v>6100</v>
      </c>
      <c r="E208" s="2"/>
      <c r="F208" s="7">
        <f t="shared" si="79"/>
        <v>3.8099037886869962E-2</v>
      </c>
      <c r="G208" s="2"/>
      <c r="H208" s="6">
        <v>6100</v>
      </c>
      <c r="I208" s="2"/>
      <c r="J208" s="7">
        <f t="shared" si="80"/>
        <v>1.2739844808640639E-2</v>
      </c>
      <c r="K208" s="2"/>
      <c r="L208" s="6">
        <f t="shared" si="81"/>
        <v>0</v>
      </c>
      <c r="M208" s="2"/>
      <c r="N208" s="7">
        <f t="shared" si="82"/>
        <v>0</v>
      </c>
      <c r="O208" s="11"/>
      <c r="P208" s="6">
        <v>24400</v>
      </c>
      <c r="Q208" s="2"/>
      <c r="R208" s="7">
        <f t="shared" si="83"/>
        <v>1.036529042146146E-2</v>
      </c>
      <c r="S208" s="2"/>
      <c r="T208" s="6">
        <v>24400</v>
      </c>
      <c r="U208" s="2"/>
      <c r="V208" s="7">
        <f t="shared" si="84"/>
        <v>5.2804525500189424E-3</v>
      </c>
      <c r="W208" s="2"/>
      <c r="X208" s="6">
        <f t="shared" si="85"/>
        <v>0</v>
      </c>
      <c r="Y208" s="2"/>
      <c r="Z208" s="7">
        <f t="shared" si="86"/>
        <v>0</v>
      </c>
    </row>
    <row r="209" spans="1:26" s="29" customFormat="1" outlineLevel="1" collapsed="1" x14ac:dyDescent="0.25">
      <c r="A209" s="27"/>
      <c r="B209" s="14" t="str">
        <f>CONCATENATE("     ","Repair and Maintenance                            ")</f>
        <v xml:space="preserve">     Repair and Maintenance                            </v>
      </c>
      <c r="C209" s="14"/>
      <c r="D209" s="1">
        <f>SUM(OSRRefD22_16x_0)</f>
        <v>11552.1</v>
      </c>
      <c r="E209" s="1"/>
      <c r="F209" s="5">
        <f t="shared" si="79"/>
        <v>7.2151458290641055E-2</v>
      </c>
      <c r="G209" s="1"/>
      <c r="H209" s="1">
        <f>SUM(OSRRefH22_16x_0)</f>
        <v>16586.900000000001</v>
      </c>
      <c r="I209" s="1"/>
      <c r="J209" s="5">
        <f t="shared" si="80"/>
        <v>3.4641726533842856E-2</v>
      </c>
      <c r="K209" s="1"/>
      <c r="L209" s="1">
        <f t="shared" si="81"/>
        <v>-5034.8000000000011</v>
      </c>
      <c r="M209" s="1"/>
      <c r="N209" s="5">
        <f t="shared" si="82"/>
        <v>-0.30354074601040582</v>
      </c>
      <c r="O209" s="14"/>
      <c r="P209" s="1">
        <f>SUM(OSRRefP22_16x_0)</f>
        <v>97944.37</v>
      </c>
      <c r="Q209" s="1"/>
      <c r="R209" s="5">
        <f t="shared" si="83"/>
        <v>4.1607452467093325E-2</v>
      </c>
      <c r="S209" s="1"/>
      <c r="T209" s="1">
        <f>SUM(OSRRefT22_16x_0)</f>
        <v>64941.310000000005</v>
      </c>
      <c r="U209" s="1"/>
      <c r="V209" s="5">
        <f t="shared" si="84"/>
        <v>1.4054078114388142E-2</v>
      </c>
      <c r="W209" s="1"/>
      <c r="X209" s="1">
        <f t="shared" si="85"/>
        <v>33003.05999999999</v>
      </c>
      <c r="Y209" s="1"/>
      <c r="Z209" s="5">
        <f t="shared" si="86"/>
        <v>0.50819824854164453</v>
      </c>
    </row>
    <row r="210" spans="1:26" s="24" customFormat="1" hidden="1" outlineLevel="2" x14ac:dyDescent="0.25">
      <c r="A210" s="28"/>
      <c r="B210" s="11" t="str">
        <f>CONCATENATE("          ", "6371", " - ", "COMPUTER SOFTWARE MAINTENANCE")</f>
        <v xml:space="preserve">          6371 - COMPUTER SOFTWARE MAINTENANCE</v>
      </c>
      <c r="C210" s="11"/>
      <c r="D210" s="6">
        <v>7.69</v>
      </c>
      <c r="E210" s="2"/>
      <c r="F210" s="7">
        <f t="shared" si="79"/>
        <v>4.8029770713119671E-5</v>
      </c>
      <c r="G210" s="2"/>
      <c r="H210" s="6">
        <v>601</v>
      </c>
      <c r="I210" s="2"/>
      <c r="J210" s="7">
        <f t="shared" si="80"/>
        <v>1.2551879885234465E-3</v>
      </c>
      <c r="K210" s="2"/>
      <c r="L210" s="6">
        <f t="shared" si="81"/>
        <v>-593.30999999999995</v>
      </c>
      <c r="M210" s="2"/>
      <c r="N210" s="7">
        <f t="shared" si="82"/>
        <v>-0.98720465890183018</v>
      </c>
      <c r="O210" s="11"/>
      <c r="P210" s="6">
        <v>58436.47</v>
      </c>
      <c r="Q210" s="2"/>
      <c r="R210" s="7">
        <f t="shared" si="83"/>
        <v>2.4824220604713936E-2</v>
      </c>
      <c r="S210" s="2"/>
      <c r="T210" s="6">
        <v>12751.4</v>
      </c>
      <c r="U210" s="2"/>
      <c r="V210" s="7">
        <f t="shared" si="84"/>
        <v>2.7595558461603093E-3</v>
      </c>
      <c r="W210" s="2"/>
      <c r="X210" s="6">
        <f t="shared" si="85"/>
        <v>45685.07</v>
      </c>
      <c r="Y210" s="2"/>
      <c r="Z210" s="7">
        <f t="shared" si="86"/>
        <v>3.5827493451699421</v>
      </c>
    </row>
    <row r="211" spans="1:26" s="24" customFormat="1" hidden="1" outlineLevel="2" x14ac:dyDescent="0.25">
      <c r="A211" s="28"/>
      <c r="B211" s="11" t="str">
        <f>CONCATENATE("          ", "6372", " - ", "COMPUTER HARDWARE MAINTENANCE")</f>
        <v xml:space="preserve">          6372 - COMPUTER HARDWARE MAINTENANCE</v>
      </c>
      <c r="C211" s="11"/>
      <c r="D211" s="6">
        <v>8.11</v>
      </c>
      <c r="E211" s="2"/>
      <c r="F211" s="7">
        <f t="shared" si="79"/>
        <v>5.0652983157789402E-5</v>
      </c>
      <c r="G211" s="2"/>
      <c r="H211" s="6"/>
      <c r="I211" s="2"/>
      <c r="J211" s="7">
        <f t="shared" si="80"/>
        <v>0</v>
      </c>
      <c r="K211" s="2"/>
      <c r="L211" s="6">
        <f t="shared" si="81"/>
        <v>8.11</v>
      </c>
      <c r="M211" s="2"/>
      <c r="N211" s="7">
        <f t="shared" si="82"/>
        <v>0</v>
      </c>
      <c r="O211" s="11"/>
      <c r="P211" s="6">
        <v>0</v>
      </c>
      <c r="Q211" s="2"/>
      <c r="R211" s="7">
        <f t="shared" si="83"/>
        <v>0</v>
      </c>
      <c r="S211" s="2"/>
      <c r="T211" s="6"/>
      <c r="U211" s="2"/>
      <c r="V211" s="7">
        <f t="shared" si="84"/>
        <v>0</v>
      </c>
      <c r="W211" s="2"/>
      <c r="X211" s="6">
        <f t="shared" si="85"/>
        <v>0</v>
      </c>
      <c r="Y211" s="2"/>
      <c r="Z211" s="7">
        <f t="shared" si="86"/>
        <v>0</v>
      </c>
    </row>
    <row r="212" spans="1:26" s="24" customFormat="1" hidden="1" outlineLevel="2" x14ac:dyDescent="0.25">
      <c r="A212" s="28"/>
      <c r="B212" s="11" t="str">
        <f>CONCATENATE("          ", "6373", " - ", "MAINTENANCE CONTRACTS")</f>
        <v xml:space="preserve">          6373 - MAINTENANCE CONTRACTS</v>
      </c>
      <c r="C212" s="11"/>
      <c r="D212" s="6">
        <v>5396.67</v>
      </c>
      <c r="E212" s="2"/>
      <c r="F212" s="7">
        <f t="shared" si="79"/>
        <v>3.3706218818513857E-2</v>
      </c>
      <c r="G212" s="2"/>
      <c r="H212" s="6">
        <v>11328</v>
      </c>
      <c r="I212" s="2"/>
      <c r="J212" s="7">
        <f t="shared" si="80"/>
        <v>2.3658518359390354E-2</v>
      </c>
      <c r="K212" s="2"/>
      <c r="L212" s="6">
        <f t="shared" si="81"/>
        <v>-5931.33</v>
      </c>
      <c r="M212" s="2"/>
      <c r="N212" s="7">
        <f t="shared" si="82"/>
        <v>-0.52359904661016954</v>
      </c>
      <c r="O212" s="11"/>
      <c r="P212" s="6">
        <v>30585.72</v>
      </c>
      <c r="Q212" s="2"/>
      <c r="R212" s="7">
        <f t="shared" si="83"/>
        <v>1.2993027481536978E-2</v>
      </c>
      <c r="S212" s="2"/>
      <c r="T212" s="6">
        <v>30376.190000000002</v>
      </c>
      <c r="U212" s="2"/>
      <c r="V212" s="7">
        <f t="shared" si="84"/>
        <v>6.5737717190721273E-3</v>
      </c>
      <c r="W212" s="2"/>
      <c r="X212" s="6">
        <f t="shared" si="85"/>
        <v>209.52999999999884</v>
      </c>
      <c r="Y212" s="2"/>
      <c r="Z212" s="7">
        <f t="shared" si="86"/>
        <v>6.8978367596462496E-3</v>
      </c>
    </row>
    <row r="213" spans="1:26" s="24" customFormat="1" hidden="1" outlineLevel="2" x14ac:dyDescent="0.25">
      <c r="A213" s="28"/>
      <c r="B213" s="11" t="str">
        <f>CONCATENATE("          ", "6375", " - ", "OUTSIDE REPAIRS &amp; MAINTENANCE")</f>
        <v xml:space="preserve">          6375 - OUTSIDE REPAIRS &amp; MAINTENANCE</v>
      </c>
      <c r="C213" s="11"/>
      <c r="D213" s="6">
        <v>6139.63</v>
      </c>
      <c r="E213" s="2"/>
      <c r="F213" s="7">
        <f t="shared" si="79"/>
        <v>3.8346556718256299E-2</v>
      </c>
      <c r="G213" s="2"/>
      <c r="H213" s="6">
        <v>4657.8999999999996</v>
      </c>
      <c r="I213" s="2"/>
      <c r="J213" s="7">
        <f t="shared" si="80"/>
        <v>9.7280201859290538E-3</v>
      </c>
      <c r="K213" s="2"/>
      <c r="L213" s="6">
        <f t="shared" si="81"/>
        <v>1481.7300000000005</v>
      </c>
      <c r="M213" s="2"/>
      <c r="N213" s="7">
        <f t="shared" si="82"/>
        <v>0.31811116597608374</v>
      </c>
      <c r="O213" s="11"/>
      <c r="P213" s="6">
        <v>8922.18</v>
      </c>
      <c r="Q213" s="2"/>
      <c r="R213" s="7">
        <f t="shared" si="83"/>
        <v>3.7902043808424189E-3</v>
      </c>
      <c r="S213" s="2"/>
      <c r="T213" s="6">
        <v>21813.72</v>
      </c>
      <c r="U213" s="2"/>
      <c r="V213" s="7">
        <f t="shared" si="84"/>
        <v>4.7207505491557054E-3</v>
      </c>
      <c r="W213" s="2"/>
      <c r="X213" s="6">
        <f t="shared" si="85"/>
        <v>-12891.54</v>
      </c>
      <c r="Y213" s="2"/>
      <c r="Z213" s="7">
        <f t="shared" si="86"/>
        <v>-0.59098310604518622</v>
      </c>
    </row>
    <row r="214" spans="1:26" s="29" customFormat="1" outlineLevel="1" collapsed="1" x14ac:dyDescent="0.25">
      <c r="A214" s="27"/>
      <c r="B214" s="14" t="str">
        <f>CONCATENATE("     ","Royalty &amp; Commissions                             ")</f>
        <v xml:space="preserve">     Royalty &amp; Commissions                             </v>
      </c>
      <c r="C214" s="14"/>
      <c r="D214" s="1">
        <f>SUM(OSRRefD22_17x_0)</f>
        <v>10810</v>
      </c>
      <c r="E214" s="1"/>
      <c r="F214" s="5">
        <f t="shared" ref="F214:F217" si="87">IF(D$12=0,0,D214/D$12)</f>
        <v>6.7516491730666275E-2</v>
      </c>
      <c r="G214" s="1"/>
      <c r="H214" s="1">
        <f>SUM(OSRRefH22_17x_0)</f>
        <v>12626.66</v>
      </c>
      <c r="I214" s="1"/>
      <c r="J214" s="5">
        <f t="shared" ref="J214:J217" si="88">IF(H$12=0,0,H214/H$12)</f>
        <v>2.6370768664175478E-2</v>
      </c>
      <c r="K214" s="1"/>
      <c r="L214" s="1">
        <f t="shared" ref="L214:L217" si="89">+D214-H214</f>
        <v>-1816.6599999999999</v>
      </c>
      <c r="M214" s="1"/>
      <c r="N214" s="5">
        <f t="shared" ref="N214:N217" si="90">IF(H214=0,0,L214/H214)</f>
        <v>-0.14387494396776343</v>
      </c>
      <c r="O214" s="14"/>
      <c r="P214" s="1">
        <f>SUM(OSRRefP22_17x_0)</f>
        <v>24117</v>
      </c>
      <c r="Q214" s="1"/>
      <c r="R214" s="5">
        <f t="shared" ref="R214:R217" si="91">IF(P$12=0,0,P214/P$12)</f>
        <v>1.0245070044851886E-2</v>
      </c>
      <c r="S214" s="1"/>
      <c r="T214" s="1">
        <f>SUM(OSRRefT22_17x_0)</f>
        <v>32079.1</v>
      </c>
      <c r="U214" s="1"/>
      <c r="V214" s="5">
        <f t="shared" ref="V214:V217" si="92">IF(T$12=0,0,T214/T$12)</f>
        <v>6.9423018605456006E-3</v>
      </c>
      <c r="W214" s="1"/>
      <c r="X214" s="1">
        <f t="shared" ref="X214:X217" si="93">+P214-T214</f>
        <v>-7962.0999999999985</v>
      </c>
      <c r="Y214" s="1"/>
      <c r="Z214" s="5">
        <f t="shared" ref="Z214:Z217" si="94">IF(T214=0,0,X214/T214)</f>
        <v>-0.24820210043299215</v>
      </c>
    </row>
    <row r="215" spans="1:26" s="24" customFormat="1" hidden="1" outlineLevel="2" x14ac:dyDescent="0.25">
      <c r="A215" s="28"/>
      <c r="B215" s="11" t="str">
        <f>CONCATENATE("          ", "6253", " - ", "ROYALTY DUE ATHLETICS-LRG")</f>
        <v xml:space="preserve">          6253 - ROYALTY DUE ATHLETICS-LRG</v>
      </c>
      <c r="C215" s="11"/>
      <c r="D215" s="6">
        <v>10489.6</v>
      </c>
      <c r="E215" s="2"/>
      <c r="F215" s="7">
        <f t="shared" si="87"/>
        <v>6.5515355380018223E-2</v>
      </c>
      <c r="G215" s="2"/>
      <c r="H215" s="6"/>
      <c r="I215" s="2"/>
      <c r="J215" s="7">
        <f t="shared" si="88"/>
        <v>0</v>
      </c>
      <c r="K215" s="2"/>
      <c r="L215" s="6">
        <f t="shared" si="89"/>
        <v>10489.6</v>
      </c>
      <c r="M215" s="2"/>
      <c r="N215" s="7">
        <f t="shared" si="90"/>
        <v>0</v>
      </c>
      <c r="O215" s="11"/>
      <c r="P215" s="6">
        <v>18411.8</v>
      </c>
      <c r="Q215" s="2"/>
      <c r="R215" s="7">
        <f t="shared" si="91"/>
        <v>7.8214612369616448E-3</v>
      </c>
      <c r="S215" s="2"/>
      <c r="T215" s="6">
        <v>4366.95</v>
      </c>
      <c r="U215" s="2"/>
      <c r="V215" s="7">
        <f t="shared" si="92"/>
        <v>9.4506033866005004E-4</v>
      </c>
      <c r="W215" s="2"/>
      <c r="X215" s="6">
        <f t="shared" si="93"/>
        <v>14044.849999999999</v>
      </c>
      <c r="Y215" s="2"/>
      <c r="Z215" s="7">
        <f t="shared" si="94"/>
        <v>3.216169179862375</v>
      </c>
    </row>
    <row r="216" spans="1:26" s="24" customFormat="1" hidden="1" outlineLevel="2" x14ac:dyDescent="0.25">
      <c r="A216" s="28"/>
      <c r="B216" s="11" t="str">
        <f>CONCATENATE("          ", "6254", " - ", "ROYALTY &amp; COMMISSIONS")</f>
        <v xml:space="preserve">          6254 - ROYALTY &amp; COMMISSIONS</v>
      </c>
      <c r="C216" s="11"/>
      <c r="D216" s="6"/>
      <c r="E216" s="2"/>
      <c r="F216" s="7">
        <f t="shared" si="87"/>
        <v>0</v>
      </c>
      <c r="G216" s="2"/>
      <c r="H216" s="6">
        <v>882.02</v>
      </c>
      <c r="I216" s="2"/>
      <c r="J216" s="7">
        <f t="shared" si="88"/>
        <v>1.8420980193634782E-3</v>
      </c>
      <c r="K216" s="2"/>
      <c r="L216" s="6">
        <f t="shared" si="89"/>
        <v>-882.02</v>
      </c>
      <c r="M216" s="2"/>
      <c r="N216" s="7">
        <f t="shared" si="90"/>
        <v>-1</v>
      </c>
      <c r="O216" s="11"/>
      <c r="P216" s="6"/>
      <c r="Q216" s="2"/>
      <c r="R216" s="7">
        <f t="shared" si="91"/>
        <v>0</v>
      </c>
      <c r="S216" s="2"/>
      <c r="T216" s="6">
        <v>1497.89</v>
      </c>
      <c r="U216" s="2"/>
      <c r="V216" s="7">
        <f t="shared" si="92"/>
        <v>3.2416135533392927E-4</v>
      </c>
      <c r="W216" s="2"/>
      <c r="X216" s="6">
        <f t="shared" si="93"/>
        <v>-1497.89</v>
      </c>
      <c r="Y216" s="2"/>
      <c r="Z216" s="7">
        <f t="shared" si="94"/>
        <v>-1</v>
      </c>
    </row>
    <row r="217" spans="1:26" s="24" customFormat="1" hidden="1" outlineLevel="2" x14ac:dyDescent="0.25">
      <c r="A217" s="28"/>
      <c r="B217" s="11" t="str">
        <f>CONCATENATE("          ", "6259", " - ", "ROYALTY &amp; COMMISSIONS")</f>
        <v xml:space="preserve">          6259 - ROYALTY &amp; COMMISSIONS</v>
      </c>
      <c r="C217" s="11"/>
      <c r="D217" s="6">
        <v>320.39999999999998</v>
      </c>
      <c r="E217" s="2"/>
      <c r="F217" s="7">
        <f t="shared" si="87"/>
        <v>2.0011363506480546E-3</v>
      </c>
      <c r="G217" s="2"/>
      <c r="H217" s="6">
        <v>11744.64</v>
      </c>
      <c r="I217" s="2"/>
      <c r="J217" s="7">
        <f t="shared" si="88"/>
        <v>2.4528670644811998E-2</v>
      </c>
      <c r="K217" s="2"/>
      <c r="L217" s="6">
        <f t="shared" si="89"/>
        <v>-11424.24</v>
      </c>
      <c r="M217" s="2"/>
      <c r="N217" s="7">
        <f t="shared" si="90"/>
        <v>-0.97271947032859252</v>
      </c>
      <c r="O217" s="11"/>
      <c r="P217" s="6">
        <v>5705.2</v>
      </c>
      <c r="Q217" s="2"/>
      <c r="R217" s="7">
        <f t="shared" si="91"/>
        <v>2.4236088078902428E-3</v>
      </c>
      <c r="S217" s="2"/>
      <c r="T217" s="6">
        <v>26214.26</v>
      </c>
      <c r="U217" s="2"/>
      <c r="V217" s="7">
        <f t="shared" si="92"/>
        <v>5.6730801665516211E-3</v>
      </c>
      <c r="W217" s="2"/>
      <c r="X217" s="6">
        <f t="shared" si="93"/>
        <v>-20509.059999999998</v>
      </c>
      <c r="Y217" s="2"/>
      <c r="Z217" s="7">
        <f t="shared" si="94"/>
        <v>-0.78236272929314044</v>
      </c>
    </row>
    <row r="218" spans="1:26" s="29" customFormat="1" outlineLevel="1" collapsed="1" x14ac:dyDescent="0.25">
      <c r="A218" s="27"/>
      <c r="B218" s="14" t="str">
        <f>CONCATENATE("     ","Services                                          ")</f>
        <v xml:space="preserve">     Services                                          </v>
      </c>
      <c r="C218" s="14"/>
      <c r="D218" s="1">
        <f>SUM(OSRRefD22_18x_0)</f>
        <v>3968.4200000000005</v>
      </c>
      <c r="E218" s="1"/>
      <c r="F218" s="5">
        <f t="shared" ref="F218:F222" si="95">IF(D$12=0,0,D218/D$12)</f>
        <v>2.4785735070657788E-2</v>
      </c>
      <c r="G218" s="1"/>
      <c r="H218" s="1">
        <f>SUM(OSRRefH22_18x_0)</f>
        <v>5247.7199999999993</v>
      </c>
      <c r="I218" s="1"/>
      <c r="J218" s="5">
        <f t="shared" ref="J218:J222" si="96">IF(H$12=0,0,H218/H$12)</f>
        <v>1.0959858753967155E-2</v>
      </c>
      <c r="K218" s="1"/>
      <c r="L218" s="1">
        <f t="shared" ref="L218:L222" si="97">+D218-H218</f>
        <v>-1279.2999999999988</v>
      </c>
      <c r="M218" s="1"/>
      <c r="N218" s="5">
        <f t="shared" ref="N218:N222" si="98">IF(H218=0,0,L218/H218)</f>
        <v>-0.24378206154291748</v>
      </c>
      <c r="O218" s="14"/>
      <c r="P218" s="1">
        <f>SUM(OSRRefP22_18x_0)</f>
        <v>12791.19</v>
      </c>
      <c r="Q218" s="1"/>
      <c r="R218" s="5">
        <f t="shared" ref="R218:R222" si="99">IF(P$12=0,0,P218/P$12)</f>
        <v>5.4337868518890831E-3</v>
      </c>
      <c r="S218" s="1"/>
      <c r="T218" s="1">
        <f>SUM(OSRRefT22_18x_0)</f>
        <v>18474.909999999996</v>
      </c>
      <c r="U218" s="1"/>
      <c r="V218" s="5">
        <f t="shared" ref="V218:V222" si="100">IF(T$12=0,0,T218/T$12)</f>
        <v>3.9981920336422316E-3</v>
      </c>
      <c r="W218" s="1"/>
      <c r="X218" s="1">
        <f t="shared" ref="X218:X222" si="101">+P218-T218</f>
        <v>-5683.7199999999957</v>
      </c>
      <c r="Y218" s="1"/>
      <c r="Z218" s="5">
        <f t="shared" ref="Z218:Z222" si="102">IF(T218=0,0,X218/T218)</f>
        <v>-0.30764534170937757</v>
      </c>
    </row>
    <row r="219" spans="1:26" s="24" customFormat="1" hidden="1" outlineLevel="2" x14ac:dyDescent="0.25">
      <c r="A219" s="28"/>
      <c r="B219" s="11" t="str">
        <f>CONCATENATE("          ", "6282", " - ", "JANITORIAL/EXTERMINATOR EXPENS")</f>
        <v xml:space="preserve">          6282 - JANITORIAL/EXTERMINATOR EXPENS</v>
      </c>
      <c r="C219" s="11"/>
      <c r="D219" s="6">
        <v>4330.68</v>
      </c>
      <c r="E219" s="2"/>
      <c r="F219" s="7">
        <f t="shared" si="95"/>
        <v>2.7048318261624592E-2</v>
      </c>
      <c r="G219" s="2"/>
      <c r="H219" s="6">
        <v>266.5</v>
      </c>
      <c r="I219" s="2"/>
      <c r="J219" s="7">
        <f t="shared" si="96"/>
        <v>5.5658502319716886E-4</v>
      </c>
      <c r="K219" s="2"/>
      <c r="L219" s="6">
        <f t="shared" si="97"/>
        <v>4064.1800000000003</v>
      </c>
      <c r="M219" s="2"/>
      <c r="N219" s="7">
        <f t="shared" si="98"/>
        <v>15.250206378986867</v>
      </c>
      <c r="O219" s="11"/>
      <c r="P219" s="6">
        <v>5073.62</v>
      </c>
      <c r="Q219" s="2"/>
      <c r="R219" s="7">
        <f t="shared" si="99"/>
        <v>2.1553092126284958E-3</v>
      </c>
      <c r="S219" s="2"/>
      <c r="T219" s="6">
        <v>1066</v>
      </c>
      <c r="U219" s="2"/>
      <c r="V219" s="7">
        <f t="shared" si="100"/>
        <v>2.3069518107869642E-4</v>
      </c>
      <c r="W219" s="2"/>
      <c r="X219" s="6">
        <f t="shared" si="101"/>
        <v>4007.62</v>
      </c>
      <c r="Y219" s="2"/>
      <c r="Z219" s="7">
        <f t="shared" si="102"/>
        <v>3.7594934333958725</v>
      </c>
    </row>
    <row r="220" spans="1:26" s="24" customFormat="1" hidden="1" outlineLevel="2" x14ac:dyDescent="0.25">
      <c r="A220" s="28"/>
      <c r="B220" s="11" t="str">
        <f>CONCATENATE("          ", "6283", " - ", "PLANT SERVICE")</f>
        <v xml:space="preserve">          6283 - PLANT SERVICE</v>
      </c>
      <c r="C220" s="11"/>
      <c r="D220" s="6"/>
      <c r="E220" s="2"/>
      <c r="F220" s="7">
        <f t="shared" si="95"/>
        <v>0</v>
      </c>
      <c r="G220" s="2"/>
      <c r="H220" s="6"/>
      <c r="I220" s="2"/>
      <c r="J220" s="7">
        <f t="shared" si="96"/>
        <v>0</v>
      </c>
      <c r="K220" s="2"/>
      <c r="L220" s="6">
        <f t="shared" si="97"/>
        <v>0</v>
      </c>
      <c r="M220" s="2"/>
      <c r="N220" s="7">
        <f t="shared" si="98"/>
        <v>0</v>
      </c>
      <c r="O220" s="11"/>
      <c r="P220" s="6">
        <v>130</v>
      </c>
      <c r="Q220" s="2"/>
      <c r="R220" s="7">
        <f t="shared" si="99"/>
        <v>5.5224907983196305E-5</v>
      </c>
      <c r="S220" s="2"/>
      <c r="T220" s="6">
        <v>541.98</v>
      </c>
      <c r="U220" s="2"/>
      <c r="V220" s="7">
        <f t="shared" si="100"/>
        <v>1.1729097020734699E-4</v>
      </c>
      <c r="W220" s="2"/>
      <c r="X220" s="6">
        <f t="shared" si="101"/>
        <v>-411.98</v>
      </c>
      <c r="Y220" s="2"/>
      <c r="Z220" s="7">
        <f t="shared" si="102"/>
        <v>-0.76013875050739876</v>
      </c>
    </row>
    <row r="221" spans="1:26" s="24" customFormat="1" hidden="1" outlineLevel="2" x14ac:dyDescent="0.25">
      <c r="A221" s="28"/>
      <c r="B221" s="11" t="str">
        <f>CONCATENATE("          ", "6284", " - ", "TRASH REMOVAL EXPENSE")</f>
        <v xml:space="preserve">          6284 - TRASH REMOVAL EXPENSE</v>
      </c>
      <c r="C221" s="11"/>
      <c r="D221" s="6">
        <v>157.59</v>
      </c>
      <c r="E221" s="2"/>
      <c r="F221" s="7">
        <f t="shared" si="95"/>
        <v>9.8426678370357981E-4</v>
      </c>
      <c r="G221" s="2"/>
      <c r="H221" s="6">
        <v>134.82</v>
      </c>
      <c r="I221" s="2"/>
      <c r="J221" s="7">
        <f t="shared" si="96"/>
        <v>2.8157145526244769E-4</v>
      </c>
      <c r="K221" s="2"/>
      <c r="L221" s="6">
        <f t="shared" si="97"/>
        <v>22.77000000000001</v>
      </c>
      <c r="M221" s="2"/>
      <c r="N221" s="7">
        <f t="shared" si="98"/>
        <v>0.16889185580774374</v>
      </c>
      <c r="O221" s="11"/>
      <c r="P221" s="6">
        <v>585.29999999999995</v>
      </c>
      <c r="Q221" s="2"/>
      <c r="R221" s="7">
        <f t="shared" si="99"/>
        <v>2.4863952801972922E-4</v>
      </c>
      <c r="S221" s="2"/>
      <c r="T221" s="6">
        <v>539.28</v>
      </c>
      <c r="U221" s="2"/>
      <c r="V221" s="7">
        <f t="shared" si="100"/>
        <v>1.1670665783500881E-4</v>
      </c>
      <c r="W221" s="2"/>
      <c r="X221" s="6">
        <f t="shared" si="101"/>
        <v>46.019999999999982</v>
      </c>
      <c r="Y221" s="2"/>
      <c r="Z221" s="7">
        <f t="shared" si="102"/>
        <v>8.533600356030259E-2</v>
      </c>
    </row>
    <row r="222" spans="1:26" s="24" customFormat="1" hidden="1" outlineLevel="2" x14ac:dyDescent="0.25">
      <c r="A222" s="28"/>
      <c r="B222" s="11" t="str">
        <f>CONCATENATE("          ", "6285", " - ", "JANITORIAL SERVICES")</f>
        <v xml:space="preserve">          6285 - JANITORIAL SERVICES</v>
      </c>
      <c r="C222" s="11"/>
      <c r="D222" s="6">
        <v>-519.85</v>
      </c>
      <c r="E222" s="2"/>
      <c r="F222" s="7">
        <f t="shared" si="95"/>
        <v>-3.2468499746703852E-3</v>
      </c>
      <c r="G222" s="2"/>
      <c r="H222" s="6">
        <v>4846.3999999999996</v>
      </c>
      <c r="I222" s="2"/>
      <c r="J222" s="7">
        <f t="shared" si="96"/>
        <v>1.0121702275507538E-2</v>
      </c>
      <c r="K222" s="2"/>
      <c r="L222" s="6">
        <f t="shared" si="97"/>
        <v>-5366.25</v>
      </c>
      <c r="M222" s="2"/>
      <c r="N222" s="7">
        <f t="shared" si="98"/>
        <v>-1.1072651865302081</v>
      </c>
      <c r="O222" s="11"/>
      <c r="P222" s="6">
        <v>7002.27</v>
      </c>
      <c r="Q222" s="2"/>
      <c r="R222" s="7">
        <f t="shared" si="99"/>
        <v>2.9746132032576617E-3</v>
      </c>
      <c r="S222" s="2"/>
      <c r="T222" s="6">
        <v>16327.649999999998</v>
      </c>
      <c r="U222" s="2"/>
      <c r="V222" s="7">
        <f t="shared" si="100"/>
        <v>3.5334992245211793E-3</v>
      </c>
      <c r="W222" s="2"/>
      <c r="X222" s="6">
        <f t="shared" si="101"/>
        <v>-9325.3799999999974</v>
      </c>
      <c r="Y222" s="2"/>
      <c r="Z222" s="7">
        <f t="shared" si="102"/>
        <v>-0.57114036618864306</v>
      </c>
    </row>
    <row r="223" spans="1:26" s="29" customFormat="1" outlineLevel="1" collapsed="1" x14ac:dyDescent="0.25">
      <c r="A223" s="27"/>
      <c r="B223" s="14" t="str">
        <f>CONCATENATE("     ","Subscriptions &amp; Dues                              ")</f>
        <v xml:space="preserve">     Subscriptions &amp; Dues                              </v>
      </c>
      <c r="C223" s="14"/>
      <c r="D223" s="1">
        <f>SUM(OSRRefD22_19x_0)</f>
        <v>865.32</v>
      </c>
      <c r="E223" s="1"/>
      <c r="F223" s="5">
        <f t="shared" ref="F223:F225" si="103">IF(D$12=0,0,D223/D$12)</f>
        <v>5.4045671252895599E-3</v>
      </c>
      <c r="G223" s="1"/>
      <c r="H223" s="1">
        <f>SUM(OSRRefH22_19x_0)</f>
        <v>343.55</v>
      </c>
      <c r="I223" s="1"/>
      <c r="J223" s="5">
        <f t="shared" ref="J223:J225" si="104">IF(H$12=0,0,H223/H$12)</f>
        <v>7.1750388262434295E-4</v>
      </c>
      <c r="K223" s="1"/>
      <c r="L223" s="1">
        <f t="shared" ref="L223:L225" si="105">+D223-H223</f>
        <v>521.77</v>
      </c>
      <c r="M223" s="1"/>
      <c r="N223" s="5">
        <f t="shared" ref="N223:N225" si="106">IF(H223=0,0,L223/H223)</f>
        <v>1.5187600058215689</v>
      </c>
      <c r="O223" s="14"/>
      <c r="P223" s="1">
        <f>SUM(OSRRefP22_19x_0)</f>
        <v>1649.09</v>
      </c>
      <c r="Q223" s="1"/>
      <c r="R223" s="5">
        <f t="shared" ref="R223:R225" si="107">IF(P$12=0,0,P223/P$12)</f>
        <v>7.0054495004622452E-4</v>
      </c>
      <c r="S223" s="1"/>
      <c r="T223" s="1">
        <f>SUM(OSRRefT22_19x_0)</f>
        <v>2042.4</v>
      </c>
      <c r="U223" s="1"/>
      <c r="V223" s="5">
        <f t="shared" ref="V223:V225" si="108">IF(T$12=0,0,T223/T$12)</f>
        <v>4.4199984787535607E-4</v>
      </c>
      <c r="W223" s="1"/>
      <c r="X223" s="1">
        <f t="shared" ref="X223:X225" si="109">+P223-T223</f>
        <v>-393.31000000000017</v>
      </c>
      <c r="Y223" s="1"/>
      <c r="Z223" s="5">
        <f t="shared" ref="Z223:Z225" si="110">IF(T223=0,0,X223/T223)</f>
        <v>-0.19257246376811601</v>
      </c>
    </row>
    <row r="224" spans="1:26" s="24" customFormat="1" hidden="1" outlineLevel="2" x14ac:dyDescent="0.25">
      <c r="A224" s="28"/>
      <c r="B224" s="11" t="str">
        <f>CONCATENATE("          ", "6258", " - ", "MEMBERSHIP DUES")</f>
        <v xml:space="preserve">          6258 - MEMBERSHIP DUES</v>
      </c>
      <c r="C224" s="11"/>
      <c r="D224" s="6">
        <v>790.32</v>
      </c>
      <c r="E224" s="2"/>
      <c r="F224" s="7">
        <f t="shared" si="103"/>
        <v>4.9361363315985358E-3</v>
      </c>
      <c r="G224" s="2"/>
      <c r="H224" s="6">
        <v>268.55</v>
      </c>
      <c r="I224" s="2"/>
      <c r="J224" s="7">
        <f t="shared" si="104"/>
        <v>5.6086644645253177E-4</v>
      </c>
      <c r="K224" s="2"/>
      <c r="L224" s="6">
        <f t="shared" si="105"/>
        <v>521.77</v>
      </c>
      <c r="M224" s="2"/>
      <c r="N224" s="7">
        <f t="shared" si="106"/>
        <v>1.9429156581642151</v>
      </c>
      <c r="O224" s="11"/>
      <c r="P224" s="6">
        <v>1423.36</v>
      </c>
      <c r="Q224" s="2"/>
      <c r="R224" s="7">
        <f t="shared" si="107"/>
        <v>6.0465326943817145E-4</v>
      </c>
      <c r="S224" s="2"/>
      <c r="T224" s="6">
        <v>1177.4000000000001</v>
      </c>
      <c r="U224" s="2"/>
      <c r="V224" s="7">
        <f t="shared" si="108"/>
        <v>2.5480347673738948E-4</v>
      </c>
      <c r="W224" s="2"/>
      <c r="X224" s="6">
        <f t="shared" si="109"/>
        <v>245.95999999999981</v>
      </c>
      <c r="Y224" s="2"/>
      <c r="Z224" s="7">
        <f t="shared" si="110"/>
        <v>0.2089009682350941</v>
      </c>
    </row>
    <row r="225" spans="1:26" s="24" customFormat="1" hidden="1" outlineLevel="2" x14ac:dyDescent="0.25">
      <c r="A225" s="28"/>
      <c r="B225" s="11" t="str">
        <f>CONCATENATE("          ", "6275", " - ", "SUBSCRIPTIONS")</f>
        <v xml:space="preserve">          6275 - SUBSCRIPTIONS</v>
      </c>
      <c r="C225" s="11"/>
      <c r="D225" s="6">
        <v>75</v>
      </c>
      <c r="E225" s="2"/>
      <c r="F225" s="7">
        <f t="shared" si="103"/>
        <v>4.6843079369102408E-4</v>
      </c>
      <c r="G225" s="2"/>
      <c r="H225" s="6">
        <v>75</v>
      </c>
      <c r="I225" s="2"/>
      <c r="J225" s="7">
        <f t="shared" si="104"/>
        <v>1.5663743617181115E-4</v>
      </c>
      <c r="K225" s="2"/>
      <c r="L225" s="6">
        <f t="shared" si="105"/>
        <v>0</v>
      </c>
      <c r="M225" s="2"/>
      <c r="N225" s="7">
        <f t="shared" si="106"/>
        <v>0</v>
      </c>
      <c r="O225" s="11"/>
      <c r="P225" s="6">
        <v>225.73</v>
      </c>
      <c r="Q225" s="2"/>
      <c r="R225" s="7">
        <f t="shared" si="107"/>
        <v>9.5891680608053092E-5</v>
      </c>
      <c r="S225" s="2"/>
      <c r="T225" s="6">
        <v>865</v>
      </c>
      <c r="U225" s="2"/>
      <c r="V225" s="7">
        <f t="shared" si="108"/>
        <v>1.8719637113796662E-4</v>
      </c>
      <c r="W225" s="2"/>
      <c r="X225" s="6">
        <f t="shared" si="109"/>
        <v>-639.27</v>
      </c>
      <c r="Y225" s="2"/>
      <c r="Z225" s="7">
        <f t="shared" si="110"/>
        <v>-0.73904046242774568</v>
      </c>
    </row>
    <row r="226" spans="1:26" s="29" customFormat="1" outlineLevel="1" collapsed="1" x14ac:dyDescent="0.25">
      <c r="A226" s="27"/>
      <c r="B226" s="14" t="str">
        <f>CONCATENATE("     ","Supplies                                          ")</f>
        <v xml:space="preserve">     Supplies                                          </v>
      </c>
      <c r="C226" s="14"/>
      <c r="D226" s="1">
        <f>SUM(OSRRefD22_20x_0)</f>
        <v>23208.799999999996</v>
      </c>
      <c r="E226" s="1"/>
      <c r="F226" s="5">
        <f t="shared" ref="F226:F233" si="111">IF(D$12=0,0,D226/D$12)</f>
        <v>0.14495622139488318</v>
      </c>
      <c r="G226" s="1"/>
      <c r="H226" s="1">
        <f>SUM(OSRRefH22_20x_0)</f>
        <v>7011.86</v>
      </c>
      <c r="I226" s="1"/>
      <c r="J226" s="5">
        <f t="shared" ref="J226:J233" si="112">IF(H$12=0,0,H226/H$12)</f>
        <v>1.4644263642609007E-2</v>
      </c>
      <c r="K226" s="1"/>
      <c r="L226" s="1">
        <f t="shared" ref="L226:L233" si="113">+D226-H226</f>
        <v>16196.939999999995</v>
      </c>
      <c r="M226" s="1"/>
      <c r="N226" s="5">
        <f t="shared" ref="N226:N233" si="114">IF(H226=0,0,L226/H226)</f>
        <v>2.3099348817574787</v>
      </c>
      <c r="O226" s="14"/>
      <c r="P226" s="1">
        <f>SUM(OSRRefP22_20x_0)</f>
        <v>56598.94</v>
      </c>
      <c r="Q226" s="1"/>
      <c r="R226" s="5">
        <f t="shared" ref="R226:R233" si="115">IF(P$12=0,0,P226/P$12)</f>
        <v>2.4043625026511146E-2</v>
      </c>
      <c r="S226" s="1"/>
      <c r="T226" s="1">
        <f>SUM(OSRRefT22_20x_0)</f>
        <v>39073.83</v>
      </c>
      <c r="U226" s="1"/>
      <c r="V226" s="5">
        <f t="shared" ref="V226:V233" si="116">IF(T$12=0,0,T226/T$12)</f>
        <v>8.4560452976437158E-3</v>
      </c>
      <c r="W226" s="1"/>
      <c r="X226" s="1">
        <f t="shared" ref="X226:X233" si="117">+P226-T226</f>
        <v>17525.11</v>
      </c>
      <c r="Y226" s="1"/>
      <c r="Z226" s="5">
        <f t="shared" ref="Z226:Z233" si="118">IF(T226=0,0,X226/T226)</f>
        <v>0.44851272578091267</v>
      </c>
    </row>
    <row r="227" spans="1:26" s="24" customFormat="1" hidden="1" outlineLevel="2" x14ac:dyDescent="0.25">
      <c r="A227" s="28"/>
      <c r="B227" s="11" t="str">
        <f>CONCATENATE("          ", "6234", " - ", "EXPENDABLE SUPPLIES &amp; EQUIPMEN")</f>
        <v xml:space="preserve">          6234 - EXPENDABLE SUPPLIES &amp; EQUIPMEN</v>
      </c>
      <c r="C227" s="11"/>
      <c r="D227" s="6">
        <v>101.34</v>
      </c>
      <c r="E227" s="2"/>
      <c r="F227" s="7">
        <f t="shared" si="111"/>
        <v>6.3294368843531176E-4</v>
      </c>
      <c r="G227" s="2"/>
      <c r="H227" s="6"/>
      <c r="I227" s="2"/>
      <c r="J227" s="7">
        <f t="shared" si="112"/>
        <v>0</v>
      </c>
      <c r="K227" s="2"/>
      <c r="L227" s="6">
        <f t="shared" si="113"/>
        <v>101.34</v>
      </c>
      <c r="M227" s="2"/>
      <c r="N227" s="7">
        <f t="shared" si="114"/>
        <v>0</v>
      </c>
      <c r="O227" s="11"/>
      <c r="P227" s="6">
        <v>101.34</v>
      </c>
      <c r="Q227" s="2"/>
      <c r="R227" s="7">
        <f t="shared" si="115"/>
        <v>4.3049939807823951E-5</v>
      </c>
      <c r="S227" s="2"/>
      <c r="T227" s="6">
        <v>1716.1</v>
      </c>
      <c r="U227" s="2"/>
      <c r="V227" s="7">
        <f t="shared" si="116"/>
        <v>3.7138461561834042E-4</v>
      </c>
      <c r="W227" s="2"/>
      <c r="X227" s="6">
        <f t="shared" si="117"/>
        <v>-1614.76</v>
      </c>
      <c r="Y227" s="2"/>
      <c r="Z227" s="7">
        <f t="shared" si="118"/>
        <v>-0.94094749723209603</v>
      </c>
    </row>
    <row r="228" spans="1:26" s="24" customFormat="1" hidden="1" outlineLevel="2" x14ac:dyDescent="0.25">
      <c r="A228" s="28"/>
      <c r="B228" s="11" t="str">
        <f>CONCATENATE("          ", "6235", " - ", "COVID-19 EXPENSES")</f>
        <v xml:space="preserve">          6235 - COVID-19 EXPENSES</v>
      </c>
      <c r="C228" s="11"/>
      <c r="D228" s="6">
        <v>16805.12</v>
      </c>
      <c r="E228" s="2"/>
      <c r="F228" s="7">
        <f t="shared" si="111"/>
        <v>0.10496047599563869</v>
      </c>
      <c r="G228" s="2"/>
      <c r="H228" s="6"/>
      <c r="I228" s="2"/>
      <c r="J228" s="7">
        <f t="shared" si="112"/>
        <v>0</v>
      </c>
      <c r="K228" s="2"/>
      <c r="L228" s="6">
        <f t="shared" si="113"/>
        <v>16805.12</v>
      </c>
      <c r="M228" s="2"/>
      <c r="N228" s="7">
        <f t="shared" si="114"/>
        <v>0</v>
      </c>
      <c r="O228" s="11"/>
      <c r="P228" s="6">
        <v>25899.79</v>
      </c>
      <c r="Q228" s="2"/>
      <c r="R228" s="7">
        <f t="shared" si="115"/>
        <v>1.1002411688723906E-2</v>
      </c>
      <c r="S228" s="2"/>
      <c r="T228" s="6"/>
      <c r="U228" s="2"/>
      <c r="V228" s="7">
        <f t="shared" si="116"/>
        <v>0</v>
      </c>
      <c r="W228" s="2"/>
      <c r="X228" s="6">
        <f t="shared" si="117"/>
        <v>25899.79</v>
      </c>
      <c r="Y228" s="2"/>
      <c r="Z228" s="7">
        <f t="shared" si="118"/>
        <v>0</v>
      </c>
    </row>
    <row r="229" spans="1:26" s="24" customFormat="1" hidden="1" outlineLevel="2" x14ac:dyDescent="0.25">
      <c r="A229" s="28"/>
      <c r="B229" s="11" t="str">
        <f>CONCATENATE("          ", "6237", " - ", "JANITORIAL SUPPLIES")</f>
        <v xml:space="preserve">          6237 - JANITORIAL SUPPLIES</v>
      </c>
      <c r="C229" s="11"/>
      <c r="D229" s="6">
        <v>1109.05</v>
      </c>
      <c r="E229" s="2"/>
      <c r="F229" s="7">
        <f t="shared" si="111"/>
        <v>6.9268422899070696E-3</v>
      </c>
      <c r="G229" s="2"/>
      <c r="H229" s="6">
        <v>302.61</v>
      </c>
      <c r="I229" s="2"/>
      <c r="J229" s="7">
        <f t="shared" si="112"/>
        <v>6.3200072746602358E-4</v>
      </c>
      <c r="K229" s="2"/>
      <c r="L229" s="6">
        <f t="shared" si="113"/>
        <v>806.43999999999994</v>
      </c>
      <c r="M229" s="2"/>
      <c r="N229" s="7">
        <f t="shared" si="114"/>
        <v>2.6649482832688935</v>
      </c>
      <c r="O229" s="11"/>
      <c r="P229" s="6">
        <v>1248.3599999999999</v>
      </c>
      <c r="Q229" s="2"/>
      <c r="R229" s="7">
        <f t="shared" si="115"/>
        <v>5.3031204715309947E-4</v>
      </c>
      <c r="S229" s="2"/>
      <c r="T229" s="6">
        <v>2166.2199999999998</v>
      </c>
      <c r="U229" s="2"/>
      <c r="V229" s="7">
        <f t="shared" si="116"/>
        <v>4.6879598044680462E-4</v>
      </c>
      <c r="W229" s="2"/>
      <c r="X229" s="6">
        <f t="shared" si="117"/>
        <v>-917.8599999999999</v>
      </c>
      <c r="Y229" s="2"/>
      <c r="Z229" s="7">
        <f t="shared" si="118"/>
        <v>-0.42371504279343741</v>
      </c>
    </row>
    <row r="230" spans="1:26" s="24" customFormat="1" hidden="1" outlineLevel="2" x14ac:dyDescent="0.25">
      <c r="A230" s="28"/>
      <c r="B230" s="11" t="str">
        <f>CONCATENATE("          ", "6241", " - ", "OFFICE EXPENSE")</f>
        <v xml:space="preserve">          6241 - OFFICE EXPENSE</v>
      </c>
      <c r="C230" s="11"/>
      <c r="D230" s="6">
        <v>330.19</v>
      </c>
      <c r="E230" s="2"/>
      <c r="F230" s="7">
        <f t="shared" si="111"/>
        <v>2.0622821835845234E-3</v>
      </c>
      <c r="G230" s="2"/>
      <c r="H230" s="6">
        <v>2526.14</v>
      </c>
      <c r="I230" s="2"/>
      <c r="J230" s="7">
        <f t="shared" si="112"/>
        <v>5.275841240147453E-3</v>
      </c>
      <c r="K230" s="2"/>
      <c r="L230" s="6">
        <f t="shared" si="113"/>
        <v>-2195.9499999999998</v>
      </c>
      <c r="M230" s="2"/>
      <c r="N230" s="7">
        <f t="shared" si="114"/>
        <v>-0.86929069647762991</v>
      </c>
      <c r="O230" s="11"/>
      <c r="P230" s="6">
        <v>7809.68</v>
      </c>
      <c r="Q230" s="2"/>
      <c r="R230" s="7">
        <f t="shared" si="115"/>
        <v>3.3176066106016043E-3</v>
      </c>
      <c r="S230" s="2"/>
      <c r="T230" s="6">
        <v>12298.52</v>
      </c>
      <c r="U230" s="2"/>
      <c r="V230" s="7">
        <f t="shared" si="116"/>
        <v>2.6615471842401216E-3</v>
      </c>
      <c r="W230" s="2"/>
      <c r="X230" s="6">
        <f t="shared" si="117"/>
        <v>-4488.84</v>
      </c>
      <c r="Y230" s="2"/>
      <c r="Z230" s="7">
        <f t="shared" si="118"/>
        <v>-0.36499025899051268</v>
      </c>
    </row>
    <row r="231" spans="1:26" s="24" customFormat="1" hidden="1" outlineLevel="2" x14ac:dyDescent="0.25">
      <c r="A231" s="28"/>
      <c r="B231" s="11" t="str">
        <f>CONCATENATE("          ", "6243", " - ", "PAPER SUPPLIES")</f>
        <v xml:space="preserve">          6243 - PAPER SUPPLIES</v>
      </c>
      <c r="C231" s="11"/>
      <c r="D231" s="6">
        <v>449.01</v>
      </c>
      <c r="E231" s="2"/>
      <c r="F231" s="7">
        <f t="shared" si="111"/>
        <v>2.8044014756694229E-3</v>
      </c>
      <c r="G231" s="2"/>
      <c r="H231" s="6">
        <v>1929.38</v>
      </c>
      <c r="I231" s="2"/>
      <c r="J231" s="7">
        <f t="shared" si="112"/>
        <v>4.0295084880155865E-3</v>
      </c>
      <c r="K231" s="2"/>
      <c r="L231" s="6">
        <f t="shared" si="113"/>
        <v>-1480.3700000000001</v>
      </c>
      <c r="M231" s="2"/>
      <c r="N231" s="7">
        <f t="shared" si="114"/>
        <v>-0.76727757103318162</v>
      </c>
      <c r="O231" s="11"/>
      <c r="P231" s="6">
        <v>3573.7</v>
      </c>
      <c r="Q231" s="2"/>
      <c r="R231" s="7">
        <f t="shared" si="115"/>
        <v>1.5181327204580664E-3</v>
      </c>
      <c r="S231" s="2"/>
      <c r="T231" s="6">
        <v>4906.33</v>
      </c>
      <c r="U231" s="2"/>
      <c r="V231" s="7">
        <f t="shared" si="116"/>
        <v>1.0617886376940344E-3</v>
      </c>
      <c r="W231" s="2"/>
      <c r="X231" s="6">
        <f t="shared" si="117"/>
        <v>-1332.63</v>
      </c>
      <c r="Y231" s="2"/>
      <c r="Z231" s="7">
        <f t="shared" si="118"/>
        <v>-0.27161442463103791</v>
      </c>
    </row>
    <row r="232" spans="1:26" s="24" customFormat="1" hidden="1" outlineLevel="2" x14ac:dyDescent="0.25">
      <c r="A232" s="28"/>
      <c r="B232" s="11" t="str">
        <f>CONCATENATE("          ", "6245", " - ", "PRINTING")</f>
        <v xml:space="preserve">          6245 - PRINTING</v>
      </c>
      <c r="C232" s="11"/>
      <c r="D232" s="6">
        <v>353.09</v>
      </c>
      <c r="E232" s="2"/>
      <c r="F232" s="7">
        <f t="shared" si="111"/>
        <v>2.2053097192581824E-3</v>
      </c>
      <c r="G232" s="2"/>
      <c r="H232" s="6">
        <v>7.24</v>
      </c>
      <c r="I232" s="2"/>
      <c r="J232" s="7">
        <f t="shared" si="112"/>
        <v>1.5120733838452169E-5</v>
      </c>
      <c r="K232" s="2"/>
      <c r="L232" s="6">
        <f t="shared" si="113"/>
        <v>345.84999999999997</v>
      </c>
      <c r="M232" s="2"/>
      <c r="N232" s="7">
        <f t="shared" si="114"/>
        <v>47.769337016574582</v>
      </c>
      <c r="O232" s="11"/>
      <c r="P232" s="6">
        <v>414.55</v>
      </c>
      <c r="Q232" s="2"/>
      <c r="R232" s="7">
        <f t="shared" si="115"/>
        <v>1.7610373541872331E-4</v>
      </c>
      <c r="S232" s="2"/>
      <c r="T232" s="6">
        <v>5247.25</v>
      </c>
      <c r="U232" s="2"/>
      <c r="V232" s="7">
        <f t="shared" si="116"/>
        <v>1.1355678132412663E-3</v>
      </c>
      <c r="W232" s="2"/>
      <c r="X232" s="6">
        <f t="shared" si="117"/>
        <v>-4832.7</v>
      </c>
      <c r="Y232" s="2"/>
      <c r="Z232" s="7">
        <f t="shared" si="118"/>
        <v>-0.92099671256372384</v>
      </c>
    </row>
    <row r="233" spans="1:26" s="24" customFormat="1" hidden="1" outlineLevel="2" x14ac:dyDescent="0.25">
      <c r="A233" s="28"/>
      <c r="B233" s="11" t="str">
        <f>CONCATENATE("          ", "6247", " - ", "STORE SUPPLIES")</f>
        <v xml:space="preserve">          6247 - STORE SUPPLIES</v>
      </c>
      <c r="C233" s="11"/>
      <c r="D233" s="6">
        <v>4061</v>
      </c>
      <c r="E233" s="2"/>
      <c r="F233" s="7">
        <f t="shared" si="111"/>
        <v>2.5363966042389986E-2</v>
      </c>
      <c r="G233" s="2"/>
      <c r="H233" s="6">
        <v>2246.4899999999998</v>
      </c>
      <c r="I233" s="2"/>
      <c r="J233" s="7">
        <f t="shared" si="112"/>
        <v>4.6917924531414933E-3</v>
      </c>
      <c r="K233" s="2"/>
      <c r="L233" s="6">
        <f t="shared" si="113"/>
        <v>1814.5100000000002</v>
      </c>
      <c r="M233" s="2"/>
      <c r="N233" s="7">
        <f t="shared" si="114"/>
        <v>0.80770891479597073</v>
      </c>
      <c r="O233" s="11"/>
      <c r="P233" s="6">
        <v>17551.52</v>
      </c>
      <c r="Q233" s="2"/>
      <c r="R233" s="7">
        <f t="shared" si="115"/>
        <v>7.4560082843479203E-3</v>
      </c>
      <c r="S233" s="2"/>
      <c r="T233" s="6">
        <v>12739.41</v>
      </c>
      <c r="U233" s="2"/>
      <c r="V233" s="7">
        <f t="shared" si="116"/>
        <v>2.7569610664031482E-3</v>
      </c>
      <c r="W233" s="2"/>
      <c r="X233" s="6">
        <f t="shared" si="117"/>
        <v>4812.1100000000006</v>
      </c>
      <c r="Y233" s="2"/>
      <c r="Z233" s="7">
        <f t="shared" si="118"/>
        <v>0.37773413368437003</v>
      </c>
    </row>
    <row r="234" spans="1:26" s="29" customFormat="1" outlineLevel="1" collapsed="1" x14ac:dyDescent="0.25">
      <c r="A234" s="27"/>
      <c r="B234" s="14" t="str">
        <f>CONCATENATE("     ","Telephone/Data Lines                              ")</f>
        <v xml:space="preserve">     Telephone/Data Lines                              </v>
      </c>
      <c r="C234" s="14"/>
      <c r="D234" s="1">
        <f>SUM(OSRRefD22_21x_0)</f>
        <v>849.33</v>
      </c>
      <c r="E234" s="1"/>
      <c r="F234" s="5">
        <f t="shared" ref="F234:F236" si="119">IF(D$12=0,0,D234/D$12)</f>
        <v>5.3046976800746335E-3</v>
      </c>
      <c r="G234" s="1"/>
      <c r="H234" s="1">
        <f>SUM(OSRRefH22_21x_0)</f>
        <v>670.87</v>
      </c>
      <c r="I234" s="1"/>
      <c r="J234" s="5">
        <f t="shared" ref="J234:J236" si="120">IF(H$12=0,0,H234/H$12)</f>
        <v>1.4011114240611059E-3</v>
      </c>
      <c r="K234" s="1"/>
      <c r="L234" s="1">
        <f t="shared" ref="L234:L236" si="121">+D234-H234</f>
        <v>178.46000000000004</v>
      </c>
      <c r="M234" s="1"/>
      <c r="N234" s="5">
        <f t="shared" ref="N234:N236" si="122">IF(H234=0,0,L234/H234)</f>
        <v>0.26601278936306594</v>
      </c>
      <c r="O234" s="14"/>
      <c r="P234" s="1">
        <f>SUM(OSRRefP22_21x_0)</f>
        <v>10380.120000000001</v>
      </c>
      <c r="Q234" s="1"/>
      <c r="R234" s="5">
        <f t="shared" ref="R234:R236" si="123">IF(P$12=0,0,P234/P$12)</f>
        <v>4.4095474758041207E-3</v>
      </c>
      <c r="S234" s="1"/>
      <c r="T234" s="1">
        <f>SUM(OSRRefT22_21x_0)</f>
        <v>11087.27</v>
      </c>
      <c r="U234" s="1"/>
      <c r="V234" s="5">
        <f t="shared" ref="V234:V236" si="124">IF(T$12=0,0,T234/T$12)</f>
        <v>2.3994181616495296E-3</v>
      </c>
      <c r="W234" s="1"/>
      <c r="X234" s="1">
        <f t="shared" ref="X234:X236" si="125">+P234-T234</f>
        <v>-707.14999999999964</v>
      </c>
      <c r="Y234" s="1"/>
      <c r="Z234" s="5">
        <f t="shared" ref="Z234:Z236" si="126">IF(T234=0,0,X234/T234)</f>
        <v>-6.3780353504514609E-2</v>
      </c>
    </row>
    <row r="235" spans="1:26" s="24" customFormat="1" hidden="1" outlineLevel="2" x14ac:dyDescent="0.25">
      <c r="A235" s="28"/>
      <c r="B235" s="11" t="str">
        <f>CONCATENATE("          ", "6303", " - ", "DATA PHONE LINES")</f>
        <v xml:space="preserve">          6303 - DATA PHONE LINES</v>
      </c>
      <c r="C235" s="11"/>
      <c r="D235" s="6"/>
      <c r="E235" s="2"/>
      <c r="F235" s="7">
        <f t="shared" si="119"/>
        <v>0</v>
      </c>
      <c r="G235" s="2"/>
      <c r="H235" s="6">
        <v>295</v>
      </c>
      <c r="I235" s="2"/>
      <c r="J235" s="7">
        <f t="shared" si="120"/>
        <v>6.161072489424571E-4</v>
      </c>
      <c r="K235" s="2"/>
      <c r="L235" s="6">
        <f t="shared" si="121"/>
        <v>-295</v>
      </c>
      <c r="M235" s="2"/>
      <c r="N235" s="7">
        <f t="shared" si="122"/>
        <v>-1</v>
      </c>
      <c r="O235" s="11"/>
      <c r="P235" s="6">
        <v>1180</v>
      </c>
      <c r="Q235" s="2"/>
      <c r="R235" s="7">
        <f t="shared" si="123"/>
        <v>5.0127224169362798E-4</v>
      </c>
      <c r="S235" s="2"/>
      <c r="T235" s="6">
        <v>1180</v>
      </c>
      <c r="U235" s="2"/>
      <c r="V235" s="7">
        <f t="shared" si="124"/>
        <v>2.5536614791075215E-4</v>
      </c>
      <c r="W235" s="2"/>
      <c r="X235" s="6">
        <f t="shared" si="125"/>
        <v>0</v>
      </c>
      <c r="Y235" s="2"/>
      <c r="Z235" s="7">
        <f t="shared" si="126"/>
        <v>0</v>
      </c>
    </row>
    <row r="236" spans="1:26" s="24" customFormat="1" hidden="1" outlineLevel="2" x14ac:dyDescent="0.25">
      <c r="A236" s="28"/>
      <c r="B236" s="11" t="str">
        <f>CONCATENATE("          ", "6309", " - ", "TELEPHONE")</f>
        <v xml:space="preserve">          6309 - TELEPHONE</v>
      </c>
      <c r="C236" s="11"/>
      <c r="D236" s="6">
        <v>849.33</v>
      </c>
      <c r="E236" s="2"/>
      <c r="F236" s="7">
        <f t="shared" si="119"/>
        <v>5.3046976800746335E-3</v>
      </c>
      <c r="G236" s="2"/>
      <c r="H236" s="6">
        <v>375.87</v>
      </c>
      <c r="I236" s="2"/>
      <c r="J236" s="7">
        <f t="shared" si="120"/>
        <v>7.850041751186487E-4</v>
      </c>
      <c r="K236" s="2"/>
      <c r="L236" s="6">
        <f t="shared" si="121"/>
        <v>473.46000000000004</v>
      </c>
      <c r="M236" s="2"/>
      <c r="N236" s="7">
        <f t="shared" si="122"/>
        <v>1.2596376406736371</v>
      </c>
      <c r="O236" s="11"/>
      <c r="P236" s="6">
        <v>9200.1200000000008</v>
      </c>
      <c r="Q236" s="2"/>
      <c r="R236" s="7">
        <f t="shared" si="123"/>
        <v>3.9082752341104924E-3</v>
      </c>
      <c r="S236" s="2"/>
      <c r="T236" s="6">
        <v>9907.27</v>
      </c>
      <c r="U236" s="2"/>
      <c r="V236" s="7">
        <f t="shared" si="124"/>
        <v>2.1440520137387775E-3</v>
      </c>
      <c r="W236" s="2"/>
      <c r="X236" s="6">
        <f t="shared" si="125"/>
        <v>-707.14999999999964</v>
      </c>
      <c r="Y236" s="2"/>
      <c r="Z236" s="7">
        <f t="shared" si="126"/>
        <v>-7.1376877787725543E-2</v>
      </c>
    </row>
    <row r="237" spans="1:26" s="29" customFormat="1" outlineLevel="1" collapsed="1" x14ac:dyDescent="0.25">
      <c r="A237" s="27"/>
      <c r="B237" s="14" t="str">
        <f>CONCATENATE("     ","Training                                          ")</f>
        <v xml:space="preserve">     Training                                          </v>
      </c>
      <c r="C237" s="14"/>
      <c r="D237" s="1">
        <f>SUM(OSRRefD22_22x_0)</f>
        <v>14</v>
      </c>
      <c r="E237" s="1"/>
      <c r="F237" s="5">
        <f t="shared" ref="F237:F242" si="127">IF(D$12=0,0,D237/D$12)</f>
        <v>8.7440414822324497E-5</v>
      </c>
      <c r="G237" s="1"/>
      <c r="H237" s="1">
        <f>SUM(OSRRefH22_22x_0)</f>
        <v>3000.52</v>
      </c>
      <c r="I237" s="1"/>
      <c r="J237" s="5">
        <f t="shared" ref="J237:J242" si="128">IF(H$12=0,0,H237/H$12)</f>
        <v>6.2665834664299034E-3</v>
      </c>
      <c r="K237" s="1"/>
      <c r="L237" s="1">
        <f t="shared" ref="L237:L242" si="129">+D237-H237</f>
        <v>-2986.52</v>
      </c>
      <c r="M237" s="1"/>
      <c r="N237" s="5">
        <f t="shared" ref="N237:N242" si="130">IF(H237=0,0,L237/H237)</f>
        <v>-0.99533414208203908</v>
      </c>
      <c r="O237" s="14"/>
      <c r="P237" s="1">
        <f>SUM(OSRRefP22_22x_0)</f>
        <v>145.63</v>
      </c>
      <c r="Q237" s="1"/>
      <c r="R237" s="5">
        <f t="shared" ref="R237:R242" si="131">IF(P$12=0,0,P237/P$12)</f>
        <v>6.1864641150714445E-5</v>
      </c>
      <c r="S237" s="1"/>
      <c r="T237" s="1">
        <f>SUM(OSRRefT22_22x_0)</f>
        <v>5420.76</v>
      </c>
      <c r="U237" s="1"/>
      <c r="V237" s="5">
        <f t="shared" ref="V237:V242" si="132">IF(T$12=0,0,T237/T$12)</f>
        <v>1.1731174575836346E-3</v>
      </c>
      <c r="W237" s="1"/>
      <c r="X237" s="1">
        <f t="shared" ref="X237:X242" si="133">+P237-T237</f>
        <v>-5275.13</v>
      </c>
      <c r="Y237" s="1"/>
      <c r="Z237" s="5">
        <f t="shared" ref="Z237:Z242" si="134">IF(T237=0,0,X237/T237)</f>
        <v>-0.97313476339111116</v>
      </c>
    </row>
    <row r="238" spans="1:26" s="24" customFormat="1" hidden="1" outlineLevel="2" x14ac:dyDescent="0.25">
      <c r="A238" s="28"/>
      <c r="B238" s="11" t="str">
        <f>CONCATENATE("          ", "6376", " - ", "TRAINING")</f>
        <v xml:space="preserve">          6376 - TRAINING</v>
      </c>
      <c r="C238" s="11"/>
      <c r="D238" s="6">
        <v>14</v>
      </c>
      <c r="E238" s="2"/>
      <c r="F238" s="7">
        <f t="shared" si="127"/>
        <v>8.7440414822324497E-5</v>
      </c>
      <c r="G238" s="2"/>
      <c r="H238" s="6">
        <v>3000.52</v>
      </c>
      <c r="I238" s="2"/>
      <c r="J238" s="7">
        <f t="shared" si="128"/>
        <v>6.2665834664299034E-3</v>
      </c>
      <c r="K238" s="2"/>
      <c r="L238" s="6">
        <f t="shared" si="129"/>
        <v>-2986.52</v>
      </c>
      <c r="M238" s="2"/>
      <c r="N238" s="7">
        <f t="shared" si="130"/>
        <v>-0.99533414208203908</v>
      </c>
      <c r="O238" s="11"/>
      <c r="P238" s="6">
        <v>145.63</v>
      </c>
      <c r="Q238" s="2"/>
      <c r="R238" s="7">
        <f t="shared" si="131"/>
        <v>6.1864641150714445E-5</v>
      </c>
      <c r="S238" s="2"/>
      <c r="T238" s="6">
        <v>5420.76</v>
      </c>
      <c r="U238" s="2"/>
      <c r="V238" s="7">
        <f t="shared" si="132"/>
        <v>1.1731174575836346E-3</v>
      </c>
      <c r="W238" s="2"/>
      <c r="X238" s="6">
        <f t="shared" si="133"/>
        <v>-5275.13</v>
      </c>
      <c r="Y238" s="2"/>
      <c r="Z238" s="7">
        <f t="shared" si="134"/>
        <v>-0.97313476339111116</v>
      </c>
    </row>
    <row r="239" spans="1:26" s="29" customFormat="1" outlineLevel="1" collapsed="1" x14ac:dyDescent="0.25">
      <c r="A239" s="27"/>
      <c r="B239" s="14" t="str">
        <f>CONCATENATE("     ","Travel                                            ")</f>
        <v xml:space="preserve">     Travel                                            </v>
      </c>
      <c r="C239" s="14"/>
      <c r="D239" s="1">
        <f>SUM(OSRRefD22_23x_0)</f>
        <v>80.959999999999994</v>
      </c>
      <c r="E239" s="1"/>
      <c r="F239" s="5">
        <f t="shared" si="127"/>
        <v>5.056554274296708E-4</v>
      </c>
      <c r="G239" s="1"/>
      <c r="H239" s="1">
        <f>SUM(OSRRefH22_23x_0)</f>
        <v>633.25</v>
      </c>
      <c r="I239" s="1"/>
      <c r="J239" s="5">
        <f t="shared" si="128"/>
        <v>1.3225420860773253E-3</v>
      </c>
      <c r="K239" s="1"/>
      <c r="L239" s="1">
        <f t="shared" si="129"/>
        <v>-552.29</v>
      </c>
      <c r="M239" s="1"/>
      <c r="N239" s="5">
        <f t="shared" si="130"/>
        <v>-0.87215159889459137</v>
      </c>
      <c r="O239" s="14"/>
      <c r="P239" s="1">
        <f>SUM(OSRRefP22_23x_0)</f>
        <v>381.93</v>
      </c>
      <c r="Q239" s="1"/>
      <c r="R239" s="5">
        <f t="shared" si="131"/>
        <v>1.6224653158478588E-4</v>
      </c>
      <c r="S239" s="1"/>
      <c r="T239" s="1">
        <f>SUM(OSRRefT22_23x_0)</f>
        <v>1247.1099999999999</v>
      </c>
      <c r="U239" s="1"/>
      <c r="V239" s="5">
        <f t="shared" si="132"/>
        <v>2.6988955654320176E-4</v>
      </c>
      <c r="W239" s="1"/>
      <c r="X239" s="1">
        <f t="shared" si="133"/>
        <v>-865.17999999999984</v>
      </c>
      <c r="Y239" s="1"/>
      <c r="Z239" s="5">
        <f t="shared" si="134"/>
        <v>-0.69374794524941663</v>
      </c>
    </row>
    <row r="240" spans="1:26" s="24" customFormat="1" hidden="1" outlineLevel="2" x14ac:dyDescent="0.25">
      <c r="A240" s="28"/>
      <c r="B240" s="11" t="str">
        <f>CONCATENATE("          ", "6292", " - ", "TRAVEL/CONFERENCE")</f>
        <v xml:space="preserve">          6292 - TRAVEL/CONFERENCE</v>
      </c>
      <c r="C240" s="11"/>
      <c r="D240" s="6"/>
      <c r="E240" s="2"/>
      <c r="F240" s="7">
        <f t="shared" si="127"/>
        <v>0</v>
      </c>
      <c r="G240" s="2"/>
      <c r="H240" s="6">
        <v>298.88</v>
      </c>
      <c r="I240" s="2"/>
      <c r="J240" s="7">
        <f t="shared" si="128"/>
        <v>6.2421062564041213E-4</v>
      </c>
      <c r="K240" s="2"/>
      <c r="L240" s="6">
        <f t="shared" si="129"/>
        <v>-298.88</v>
      </c>
      <c r="M240" s="2"/>
      <c r="N240" s="7">
        <f t="shared" si="130"/>
        <v>-1</v>
      </c>
      <c r="O240" s="11"/>
      <c r="P240" s="6">
        <v>0.16</v>
      </c>
      <c r="Q240" s="2"/>
      <c r="R240" s="7">
        <f t="shared" si="131"/>
        <v>6.7969117517780076E-8</v>
      </c>
      <c r="S240" s="2"/>
      <c r="T240" s="6">
        <v>640.65</v>
      </c>
      <c r="U240" s="2"/>
      <c r="V240" s="7">
        <f t="shared" si="132"/>
        <v>1.3864434123646047E-4</v>
      </c>
      <c r="W240" s="2"/>
      <c r="X240" s="6">
        <f t="shared" si="133"/>
        <v>-640.49</v>
      </c>
      <c r="Y240" s="2"/>
      <c r="Z240" s="7">
        <f t="shared" si="134"/>
        <v>-0.99975025364863812</v>
      </c>
    </row>
    <row r="241" spans="1:26" s="24" customFormat="1" hidden="1" outlineLevel="2" x14ac:dyDescent="0.25">
      <c r="A241" s="28"/>
      <c r="B241" s="11" t="str">
        <f>CONCATENATE("          ", "6294", " - ", "TRAVEL OPERATIONAL")</f>
        <v xml:space="preserve">          6294 - TRAVEL OPERATIONAL</v>
      </c>
      <c r="C241" s="11"/>
      <c r="D241" s="6">
        <v>80.959999999999994</v>
      </c>
      <c r="E241" s="2"/>
      <c r="F241" s="7">
        <f t="shared" si="127"/>
        <v>5.056554274296708E-4</v>
      </c>
      <c r="G241" s="2"/>
      <c r="H241" s="6">
        <v>334.37</v>
      </c>
      <c r="I241" s="2"/>
      <c r="J241" s="7">
        <f t="shared" si="128"/>
        <v>6.9833146043691316E-4</v>
      </c>
      <c r="K241" s="2"/>
      <c r="L241" s="6">
        <f t="shared" si="129"/>
        <v>-253.41000000000003</v>
      </c>
      <c r="M241" s="2"/>
      <c r="N241" s="7">
        <f t="shared" si="130"/>
        <v>-0.75787301492358772</v>
      </c>
      <c r="O241" s="11"/>
      <c r="P241" s="6">
        <v>321.88</v>
      </c>
      <c r="Q241" s="2"/>
      <c r="R241" s="7">
        <f t="shared" si="131"/>
        <v>1.3673687216639405E-4</v>
      </c>
      <c r="S241" s="2"/>
      <c r="T241" s="6">
        <v>436.47</v>
      </c>
      <c r="U241" s="2"/>
      <c r="V241" s="7">
        <f t="shared" si="132"/>
        <v>9.4457341168310163E-5</v>
      </c>
      <c r="W241" s="2"/>
      <c r="X241" s="6">
        <f t="shared" si="133"/>
        <v>-114.59000000000003</v>
      </c>
      <c r="Y241" s="2"/>
      <c r="Z241" s="7">
        <f t="shared" si="134"/>
        <v>-0.26253808967397535</v>
      </c>
    </row>
    <row r="242" spans="1:26" s="24" customFormat="1" hidden="1" outlineLevel="2" x14ac:dyDescent="0.25">
      <c r="A242" s="28"/>
      <c r="B242" s="11" t="str">
        <f>CONCATENATE("          ", "6298", " - ", "VEHICLE MILEAGE")</f>
        <v xml:space="preserve">          6298 - VEHICLE MILEAGE</v>
      </c>
      <c r="C242" s="11"/>
      <c r="D242" s="6"/>
      <c r="E242" s="2"/>
      <c r="F242" s="7">
        <f t="shared" si="127"/>
        <v>0</v>
      </c>
      <c r="G242" s="2"/>
      <c r="H242" s="6"/>
      <c r="I242" s="2"/>
      <c r="J242" s="7">
        <f t="shared" si="128"/>
        <v>0</v>
      </c>
      <c r="K242" s="2"/>
      <c r="L242" s="6">
        <f t="shared" si="129"/>
        <v>0</v>
      </c>
      <c r="M242" s="2"/>
      <c r="N242" s="7">
        <f t="shared" si="130"/>
        <v>0</v>
      </c>
      <c r="O242" s="11"/>
      <c r="P242" s="6">
        <v>59.89</v>
      </c>
      <c r="Q242" s="2"/>
      <c r="R242" s="7">
        <f t="shared" si="131"/>
        <v>2.5441690300874051E-5</v>
      </c>
      <c r="S242" s="2"/>
      <c r="T242" s="6">
        <v>169.99</v>
      </c>
      <c r="U242" s="2"/>
      <c r="V242" s="7">
        <f t="shared" si="132"/>
        <v>3.6787874138431153E-5</v>
      </c>
      <c r="W242" s="2"/>
      <c r="X242" s="6">
        <f t="shared" si="133"/>
        <v>-110.10000000000001</v>
      </c>
      <c r="Y242" s="2"/>
      <c r="Z242" s="7">
        <f t="shared" si="134"/>
        <v>-0.64768515795046766</v>
      </c>
    </row>
    <row r="243" spans="1:26" s="29" customFormat="1" outlineLevel="1" collapsed="1" x14ac:dyDescent="0.25">
      <c r="A243" s="27"/>
      <c r="B243" s="14" t="str">
        <f>CONCATENATE("     ","Utilities                                         ")</f>
        <v xml:space="preserve">     Utilities                                         </v>
      </c>
      <c r="C243" s="14"/>
      <c r="D243" s="1">
        <f>SUM(OSRRefD22_24x_0)</f>
        <v>5953.05</v>
      </c>
      <c r="E243" s="1"/>
      <c r="F243" s="5">
        <f t="shared" ref="F243:F244" si="135">IF(D$12=0,0,D243/D$12)</f>
        <v>3.7181225818431349E-2</v>
      </c>
      <c r="G243" s="1"/>
      <c r="H243" s="1">
        <f>SUM(OSRRefH22_24x_0)</f>
        <v>5636.86</v>
      </c>
      <c r="I243" s="1"/>
      <c r="J243" s="5">
        <f t="shared" ref="J243:J244" si="136">IF(H$12=0,0,H243/H$12)</f>
        <v>1.177257731279247E-2</v>
      </c>
      <c r="K243" s="1"/>
      <c r="L243" s="1">
        <f t="shared" ref="L243:L244" si="137">+D243-H243</f>
        <v>316.19000000000051</v>
      </c>
      <c r="M243" s="1"/>
      <c r="N243" s="5">
        <f t="shared" ref="N243:N244" si="138">IF(H243=0,0,L243/H243)</f>
        <v>5.6093285978363931E-2</v>
      </c>
      <c r="O243" s="14"/>
      <c r="P243" s="1">
        <f>SUM(OSRRefP22_24x_0)</f>
        <v>24435.43</v>
      </c>
      <c r="Q243" s="1"/>
      <c r="R243" s="5">
        <f t="shared" ref="R243:R244" si="139">IF(P$12=0,0,P243/P$12)</f>
        <v>1.0380341332921804E-2</v>
      </c>
      <c r="S243" s="1"/>
      <c r="T243" s="1">
        <f>SUM(OSRRefT22_24x_0)</f>
        <v>16974.66</v>
      </c>
      <c r="U243" s="1"/>
      <c r="V243" s="5">
        <f t="shared" ref="V243:V244" si="140">IF(T$12=0,0,T243/T$12)</f>
        <v>3.6735199460124811E-3</v>
      </c>
      <c r="W243" s="1"/>
      <c r="X243" s="1">
        <f t="shared" ref="X243:X244" si="141">+P243-T243</f>
        <v>7460.77</v>
      </c>
      <c r="Y243" s="1"/>
      <c r="Z243" s="5">
        <f t="shared" ref="Z243:Z244" si="142">IF(T243=0,0,X243/T243)</f>
        <v>0.43952397279238586</v>
      </c>
    </row>
    <row r="244" spans="1:26" s="24" customFormat="1" hidden="1" outlineLevel="2" x14ac:dyDescent="0.25">
      <c r="A244" s="28"/>
      <c r="B244" s="11" t="str">
        <f>CONCATENATE("          ", "6274", " - ", "UTILITIES")</f>
        <v xml:space="preserve">          6274 - UTILITIES</v>
      </c>
      <c r="C244" s="11"/>
      <c r="D244" s="6">
        <v>5953.05</v>
      </c>
      <c r="E244" s="2"/>
      <c r="F244" s="7">
        <f t="shared" si="135"/>
        <v>3.7181225818431349E-2</v>
      </c>
      <c r="G244" s="2"/>
      <c r="H244" s="6">
        <v>5636.86</v>
      </c>
      <c r="I244" s="2"/>
      <c r="J244" s="7">
        <f t="shared" si="136"/>
        <v>1.177257731279247E-2</v>
      </c>
      <c r="K244" s="2"/>
      <c r="L244" s="6">
        <f t="shared" si="137"/>
        <v>316.19000000000051</v>
      </c>
      <c r="M244" s="2"/>
      <c r="N244" s="7">
        <f t="shared" si="138"/>
        <v>5.6093285978363931E-2</v>
      </c>
      <c r="O244" s="11"/>
      <c r="P244" s="6">
        <v>24435.43</v>
      </c>
      <c r="Q244" s="2"/>
      <c r="R244" s="7">
        <f t="shared" si="139"/>
        <v>1.0380341332921804E-2</v>
      </c>
      <c r="S244" s="2"/>
      <c r="T244" s="6">
        <v>16974.66</v>
      </c>
      <c r="U244" s="2"/>
      <c r="V244" s="7">
        <f t="shared" si="140"/>
        <v>3.6735199460124811E-3</v>
      </c>
      <c r="W244" s="2"/>
      <c r="X244" s="6">
        <f t="shared" si="141"/>
        <v>7460.77</v>
      </c>
      <c r="Y244" s="2"/>
      <c r="Z244" s="7">
        <f t="shared" si="142"/>
        <v>0.43952397279238586</v>
      </c>
    </row>
    <row r="245" spans="1:26" s="57" customFormat="1" x14ac:dyDescent="0.25">
      <c r="A245" s="37"/>
      <c r="B245" s="37"/>
      <c r="C245" s="37"/>
      <c r="D245" s="1"/>
      <c r="E245" s="1"/>
      <c r="F245" s="5"/>
      <c r="G245" s="1"/>
      <c r="H245" s="1"/>
      <c r="I245" s="1"/>
      <c r="J245" s="5"/>
      <c r="K245" s="1"/>
      <c r="L245" s="1"/>
      <c r="M245" s="1"/>
      <c r="N245" s="5"/>
      <c r="O245" s="37"/>
      <c r="P245" s="1"/>
      <c r="Q245" s="1"/>
      <c r="R245" s="5"/>
      <c r="S245" s="1"/>
      <c r="T245" s="1"/>
      <c r="U245" s="1"/>
      <c r="V245" s="5"/>
      <c r="W245" s="1"/>
      <c r="X245" s="1"/>
      <c r="Y245" s="1"/>
      <c r="Z245" s="5"/>
    </row>
    <row r="246" spans="1:26" s="23" customFormat="1" collapsed="1" x14ac:dyDescent="0.25">
      <c r="A246" s="10"/>
      <c r="B246" s="26" t="s">
        <v>0</v>
      </c>
      <c r="C246" s="10"/>
      <c r="D246" s="4">
        <f>SUM(OSRRefD25x_0)</f>
        <v>30589.780000000002</v>
      </c>
      <c r="E246" s="4"/>
      <c r="F246" s="12">
        <f t="shared" ref="F246:F254" si="143">IF(D$12=0,0,D246/D$12)</f>
        <v>0.19105593232311754</v>
      </c>
      <c r="G246" s="4"/>
      <c r="H246" s="4">
        <f>SUM(OSRRefH25x_0)</f>
        <v>134453.71000000002</v>
      </c>
      <c r="I246" s="4"/>
      <c r="J246" s="12">
        <f t="shared" ref="J246:J254" si="144">IF(H$12=0,0,H246/H$12)</f>
        <v>0.2808064589091761</v>
      </c>
      <c r="K246" s="4"/>
      <c r="L246" s="4">
        <f t="shared" ref="L246:L254" si="145">+D246-H246</f>
        <v>-103863.93000000002</v>
      </c>
      <c r="M246" s="4"/>
      <c r="N246" s="12">
        <f t="shared" ref="N246:N254" si="146">IF(H246=0,0,L246/H246)</f>
        <v>-0.77248839024226257</v>
      </c>
      <c r="O246" s="10"/>
      <c r="P246" s="4">
        <f>SUM(OSRRefP25x_0)</f>
        <v>451995.42000000004</v>
      </c>
      <c r="Q246" s="4"/>
      <c r="R246" s="12">
        <f t="shared" ref="R246:R254" si="147">IF(P$12=0,0,P246/P$12)</f>
        <v>0.19201081137173975</v>
      </c>
      <c r="S246" s="4"/>
      <c r="T246" s="4">
        <f>SUM(OSRRefT25x_0)</f>
        <v>378997.00999999995</v>
      </c>
      <c r="U246" s="4"/>
      <c r="V246" s="12">
        <f t="shared" ref="V246:V254" si="148">IF(T$12=0,0,T246/T$12)</f>
        <v>8.2019497045248135E-2</v>
      </c>
      <c r="W246" s="4"/>
      <c r="X246" s="4">
        <f t="shared" ref="X246:X254" si="149">+P246-T246</f>
        <v>72998.410000000091</v>
      </c>
      <c r="Y246" s="4"/>
      <c r="Z246" s="12">
        <f t="shared" ref="Z246:Z254" si="150">IF(T246=0,0,X246/T246)</f>
        <v>0.1926094614836146</v>
      </c>
    </row>
    <row r="247" spans="1:26" s="24" customFormat="1" hidden="1" outlineLevel="1" x14ac:dyDescent="0.25">
      <c r="A247" s="44"/>
      <c r="B247" s="11" t="str">
        <f>CONCATENATE("          ", "4098", " - ", "TAXABLE SALES-GRAD RENTALS")</f>
        <v xml:space="preserve">          4098 - TAXABLE SALES-GRAD RENTALS</v>
      </c>
      <c r="C247" s="11"/>
      <c r="D247" s="2">
        <f t="shared" ref="D247:D249" si="151">0</f>
        <v>0</v>
      </c>
      <c r="E247" s="2"/>
      <c r="F247" s="19">
        <f t="shared" si="143"/>
        <v>0</v>
      </c>
      <c r="G247" s="2"/>
      <c r="H247" s="2">
        <f t="shared" ref="H247:H249" si="152">0</f>
        <v>0</v>
      </c>
      <c r="I247" s="2"/>
      <c r="J247" s="19">
        <f t="shared" si="144"/>
        <v>0</v>
      </c>
      <c r="K247" s="2"/>
      <c r="L247" s="2">
        <f t="shared" si="145"/>
        <v>0</v>
      </c>
      <c r="M247" s="2"/>
      <c r="N247" s="19">
        <f t="shared" si="146"/>
        <v>0</v>
      </c>
      <c r="O247" s="11"/>
      <c r="P247" s="2">
        <f t="shared" ref="P247:P249" si="153">0</f>
        <v>0</v>
      </c>
      <c r="Q247" s="2"/>
      <c r="R247" s="19">
        <f t="shared" si="147"/>
        <v>0</v>
      </c>
      <c r="S247" s="2"/>
      <c r="T247" s="2">
        <f>--1626.85</f>
        <v>1626.85</v>
      </c>
      <c r="U247" s="2"/>
      <c r="V247" s="19">
        <f t="shared" si="148"/>
        <v>3.5206984553271789E-4</v>
      </c>
      <c r="W247" s="2"/>
      <c r="X247" s="2">
        <f t="shared" si="149"/>
        <v>-1626.85</v>
      </c>
      <c r="Y247" s="2"/>
      <c r="Z247" s="19">
        <f t="shared" si="150"/>
        <v>-1</v>
      </c>
    </row>
    <row r="248" spans="1:26" s="24" customFormat="1" hidden="1" outlineLevel="1" x14ac:dyDescent="0.25">
      <c r="A248" s="44"/>
      <c r="B248" s="11" t="str">
        <f>CONCATENATE("          ", "4197", " - ", "NON-TAXABLE SALES-RETURNED CHE")</f>
        <v xml:space="preserve">          4197 - NON-TAXABLE SALES-RETURNED CHE</v>
      </c>
      <c r="C248" s="11"/>
      <c r="D248" s="2">
        <f t="shared" si="151"/>
        <v>0</v>
      </c>
      <c r="E248" s="2"/>
      <c r="F248" s="19">
        <f t="shared" si="143"/>
        <v>0</v>
      </c>
      <c r="G248" s="2"/>
      <c r="H248" s="2">
        <f t="shared" si="152"/>
        <v>0</v>
      </c>
      <c r="I248" s="2"/>
      <c r="J248" s="19">
        <f t="shared" si="144"/>
        <v>0</v>
      </c>
      <c r="K248" s="2"/>
      <c r="L248" s="2">
        <f t="shared" si="145"/>
        <v>0</v>
      </c>
      <c r="M248" s="2"/>
      <c r="N248" s="19">
        <f t="shared" si="146"/>
        <v>0</v>
      </c>
      <c r="O248" s="11"/>
      <c r="P248" s="2">
        <f t="shared" si="153"/>
        <v>0</v>
      </c>
      <c r="Q248" s="2"/>
      <c r="R248" s="19">
        <f t="shared" si="147"/>
        <v>0</v>
      </c>
      <c r="S248" s="2"/>
      <c r="T248" s="2">
        <f>--30</f>
        <v>30</v>
      </c>
      <c r="U248" s="2"/>
      <c r="V248" s="19">
        <f t="shared" si="148"/>
        <v>6.492359692646241E-6</v>
      </c>
      <c r="W248" s="2"/>
      <c r="X248" s="2">
        <f t="shared" si="149"/>
        <v>-30</v>
      </c>
      <c r="Y248" s="2"/>
      <c r="Z248" s="19">
        <f t="shared" si="150"/>
        <v>-1</v>
      </c>
    </row>
    <row r="249" spans="1:26" s="24" customFormat="1" hidden="1" outlineLevel="1" x14ac:dyDescent="0.25">
      <c r="A249" s="44"/>
      <c r="B249" s="11" t="str">
        <f>CONCATENATE("          ", "4198", " - ", "NON-TAXABLE SALES-GRAD RENTALS")</f>
        <v xml:space="preserve">          4198 - NON-TAXABLE SALES-GRAD RENTALS</v>
      </c>
      <c r="C249" s="11"/>
      <c r="D249" s="2">
        <f t="shared" si="151"/>
        <v>0</v>
      </c>
      <c r="E249" s="2"/>
      <c r="F249" s="19">
        <f t="shared" si="143"/>
        <v>0</v>
      </c>
      <c r="G249" s="2"/>
      <c r="H249" s="2">
        <f t="shared" si="152"/>
        <v>0</v>
      </c>
      <c r="I249" s="2"/>
      <c r="J249" s="19">
        <f t="shared" si="144"/>
        <v>0</v>
      </c>
      <c r="K249" s="2"/>
      <c r="L249" s="2">
        <f t="shared" si="145"/>
        <v>0</v>
      </c>
      <c r="M249" s="2"/>
      <c r="N249" s="19">
        <f t="shared" si="146"/>
        <v>0</v>
      </c>
      <c r="O249" s="11"/>
      <c r="P249" s="2">
        <f t="shared" si="153"/>
        <v>0</v>
      </c>
      <c r="Q249" s="2"/>
      <c r="R249" s="19">
        <f t="shared" si="147"/>
        <v>0</v>
      </c>
      <c r="S249" s="2"/>
      <c r="T249" s="2">
        <f>--495</f>
        <v>495</v>
      </c>
      <c r="U249" s="2"/>
      <c r="V249" s="19">
        <f t="shared" si="148"/>
        <v>1.0712393492866297E-4</v>
      </c>
      <c r="W249" s="2"/>
      <c r="X249" s="2">
        <f t="shared" si="149"/>
        <v>-495</v>
      </c>
      <c r="Y249" s="2"/>
      <c r="Z249" s="19">
        <f t="shared" si="150"/>
        <v>-1</v>
      </c>
    </row>
    <row r="250" spans="1:26" s="24" customFormat="1" hidden="1" outlineLevel="1" x14ac:dyDescent="0.25">
      <c r="A250" s="44"/>
      <c r="B250" s="11" t="str">
        <f>CONCATENATE("          ", "9150", " - ", "MISC. INCOME")</f>
        <v xml:space="preserve">          9150 - MISC. INCOME</v>
      </c>
      <c r="C250" s="11"/>
      <c r="D250" s="2">
        <f>--30327.7</f>
        <v>30327.7</v>
      </c>
      <c r="E250" s="2"/>
      <c r="F250" s="19">
        <f t="shared" si="143"/>
        <v>0.18941904775764362</v>
      </c>
      <c r="G250" s="2"/>
      <c r="H250" s="2">
        <f>--69263.32</f>
        <v>69263.320000000007</v>
      </c>
      <c r="I250" s="2"/>
      <c r="J250" s="19">
        <f t="shared" si="144"/>
        <v>0.14465638487396976</v>
      </c>
      <c r="K250" s="2"/>
      <c r="L250" s="2">
        <f t="shared" si="145"/>
        <v>-38935.62000000001</v>
      </c>
      <c r="M250" s="2"/>
      <c r="N250" s="19">
        <f t="shared" si="146"/>
        <v>-0.56213909468965684</v>
      </c>
      <c r="O250" s="11"/>
      <c r="P250" s="2">
        <f>--141695.11</f>
        <v>141695.10999999999</v>
      </c>
      <c r="Q250" s="2"/>
      <c r="R250" s="19">
        <f t="shared" si="147"/>
        <v>6.0193072395529831E-2</v>
      </c>
      <c r="S250" s="2"/>
      <c r="T250" s="2">
        <f>--206650.24</f>
        <v>206650.23999999999</v>
      </c>
      <c r="U250" s="2"/>
      <c r="V250" s="19">
        <f t="shared" si="148"/>
        <v>4.4721589621722395E-2</v>
      </c>
      <c r="W250" s="2"/>
      <c r="X250" s="2">
        <f t="shared" si="149"/>
        <v>-64955.130000000005</v>
      </c>
      <c r="Y250" s="2"/>
      <c r="Z250" s="19">
        <f t="shared" si="150"/>
        <v>-0.31432399981727582</v>
      </c>
    </row>
    <row r="251" spans="1:26" s="24" customFormat="1" hidden="1" outlineLevel="1" x14ac:dyDescent="0.25">
      <c r="A251" s="44"/>
      <c r="B251" s="11" t="str">
        <f>CONCATENATE("          ", "9151", " - ", "MISC. INCOME")</f>
        <v xml:space="preserve">          9151 - MISC. INCOME</v>
      </c>
      <c r="C251" s="11"/>
      <c r="D251" s="2">
        <f>0</f>
        <v>0</v>
      </c>
      <c r="E251" s="2"/>
      <c r="F251" s="19">
        <f t="shared" si="143"/>
        <v>0</v>
      </c>
      <c r="G251" s="2"/>
      <c r="H251" s="2">
        <f>--4030.76</f>
        <v>4030.76</v>
      </c>
      <c r="I251" s="2"/>
      <c r="J251" s="19">
        <f t="shared" si="144"/>
        <v>8.4182388296518591E-3</v>
      </c>
      <c r="K251" s="2"/>
      <c r="L251" s="2">
        <f t="shared" si="145"/>
        <v>-4030.76</v>
      </c>
      <c r="M251" s="2"/>
      <c r="N251" s="19">
        <f t="shared" si="146"/>
        <v>-1</v>
      </c>
      <c r="O251" s="11"/>
      <c r="P251" s="2">
        <f>--147285.39</f>
        <v>147285.39000000001</v>
      </c>
      <c r="Q251" s="2"/>
      <c r="R251" s="19">
        <f t="shared" si="147"/>
        <v>6.2567862384762946E-2</v>
      </c>
      <c r="S251" s="2"/>
      <c r="T251" s="2">
        <f>--87224.27</f>
        <v>87224.27</v>
      </c>
      <c r="U251" s="2"/>
      <c r="V251" s="19">
        <f t="shared" si="148"/>
        <v>1.8876377825616426E-2</v>
      </c>
      <c r="W251" s="2"/>
      <c r="X251" s="2">
        <f t="shared" si="149"/>
        <v>60061.12000000001</v>
      </c>
      <c r="Y251" s="2"/>
      <c r="Z251" s="19">
        <f t="shared" si="150"/>
        <v>0.68858266168349713</v>
      </c>
    </row>
    <row r="252" spans="1:26" s="24" customFormat="1" hidden="1" outlineLevel="1" x14ac:dyDescent="0.25">
      <c r="A252" s="44"/>
      <c r="B252" s="11" t="str">
        <f>CONCATENATE("          ", "9152", " - ", "MISC. INCOME")</f>
        <v xml:space="preserve">          9152 - MISC. INCOME</v>
      </c>
      <c r="C252" s="11"/>
      <c r="D252" s="2">
        <f>--262.08</f>
        <v>262.08</v>
      </c>
      <c r="E252" s="2"/>
      <c r="F252" s="19">
        <f t="shared" si="143"/>
        <v>1.6368845654739146E-3</v>
      </c>
      <c r="G252" s="2"/>
      <c r="H252" s="2">
        <f>--53.08</f>
        <v>53.08</v>
      </c>
      <c r="I252" s="2"/>
      <c r="J252" s="19">
        <f t="shared" si="144"/>
        <v>1.1085753482666313E-4</v>
      </c>
      <c r="K252" s="2"/>
      <c r="L252" s="2">
        <f t="shared" si="145"/>
        <v>209</v>
      </c>
      <c r="M252" s="2"/>
      <c r="N252" s="19">
        <f t="shared" si="146"/>
        <v>3.9374529012810853</v>
      </c>
      <c r="O252" s="11"/>
      <c r="P252" s="2">
        <f>--2351.02</f>
        <v>2351.02</v>
      </c>
      <c r="Q252" s="2"/>
      <c r="R252" s="19">
        <f t="shared" si="147"/>
        <v>9.9872971666657056E-4</v>
      </c>
      <c r="S252" s="2"/>
      <c r="T252" s="2">
        <f>--694.1</f>
        <v>694.1</v>
      </c>
      <c r="U252" s="2"/>
      <c r="V252" s="19">
        <f t="shared" si="148"/>
        <v>1.5021156208885853E-4</v>
      </c>
      <c r="W252" s="2"/>
      <c r="X252" s="2">
        <f t="shared" si="149"/>
        <v>1656.92</v>
      </c>
      <c r="Y252" s="2"/>
      <c r="Z252" s="19">
        <f t="shared" si="150"/>
        <v>2.3871488258176057</v>
      </c>
    </row>
    <row r="253" spans="1:26" s="24" customFormat="1" hidden="1" outlineLevel="1" x14ac:dyDescent="0.25">
      <c r="A253" s="44"/>
      <c r="B253" s="11" t="str">
        <f>CONCATENATE("          ", "9160", " - ", "MISC. INCOME")</f>
        <v xml:space="preserve">          9160 - MISC. INCOME</v>
      </c>
      <c r="C253" s="11"/>
      <c r="D253" s="2">
        <f t="shared" ref="D253:D254" si="154">0</f>
        <v>0</v>
      </c>
      <c r="E253" s="2"/>
      <c r="F253" s="19">
        <f t="shared" si="143"/>
        <v>0</v>
      </c>
      <c r="G253" s="2"/>
      <c r="H253" s="2">
        <f>0</f>
        <v>0</v>
      </c>
      <c r="I253" s="2"/>
      <c r="J253" s="19">
        <f t="shared" si="144"/>
        <v>0</v>
      </c>
      <c r="K253" s="2"/>
      <c r="L253" s="2">
        <f t="shared" si="145"/>
        <v>0</v>
      </c>
      <c r="M253" s="2"/>
      <c r="N253" s="19">
        <f t="shared" si="146"/>
        <v>0</v>
      </c>
      <c r="O253" s="11"/>
      <c r="P253" s="2">
        <f>0</f>
        <v>0</v>
      </c>
      <c r="Q253" s="2"/>
      <c r="R253" s="19">
        <f t="shared" si="147"/>
        <v>0</v>
      </c>
      <c r="S253" s="2"/>
      <c r="T253" s="2">
        <f>--21170</f>
        <v>21170</v>
      </c>
      <c r="U253" s="2"/>
      <c r="V253" s="19">
        <f t="shared" si="148"/>
        <v>4.5814418231106971E-3</v>
      </c>
      <c r="W253" s="2"/>
      <c r="X253" s="2">
        <f t="shared" si="149"/>
        <v>-21170</v>
      </c>
      <c r="Y253" s="2"/>
      <c r="Z253" s="19">
        <f t="shared" si="150"/>
        <v>-1</v>
      </c>
    </row>
    <row r="254" spans="1:26" s="24" customFormat="1" hidden="1" outlineLevel="1" x14ac:dyDescent="0.25">
      <c r="A254" s="44"/>
      <c r="B254" s="11" t="str">
        <f>CONCATENATE("          ", "9163", " - ", "MISC. INCOME")</f>
        <v xml:space="preserve">          9163 - MISC. INCOME</v>
      </c>
      <c r="C254" s="11"/>
      <c r="D254" s="2">
        <f t="shared" si="154"/>
        <v>0</v>
      </c>
      <c r="E254" s="2"/>
      <c r="F254" s="19">
        <f t="shared" si="143"/>
        <v>0</v>
      </c>
      <c r="G254" s="2"/>
      <c r="H254" s="2">
        <f>--61106.55</f>
        <v>61106.55</v>
      </c>
      <c r="I254" s="2"/>
      <c r="J254" s="19">
        <f t="shared" si="144"/>
        <v>0.12762097767072783</v>
      </c>
      <c r="K254" s="2"/>
      <c r="L254" s="2">
        <f t="shared" si="145"/>
        <v>-61106.55</v>
      </c>
      <c r="M254" s="2"/>
      <c r="N254" s="19">
        <f t="shared" si="146"/>
        <v>-1</v>
      </c>
      <c r="O254" s="11"/>
      <c r="P254" s="2">
        <f>--160663.9</f>
        <v>160663.9</v>
      </c>
      <c r="Q254" s="2"/>
      <c r="R254" s="19">
        <f t="shared" si="147"/>
        <v>6.82511468747804E-2</v>
      </c>
      <c r="S254" s="2"/>
      <c r="T254" s="2">
        <f>--61106.55</f>
        <v>61106.55</v>
      </c>
      <c r="U254" s="2"/>
      <c r="V254" s="19">
        <f t="shared" si="148"/>
        <v>1.3224190072555739E-2</v>
      </c>
      <c r="W254" s="2"/>
      <c r="X254" s="2">
        <f t="shared" si="149"/>
        <v>99557.349999999991</v>
      </c>
      <c r="Y254" s="2"/>
      <c r="Z254" s="19">
        <f t="shared" si="150"/>
        <v>1.6292418734161884</v>
      </c>
    </row>
    <row r="255" spans="1:26" x14ac:dyDescent="0.25">
      <c r="A255" s="9"/>
      <c r="B255" s="10"/>
      <c r="C255" s="10"/>
      <c r="D255" s="3"/>
      <c r="E255" s="3"/>
      <c r="F255" s="8"/>
      <c r="G255" s="3"/>
      <c r="H255" s="3"/>
      <c r="I255" s="3"/>
      <c r="J255" s="8"/>
      <c r="K255" s="3"/>
      <c r="L255" s="3"/>
      <c r="M255" s="3"/>
      <c r="N255" s="8"/>
      <c r="O255" s="10"/>
      <c r="P255" s="3"/>
      <c r="Q255" s="3"/>
      <c r="R255" s="8"/>
      <c r="S255" s="3"/>
      <c r="T255" s="3"/>
      <c r="U255" s="3"/>
      <c r="V255" s="8"/>
      <c r="W255" s="3"/>
      <c r="X255" s="3"/>
      <c r="Y255" s="3"/>
      <c r="Z255" s="8"/>
    </row>
    <row r="256" spans="1:26" s="23" customFormat="1" x14ac:dyDescent="0.25">
      <c r="A256" s="10"/>
      <c r="B256" s="25" t="s">
        <v>3</v>
      </c>
      <c r="C256" s="25"/>
      <c r="D256" s="20">
        <f>+D155-D157+D246</f>
        <v>-216724.68000000008</v>
      </c>
      <c r="E256" s="13"/>
      <c r="F256" s="21">
        <f>IF(D$12=0,0,D256/D$12)</f>
        <v>-1.3536068515311099</v>
      </c>
      <c r="G256" s="13"/>
      <c r="H256" s="20">
        <f>+H155-H157+H246</f>
        <v>-2754.2400000000489</v>
      </c>
      <c r="I256" s="13"/>
      <c r="J256" s="21">
        <f>IF(H$12=0,0,H256/H$12)</f>
        <v>-5.7522278960247565E-3</v>
      </c>
      <c r="K256" s="15"/>
      <c r="L256" s="20">
        <f>+D256-H256</f>
        <v>-213970.44000000003</v>
      </c>
      <c r="M256" s="15"/>
      <c r="N256" s="21">
        <f>IF(H256=0,0,L256/H256)</f>
        <v>77.687652492156175</v>
      </c>
      <c r="O256" s="26"/>
      <c r="P256" s="20">
        <f>+P155-P157+P246</f>
        <v>142334.62</v>
      </c>
      <c r="Q256" s="13"/>
      <c r="R256" s="21">
        <f>IF(P$12=0,0,P256/P$12)</f>
        <v>6.0464740710178558E-2</v>
      </c>
      <c r="S256" s="13"/>
      <c r="T256" s="20">
        <f>+T155-T157+T246</f>
        <v>661596.14999999898</v>
      </c>
      <c r="U256" s="13"/>
      <c r="V256" s="21">
        <f>IF(T$12=0,0,T256/T$12)</f>
        <v>0.14317733923566431</v>
      </c>
      <c r="W256" s="15"/>
      <c r="X256" s="20">
        <f>+P256-T256</f>
        <v>-519261.52999999898</v>
      </c>
      <c r="Y256" s="15"/>
      <c r="Z256" s="21">
        <f>IF(T256=0,0,X256/T256)</f>
        <v>-0.78486177708258997</v>
      </c>
    </row>
    <row r="257" spans="1:26" x14ac:dyDescent="0.25">
      <c r="A257" s="9"/>
      <c r="B257" s="10"/>
      <c r="C257" s="9"/>
      <c r="D257" s="3"/>
      <c r="E257" s="3"/>
      <c r="F257" s="8"/>
      <c r="G257" s="3"/>
      <c r="H257" s="3"/>
      <c r="I257" s="3"/>
      <c r="J257" s="8"/>
      <c r="K257" s="3"/>
      <c r="L257" s="3"/>
      <c r="M257" s="3"/>
      <c r="N257" s="8"/>
      <c r="P257" s="3"/>
      <c r="Q257" s="3"/>
      <c r="R257" s="8"/>
      <c r="S257" s="3"/>
      <c r="T257" s="3"/>
      <c r="U257" s="3"/>
      <c r="V257" s="8"/>
      <c r="W257" s="3"/>
      <c r="X257" s="3"/>
      <c r="Y257" s="3"/>
      <c r="Z257" s="8"/>
    </row>
    <row r="258" spans="1:26" s="23" customFormat="1" x14ac:dyDescent="0.25">
      <c r="A258" s="51"/>
      <c r="B258" s="10" t="s">
        <v>13</v>
      </c>
      <c r="C258" s="10"/>
      <c r="D258" s="4">
        <v>103498.17</v>
      </c>
      <c r="E258" s="4"/>
      <c r="F258" s="12">
        <f>IF(D$12=0,0,D258/D$12)</f>
        <v>0.64642306558224716</v>
      </c>
      <c r="G258" s="4"/>
      <c r="H258" s="4">
        <v>20237.11</v>
      </c>
      <c r="I258" s="4"/>
      <c r="J258" s="12">
        <f>IF(H$12=0,0,H258/H$12)</f>
        <v>4.2265187012358943E-2</v>
      </c>
      <c r="K258" s="4"/>
      <c r="L258" s="4">
        <f>+D258-H258</f>
        <v>83261.06</v>
      </c>
      <c r="M258" s="4"/>
      <c r="N258" s="12">
        <f>IF(H258=0,0,L258/H258)</f>
        <v>4.1142761985283469</v>
      </c>
      <c r="O258" s="10"/>
      <c r="P258" s="4">
        <v>509929.32</v>
      </c>
      <c r="Q258" s="4"/>
      <c r="R258" s="12">
        <f>IF(P$12=0,0,P258/P$12)</f>
        <v>0.21662153673026049</v>
      </c>
      <c r="S258" s="4"/>
      <c r="T258" s="4">
        <v>465143.14</v>
      </c>
      <c r="U258" s="4"/>
      <c r="V258" s="12">
        <f>IF(T$12=0,0,T258/T$12)</f>
        <v>0.10066255244823025</v>
      </c>
      <c r="W258" s="4"/>
      <c r="X258" s="4">
        <f>+P258-T258</f>
        <v>44786.179999999993</v>
      </c>
      <c r="Y258" s="4"/>
      <c r="Z258" s="12">
        <f>IF(T258=0,0,X258/T258)</f>
        <v>9.6284726460762152E-2</v>
      </c>
    </row>
    <row r="259" spans="1:26" x14ac:dyDescent="0.25">
      <c r="A259" s="9"/>
      <c r="B259" s="10"/>
      <c r="C259" s="10"/>
      <c r="D259" s="3"/>
      <c r="E259" s="3"/>
      <c r="F259" s="8"/>
      <c r="G259" s="3"/>
      <c r="H259" s="3"/>
      <c r="I259" s="3"/>
      <c r="J259" s="8"/>
      <c r="K259" s="3"/>
      <c r="L259" s="3"/>
      <c r="M259" s="3"/>
      <c r="N259" s="8"/>
      <c r="O259" s="10"/>
      <c r="P259" s="3"/>
      <c r="Q259" s="3"/>
      <c r="R259" s="8"/>
      <c r="S259" s="3"/>
      <c r="T259" s="3"/>
      <c r="U259" s="3"/>
      <c r="V259" s="8"/>
      <c r="W259" s="3"/>
      <c r="X259" s="3"/>
      <c r="Y259" s="3"/>
      <c r="Z259" s="8"/>
    </row>
    <row r="260" spans="1:26" s="23" customFormat="1" ht="15.75" thickBot="1" x14ac:dyDescent="0.3">
      <c r="A260" s="10"/>
      <c r="B260" s="25" t="s">
        <v>4</v>
      </c>
      <c r="C260" s="25"/>
      <c r="D260" s="30">
        <f>+D256-D258</f>
        <v>-320222.85000000009</v>
      </c>
      <c r="E260" s="13"/>
      <c r="F260" s="33">
        <f>IF(D$12=0,0,D260/D$12)</f>
        <v>-2.0000299171133573</v>
      </c>
      <c r="G260" s="13"/>
      <c r="H260" s="30">
        <f>+H256-H258</f>
        <v>-22991.350000000049</v>
      </c>
      <c r="I260" s="13"/>
      <c r="J260" s="33">
        <f>IF(H$12=0,0,H260/H$12)</f>
        <v>-4.8017414908383703E-2</v>
      </c>
      <c r="K260" s="15"/>
      <c r="L260" s="30">
        <f>D260-H260</f>
        <v>-297231.50000000006</v>
      </c>
      <c r="M260" s="15"/>
      <c r="N260" s="33">
        <f>IF(H260=0,0,L260/H260)</f>
        <v>12.927970736820562</v>
      </c>
      <c r="O260" s="26"/>
      <c r="P260" s="30">
        <f>+P256-P258</f>
        <v>-367594.7</v>
      </c>
      <c r="Q260" s="13"/>
      <c r="R260" s="33">
        <f>IF(P$12=0,0,P260/P$12)</f>
        <v>-0.15615679602008195</v>
      </c>
      <c r="S260" s="13"/>
      <c r="T260" s="30">
        <f>+T256-T258</f>
        <v>196453.00999999896</v>
      </c>
      <c r="U260" s="13"/>
      <c r="V260" s="33">
        <f>IF(T$12=0,0,T260/T$12)</f>
        <v>4.2514786787434068E-2</v>
      </c>
      <c r="W260" s="15"/>
      <c r="X260" s="30">
        <f>P260-T260</f>
        <v>-564047.70999999903</v>
      </c>
      <c r="Y260" s="15"/>
      <c r="Z260" s="33">
        <f>IF(T260=0,0,X260/T260)</f>
        <v>-2.8711584006781163</v>
      </c>
    </row>
    <row r="261" spans="1:26" ht="15.75" thickTop="1" x14ac:dyDescent="0.25">
      <c r="A261" s="9"/>
      <c r="B261" s="9"/>
      <c r="C261" s="9"/>
      <c r="D261" s="3"/>
      <c r="E261" s="3"/>
      <c r="F261" s="8"/>
      <c r="G261" s="3"/>
      <c r="H261" s="3"/>
      <c r="I261" s="3"/>
      <c r="J261" s="8"/>
      <c r="K261" s="3"/>
      <c r="L261" s="3"/>
      <c r="M261" s="3"/>
      <c r="N261" s="8"/>
      <c r="P261" s="3"/>
      <c r="Q261" s="3"/>
      <c r="R261" s="8"/>
      <c r="S261" s="3"/>
      <c r="T261" s="3"/>
      <c r="U261" s="3"/>
      <c r="V261" s="8"/>
      <c r="W261" s="3"/>
      <c r="X261" s="3"/>
      <c r="Y261" s="3"/>
      <c r="Z261" s="8"/>
    </row>
    <row r="262" spans="1:26" x14ac:dyDescent="0.25">
      <c r="A262" s="9"/>
      <c r="B262" s="9"/>
      <c r="C262" s="9"/>
      <c r="D262" s="3"/>
      <c r="E262" s="3"/>
      <c r="F262" s="8"/>
      <c r="G262" s="3"/>
      <c r="H262" s="3"/>
      <c r="I262" s="3"/>
      <c r="J262" s="8"/>
      <c r="K262" s="3"/>
      <c r="L262" s="3"/>
      <c r="M262" s="3"/>
      <c r="N262" s="8"/>
      <c r="P262" s="3"/>
      <c r="Q262" s="3"/>
      <c r="R262" s="8"/>
      <c r="S262" s="3"/>
      <c r="T262" s="3"/>
      <c r="U262" s="3"/>
      <c r="V262" s="8"/>
      <c r="W262" s="3"/>
      <c r="X262" s="3"/>
      <c r="Y262" s="3"/>
      <c r="Z262" s="8"/>
    </row>
    <row r="263" spans="1:26" s="23" customFormat="1" ht="15.75" thickBot="1" x14ac:dyDescent="0.3">
      <c r="A263" s="10"/>
      <c r="B263" s="25" t="s">
        <v>5</v>
      </c>
      <c r="C263" s="25"/>
      <c r="D263" s="34">
        <f>SUM(D260:D262)</f>
        <v>-320222.85000000009</v>
      </c>
      <c r="E263" s="13"/>
      <c r="F263" s="35">
        <f>IF(D$12=0,0,D263/D$12)</f>
        <v>-2.0000299171133573</v>
      </c>
      <c r="G263" s="13"/>
      <c r="H263" s="34">
        <f>SUM(H260:H262)</f>
        <v>-22991.350000000049</v>
      </c>
      <c r="I263" s="13"/>
      <c r="J263" s="35">
        <f>IF(H$12=0,0,H263/H$12)</f>
        <v>-4.8017414908383703E-2</v>
      </c>
      <c r="K263" s="15"/>
      <c r="L263" s="34">
        <f>+D263-H263</f>
        <v>-297231.50000000006</v>
      </c>
      <c r="M263" s="15"/>
      <c r="N263" s="35">
        <f>IF(H263=0,0,L263/H263)</f>
        <v>12.927970736820562</v>
      </c>
      <c r="O263" s="26"/>
      <c r="P263" s="34">
        <f>SUM(P260:P262)</f>
        <v>-367594.7</v>
      </c>
      <c r="Q263" s="13"/>
      <c r="R263" s="35">
        <f>IF(P$12=0,0,P263/P$12)</f>
        <v>-0.15615679602008195</v>
      </c>
      <c r="S263" s="13"/>
      <c r="T263" s="34">
        <f>SUM(T260:T262)</f>
        <v>196453.00999999896</v>
      </c>
      <c r="U263" s="13"/>
      <c r="V263" s="35">
        <f>IF(T$12=0,0,T263/T$12)</f>
        <v>4.2514786787434068E-2</v>
      </c>
      <c r="W263" s="15"/>
      <c r="X263" s="34">
        <f>+P263-T263</f>
        <v>-564047.70999999903</v>
      </c>
      <c r="Y263" s="15"/>
      <c r="Z263" s="35">
        <f>IF(T263=0,0,X263/T263)</f>
        <v>-2.8711584006781163</v>
      </c>
    </row>
    <row r="264" spans="1:26" ht="15.75" thickTop="1" x14ac:dyDescent="0.25">
      <c r="A264" s="9"/>
      <c r="C264" s="9"/>
      <c r="D264" s="18"/>
      <c r="E264" s="18"/>
      <c r="G264" s="18"/>
      <c r="H264" s="18"/>
      <c r="I264" s="18"/>
      <c r="J264" s="43"/>
      <c r="K264" s="18"/>
      <c r="L264" s="18"/>
      <c r="M264" s="18"/>
      <c r="P264" s="18"/>
      <c r="Q264" s="18"/>
      <c r="R264" s="43"/>
      <c r="S264" s="18"/>
      <c r="T264" s="18"/>
      <c r="U264" s="18"/>
      <c r="V264" s="43"/>
      <c r="W264" s="18"/>
      <c r="X264" s="18"/>
    </row>
    <row r="265" spans="1:26" x14ac:dyDescent="0.25">
      <c r="A265" s="9"/>
      <c r="B265" s="56">
        <v>44151.571845682869</v>
      </c>
      <c r="D265" s="18"/>
      <c r="E265" s="18"/>
      <c r="G265" s="18"/>
      <c r="H265" s="18"/>
      <c r="I265" s="18"/>
      <c r="J265" s="43"/>
      <c r="K265" s="18"/>
      <c r="L265" s="18"/>
      <c r="M265" s="18"/>
      <c r="P265" s="18"/>
      <c r="Q265" s="18"/>
      <c r="R265" s="43"/>
      <c r="S265" s="18"/>
      <c r="T265" s="18"/>
      <c r="U265" s="18"/>
      <c r="V265" s="43"/>
      <c r="W265" s="18"/>
      <c r="X265" s="18"/>
    </row>
    <row r="266" spans="1:26" x14ac:dyDescent="0.25">
      <c r="A266" s="9"/>
      <c r="B266" s="62" t="s">
        <v>313</v>
      </c>
      <c r="D266" s="18"/>
      <c r="E266" s="18"/>
      <c r="G266" s="18"/>
      <c r="H266" s="18"/>
      <c r="I266" s="18"/>
      <c r="J266" s="43"/>
      <c r="K266" s="18"/>
      <c r="L266" s="18"/>
      <c r="M266" s="18"/>
      <c r="P266" s="18"/>
      <c r="Q266" s="18"/>
      <c r="R266" s="43"/>
      <c r="S266" s="18"/>
      <c r="T266" s="18"/>
      <c r="U266" s="18"/>
      <c r="V266" s="43"/>
      <c r="W266" s="18"/>
      <c r="X266" s="18"/>
    </row>
    <row r="267" spans="1:26" x14ac:dyDescent="0.25">
      <c r="A267" s="9"/>
      <c r="B267" s="54"/>
      <c r="D267" s="18"/>
      <c r="E267" s="18"/>
      <c r="G267" s="18"/>
      <c r="H267" s="18"/>
      <c r="I267" s="18"/>
      <c r="J267" s="43"/>
      <c r="K267" s="18"/>
      <c r="L267" s="18"/>
      <c r="M267" s="18"/>
      <c r="P267" s="18"/>
      <c r="Q267" s="18"/>
      <c r="R267" s="43"/>
      <c r="S267" s="18"/>
      <c r="T267" s="18"/>
      <c r="U267" s="18"/>
      <c r="V267" s="43"/>
      <c r="W267" s="18"/>
      <c r="X267" s="18"/>
    </row>
    <row r="268" spans="1:26" x14ac:dyDescent="0.25">
      <c r="D268" s="18"/>
      <c r="E268" s="18"/>
      <c r="G268" s="18"/>
      <c r="H268" s="18"/>
      <c r="I268" s="18"/>
      <c r="J268" s="43"/>
      <c r="K268" s="18"/>
      <c r="L268" s="18"/>
      <c r="M268" s="18"/>
      <c r="P268" s="18"/>
      <c r="Q268" s="18"/>
      <c r="R268" s="43"/>
      <c r="S268" s="18"/>
      <c r="T268" s="18"/>
      <c r="U268" s="18"/>
      <c r="V268" s="43"/>
      <c r="W268" s="18"/>
      <c r="X268" s="18"/>
    </row>
  </sheetData>
  <pageMargins left="0.25" right="0.25" top="0.75" bottom="0.75" header="0.3" footer="0.3"/>
  <pageSetup scale="55" fitToWidth="2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295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61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50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50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2"/>
      <c r="F10" s="31" t="s">
        <v>14</v>
      </c>
      <c r="G10" s="32"/>
      <c r="H10" s="49" t="s">
        <v>306</v>
      </c>
      <c r="I10" s="32"/>
      <c r="J10" s="31" t="s">
        <v>14</v>
      </c>
      <c r="K10" s="10"/>
      <c r="L10" s="42" t="s">
        <v>11</v>
      </c>
      <c r="M10" s="10"/>
      <c r="N10" s="31" t="s">
        <v>15</v>
      </c>
      <c r="O10" s="10"/>
      <c r="P10" s="59" t="s">
        <v>10</v>
      </c>
      <c r="Q10" s="32"/>
      <c r="R10" s="31" t="s">
        <v>14</v>
      </c>
      <c r="S10" s="32"/>
      <c r="T10" s="49" t="s">
        <v>306</v>
      </c>
      <c r="U10" s="32"/>
      <c r="V10" s="31" t="s">
        <v>14</v>
      </c>
      <c r="W10" s="10"/>
      <c r="X10" s="42" t="s">
        <v>11</v>
      </c>
      <c r="Y10" s="10"/>
      <c r="Z10" s="31" t="s">
        <v>15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6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2" t="e">
        <f ca="1">SUM(_xll.OneStop.ReportPlayer.OSRFunctions.OSRRef(D22))</f>
        <v>#NAME?</v>
      </c>
      <c r="E20" s="22"/>
      <c r="F20" s="36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6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6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6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7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6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0" t="e">
        <f ca="1">+D27-D29</f>
        <v>#NAME?</v>
      </c>
      <c r="E31" s="13"/>
      <c r="F31" s="33" t="e">
        <f ca="1">IF(D$12=0,0,D31/D$12)</f>
        <v>#NAME?</v>
      </c>
      <c r="G31" s="13"/>
      <c r="H31" s="30" t="e">
        <f ca="1">+H27-H29</f>
        <v>#NAME?</v>
      </c>
      <c r="I31" s="13"/>
      <c r="J31" s="33" t="e">
        <f ca="1">IF(H$12=0,0,H31/H$12)</f>
        <v>#NAME?</v>
      </c>
      <c r="K31" s="15"/>
      <c r="L31" s="30" t="e">
        <f ca="1">D31-H31</f>
        <v>#NAME?</v>
      </c>
      <c r="M31" s="15"/>
      <c r="N31" s="33" t="e">
        <f ca="1">IF(H31=0,0,L31/H31)</f>
        <v>#NAME?</v>
      </c>
      <c r="O31" s="26"/>
      <c r="P31" s="30" t="e">
        <f ca="1">+P27-P29</f>
        <v>#NAME?</v>
      </c>
      <c r="Q31" s="13"/>
      <c r="R31" s="33" t="e">
        <f ca="1">IF(P$12=0,0,P31/P$12)</f>
        <v>#NAME?</v>
      </c>
      <c r="S31" s="13"/>
      <c r="T31" s="30" t="e">
        <f ca="1">+T27-T29</f>
        <v>#NAME?</v>
      </c>
      <c r="U31" s="13"/>
      <c r="V31" s="33" t="e">
        <f ca="1">IF(T$12=0,0,T31/T$12)</f>
        <v>#NAME?</v>
      </c>
      <c r="W31" s="15"/>
      <c r="X31" s="30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4" t="e">
        <f ca="1">SUM(D31:D35)</f>
        <v>#NAME?</v>
      </c>
      <c r="E36" s="13"/>
      <c r="F36" s="35" t="e">
        <f ca="1">IF(D$12=0,0,D36/D$12)</f>
        <v>#NAME?</v>
      </c>
      <c r="G36" s="13"/>
      <c r="H36" s="34" t="e">
        <f ca="1">SUM(H31:H35)</f>
        <v>#NAME?</v>
      </c>
      <c r="I36" s="13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6"/>
      <c r="P36" s="34" t="e">
        <f ca="1">SUM(P31:P35)</f>
        <v>#NAME?</v>
      </c>
      <c r="Q36" s="13"/>
      <c r="R36" s="35" t="e">
        <f ca="1">IF(P$12=0,0,P36/P$12)</f>
        <v>#NAME?</v>
      </c>
      <c r="S36" s="13"/>
      <c r="T36" s="34" t="e">
        <f ca="1">SUM(T31:T35)</f>
        <v>#NAME?</v>
      </c>
      <c r="U36" s="13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295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",RIGHT(202104,2),", ",2021)</f>
        <v>Period 04,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44135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311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61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50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50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2"/>
      <c r="F10" s="31" t="s">
        <v>14</v>
      </c>
      <c r="G10" s="32"/>
      <c r="H10" s="49" t="s">
        <v>306</v>
      </c>
      <c r="I10" s="32"/>
      <c r="J10" s="31" t="s">
        <v>14</v>
      </c>
      <c r="K10" s="10"/>
      <c r="L10" s="42" t="s">
        <v>11</v>
      </c>
      <c r="M10" s="10"/>
      <c r="N10" s="31" t="s">
        <v>15</v>
      </c>
      <c r="O10" s="10"/>
      <c r="P10" s="59" t="s">
        <v>10</v>
      </c>
      <c r="Q10" s="32"/>
      <c r="R10" s="31" t="s">
        <v>14</v>
      </c>
      <c r="S10" s="32"/>
      <c r="T10" s="49" t="s">
        <v>306</v>
      </c>
      <c r="U10" s="32"/>
      <c r="V10" s="31" t="s">
        <v>14</v>
      </c>
      <c r="W10" s="10"/>
      <c r="X10" s="42" t="s">
        <v>11</v>
      </c>
      <c r="Y10" s="10"/>
      <c r="Z10" s="31" t="s">
        <v>15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332945.8299999999</v>
      </c>
      <c r="E12" s="4"/>
      <c r="F12" s="12"/>
      <c r="G12" s="4"/>
      <c r="H12" s="4">
        <f>SUM(OSRRefH13x_0)</f>
        <v>625039.46000000054</v>
      </c>
      <c r="I12" s="4"/>
      <c r="J12" s="12"/>
      <c r="K12" s="4"/>
      <c r="L12" s="4">
        <f t="shared" ref="L12:L121" si="0">+D12-H12</f>
        <v>-292093.63000000064</v>
      </c>
      <c r="M12" s="4"/>
      <c r="N12" s="12">
        <f t="shared" ref="N12:N121" si="1">IF(H12=0,0,L12/H12)</f>
        <v>-0.46732030326533369</v>
      </c>
      <c r="O12" s="10"/>
      <c r="P12" s="4">
        <f>SUM(OSRRefP13x_0)</f>
        <v>3490131.790000001</v>
      </c>
      <c r="Q12" s="4"/>
      <c r="R12" s="12"/>
      <c r="S12" s="4"/>
      <c r="T12" s="4">
        <f>SUM(OSRRefT13x_0)</f>
        <v>5959220.8699999982</v>
      </c>
      <c r="U12" s="4"/>
      <c r="V12" s="12"/>
      <c r="W12" s="4"/>
      <c r="X12" s="4">
        <f t="shared" ref="X12:X121" si="2">+P12-T12</f>
        <v>-2469089.0799999973</v>
      </c>
      <c r="Y12" s="4"/>
      <c r="Z12" s="12">
        <f t="shared" ref="Z12:Z121" si="3">IF(T12=0,0,X12/T12)</f>
        <v>-0.41433085530189417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-11561.63</f>
        <v>-11561.63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-11561.63</v>
      </c>
      <c r="M13" s="2"/>
      <c r="N13" s="19">
        <f t="shared" si="1"/>
        <v>0</v>
      </c>
      <c r="O13" s="11"/>
      <c r="P13" s="2">
        <f>-49362.41</f>
        <v>-49362.41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-49362.41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--17630.93</f>
        <v>17630.93</v>
      </c>
      <c r="E14" s="2"/>
      <c r="F14" s="19"/>
      <c r="G14" s="2"/>
      <c r="H14" s="2">
        <f>--31204.32</f>
        <v>31204.32</v>
      </c>
      <c r="I14" s="2"/>
      <c r="J14" s="19"/>
      <c r="K14" s="2"/>
      <c r="L14" s="2">
        <f t="shared" si="0"/>
        <v>-13573.39</v>
      </c>
      <c r="M14" s="2"/>
      <c r="N14" s="19">
        <f t="shared" si="1"/>
        <v>-0.43498432268352588</v>
      </c>
      <c r="O14" s="11"/>
      <c r="P14" s="2">
        <f>--712327.57</f>
        <v>712327.57</v>
      </c>
      <c r="Q14" s="2"/>
      <c r="R14" s="19"/>
      <c r="S14" s="2"/>
      <c r="T14" s="2">
        <f>--1495159.74</f>
        <v>1495159.74</v>
      </c>
      <c r="U14" s="2"/>
      <c r="V14" s="19"/>
      <c r="W14" s="2"/>
      <c r="X14" s="2">
        <f t="shared" si="2"/>
        <v>-782832.17</v>
      </c>
      <c r="Y14" s="2"/>
      <c r="Z14" s="19">
        <f t="shared" si="3"/>
        <v>-0.52357761452298068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--2483.62</f>
        <v>2483.62</v>
      </c>
      <c r="E15" s="2"/>
      <c r="F15" s="19"/>
      <c r="G15" s="2"/>
      <c r="H15" s="2">
        <f>--8985.78</f>
        <v>8985.7800000000007</v>
      </c>
      <c r="I15" s="2"/>
      <c r="J15" s="19"/>
      <c r="K15" s="2"/>
      <c r="L15" s="2">
        <f t="shared" si="0"/>
        <v>-6502.1600000000008</v>
      </c>
      <c r="M15" s="2"/>
      <c r="N15" s="19">
        <f t="shared" si="1"/>
        <v>-0.72360551894215086</v>
      </c>
      <c r="O15" s="11"/>
      <c r="P15" s="2">
        <f>--319139.52</f>
        <v>319139.52</v>
      </c>
      <c r="Q15" s="2"/>
      <c r="R15" s="19"/>
      <c r="S15" s="2"/>
      <c r="T15" s="2">
        <f>--666296.36</f>
        <v>666296.36</v>
      </c>
      <c r="U15" s="2"/>
      <c r="V15" s="19"/>
      <c r="W15" s="2"/>
      <c r="X15" s="2">
        <f t="shared" si="2"/>
        <v>-347156.83999999997</v>
      </c>
      <c r="Y15" s="2"/>
      <c r="Z15" s="19">
        <f t="shared" si="3"/>
        <v>-0.52102466836228845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--70</f>
        <v>70</v>
      </c>
      <c r="E16" s="2"/>
      <c r="F16" s="19"/>
      <c r="G16" s="2"/>
      <c r="H16" s="2">
        <f>--307.97</f>
        <v>307.97000000000003</v>
      </c>
      <c r="I16" s="2"/>
      <c r="J16" s="19"/>
      <c r="K16" s="2"/>
      <c r="L16" s="2">
        <f t="shared" si="0"/>
        <v>-237.97000000000003</v>
      </c>
      <c r="M16" s="2"/>
      <c r="N16" s="19">
        <f t="shared" si="1"/>
        <v>-0.77270513361691073</v>
      </c>
      <c r="O16" s="11"/>
      <c r="P16" s="2">
        <f>--10665.63</f>
        <v>10665.63</v>
      </c>
      <c r="Q16" s="2"/>
      <c r="R16" s="19"/>
      <c r="S16" s="2"/>
      <c r="T16" s="2">
        <f>--15844.66</f>
        <v>15844.66</v>
      </c>
      <c r="U16" s="2"/>
      <c r="V16" s="19"/>
      <c r="W16" s="2"/>
      <c r="X16" s="2">
        <f t="shared" si="2"/>
        <v>-5179.0300000000007</v>
      </c>
      <c r="Y16" s="2"/>
      <c r="Z16" s="19">
        <f t="shared" si="3"/>
        <v>-0.32686280425076969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>--354.45</f>
        <v>354.45</v>
      </c>
      <c r="E17" s="2"/>
      <c r="F17" s="19"/>
      <c r="G17" s="2"/>
      <c r="H17" s="2">
        <f>--460.04</f>
        <v>460.04</v>
      </c>
      <c r="I17" s="2"/>
      <c r="J17" s="19"/>
      <c r="K17" s="2"/>
      <c r="L17" s="2">
        <f t="shared" si="0"/>
        <v>-105.59000000000003</v>
      </c>
      <c r="M17" s="2"/>
      <c r="N17" s="19">
        <f t="shared" si="1"/>
        <v>-0.22952351969393972</v>
      </c>
      <c r="O17" s="11"/>
      <c r="P17" s="2">
        <f>--2459.56</f>
        <v>2459.56</v>
      </c>
      <c r="Q17" s="2"/>
      <c r="R17" s="19"/>
      <c r="S17" s="2"/>
      <c r="T17" s="2">
        <f>--30160.48</f>
        <v>30160.48</v>
      </c>
      <c r="U17" s="2"/>
      <c r="V17" s="19"/>
      <c r="W17" s="2"/>
      <c r="X17" s="2">
        <f t="shared" si="2"/>
        <v>-27700.92</v>
      </c>
      <c r="Y17" s="2"/>
      <c r="Z17" s="19">
        <f t="shared" si="3"/>
        <v>-0.91845089998567653</v>
      </c>
    </row>
    <row r="18" spans="1:26" s="24" customFormat="1" hidden="1" outlineLevel="1" x14ac:dyDescent="0.25">
      <c r="A18" s="44"/>
      <c r="B18" s="11" t="str">
        <f>CONCATENATE("          ", "4011", " - ", "TAXABLE SALES-NO VALUE TEXT")</f>
        <v xml:space="preserve">          4011 - TAXABLE SALES-NO VALUE TEXT</v>
      </c>
      <c r="C18" s="11"/>
      <c r="D18" s="2">
        <f>0</f>
        <v>0</v>
      </c>
      <c r="E18" s="2"/>
      <c r="F18" s="19"/>
      <c r="G18" s="2"/>
      <c r="H18" s="2">
        <f>0</f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0</f>
        <v>0</v>
      </c>
      <c r="Q18" s="2"/>
      <c r="R18" s="19"/>
      <c r="S18" s="2"/>
      <c r="T18" s="2">
        <f>--9.6</f>
        <v>9.6</v>
      </c>
      <c r="U18" s="2"/>
      <c r="V18" s="19"/>
      <c r="W18" s="2"/>
      <c r="X18" s="2">
        <f t="shared" si="2"/>
        <v>-9.6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"4013", " - ", "TAXABLE SALES-TRADE BOOKS")</f>
        <v xml:space="preserve">          4013 - TAXABLE SALES-TRADE BOOKS</v>
      </c>
      <c r="C19" s="11"/>
      <c r="D19" s="2">
        <f>--157.47</f>
        <v>157.47</v>
      </c>
      <c r="E19" s="2"/>
      <c r="F19" s="19"/>
      <c r="G19" s="2"/>
      <c r="H19" s="2">
        <f>--686.63</f>
        <v>686.63</v>
      </c>
      <c r="I19" s="2"/>
      <c r="J19" s="19"/>
      <c r="K19" s="2"/>
      <c r="L19" s="2">
        <f t="shared" si="0"/>
        <v>-529.16</v>
      </c>
      <c r="M19" s="2"/>
      <c r="N19" s="19">
        <f t="shared" si="1"/>
        <v>-0.77066251110496187</v>
      </c>
      <c r="O19" s="11"/>
      <c r="P19" s="2">
        <f>--197.37</f>
        <v>197.37</v>
      </c>
      <c r="Q19" s="2"/>
      <c r="R19" s="19"/>
      <c r="S19" s="2"/>
      <c r="T19" s="2">
        <f>--827.39</f>
        <v>827.39</v>
      </c>
      <c r="U19" s="2"/>
      <c r="V19" s="19"/>
      <c r="W19" s="2"/>
      <c r="X19" s="2">
        <f t="shared" si="2"/>
        <v>-630.02</v>
      </c>
      <c r="Y19" s="2"/>
      <c r="Z19" s="19">
        <f t="shared" si="3"/>
        <v>-0.76145469488391204</v>
      </c>
    </row>
    <row r="20" spans="1:26" s="24" customFormat="1" hidden="1" outlineLevel="1" x14ac:dyDescent="0.25">
      <c r="A20" s="44"/>
      <c r="B20" s="11" t="str">
        <f>CONCATENATE("          ", "4014", " - ", "TAXABLE SALES-REMAINDERS")</f>
        <v xml:space="preserve">          4014 - TAXABLE SALES-REMAINDERS</v>
      </c>
      <c r="C20" s="11"/>
      <c r="D20" s="2">
        <f>--35.8</f>
        <v>35.799999999999997</v>
      </c>
      <c r="E20" s="2"/>
      <c r="F20" s="19"/>
      <c r="G20" s="2"/>
      <c r="H20" s="2">
        <f>--171.13</f>
        <v>171.13</v>
      </c>
      <c r="I20" s="2"/>
      <c r="J20" s="19"/>
      <c r="K20" s="2"/>
      <c r="L20" s="2">
        <f t="shared" si="0"/>
        <v>-135.32999999999998</v>
      </c>
      <c r="M20" s="2"/>
      <c r="N20" s="19">
        <f t="shared" si="1"/>
        <v>-0.79080231403026935</v>
      </c>
      <c r="O20" s="11"/>
      <c r="P20" s="2">
        <f>--340.24</f>
        <v>340.24</v>
      </c>
      <c r="Q20" s="2"/>
      <c r="R20" s="19"/>
      <c r="S20" s="2"/>
      <c r="T20" s="2">
        <f>--694.22</f>
        <v>694.22</v>
      </c>
      <c r="U20" s="2"/>
      <c r="V20" s="19"/>
      <c r="W20" s="2"/>
      <c r="X20" s="2">
        <f t="shared" si="2"/>
        <v>-353.98</v>
      </c>
      <c r="Y20" s="2"/>
      <c r="Z20" s="19">
        <f t="shared" si="3"/>
        <v>-0.50989599838667854</v>
      </c>
    </row>
    <row r="21" spans="1:26" s="24" customFormat="1" hidden="1" outlineLevel="1" x14ac:dyDescent="0.25">
      <c r="A21" s="44"/>
      <c r="B21" s="11" t="str">
        <f>CONCATENATE("          ", "4017", " - ", "TAXABLE SALES-DORM/HOUSEWARES")</f>
        <v xml:space="preserve">          4017 - TAXABLE SALES-DORM/HOUSEWARES</v>
      </c>
      <c r="C21" s="11"/>
      <c r="D21" s="2">
        <f t="shared" ref="D21:D24" si="4">0</f>
        <v>0</v>
      </c>
      <c r="E21" s="2"/>
      <c r="F21" s="19"/>
      <c r="G21" s="2"/>
      <c r="H21" s="2">
        <f>--2.98</f>
        <v>2.98</v>
      </c>
      <c r="I21" s="2"/>
      <c r="J21" s="19"/>
      <c r="K21" s="2"/>
      <c r="L21" s="2">
        <f t="shared" si="0"/>
        <v>-2.98</v>
      </c>
      <c r="M21" s="2"/>
      <c r="N21" s="19">
        <f t="shared" si="1"/>
        <v>-1</v>
      </c>
      <c r="O21" s="11"/>
      <c r="P21" s="2">
        <f>0</f>
        <v>0</v>
      </c>
      <c r="Q21" s="2"/>
      <c r="R21" s="19"/>
      <c r="S21" s="2"/>
      <c r="T21" s="2">
        <f>--225.67</f>
        <v>225.67</v>
      </c>
      <c r="U21" s="2"/>
      <c r="V21" s="19"/>
      <c r="W21" s="2"/>
      <c r="X21" s="2">
        <f t="shared" si="2"/>
        <v>-225.67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"4018", " - ", "TAXABLE SALES-STUDY GUIDES")</f>
        <v xml:space="preserve">          4018 - TAXABLE SALES-STUDY GUIDES</v>
      </c>
      <c r="C22" s="11"/>
      <c r="D22" s="2">
        <f t="shared" si="4"/>
        <v>0</v>
      </c>
      <c r="E22" s="2"/>
      <c r="F22" s="19"/>
      <c r="G22" s="2"/>
      <c r="H22" s="2">
        <f>--394.68</f>
        <v>394.68</v>
      </c>
      <c r="I22" s="2"/>
      <c r="J22" s="19"/>
      <c r="K22" s="2"/>
      <c r="L22" s="2">
        <f t="shared" si="0"/>
        <v>-394.68</v>
      </c>
      <c r="M22" s="2"/>
      <c r="N22" s="19">
        <f t="shared" si="1"/>
        <v>-1</v>
      </c>
      <c r="O22" s="11"/>
      <c r="P22" s="2">
        <f>--183.89</f>
        <v>183.89</v>
      </c>
      <c r="Q22" s="2"/>
      <c r="R22" s="19"/>
      <c r="S22" s="2"/>
      <c r="T22" s="2">
        <f>--2454.83</f>
        <v>2454.83</v>
      </c>
      <c r="U22" s="2"/>
      <c r="V22" s="19"/>
      <c r="W22" s="2"/>
      <c r="X22" s="2">
        <f t="shared" si="2"/>
        <v>-2270.94</v>
      </c>
      <c r="Y22" s="2"/>
      <c r="Z22" s="19">
        <f t="shared" si="3"/>
        <v>-0.92509053580084977</v>
      </c>
    </row>
    <row r="23" spans="1:26" s="24" customFormat="1" hidden="1" outlineLevel="1" x14ac:dyDescent="0.25">
      <c r="A23" s="44"/>
      <c r="B23" s="11" t="str">
        <f>CONCATENATE("          ", "4019", " - ", "TAXABLE SALES-BOOK RELATED")</f>
        <v xml:space="preserve">          4019 - TAXABLE SALES-BOOK RELATED</v>
      </c>
      <c r="C23" s="11"/>
      <c r="D23" s="2">
        <f t="shared" si="4"/>
        <v>0</v>
      </c>
      <c r="E23" s="2"/>
      <c r="F23" s="19"/>
      <c r="G23" s="2"/>
      <c r="H23" s="2">
        <f>--14.95</f>
        <v>14.95</v>
      </c>
      <c r="I23" s="2"/>
      <c r="J23" s="19"/>
      <c r="K23" s="2"/>
      <c r="L23" s="2">
        <f t="shared" si="0"/>
        <v>-14.95</v>
      </c>
      <c r="M23" s="2"/>
      <c r="N23" s="19">
        <f t="shared" si="1"/>
        <v>-1</v>
      </c>
      <c r="O23" s="11"/>
      <c r="P23" s="2">
        <f t="shared" ref="P23:P24" si="5">0</f>
        <v>0</v>
      </c>
      <c r="Q23" s="2"/>
      <c r="R23" s="19"/>
      <c r="S23" s="2"/>
      <c r="T23" s="2">
        <f>--29.9</f>
        <v>29.9</v>
      </c>
      <c r="U23" s="2"/>
      <c r="V23" s="19"/>
      <c r="W23" s="2"/>
      <c r="X23" s="2">
        <f t="shared" si="2"/>
        <v>-29.9</v>
      </c>
      <c r="Y23" s="2"/>
      <c r="Z23" s="19">
        <f t="shared" si="3"/>
        <v>-1</v>
      </c>
    </row>
    <row r="24" spans="1:26" s="24" customFormat="1" hidden="1" outlineLevel="1" x14ac:dyDescent="0.25">
      <c r="A24" s="44"/>
      <c r="B24" s="11" t="str">
        <f>CONCATENATE("          ", "4025", " - ", "TAXABLE SALES-TEST FORMS")</f>
        <v xml:space="preserve">          4025 - TAXABLE SALES-TEST FORMS</v>
      </c>
      <c r="C24" s="11"/>
      <c r="D24" s="2">
        <f t="shared" si="4"/>
        <v>0</v>
      </c>
      <c r="E24" s="2"/>
      <c r="F24" s="19"/>
      <c r="G24" s="2"/>
      <c r="H24" s="2">
        <f>--10035.97</f>
        <v>10035.969999999999</v>
      </c>
      <c r="I24" s="2"/>
      <c r="J24" s="19"/>
      <c r="K24" s="2"/>
      <c r="L24" s="2">
        <f t="shared" si="0"/>
        <v>-10035.969999999999</v>
      </c>
      <c r="M24" s="2"/>
      <c r="N24" s="19">
        <f t="shared" si="1"/>
        <v>-1</v>
      </c>
      <c r="O24" s="11"/>
      <c r="P24" s="2">
        <f t="shared" si="5"/>
        <v>0</v>
      </c>
      <c r="Q24" s="2"/>
      <c r="R24" s="19"/>
      <c r="S24" s="2"/>
      <c r="T24" s="2">
        <f>--26332.04</f>
        <v>26332.04</v>
      </c>
      <c r="U24" s="2"/>
      <c r="V24" s="19"/>
      <c r="W24" s="2"/>
      <c r="X24" s="2">
        <f t="shared" si="2"/>
        <v>-26332.04</v>
      </c>
      <c r="Y24" s="2"/>
      <c r="Z24" s="19">
        <f t="shared" si="3"/>
        <v>-1</v>
      </c>
    </row>
    <row r="25" spans="1:26" s="24" customFormat="1" hidden="1" outlineLevel="1" x14ac:dyDescent="0.25">
      <c r="A25" s="44"/>
      <c r="B25" s="11" t="str">
        <f>CONCATENATE("          ", "4026", " - ", "TAXABLE SALES-WRITING INSTRUME")</f>
        <v xml:space="preserve">          4026 - TAXABLE SALES-WRITING INSTRUME</v>
      </c>
      <c r="C25" s="11"/>
      <c r="D25" s="2">
        <f>--20.8</f>
        <v>20.8</v>
      </c>
      <c r="E25" s="2"/>
      <c r="F25" s="19"/>
      <c r="G25" s="2"/>
      <c r="H25" s="2">
        <f>--12565.24</f>
        <v>12565.24</v>
      </c>
      <c r="I25" s="2"/>
      <c r="J25" s="19"/>
      <c r="K25" s="2"/>
      <c r="L25" s="2">
        <f t="shared" si="0"/>
        <v>-12544.44</v>
      </c>
      <c r="M25" s="2"/>
      <c r="N25" s="19">
        <f t="shared" si="1"/>
        <v>-0.99834463965670384</v>
      </c>
      <c r="O25" s="11"/>
      <c r="P25" s="2">
        <f>--278.83</f>
        <v>278.83</v>
      </c>
      <c r="Q25" s="2"/>
      <c r="R25" s="19"/>
      <c r="S25" s="2"/>
      <c r="T25" s="2">
        <f>--37064.54</f>
        <v>37064.54</v>
      </c>
      <c r="U25" s="2"/>
      <c r="V25" s="19"/>
      <c r="W25" s="2"/>
      <c r="X25" s="2">
        <f t="shared" si="2"/>
        <v>-36785.71</v>
      </c>
      <c r="Y25" s="2"/>
      <c r="Z25" s="19">
        <f t="shared" si="3"/>
        <v>-0.99247717629842425</v>
      </c>
    </row>
    <row r="26" spans="1:26" s="24" customFormat="1" hidden="1" outlineLevel="1" x14ac:dyDescent="0.25">
      <c r="A26" s="44"/>
      <c r="B26" s="11" t="str">
        <f>CONCATENATE("          ", "4027", " - ", "TAXABLE SALES-SCHOOL SUPPLIES")</f>
        <v xml:space="preserve">          4027 - TAXABLE SALES-SCHOOL SUPPLIES</v>
      </c>
      <c r="C26" s="11"/>
      <c r="D26" s="2">
        <f>--2328.89</f>
        <v>2328.89</v>
      </c>
      <c r="E26" s="2"/>
      <c r="F26" s="19"/>
      <c r="G26" s="2"/>
      <c r="H26" s="2">
        <f>--20952.95</f>
        <v>20952.95</v>
      </c>
      <c r="I26" s="2"/>
      <c r="J26" s="19"/>
      <c r="K26" s="2"/>
      <c r="L26" s="2">
        <f t="shared" si="0"/>
        <v>-18624.060000000001</v>
      </c>
      <c r="M26" s="2"/>
      <c r="N26" s="19">
        <f t="shared" si="1"/>
        <v>-0.88885145051174186</v>
      </c>
      <c r="O26" s="11"/>
      <c r="P26" s="2">
        <f>--35003.5</f>
        <v>35003.5</v>
      </c>
      <c r="Q26" s="2"/>
      <c r="R26" s="19"/>
      <c r="S26" s="2"/>
      <c r="T26" s="2">
        <f>--144273.54</f>
        <v>144273.54</v>
      </c>
      <c r="U26" s="2"/>
      <c r="V26" s="19"/>
      <c r="W26" s="2"/>
      <c r="X26" s="2">
        <f t="shared" si="2"/>
        <v>-109270.04000000001</v>
      </c>
      <c r="Y26" s="2"/>
      <c r="Z26" s="19">
        <f t="shared" si="3"/>
        <v>-0.7573810138712892</v>
      </c>
    </row>
    <row r="27" spans="1:26" s="24" customFormat="1" hidden="1" outlineLevel="1" x14ac:dyDescent="0.25">
      <c r="A27" s="44"/>
      <c r="B27" s="11" t="str">
        <f>CONCATENATE("          ", "4028", " - ", "TAXABLE SALES-ART/TECH")</f>
        <v xml:space="preserve">          4028 - TAXABLE SALES-ART/TECH</v>
      </c>
      <c r="C27" s="11"/>
      <c r="D27" s="2">
        <f>--1769.95</f>
        <v>1769.95</v>
      </c>
      <c r="E27" s="2"/>
      <c r="F27" s="19"/>
      <c r="G27" s="2"/>
      <c r="H27" s="2">
        <f>--45836.99</f>
        <v>45836.99</v>
      </c>
      <c r="I27" s="2"/>
      <c r="J27" s="19"/>
      <c r="K27" s="2"/>
      <c r="L27" s="2">
        <f t="shared" si="0"/>
        <v>-44067.040000000001</v>
      </c>
      <c r="M27" s="2"/>
      <c r="N27" s="19">
        <f t="shared" si="1"/>
        <v>-0.9613859897868513</v>
      </c>
      <c r="O27" s="11"/>
      <c r="P27" s="2">
        <f>--14268.85</f>
        <v>14268.85</v>
      </c>
      <c r="Q27" s="2"/>
      <c r="R27" s="19"/>
      <c r="S27" s="2"/>
      <c r="T27" s="2">
        <f>--146564.67</f>
        <v>146564.67000000001</v>
      </c>
      <c r="U27" s="2"/>
      <c r="V27" s="19"/>
      <c r="W27" s="2"/>
      <c r="X27" s="2">
        <f t="shared" si="2"/>
        <v>-132295.82</v>
      </c>
      <c r="Y27" s="2"/>
      <c r="Z27" s="19">
        <f t="shared" si="3"/>
        <v>-0.90264468237809281</v>
      </c>
    </row>
    <row r="28" spans="1:26" s="24" customFormat="1" hidden="1" outlineLevel="1" x14ac:dyDescent="0.25">
      <c r="A28" s="44"/>
      <c r="B28" s="11" t="str">
        <f>CONCATENATE("          ", "4031", " - ", "TAXABLE SALES-FOOD")</f>
        <v xml:space="preserve">          4031 - TAXABLE SALES-FOOD</v>
      </c>
      <c r="C28" s="11"/>
      <c r="D28" s="2">
        <f>--429.8</f>
        <v>429.8</v>
      </c>
      <c r="E28" s="2"/>
      <c r="F28" s="19"/>
      <c r="G28" s="2"/>
      <c r="H28" s="2">
        <f>--100.46</f>
        <v>100.46</v>
      </c>
      <c r="I28" s="2"/>
      <c r="J28" s="19"/>
      <c r="K28" s="2"/>
      <c r="L28" s="2">
        <f t="shared" si="0"/>
        <v>329.34000000000003</v>
      </c>
      <c r="M28" s="2"/>
      <c r="N28" s="19">
        <f t="shared" si="1"/>
        <v>3.2783197292454713</v>
      </c>
      <c r="O28" s="11"/>
      <c r="P28" s="2">
        <f>--1667.96</f>
        <v>1667.96</v>
      </c>
      <c r="Q28" s="2"/>
      <c r="R28" s="19"/>
      <c r="S28" s="2"/>
      <c r="T28" s="2">
        <f>--221.28</f>
        <v>221.28</v>
      </c>
      <c r="U28" s="2"/>
      <c r="V28" s="19"/>
      <c r="W28" s="2"/>
      <c r="X28" s="2">
        <f t="shared" si="2"/>
        <v>1446.68</v>
      </c>
      <c r="Y28" s="2"/>
      <c r="Z28" s="19">
        <f t="shared" si="3"/>
        <v>6.5377801879971082</v>
      </c>
    </row>
    <row r="29" spans="1:26" s="24" customFormat="1" hidden="1" outlineLevel="1" x14ac:dyDescent="0.25">
      <c r="A29" s="44"/>
      <c r="B29" s="11" t="str">
        <f>CONCATENATE("          ", "4032", " - ", "TAXABLE SALES-JUICE")</f>
        <v xml:space="preserve">          4032 - TAXABLE SALES-JUICE</v>
      </c>
      <c r="C29" s="11"/>
      <c r="D29" s="2">
        <f t="shared" ref="D29:D33" si="6">0</f>
        <v>0</v>
      </c>
      <c r="E29" s="2"/>
      <c r="F29" s="19"/>
      <c r="G29" s="2"/>
      <c r="H29" s="2">
        <f>--32.07</f>
        <v>32.07</v>
      </c>
      <c r="I29" s="2"/>
      <c r="J29" s="19"/>
      <c r="K29" s="2"/>
      <c r="L29" s="2">
        <f t="shared" si="0"/>
        <v>-32.07</v>
      </c>
      <c r="M29" s="2"/>
      <c r="N29" s="19">
        <f t="shared" si="1"/>
        <v>-1</v>
      </c>
      <c r="O29" s="11"/>
      <c r="P29" s="2">
        <f t="shared" ref="P29:P30" si="7">0</f>
        <v>0</v>
      </c>
      <c r="Q29" s="2"/>
      <c r="R29" s="19"/>
      <c r="S29" s="2"/>
      <c r="T29" s="2">
        <f>--53.42</f>
        <v>53.42</v>
      </c>
      <c r="U29" s="2"/>
      <c r="V29" s="19"/>
      <c r="W29" s="2"/>
      <c r="X29" s="2">
        <f t="shared" si="2"/>
        <v>-53.42</v>
      </c>
      <c r="Y29" s="2"/>
      <c r="Z29" s="19">
        <f t="shared" si="3"/>
        <v>-1</v>
      </c>
    </row>
    <row r="30" spans="1:26" s="24" customFormat="1" hidden="1" outlineLevel="1" x14ac:dyDescent="0.25">
      <c r="A30" s="44"/>
      <c r="B30" s="11" t="str">
        <f>CONCATENATE("          ", "4033", " - ", "TAXABLE SALES-CANDY")</f>
        <v xml:space="preserve">          4033 - TAXABLE SALES-CANDY</v>
      </c>
      <c r="C30" s="11"/>
      <c r="D30" s="2">
        <f t="shared" si="6"/>
        <v>0</v>
      </c>
      <c r="E30" s="2"/>
      <c r="F30" s="19"/>
      <c r="G30" s="2"/>
      <c r="H30" s="2">
        <f>--44.43</f>
        <v>44.43</v>
      </c>
      <c r="I30" s="2"/>
      <c r="J30" s="19"/>
      <c r="K30" s="2"/>
      <c r="L30" s="2">
        <f t="shared" si="0"/>
        <v>-44.43</v>
      </c>
      <c r="M30" s="2"/>
      <c r="N30" s="19">
        <f t="shared" si="1"/>
        <v>-1</v>
      </c>
      <c r="O30" s="11"/>
      <c r="P30" s="2">
        <f t="shared" si="7"/>
        <v>0</v>
      </c>
      <c r="Q30" s="2"/>
      <c r="R30" s="19"/>
      <c r="S30" s="2"/>
      <c r="T30" s="2">
        <f>--85.4</f>
        <v>85.4</v>
      </c>
      <c r="U30" s="2"/>
      <c r="V30" s="19"/>
      <c r="W30" s="2"/>
      <c r="X30" s="2">
        <f t="shared" si="2"/>
        <v>-85.4</v>
      </c>
      <c r="Y30" s="2"/>
      <c r="Z30" s="19">
        <f t="shared" si="3"/>
        <v>-1</v>
      </c>
    </row>
    <row r="31" spans="1:26" s="24" customFormat="1" hidden="1" outlineLevel="1" x14ac:dyDescent="0.25">
      <c r="A31" s="44"/>
      <c r="B31" s="11" t="str">
        <f>CONCATENATE("          ", "4034", " - ", "TAXABLE SALES-SODA")</f>
        <v xml:space="preserve">          4034 - TAXABLE SALES-SODA</v>
      </c>
      <c r="C31" s="11"/>
      <c r="D31" s="2">
        <f t="shared" si="6"/>
        <v>0</v>
      </c>
      <c r="E31" s="2"/>
      <c r="F31" s="19"/>
      <c r="G31" s="2"/>
      <c r="H31" s="2">
        <f>--1854.69</f>
        <v>1854.69</v>
      </c>
      <c r="I31" s="2"/>
      <c r="J31" s="19"/>
      <c r="K31" s="2"/>
      <c r="L31" s="2">
        <f t="shared" si="0"/>
        <v>-1854.69</v>
      </c>
      <c r="M31" s="2"/>
      <c r="N31" s="19">
        <f t="shared" si="1"/>
        <v>-1</v>
      </c>
      <c r="O31" s="11"/>
      <c r="P31" s="2">
        <f>--6.78</f>
        <v>6.78</v>
      </c>
      <c r="Q31" s="2"/>
      <c r="R31" s="19"/>
      <c r="S31" s="2"/>
      <c r="T31" s="2">
        <f>--3714.24</f>
        <v>3714.24</v>
      </c>
      <c r="U31" s="2"/>
      <c r="V31" s="19"/>
      <c r="W31" s="2"/>
      <c r="X31" s="2">
        <f t="shared" si="2"/>
        <v>-3707.4599999999996</v>
      </c>
      <c r="Y31" s="2"/>
      <c r="Z31" s="19">
        <f t="shared" si="3"/>
        <v>-0.99817459291806665</v>
      </c>
    </row>
    <row r="32" spans="1:26" s="24" customFormat="1" hidden="1" outlineLevel="1" x14ac:dyDescent="0.25">
      <c r="A32" s="44"/>
      <c r="B32" s="11" t="str">
        <f>CONCATENATE("          ", "4035", " - ", "TAXABLE SALES-HEALTH &amp; BEAUTY")</f>
        <v xml:space="preserve">          4035 - TAXABLE SALES-HEALTH &amp; BEAUTY</v>
      </c>
      <c r="C32" s="11"/>
      <c r="D32" s="2">
        <f t="shared" si="6"/>
        <v>0</v>
      </c>
      <c r="E32" s="2"/>
      <c r="F32" s="19"/>
      <c r="G32" s="2"/>
      <c r="H32" s="2">
        <f>--425.93</f>
        <v>425.93</v>
      </c>
      <c r="I32" s="2"/>
      <c r="J32" s="19"/>
      <c r="K32" s="2"/>
      <c r="L32" s="2">
        <f t="shared" si="0"/>
        <v>-425.93</v>
      </c>
      <c r="M32" s="2"/>
      <c r="N32" s="19">
        <f t="shared" si="1"/>
        <v>-1</v>
      </c>
      <c r="O32" s="11"/>
      <c r="P32" s="2">
        <f t="shared" ref="P32:P33" si="8">0</f>
        <v>0</v>
      </c>
      <c r="Q32" s="2"/>
      <c r="R32" s="19"/>
      <c r="S32" s="2"/>
      <c r="T32" s="2">
        <f>--864.36</f>
        <v>864.36</v>
      </c>
      <c r="U32" s="2"/>
      <c r="V32" s="19"/>
      <c r="W32" s="2"/>
      <c r="X32" s="2">
        <f t="shared" si="2"/>
        <v>-864.36</v>
      </c>
      <c r="Y32" s="2"/>
      <c r="Z32" s="19">
        <f t="shared" si="3"/>
        <v>-1</v>
      </c>
    </row>
    <row r="33" spans="1:26" s="24" customFormat="1" hidden="1" outlineLevel="1" x14ac:dyDescent="0.25">
      <c r="A33" s="44"/>
      <c r="B33" s="11" t="str">
        <f>CONCATENATE("          ", "4037", " - ", "TAXABLE SALES-WATER")</f>
        <v xml:space="preserve">          4037 - TAXABLE SALES-WATER</v>
      </c>
      <c r="C33" s="11"/>
      <c r="D33" s="2">
        <f t="shared" si="6"/>
        <v>0</v>
      </c>
      <c r="E33" s="2"/>
      <c r="F33" s="19"/>
      <c r="G33" s="2"/>
      <c r="H33" s="2">
        <f>--128.42</f>
        <v>128.41999999999999</v>
      </c>
      <c r="I33" s="2"/>
      <c r="J33" s="19"/>
      <c r="K33" s="2"/>
      <c r="L33" s="2">
        <f t="shared" si="0"/>
        <v>-128.41999999999999</v>
      </c>
      <c r="M33" s="2"/>
      <c r="N33" s="19">
        <f t="shared" si="1"/>
        <v>-1</v>
      </c>
      <c r="O33" s="11"/>
      <c r="P33" s="2">
        <f t="shared" si="8"/>
        <v>0</v>
      </c>
      <c r="Q33" s="2"/>
      <c r="R33" s="19"/>
      <c r="S33" s="2"/>
      <c r="T33" s="2">
        <f>--302.57</f>
        <v>302.57</v>
      </c>
      <c r="U33" s="2"/>
      <c r="V33" s="19"/>
      <c r="W33" s="2"/>
      <c r="X33" s="2">
        <f t="shared" si="2"/>
        <v>-302.57</v>
      </c>
      <c r="Y33" s="2"/>
      <c r="Z33" s="19">
        <f t="shared" si="3"/>
        <v>-1</v>
      </c>
    </row>
    <row r="34" spans="1:26" s="24" customFormat="1" hidden="1" outlineLevel="1" x14ac:dyDescent="0.25">
      <c r="A34" s="44"/>
      <c r="B34" s="11" t="str">
        <f>CONCATENATE("          ", "4040", " - ", "TAXABLE SALES-LOGO CLOTHING")</f>
        <v xml:space="preserve">          4040 - TAXABLE SALES-LOGO CLOTHING</v>
      </c>
      <c r="C34" s="11"/>
      <c r="D34" s="2">
        <f>--54384.72</f>
        <v>54384.72</v>
      </c>
      <c r="E34" s="2"/>
      <c r="F34" s="19"/>
      <c r="G34" s="2"/>
      <c r="H34" s="2">
        <f>--215340.93</f>
        <v>215340.93</v>
      </c>
      <c r="I34" s="2"/>
      <c r="J34" s="19"/>
      <c r="K34" s="2"/>
      <c r="L34" s="2">
        <f t="shared" si="0"/>
        <v>-160956.21</v>
      </c>
      <c r="M34" s="2"/>
      <c r="N34" s="19">
        <f t="shared" si="1"/>
        <v>-0.74744829048523198</v>
      </c>
      <c r="O34" s="11"/>
      <c r="P34" s="2">
        <f>--382804.91</f>
        <v>382804.91</v>
      </c>
      <c r="Q34" s="2"/>
      <c r="R34" s="19"/>
      <c r="S34" s="2"/>
      <c r="T34" s="2">
        <f>--848240.45</f>
        <v>848240.45</v>
      </c>
      <c r="U34" s="2"/>
      <c r="V34" s="19"/>
      <c r="W34" s="2"/>
      <c r="X34" s="2">
        <f t="shared" si="2"/>
        <v>-465435.54</v>
      </c>
      <c r="Y34" s="2"/>
      <c r="Z34" s="19">
        <f t="shared" si="3"/>
        <v>-0.54870707946078257</v>
      </c>
    </row>
    <row r="35" spans="1:26" s="24" customFormat="1" hidden="1" outlineLevel="1" x14ac:dyDescent="0.25">
      <c r="A35" s="44"/>
      <c r="B35" s="11" t="str">
        <f>CONCATENATE("          ", "4041", " - ", "TAXABLE SALES-LOGO GIFTS")</f>
        <v xml:space="preserve">          4041 - TAXABLE SALES-LOGO GIFTS</v>
      </c>
      <c r="C35" s="11"/>
      <c r="D35" s="2">
        <f>--22053.6</f>
        <v>22053.599999999999</v>
      </c>
      <c r="E35" s="2"/>
      <c r="F35" s="19"/>
      <c r="G35" s="2"/>
      <c r="H35" s="2">
        <f>--27181.29</f>
        <v>27181.29</v>
      </c>
      <c r="I35" s="2"/>
      <c r="J35" s="19"/>
      <c r="K35" s="2"/>
      <c r="L35" s="2">
        <f t="shared" si="0"/>
        <v>-5127.6900000000023</v>
      </c>
      <c r="M35" s="2"/>
      <c r="N35" s="19">
        <f t="shared" si="1"/>
        <v>-0.18864777941002808</v>
      </c>
      <c r="O35" s="11"/>
      <c r="P35" s="2">
        <f>--153087.22</f>
        <v>153087.22</v>
      </c>
      <c r="Q35" s="2"/>
      <c r="R35" s="19"/>
      <c r="S35" s="2"/>
      <c r="T35" s="2">
        <f>--228813.9</f>
        <v>228813.9</v>
      </c>
      <c r="U35" s="2"/>
      <c r="V35" s="19"/>
      <c r="W35" s="2"/>
      <c r="X35" s="2">
        <f t="shared" si="2"/>
        <v>-75726.679999999993</v>
      </c>
      <c r="Y35" s="2"/>
      <c r="Z35" s="19">
        <f t="shared" si="3"/>
        <v>-0.330953145766057</v>
      </c>
    </row>
    <row r="36" spans="1:26" s="24" customFormat="1" hidden="1" outlineLevel="1" x14ac:dyDescent="0.25">
      <c r="A36" s="44"/>
      <c r="B36" s="11" t="str">
        <f>CONCATENATE("          ", "4042", " - ", "TAXABLE SALES-EVERYDAY GIFTS")</f>
        <v xml:space="preserve">          4042 - TAXABLE SALES-EVERYDAY GIFTS</v>
      </c>
      <c r="C36" s="11"/>
      <c r="D36" s="2">
        <f>--6854.18</f>
        <v>6854.18</v>
      </c>
      <c r="E36" s="2"/>
      <c r="F36" s="19"/>
      <c r="G36" s="2"/>
      <c r="H36" s="2">
        <f>--29192.1</f>
        <v>29192.1</v>
      </c>
      <c r="I36" s="2"/>
      <c r="J36" s="19"/>
      <c r="K36" s="2"/>
      <c r="L36" s="2">
        <f t="shared" si="0"/>
        <v>-22337.919999999998</v>
      </c>
      <c r="M36" s="2"/>
      <c r="N36" s="19">
        <f t="shared" si="1"/>
        <v>-0.76520428472086621</v>
      </c>
      <c r="O36" s="11"/>
      <c r="P36" s="2">
        <f>--54783.68</f>
        <v>54783.68</v>
      </c>
      <c r="Q36" s="2"/>
      <c r="R36" s="19"/>
      <c r="S36" s="2"/>
      <c r="T36" s="2">
        <f>--124310.37</f>
        <v>124310.37</v>
      </c>
      <c r="U36" s="2"/>
      <c r="V36" s="19"/>
      <c r="W36" s="2"/>
      <c r="X36" s="2">
        <f t="shared" si="2"/>
        <v>-69526.69</v>
      </c>
      <c r="Y36" s="2"/>
      <c r="Z36" s="19">
        <f t="shared" si="3"/>
        <v>-0.55929919603650124</v>
      </c>
    </row>
    <row r="37" spans="1:26" s="24" customFormat="1" hidden="1" outlineLevel="1" x14ac:dyDescent="0.25">
      <c r="A37" s="44"/>
      <c r="B37" s="11" t="str">
        <f>CONCATENATE("          ", "4043", " - ", "TAXABLE SALES-CARDS")</f>
        <v xml:space="preserve">          4043 - TAXABLE SALES-CARDS</v>
      </c>
      <c r="C37" s="11"/>
      <c r="D37" s="2">
        <f>--30454.88</f>
        <v>30454.880000000001</v>
      </c>
      <c r="E37" s="2"/>
      <c r="F37" s="19"/>
      <c r="G37" s="2"/>
      <c r="H37" s="2">
        <f>--63.04</f>
        <v>63.04</v>
      </c>
      <c r="I37" s="2"/>
      <c r="J37" s="19"/>
      <c r="K37" s="2"/>
      <c r="L37" s="2">
        <f t="shared" si="0"/>
        <v>30391.84</v>
      </c>
      <c r="M37" s="2"/>
      <c r="N37" s="19">
        <f t="shared" si="1"/>
        <v>482.10406091370561</v>
      </c>
      <c r="O37" s="11"/>
      <c r="P37" s="2">
        <f>--40246.04</f>
        <v>40246.04</v>
      </c>
      <c r="Q37" s="2"/>
      <c r="R37" s="19"/>
      <c r="S37" s="2"/>
      <c r="T37" s="2">
        <f>--520.85</f>
        <v>520.85</v>
      </c>
      <c r="U37" s="2"/>
      <c r="V37" s="19"/>
      <c r="W37" s="2"/>
      <c r="X37" s="2">
        <f t="shared" si="2"/>
        <v>39725.19</v>
      </c>
      <c r="Y37" s="2"/>
      <c r="Z37" s="19">
        <f t="shared" si="3"/>
        <v>76.269924162426804</v>
      </c>
    </row>
    <row r="38" spans="1:26" s="24" customFormat="1" hidden="1" outlineLevel="1" x14ac:dyDescent="0.25">
      <c r="A38" s="44"/>
      <c r="B38" s="11" t="str">
        <f>CONCATENATE("          ", "4044", " - ", "TAXABLE SALES-ACCESSORIES")</f>
        <v xml:space="preserve">          4044 - TAXABLE SALES-ACCESSORIES</v>
      </c>
      <c r="C38" s="11"/>
      <c r="D38" s="2">
        <f>--1157.64</f>
        <v>1157.6400000000001</v>
      </c>
      <c r="E38" s="2"/>
      <c r="F38" s="19"/>
      <c r="G38" s="2"/>
      <c r="H38" s="2">
        <f>--4838.74</f>
        <v>4838.74</v>
      </c>
      <c r="I38" s="2"/>
      <c r="J38" s="19"/>
      <c r="K38" s="2"/>
      <c r="L38" s="2">
        <f t="shared" si="0"/>
        <v>-3681.0999999999995</v>
      </c>
      <c r="M38" s="2"/>
      <c r="N38" s="19">
        <f t="shared" si="1"/>
        <v>-0.76075589926303122</v>
      </c>
      <c r="O38" s="11"/>
      <c r="P38" s="2">
        <f>--12489.16</f>
        <v>12489.16</v>
      </c>
      <c r="Q38" s="2"/>
      <c r="R38" s="19"/>
      <c r="S38" s="2"/>
      <c r="T38" s="2">
        <f>--33067.15</f>
        <v>33067.15</v>
      </c>
      <c r="U38" s="2"/>
      <c r="V38" s="19"/>
      <c r="W38" s="2"/>
      <c r="X38" s="2">
        <f t="shared" si="2"/>
        <v>-20577.990000000002</v>
      </c>
      <c r="Y38" s="2"/>
      <c r="Z38" s="19">
        <f t="shared" si="3"/>
        <v>-0.62230914971504958</v>
      </c>
    </row>
    <row r="39" spans="1:26" s="24" customFormat="1" hidden="1" outlineLevel="1" x14ac:dyDescent="0.25">
      <c r="A39" s="44"/>
      <c r="B39" s="11" t="str">
        <f>CONCATENATE("          ", "4045", " - ", "TAXABLE SALES-SPECIAL ORDERS")</f>
        <v xml:space="preserve">          4045 - TAXABLE SALES-SPECIAL ORDERS</v>
      </c>
      <c r="C39" s="11"/>
      <c r="D39" s="2">
        <f>--4950.17</f>
        <v>4950.17</v>
      </c>
      <c r="E39" s="2"/>
      <c r="F39" s="19"/>
      <c r="G39" s="2"/>
      <c r="H39" s="2">
        <f>--4525.99</f>
        <v>4525.99</v>
      </c>
      <c r="I39" s="2"/>
      <c r="J39" s="19"/>
      <c r="K39" s="2"/>
      <c r="L39" s="2">
        <f t="shared" si="0"/>
        <v>424.18000000000029</v>
      </c>
      <c r="M39" s="2"/>
      <c r="N39" s="19">
        <f t="shared" si="1"/>
        <v>9.3720931774042879E-2</v>
      </c>
      <c r="O39" s="11"/>
      <c r="P39" s="2">
        <f>--96956.61</f>
        <v>96956.61</v>
      </c>
      <c r="Q39" s="2"/>
      <c r="R39" s="19"/>
      <c r="S39" s="2"/>
      <c r="T39" s="2">
        <f>--35853.1</f>
        <v>35853.1</v>
      </c>
      <c r="U39" s="2"/>
      <c r="V39" s="19"/>
      <c r="W39" s="2"/>
      <c r="X39" s="2">
        <f t="shared" si="2"/>
        <v>61103.51</v>
      </c>
      <c r="Y39" s="2"/>
      <c r="Z39" s="19">
        <f t="shared" si="3"/>
        <v>1.7042741073993604</v>
      </c>
    </row>
    <row r="40" spans="1:26" s="24" customFormat="1" hidden="1" outlineLevel="1" x14ac:dyDescent="0.25">
      <c r="A40" s="44"/>
      <c r="B40" s="11" t="str">
        <f>CONCATENATE("          ", "4047", " - ", "TAXABLE SALES-MISC")</f>
        <v xml:space="preserve">          4047 - TAXABLE SALES-MISC</v>
      </c>
      <c r="C40" s="11"/>
      <c r="D40" s="2">
        <f>0</f>
        <v>0</v>
      </c>
      <c r="E40" s="2"/>
      <c r="F40" s="19"/>
      <c r="G40" s="2"/>
      <c r="H40" s="2">
        <f>--402.65</f>
        <v>402.65</v>
      </c>
      <c r="I40" s="2"/>
      <c r="J40" s="19"/>
      <c r="K40" s="2"/>
      <c r="L40" s="2">
        <f t="shared" si="0"/>
        <v>-402.65</v>
      </c>
      <c r="M40" s="2"/>
      <c r="N40" s="19">
        <f t="shared" si="1"/>
        <v>-1</v>
      </c>
      <c r="O40" s="11"/>
      <c r="P40" s="2">
        <f>0</f>
        <v>0</v>
      </c>
      <c r="Q40" s="2"/>
      <c r="R40" s="19"/>
      <c r="S40" s="2"/>
      <c r="T40" s="2">
        <f>--1374</f>
        <v>1374</v>
      </c>
      <c r="U40" s="2"/>
      <c r="V40" s="19"/>
      <c r="W40" s="2"/>
      <c r="X40" s="2">
        <f t="shared" si="2"/>
        <v>-1374</v>
      </c>
      <c r="Y40" s="2"/>
      <c r="Z40" s="19">
        <f t="shared" si="3"/>
        <v>-1</v>
      </c>
    </row>
    <row r="41" spans="1:26" s="24" customFormat="1" hidden="1" outlineLevel="1" x14ac:dyDescent="0.25">
      <c r="A41" s="44"/>
      <c r="B41" s="11" t="str">
        <f>CONCATENATE("          ", "4081", " - ", "TAXABLE SALES-ELECTRONICS")</f>
        <v xml:space="preserve">          4081 - TAXABLE SALES-ELECTRONICS</v>
      </c>
      <c r="C41" s="11"/>
      <c r="D41" s="2">
        <f>--5014.67</f>
        <v>5014.67</v>
      </c>
      <c r="E41" s="2"/>
      <c r="F41" s="19"/>
      <c r="G41" s="2"/>
      <c r="H41" s="2">
        <f>--25652.98</f>
        <v>25652.98</v>
      </c>
      <c r="I41" s="2"/>
      <c r="J41" s="19"/>
      <c r="K41" s="2"/>
      <c r="L41" s="2">
        <f t="shared" si="0"/>
        <v>-20638.309999999998</v>
      </c>
      <c r="M41" s="2"/>
      <c r="N41" s="19">
        <f t="shared" si="1"/>
        <v>-0.80451900714848712</v>
      </c>
      <c r="O41" s="11"/>
      <c r="P41" s="2">
        <f>--55117.29</f>
        <v>55117.29</v>
      </c>
      <c r="Q41" s="2"/>
      <c r="R41" s="19"/>
      <c r="S41" s="2"/>
      <c r="T41" s="2">
        <f>--215249.72</f>
        <v>215249.72</v>
      </c>
      <c r="U41" s="2"/>
      <c r="V41" s="19"/>
      <c r="W41" s="2"/>
      <c r="X41" s="2">
        <f t="shared" si="2"/>
        <v>-160132.43</v>
      </c>
      <c r="Y41" s="2"/>
      <c r="Z41" s="19">
        <f t="shared" si="3"/>
        <v>-0.74393792475084286</v>
      </c>
    </row>
    <row r="42" spans="1:26" s="24" customFormat="1" hidden="1" outlineLevel="1" x14ac:dyDescent="0.25">
      <c r="A42" s="44"/>
      <c r="B42" s="11" t="str">
        <f>CONCATENATE("          ", "4082", " - ", "TAXABLE SALES-COMPUTER HARDWAR")</f>
        <v xml:space="preserve">          4082 - TAXABLE SALES-COMPUTER HARDWAR</v>
      </c>
      <c r="C42" s="11"/>
      <c r="D42" s="2">
        <f>--152786.78</f>
        <v>152786.78</v>
      </c>
      <c r="E42" s="2"/>
      <c r="F42" s="19"/>
      <c r="G42" s="2"/>
      <c r="H42" s="2">
        <f>--109645.14</f>
        <v>109645.14</v>
      </c>
      <c r="I42" s="2"/>
      <c r="J42" s="19"/>
      <c r="K42" s="2"/>
      <c r="L42" s="2">
        <f t="shared" si="0"/>
        <v>43141.64</v>
      </c>
      <c r="M42" s="2"/>
      <c r="N42" s="19">
        <f t="shared" si="1"/>
        <v>0.39346604874598179</v>
      </c>
      <c r="O42" s="11"/>
      <c r="P42" s="2">
        <f>--892099.99</f>
        <v>892099.99</v>
      </c>
      <c r="Q42" s="2"/>
      <c r="R42" s="19"/>
      <c r="S42" s="2"/>
      <c r="T42" s="2">
        <f>--1148561.63</f>
        <v>1148561.6299999999</v>
      </c>
      <c r="U42" s="2"/>
      <c r="V42" s="19"/>
      <c r="W42" s="2"/>
      <c r="X42" s="2">
        <f t="shared" si="2"/>
        <v>-256461.6399999999</v>
      </c>
      <c r="Y42" s="2"/>
      <c r="Z42" s="19">
        <f t="shared" si="3"/>
        <v>-0.22328940241543671</v>
      </c>
    </row>
    <row r="43" spans="1:26" s="24" customFormat="1" hidden="1" outlineLevel="1" x14ac:dyDescent="0.25">
      <c r="A43" s="44"/>
      <c r="B43" s="11" t="str">
        <f>CONCATENATE("          ", "4083", " - ", "TAXABLE SALES-COMPUTER EQUIPME")</f>
        <v xml:space="preserve">          4083 - TAXABLE SALES-COMPUTER EQUIPME</v>
      </c>
      <c r="C43" s="11"/>
      <c r="D43" s="2">
        <f>--3392.4</f>
        <v>3392.4</v>
      </c>
      <c r="E43" s="2"/>
      <c r="F43" s="19"/>
      <c r="G43" s="2"/>
      <c r="H43" s="2">
        <f>--12779.9</f>
        <v>12779.9</v>
      </c>
      <c r="I43" s="2"/>
      <c r="J43" s="19"/>
      <c r="K43" s="2"/>
      <c r="L43" s="2">
        <f t="shared" si="0"/>
        <v>-9387.5</v>
      </c>
      <c r="M43" s="2"/>
      <c r="N43" s="19">
        <f t="shared" si="1"/>
        <v>-0.7345519135517492</v>
      </c>
      <c r="O43" s="11"/>
      <c r="P43" s="2">
        <f>--72055.09</f>
        <v>72055.09</v>
      </c>
      <c r="Q43" s="2"/>
      <c r="R43" s="19"/>
      <c r="S43" s="2"/>
      <c r="T43" s="2">
        <f>--54035.91</f>
        <v>54035.91</v>
      </c>
      <c r="U43" s="2"/>
      <c r="V43" s="19"/>
      <c r="W43" s="2"/>
      <c r="X43" s="2">
        <f t="shared" si="2"/>
        <v>18019.179999999993</v>
      </c>
      <c r="Y43" s="2"/>
      <c r="Z43" s="19">
        <f t="shared" si="3"/>
        <v>0.3334667631210429</v>
      </c>
    </row>
    <row r="44" spans="1:26" s="24" customFormat="1" hidden="1" outlineLevel="1" x14ac:dyDescent="0.25">
      <c r="A44" s="44"/>
      <c r="B44" s="11" t="str">
        <f>CONCATENATE("          ", "4084", " - ", "TAXABLE SALES-SOFTWARE LICENSE")</f>
        <v xml:space="preserve">          4084 - TAXABLE SALES-SOFTWARE LICENSE</v>
      </c>
      <c r="C44" s="11"/>
      <c r="D44" s="2">
        <f>0</f>
        <v>0</v>
      </c>
      <c r="E44" s="2"/>
      <c r="F44" s="19"/>
      <c r="G44" s="2"/>
      <c r="H44" s="2">
        <f>0</f>
        <v>0</v>
      </c>
      <c r="I44" s="2"/>
      <c r="J44" s="19"/>
      <c r="K44" s="2"/>
      <c r="L44" s="2">
        <f t="shared" si="0"/>
        <v>0</v>
      </c>
      <c r="M44" s="2"/>
      <c r="N44" s="19">
        <f t="shared" si="1"/>
        <v>0</v>
      </c>
      <c r="O44" s="11"/>
      <c r="P44" s="2">
        <f>0</f>
        <v>0</v>
      </c>
      <c r="Q44" s="2"/>
      <c r="R44" s="19"/>
      <c r="S44" s="2"/>
      <c r="T44" s="2">
        <f>--129</f>
        <v>129</v>
      </c>
      <c r="U44" s="2"/>
      <c r="V44" s="19"/>
      <c r="W44" s="2"/>
      <c r="X44" s="2">
        <f t="shared" si="2"/>
        <v>-129</v>
      </c>
      <c r="Y44" s="2"/>
      <c r="Z44" s="19">
        <f t="shared" si="3"/>
        <v>-1</v>
      </c>
    </row>
    <row r="45" spans="1:26" s="24" customFormat="1" hidden="1" outlineLevel="1" x14ac:dyDescent="0.25">
      <c r="A45" s="44"/>
      <c r="B45" s="11" t="str">
        <f>CONCATENATE("          ", "4085", " - ", "TAXABLE SALES-SOFTWARE")</f>
        <v xml:space="preserve">          4085 - TAXABLE SALES-SOFTWARE</v>
      </c>
      <c r="C45" s="11"/>
      <c r="D45" s="2">
        <f>--139</f>
        <v>139</v>
      </c>
      <c r="E45" s="2"/>
      <c r="F45" s="19"/>
      <c r="G45" s="2"/>
      <c r="H45" s="2">
        <f>--3913.99</f>
        <v>3913.99</v>
      </c>
      <c r="I45" s="2"/>
      <c r="J45" s="19"/>
      <c r="K45" s="2"/>
      <c r="L45" s="2">
        <f t="shared" si="0"/>
        <v>-3774.99</v>
      </c>
      <c r="M45" s="2"/>
      <c r="N45" s="19">
        <f t="shared" si="1"/>
        <v>-0.96448636813073108</v>
      </c>
      <c r="O45" s="11"/>
      <c r="P45" s="2">
        <f>--1120.96</f>
        <v>1120.96</v>
      </c>
      <c r="Q45" s="2"/>
      <c r="R45" s="19"/>
      <c r="S45" s="2"/>
      <c r="T45" s="2">
        <f>--4407.94</f>
        <v>4407.9399999999996</v>
      </c>
      <c r="U45" s="2"/>
      <c r="V45" s="19"/>
      <c r="W45" s="2"/>
      <c r="X45" s="2">
        <f t="shared" si="2"/>
        <v>-3286.9799999999996</v>
      </c>
      <c r="Y45" s="2"/>
      <c r="Z45" s="19">
        <f t="shared" si="3"/>
        <v>-0.74569526808441133</v>
      </c>
    </row>
    <row r="46" spans="1:26" s="24" customFormat="1" hidden="1" outlineLevel="1" x14ac:dyDescent="0.25">
      <c r="A46" s="44"/>
      <c r="B46" s="11" t="str">
        <f>CONCATENATE("          ", "4086", " - ", "TAXABLE SALES-COMPUTER SUPPLIE")</f>
        <v xml:space="preserve">          4086 - TAXABLE SALES-COMPUTER SUPPLIE</v>
      </c>
      <c r="C46" s="11"/>
      <c r="D46" s="2">
        <f>--1385.25</f>
        <v>1385.25</v>
      </c>
      <c r="E46" s="2"/>
      <c r="F46" s="19"/>
      <c r="G46" s="2"/>
      <c r="H46" s="2">
        <f>--6696.06</f>
        <v>6696.06</v>
      </c>
      <c r="I46" s="2"/>
      <c r="J46" s="19"/>
      <c r="K46" s="2"/>
      <c r="L46" s="2">
        <f t="shared" si="0"/>
        <v>-5310.81</v>
      </c>
      <c r="M46" s="2"/>
      <c r="N46" s="19">
        <f t="shared" si="1"/>
        <v>-0.79312461357873143</v>
      </c>
      <c r="O46" s="11"/>
      <c r="P46" s="2">
        <f>--29366.66</f>
        <v>29366.66</v>
      </c>
      <c r="Q46" s="2"/>
      <c r="R46" s="19"/>
      <c r="S46" s="2"/>
      <c r="T46" s="2">
        <f>--27133.09</f>
        <v>27133.09</v>
      </c>
      <c r="U46" s="2"/>
      <c r="V46" s="19"/>
      <c r="W46" s="2"/>
      <c r="X46" s="2">
        <f t="shared" si="2"/>
        <v>2233.5699999999997</v>
      </c>
      <c r="Y46" s="2"/>
      <c r="Z46" s="19">
        <f t="shared" si="3"/>
        <v>8.2319042910335677E-2</v>
      </c>
    </row>
    <row r="47" spans="1:26" s="24" customFormat="1" hidden="1" outlineLevel="1" x14ac:dyDescent="0.25">
      <c r="A47" s="44"/>
      <c r="B47" s="11" t="str">
        <f>CONCATENATE("          ", "4088", " - ", "TAXABLE SALES-MUSIC")</f>
        <v xml:space="preserve">          4088 - TAXABLE SALES-MUSIC</v>
      </c>
      <c r="C47" s="11"/>
      <c r="D47" s="2">
        <f t="shared" ref="D47:D49" si="9">0</f>
        <v>0</v>
      </c>
      <c r="E47" s="2"/>
      <c r="F47" s="19"/>
      <c r="G47" s="2"/>
      <c r="H47" s="2">
        <f>--281.98</f>
        <v>281.98</v>
      </c>
      <c r="I47" s="2"/>
      <c r="J47" s="19"/>
      <c r="K47" s="2"/>
      <c r="L47" s="2">
        <f t="shared" si="0"/>
        <v>-281.98</v>
      </c>
      <c r="M47" s="2"/>
      <c r="N47" s="19">
        <f t="shared" si="1"/>
        <v>-1</v>
      </c>
      <c r="O47" s="11"/>
      <c r="P47" s="2">
        <f t="shared" ref="P47:P49" si="10">0</f>
        <v>0</v>
      </c>
      <c r="Q47" s="2"/>
      <c r="R47" s="19"/>
      <c r="S47" s="2"/>
      <c r="T47" s="2">
        <f>--817.94</f>
        <v>817.94</v>
      </c>
      <c r="U47" s="2"/>
      <c r="V47" s="19"/>
      <c r="W47" s="2"/>
      <c r="X47" s="2">
        <f t="shared" si="2"/>
        <v>-817.94</v>
      </c>
      <c r="Y47" s="2"/>
      <c r="Z47" s="19">
        <f t="shared" si="3"/>
        <v>-1</v>
      </c>
    </row>
    <row r="48" spans="1:26" s="24" customFormat="1" hidden="1" outlineLevel="1" x14ac:dyDescent="0.25">
      <c r="A48" s="44"/>
      <c r="B48" s="11" t="str">
        <f>CONCATENATE("          ", "4092", " - ", "TAXABLE SALES-GRAD MERCH")</f>
        <v xml:space="preserve">          4092 - TAXABLE SALES-GRAD MERCH</v>
      </c>
      <c r="C48" s="11"/>
      <c r="D48" s="2">
        <f t="shared" si="9"/>
        <v>0</v>
      </c>
      <c r="E48" s="2"/>
      <c r="F48" s="19"/>
      <c r="G48" s="2"/>
      <c r="H48" s="2">
        <f>--1178.45</f>
        <v>1178.45</v>
      </c>
      <c r="I48" s="2"/>
      <c r="J48" s="19"/>
      <c r="K48" s="2"/>
      <c r="L48" s="2">
        <f t="shared" si="0"/>
        <v>-1178.45</v>
      </c>
      <c r="M48" s="2"/>
      <c r="N48" s="19">
        <f t="shared" si="1"/>
        <v>-1</v>
      </c>
      <c r="O48" s="11"/>
      <c r="P48" s="2">
        <f t="shared" si="10"/>
        <v>0</v>
      </c>
      <c r="Q48" s="2"/>
      <c r="R48" s="19"/>
      <c r="S48" s="2"/>
      <c r="T48" s="2">
        <f>--5051.08</f>
        <v>5051.08</v>
      </c>
      <c r="U48" s="2"/>
      <c r="V48" s="19"/>
      <c r="W48" s="2"/>
      <c r="X48" s="2">
        <f t="shared" si="2"/>
        <v>-5051.08</v>
      </c>
      <c r="Y48" s="2"/>
      <c r="Z48" s="19">
        <f t="shared" si="3"/>
        <v>-1</v>
      </c>
    </row>
    <row r="49" spans="1:26" s="24" customFormat="1" hidden="1" outlineLevel="1" x14ac:dyDescent="0.25">
      <c r="A49" s="44"/>
      <c r="B49" s="11" t="str">
        <f>CONCATENATE("          ", "4095", " - ", "TAXABLE SALES-CUSTOMER SERVICE")</f>
        <v xml:space="preserve">          4095 - TAXABLE SALES-CUSTOMER SERVICE</v>
      </c>
      <c r="C49" s="11"/>
      <c r="D49" s="2">
        <f t="shared" si="9"/>
        <v>0</v>
      </c>
      <c r="E49" s="2"/>
      <c r="F49" s="19"/>
      <c r="G49" s="2"/>
      <c r="H49" s="2">
        <f>--43.76</f>
        <v>43.76</v>
      </c>
      <c r="I49" s="2"/>
      <c r="J49" s="19"/>
      <c r="K49" s="2"/>
      <c r="L49" s="2">
        <f t="shared" si="0"/>
        <v>-43.76</v>
      </c>
      <c r="M49" s="2"/>
      <c r="N49" s="19">
        <f t="shared" si="1"/>
        <v>-1</v>
      </c>
      <c r="O49" s="11"/>
      <c r="P49" s="2">
        <f t="shared" si="10"/>
        <v>0</v>
      </c>
      <c r="Q49" s="2"/>
      <c r="R49" s="19"/>
      <c r="S49" s="2"/>
      <c r="T49" s="2">
        <f>--244.61</f>
        <v>244.61</v>
      </c>
      <c r="U49" s="2"/>
      <c r="V49" s="19"/>
      <c r="W49" s="2"/>
      <c r="X49" s="2">
        <f t="shared" si="2"/>
        <v>-244.61</v>
      </c>
      <c r="Y49" s="2"/>
      <c r="Z49" s="19">
        <f t="shared" si="3"/>
        <v>-1</v>
      </c>
    </row>
    <row r="50" spans="1:26" s="24" customFormat="1" hidden="1" outlineLevel="1" x14ac:dyDescent="0.25">
      <c r="A50" s="44"/>
      <c r="B50" s="11" t="str">
        <f>CONCATENATE("          ", "4100", " - ", "NON-TAXABLE SALES")</f>
        <v xml:space="preserve">          4100 - NON-TAXABLE SALES</v>
      </c>
      <c r="C50" s="11"/>
      <c r="D50" s="2">
        <f>--135.79</f>
        <v>135.79</v>
      </c>
      <c r="E50" s="2"/>
      <c r="F50" s="19"/>
      <c r="G50" s="2"/>
      <c r="H50" s="2">
        <f>--3713.9</f>
        <v>3713.9</v>
      </c>
      <c r="I50" s="2"/>
      <c r="J50" s="19"/>
      <c r="K50" s="2"/>
      <c r="L50" s="2">
        <f t="shared" si="0"/>
        <v>-3578.11</v>
      </c>
      <c r="M50" s="2"/>
      <c r="N50" s="19">
        <f t="shared" si="1"/>
        <v>-0.96343735695629928</v>
      </c>
      <c r="O50" s="11"/>
      <c r="P50" s="2">
        <f>--164479.81</f>
        <v>164479.81</v>
      </c>
      <c r="Q50" s="2"/>
      <c r="R50" s="19"/>
      <c r="S50" s="2"/>
      <c r="T50" s="2">
        <f>--335381.67</f>
        <v>335381.67</v>
      </c>
      <c r="U50" s="2"/>
      <c r="V50" s="19"/>
      <c r="W50" s="2"/>
      <c r="X50" s="2">
        <f t="shared" si="2"/>
        <v>-170901.86</v>
      </c>
      <c r="Y50" s="2"/>
      <c r="Z50" s="19">
        <f t="shared" si="3"/>
        <v>-0.5095742411921319</v>
      </c>
    </row>
    <row r="51" spans="1:26" s="24" customFormat="1" hidden="1" outlineLevel="1" x14ac:dyDescent="0.25">
      <c r="A51" s="44"/>
      <c r="B51" s="11" t="str">
        <f>CONCATENATE("          ", "4101", " - ", "NON-TAXABLE SALES-NEW TEXT")</f>
        <v xml:space="preserve">          4101 - NON-TAXABLE SALES-NEW TEXT</v>
      </c>
      <c r="C51" s="11"/>
      <c r="D51" s="2">
        <f>--7260.05</f>
        <v>7260.05</v>
      </c>
      <c r="E51" s="2"/>
      <c r="F51" s="19"/>
      <c r="G51" s="2"/>
      <c r="H51" s="2">
        <f>--8438.54</f>
        <v>8438.5400000000009</v>
      </c>
      <c r="I51" s="2"/>
      <c r="J51" s="19"/>
      <c r="K51" s="2"/>
      <c r="L51" s="2">
        <f t="shared" si="0"/>
        <v>-1178.4900000000007</v>
      </c>
      <c r="M51" s="2"/>
      <c r="N51" s="19">
        <f t="shared" si="1"/>
        <v>-0.13965567503383294</v>
      </c>
      <c r="O51" s="11"/>
      <c r="P51" s="2">
        <f>--77664.89</f>
        <v>77664.89</v>
      </c>
      <c r="Q51" s="2"/>
      <c r="R51" s="19"/>
      <c r="S51" s="2"/>
      <c r="T51" s="2">
        <f>--92331.09</f>
        <v>92331.09</v>
      </c>
      <c r="U51" s="2"/>
      <c r="V51" s="19"/>
      <c r="W51" s="2"/>
      <c r="X51" s="2">
        <f t="shared" si="2"/>
        <v>-14666.199999999997</v>
      </c>
      <c r="Y51" s="2"/>
      <c r="Z51" s="19">
        <f t="shared" si="3"/>
        <v>-0.15884357045931113</v>
      </c>
    </row>
    <row r="52" spans="1:26" s="24" customFormat="1" hidden="1" outlineLevel="1" x14ac:dyDescent="0.25">
      <c r="A52" s="44"/>
      <c r="B52" s="11" t="str">
        <f>CONCATENATE("          ", "4102", " - ", "NON-TAXABLE SALES-USED TEXT")</f>
        <v xml:space="preserve">          4102 - NON-TAXABLE SALES-USED TEXT</v>
      </c>
      <c r="C52" s="11"/>
      <c r="D52" s="2">
        <f>--2341.65</f>
        <v>2341.65</v>
      </c>
      <c r="E52" s="2"/>
      <c r="F52" s="19"/>
      <c r="G52" s="2"/>
      <c r="H52" s="2">
        <f>--578.81</f>
        <v>578.80999999999995</v>
      </c>
      <c r="I52" s="2"/>
      <c r="J52" s="19"/>
      <c r="K52" s="2"/>
      <c r="L52" s="2">
        <f t="shared" si="0"/>
        <v>1762.8400000000001</v>
      </c>
      <c r="M52" s="2"/>
      <c r="N52" s="19">
        <f t="shared" si="1"/>
        <v>3.0456280990307705</v>
      </c>
      <c r="O52" s="11"/>
      <c r="P52" s="2">
        <f>--32712.47</f>
        <v>32712.47</v>
      </c>
      <c r="Q52" s="2"/>
      <c r="R52" s="19"/>
      <c r="S52" s="2"/>
      <c r="T52" s="2">
        <f>--37022.32</f>
        <v>37022.32</v>
      </c>
      <c r="U52" s="2"/>
      <c r="V52" s="19"/>
      <c r="W52" s="2"/>
      <c r="X52" s="2">
        <f t="shared" si="2"/>
        <v>-4309.8499999999985</v>
      </c>
      <c r="Y52" s="2"/>
      <c r="Z52" s="19">
        <f t="shared" si="3"/>
        <v>-0.11641220755479394</v>
      </c>
    </row>
    <row r="53" spans="1:26" s="24" customFormat="1" hidden="1" outlineLevel="1" x14ac:dyDescent="0.25">
      <c r="A53" s="44"/>
      <c r="B53" s="11" t="str">
        <f>CONCATENATE("          ", "4103", " - ", "NON-TAXABLE SALES-RENTAL TEXT")</f>
        <v xml:space="preserve">          4103 - NON-TAXABLE SALES-RENTAL TEXT</v>
      </c>
      <c r="C53" s="11"/>
      <c r="D53" s="2">
        <f>0</f>
        <v>0</v>
      </c>
      <c r="E53" s="2"/>
      <c r="F53" s="19"/>
      <c r="G53" s="2"/>
      <c r="H53" s="2">
        <f>0</f>
        <v>0</v>
      </c>
      <c r="I53" s="2"/>
      <c r="J53" s="19"/>
      <c r="K53" s="2"/>
      <c r="L53" s="2">
        <f t="shared" si="0"/>
        <v>0</v>
      </c>
      <c r="M53" s="2"/>
      <c r="N53" s="19">
        <f t="shared" si="1"/>
        <v>0</v>
      </c>
      <c r="O53" s="11"/>
      <c r="P53" s="2">
        <f>--284.97</f>
        <v>284.97000000000003</v>
      </c>
      <c r="Q53" s="2"/>
      <c r="R53" s="19"/>
      <c r="S53" s="2"/>
      <c r="T53" s="2">
        <f>--329.98</f>
        <v>329.98</v>
      </c>
      <c r="U53" s="2"/>
      <c r="V53" s="19"/>
      <c r="W53" s="2"/>
      <c r="X53" s="2">
        <f t="shared" si="2"/>
        <v>-45.009999999999991</v>
      </c>
      <c r="Y53" s="2"/>
      <c r="Z53" s="19">
        <f t="shared" si="3"/>
        <v>-0.13640220619431478</v>
      </c>
    </row>
    <row r="54" spans="1:26" s="24" customFormat="1" hidden="1" outlineLevel="1" x14ac:dyDescent="0.25">
      <c r="A54" s="44"/>
      <c r="B54" s="11" t="str">
        <f>CONCATENATE("          ", "4104", " - ", "NON-TAXABLE SALES-DIGITAL TEXT")</f>
        <v xml:space="preserve">          4104 - NON-TAXABLE SALES-DIGITAL TEXT</v>
      </c>
      <c r="C54" s="11"/>
      <c r="D54" s="2">
        <f>--6767.67</f>
        <v>6767.67</v>
      </c>
      <c r="E54" s="2"/>
      <c r="F54" s="19"/>
      <c r="G54" s="2"/>
      <c r="H54" s="2">
        <f>--1559.03</f>
        <v>1559.03</v>
      </c>
      <c r="I54" s="2"/>
      <c r="J54" s="19"/>
      <c r="K54" s="2"/>
      <c r="L54" s="2">
        <f t="shared" si="0"/>
        <v>5208.6400000000003</v>
      </c>
      <c r="M54" s="2"/>
      <c r="N54" s="19">
        <f t="shared" si="1"/>
        <v>3.3409491799388085</v>
      </c>
      <c r="O54" s="11"/>
      <c r="P54" s="2">
        <f>--293475.52</f>
        <v>293475.52</v>
      </c>
      <c r="Q54" s="2"/>
      <c r="R54" s="19"/>
      <c r="S54" s="2"/>
      <c r="T54" s="2">
        <f>--320492.85</f>
        <v>320492.84999999998</v>
      </c>
      <c r="U54" s="2"/>
      <c r="V54" s="19"/>
      <c r="W54" s="2"/>
      <c r="X54" s="2">
        <f t="shared" si="2"/>
        <v>-27017.329999999958</v>
      </c>
      <c r="Y54" s="2"/>
      <c r="Z54" s="19">
        <f t="shared" si="3"/>
        <v>-8.4299322122162665E-2</v>
      </c>
    </row>
    <row r="55" spans="1:26" s="24" customFormat="1" hidden="1" outlineLevel="1" x14ac:dyDescent="0.25">
      <c r="A55" s="44"/>
      <c r="B55" s="11" t="str">
        <f>CONCATENATE("          ", "4111", " - ", "NON-TAXABLE SALES-NO VALUE TEX")</f>
        <v xml:space="preserve">          4111 - NON-TAXABLE SALES-NO VALUE TEX</v>
      </c>
      <c r="C55" s="11"/>
      <c r="D55" s="2">
        <f>0</f>
        <v>0</v>
      </c>
      <c r="E55" s="2"/>
      <c r="F55" s="19"/>
      <c r="G55" s="2"/>
      <c r="H55" s="2">
        <f>--757.3</f>
        <v>757.3</v>
      </c>
      <c r="I55" s="2"/>
      <c r="J55" s="19"/>
      <c r="K55" s="2"/>
      <c r="L55" s="2">
        <f t="shared" si="0"/>
        <v>-757.3</v>
      </c>
      <c r="M55" s="2"/>
      <c r="N55" s="19">
        <f t="shared" si="1"/>
        <v>-1</v>
      </c>
      <c r="O55" s="11"/>
      <c r="P55" s="2">
        <f>0</f>
        <v>0</v>
      </c>
      <c r="Q55" s="2"/>
      <c r="R55" s="19"/>
      <c r="S55" s="2"/>
      <c r="T55" s="2">
        <f>--7099.47</f>
        <v>7099.47</v>
      </c>
      <c r="U55" s="2"/>
      <c r="V55" s="19"/>
      <c r="W55" s="2"/>
      <c r="X55" s="2">
        <f t="shared" si="2"/>
        <v>-7099.47</v>
      </c>
      <c r="Y55" s="2"/>
      <c r="Z55" s="19">
        <f t="shared" si="3"/>
        <v>-1</v>
      </c>
    </row>
    <row r="56" spans="1:26" s="24" customFormat="1" hidden="1" outlineLevel="1" x14ac:dyDescent="0.25">
      <c r="A56" s="44"/>
      <c r="B56" s="11" t="str">
        <f>CONCATENATE("          ", "4113", " - ", "NON-TAXABLE SALES-TRADE BOOKS")</f>
        <v xml:space="preserve">          4113 - NON-TAXABLE SALES-TRADE BOOKS</v>
      </c>
      <c r="C56" s="11"/>
      <c r="D56" s="2">
        <f>--1655.95</f>
        <v>1655.95</v>
      </c>
      <c r="E56" s="2"/>
      <c r="F56" s="19"/>
      <c r="G56" s="2"/>
      <c r="H56" s="2">
        <f t="shared" ref="H56:H58" si="11">0</f>
        <v>0</v>
      </c>
      <c r="I56" s="2"/>
      <c r="J56" s="19"/>
      <c r="K56" s="2"/>
      <c r="L56" s="2">
        <f t="shared" si="0"/>
        <v>1655.95</v>
      </c>
      <c r="M56" s="2"/>
      <c r="N56" s="19">
        <f t="shared" si="1"/>
        <v>0</v>
      </c>
      <c r="O56" s="11"/>
      <c r="P56" s="2">
        <f>--1655.95</f>
        <v>1655.95</v>
      </c>
      <c r="Q56" s="2"/>
      <c r="R56" s="19"/>
      <c r="S56" s="2"/>
      <c r="T56" s="2">
        <f>--1146.72</f>
        <v>1146.72</v>
      </c>
      <c r="U56" s="2"/>
      <c r="V56" s="19"/>
      <c r="W56" s="2"/>
      <c r="X56" s="2">
        <f t="shared" si="2"/>
        <v>509.23</v>
      </c>
      <c r="Y56" s="2"/>
      <c r="Z56" s="19">
        <f t="shared" si="3"/>
        <v>0.44407527556857823</v>
      </c>
    </row>
    <row r="57" spans="1:26" s="24" customFormat="1" hidden="1" outlineLevel="1" x14ac:dyDescent="0.25">
      <c r="A57" s="44"/>
      <c r="B57" s="11" t="str">
        <f>CONCATENATE("          ", "4118", " - ", "NON-TAXABLE SALES-STUDY GUIDES")</f>
        <v xml:space="preserve">          4118 - NON-TAXABLE SALES-STUDY GUIDES</v>
      </c>
      <c r="C57" s="11"/>
      <c r="D57" s="2">
        <f>--97.3</f>
        <v>97.3</v>
      </c>
      <c r="E57" s="2"/>
      <c r="F57" s="19"/>
      <c r="G57" s="2"/>
      <c r="H57" s="2">
        <f t="shared" si="11"/>
        <v>0</v>
      </c>
      <c r="I57" s="2"/>
      <c r="J57" s="19"/>
      <c r="K57" s="2"/>
      <c r="L57" s="2">
        <f t="shared" si="0"/>
        <v>97.3</v>
      </c>
      <c r="M57" s="2"/>
      <c r="N57" s="19">
        <f t="shared" si="1"/>
        <v>0</v>
      </c>
      <c r="O57" s="11"/>
      <c r="P57" s="2">
        <f>--205.63</f>
        <v>205.63</v>
      </c>
      <c r="Q57" s="2"/>
      <c r="R57" s="19"/>
      <c r="S57" s="2"/>
      <c r="T57" s="2">
        <f>--20.92</f>
        <v>20.92</v>
      </c>
      <c r="U57" s="2"/>
      <c r="V57" s="19"/>
      <c r="W57" s="2"/>
      <c r="X57" s="2">
        <f t="shared" si="2"/>
        <v>184.70999999999998</v>
      </c>
      <c r="Y57" s="2"/>
      <c r="Z57" s="19">
        <f t="shared" si="3"/>
        <v>8.829349904397704</v>
      </c>
    </row>
    <row r="58" spans="1:26" s="24" customFormat="1" hidden="1" outlineLevel="1" x14ac:dyDescent="0.25">
      <c r="A58" s="44"/>
      <c r="B58" s="11" t="str">
        <f>CONCATENATE("          ", "4125", " - ", "NON-TAXABLE SALES-TEST FORMS")</f>
        <v xml:space="preserve">          4125 - NON-TAXABLE SALES-TEST FORMS</v>
      </c>
      <c r="C58" s="11"/>
      <c r="D58" s="2">
        <f t="shared" ref="D58:D59" si="12">0</f>
        <v>0</v>
      </c>
      <c r="E58" s="2"/>
      <c r="F58" s="19"/>
      <c r="G58" s="2"/>
      <c r="H58" s="2">
        <f t="shared" si="11"/>
        <v>0</v>
      </c>
      <c r="I58" s="2"/>
      <c r="J58" s="19"/>
      <c r="K58" s="2"/>
      <c r="L58" s="2">
        <f t="shared" si="0"/>
        <v>0</v>
      </c>
      <c r="M58" s="2"/>
      <c r="N58" s="19">
        <f t="shared" si="1"/>
        <v>0</v>
      </c>
      <c r="O58" s="11"/>
      <c r="P58" s="2">
        <f>0</f>
        <v>0</v>
      </c>
      <c r="Q58" s="2"/>
      <c r="R58" s="19"/>
      <c r="S58" s="2"/>
      <c r="T58" s="2">
        <f>--124.18</f>
        <v>124.18</v>
      </c>
      <c r="U58" s="2"/>
      <c r="V58" s="19"/>
      <c r="W58" s="2"/>
      <c r="X58" s="2">
        <f t="shared" si="2"/>
        <v>-124.18</v>
      </c>
      <c r="Y58" s="2"/>
      <c r="Z58" s="19">
        <f t="shared" si="3"/>
        <v>-1</v>
      </c>
    </row>
    <row r="59" spans="1:26" s="24" customFormat="1" hidden="1" outlineLevel="1" x14ac:dyDescent="0.25">
      <c r="A59" s="44"/>
      <c r="B59" s="11" t="str">
        <f>CONCATENATE("          ", "4126", " - ", "NON-TAXABLE SALES-WRITING INST")</f>
        <v xml:space="preserve">          4126 - NON-TAXABLE SALES-WRITING INST</v>
      </c>
      <c r="C59" s="11"/>
      <c r="D59" s="2">
        <f t="shared" si="12"/>
        <v>0</v>
      </c>
      <c r="E59" s="2"/>
      <c r="F59" s="19"/>
      <c r="G59" s="2"/>
      <c r="H59" s="2">
        <f>--115.27</f>
        <v>115.27</v>
      </c>
      <c r="I59" s="2"/>
      <c r="J59" s="19"/>
      <c r="K59" s="2"/>
      <c r="L59" s="2">
        <f t="shared" si="0"/>
        <v>-115.27</v>
      </c>
      <c r="M59" s="2"/>
      <c r="N59" s="19">
        <f t="shared" si="1"/>
        <v>-1</v>
      </c>
      <c r="O59" s="11"/>
      <c r="P59" s="2">
        <f>--52.68</f>
        <v>52.68</v>
      </c>
      <c r="Q59" s="2"/>
      <c r="R59" s="19"/>
      <c r="S59" s="2"/>
      <c r="T59" s="2">
        <f>--1458.53</f>
        <v>1458.53</v>
      </c>
      <c r="U59" s="2"/>
      <c r="V59" s="19"/>
      <c r="W59" s="2"/>
      <c r="X59" s="2">
        <f t="shared" si="2"/>
        <v>-1405.85</v>
      </c>
      <c r="Y59" s="2"/>
      <c r="Z59" s="19">
        <f t="shared" si="3"/>
        <v>-0.96388144227407047</v>
      </c>
    </row>
    <row r="60" spans="1:26" s="24" customFormat="1" hidden="1" outlineLevel="1" x14ac:dyDescent="0.25">
      <c r="A60" s="44"/>
      <c r="B60" s="11" t="str">
        <f>CONCATENATE("          ", "4127", " - ", "NON-TAXABLE SALES-SCHOOL SUPPL")</f>
        <v xml:space="preserve">          4127 - NON-TAXABLE SALES-SCHOOL SUPPL</v>
      </c>
      <c r="C60" s="11"/>
      <c r="D60" s="2">
        <f>--160.95</f>
        <v>160.94999999999999</v>
      </c>
      <c r="E60" s="2"/>
      <c r="F60" s="19"/>
      <c r="G60" s="2"/>
      <c r="H60" s="2">
        <f>--179.63</f>
        <v>179.63</v>
      </c>
      <c r="I60" s="2"/>
      <c r="J60" s="19"/>
      <c r="K60" s="2"/>
      <c r="L60" s="2">
        <f t="shared" si="0"/>
        <v>-18.680000000000007</v>
      </c>
      <c r="M60" s="2"/>
      <c r="N60" s="19">
        <f t="shared" si="1"/>
        <v>-0.10399153816177703</v>
      </c>
      <c r="O60" s="11"/>
      <c r="P60" s="2">
        <f>--2831.69</f>
        <v>2831.69</v>
      </c>
      <c r="Q60" s="2"/>
      <c r="R60" s="19"/>
      <c r="S60" s="2"/>
      <c r="T60" s="2">
        <f>--2597.12</f>
        <v>2597.12</v>
      </c>
      <c r="U60" s="2"/>
      <c r="V60" s="19"/>
      <c r="W60" s="2"/>
      <c r="X60" s="2">
        <f t="shared" si="2"/>
        <v>234.57000000000016</v>
      </c>
      <c r="Y60" s="2"/>
      <c r="Z60" s="19">
        <f t="shared" si="3"/>
        <v>9.0319276737309093E-2</v>
      </c>
    </row>
    <row r="61" spans="1:26" s="24" customFormat="1" hidden="1" outlineLevel="1" x14ac:dyDescent="0.25">
      <c r="A61" s="44"/>
      <c r="B61" s="11" t="str">
        <f>CONCATENATE("          ", "4128", " - ", "NON-TAXABLE SALES-ART/TECH")</f>
        <v xml:space="preserve">          4128 - NON-TAXABLE SALES-ART/TECH</v>
      </c>
      <c r="C61" s="11"/>
      <c r="D61" s="2">
        <f>0</f>
        <v>0</v>
      </c>
      <c r="E61" s="2"/>
      <c r="F61" s="19"/>
      <c r="G61" s="2"/>
      <c r="H61" s="2">
        <f>--85.82</f>
        <v>85.82</v>
      </c>
      <c r="I61" s="2"/>
      <c r="J61" s="19"/>
      <c r="K61" s="2"/>
      <c r="L61" s="2">
        <f t="shared" si="0"/>
        <v>-85.82</v>
      </c>
      <c r="M61" s="2"/>
      <c r="N61" s="19">
        <f t="shared" si="1"/>
        <v>-1</v>
      </c>
      <c r="O61" s="11"/>
      <c r="P61" s="2">
        <f>0</f>
        <v>0</v>
      </c>
      <c r="Q61" s="2"/>
      <c r="R61" s="19"/>
      <c r="S61" s="2"/>
      <c r="T61" s="2">
        <f>--348.72</f>
        <v>348.72</v>
      </c>
      <c r="U61" s="2"/>
      <c r="V61" s="19"/>
      <c r="W61" s="2"/>
      <c r="X61" s="2">
        <f t="shared" si="2"/>
        <v>-348.72</v>
      </c>
      <c r="Y61" s="2"/>
      <c r="Z61" s="19">
        <f t="shared" si="3"/>
        <v>-1</v>
      </c>
    </row>
    <row r="62" spans="1:26" s="24" customFormat="1" hidden="1" outlineLevel="1" x14ac:dyDescent="0.25">
      <c r="A62" s="44"/>
      <c r="B62" s="11" t="str">
        <f>CONCATENATE("          ", "4131", " - ", "NON-TAXABLE SALES-FOOD")</f>
        <v xml:space="preserve">          4131 - NON-TAXABLE SALES-FOOD</v>
      </c>
      <c r="C62" s="11"/>
      <c r="D62" s="2">
        <f>--1521.48</f>
        <v>1521.48</v>
      </c>
      <c r="E62" s="2"/>
      <c r="F62" s="19"/>
      <c r="G62" s="2"/>
      <c r="H62" s="2">
        <f>--13457.13</f>
        <v>13457.13</v>
      </c>
      <c r="I62" s="2"/>
      <c r="J62" s="19"/>
      <c r="K62" s="2"/>
      <c r="L62" s="2">
        <f t="shared" si="0"/>
        <v>-11935.65</v>
      </c>
      <c r="M62" s="2"/>
      <c r="N62" s="19">
        <f t="shared" si="1"/>
        <v>-0.88693874548287788</v>
      </c>
      <c r="O62" s="11"/>
      <c r="P62" s="2">
        <f>--5525.44</f>
        <v>5525.44</v>
      </c>
      <c r="Q62" s="2"/>
      <c r="R62" s="19"/>
      <c r="S62" s="2"/>
      <c r="T62" s="2">
        <f>--26722.42</f>
        <v>26722.42</v>
      </c>
      <c r="U62" s="2"/>
      <c r="V62" s="19"/>
      <c r="W62" s="2"/>
      <c r="X62" s="2">
        <f t="shared" si="2"/>
        <v>-21196.98</v>
      </c>
      <c r="Y62" s="2"/>
      <c r="Z62" s="19">
        <f t="shared" si="3"/>
        <v>-0.79322830791522625</v>
      </c>
    </row>
    <row r="63" spans="1:26" s="24" customFormat="1" hidden="1" outlineLevel="1" x14ac:dyDescent="0.25">
      <c r="A63" s="44"/>
      <c r="B63" s="11" t="str">
        <f>CONCATENATE("          ", "4132", " - ", "NON-TAXABLE SALES-JUICE")</f>
        <v xml:space="preserve">          4132 - NON-TAXABLE SALES-JUICE</v>
      </c>
      <c r="C63" s="11"/>
      <c r="D63" s="2">
        <f t="shared" ref="D63:D67" si="13">0</f>
        <v>0</v>
      </c>
      <c r="E63" s="2"/>
      <c r="F63" s="19"/>
      <c r="G63" s="2"/>
      <c r="H63" s="2">
        <f>--3958.43</f>
        <v>3958.43</v>
      </c>
      <c r="I63" s="2"/>
      <c r="J63" s="19"/>
      <c r="K63" s="2"/>
      <c r="L63" s="2">
        <f t="shared" si="0"/>
        <v>-3958.43</v>
      </c>
      <c r="M63" s="2"/>
      <c r="N63" s="19">
        <f t="shared" si="1"/>
        <v>-1</v>
      </c>
      <c r="O63" s="11"/>
      <c r="P63" s="2">
        <f>--22.49</f>
        <v>22.49</v>
      </c>
      <c r="Q63" s="2"/>
      <c r="R63" s="19"/>
      <c r="S63" s="2"/>
      <c r="T63" s="2">
        <f>--7768.8</f>
        <v>7768.8</v>
      </c>
      <c r="U63" s="2"/>
      <c r="V63" s="19"/>
      <c r="W63" s="2"/>
      <c r="X63" s="2">
        <f t="shared" si="2"/>
        <v>-7746.31</v>
      </c>
      <c r="Y63" s="2"/>
      <c r="Z63" s="19">
        <f t="shared" si="3"/>
        <v>-0.99710508701472556</v>
      </c>
    </row>
    <row r="64" spans="1:26" s="24" customFormat="1" hidden="1" outlineLevel="1" x14ac:dyDescent="0.25">
      <c r="A64" s="44"/>
      <c r="B64" s="11" t="str">
        <f>CONCATENATE("          ", "4133", " - ", "NON-TAXABLE SALES-CANDY")</f>
        <v xml:space="preserve">          4133 - NON-TAXABLE SALES-CANDY</v>
      </c>
      <c r="C64" s="11"/>
      <c r="D64" s="2">
        <f t="shared" si="13"/>
        <v>0</v>
      </c>
      <c r="E64" s="2"/>
      <c r="F64" s="19"/>
      <c r="G64" s="2"/>
      <c r="H64" s="2">
        <f>--3801.88</f>
        <v>3801.88</v>
      </c>
      <c r="I64" s="2"/>
      <c r="J64" s="19"/>
      <c r="K64" s="2"/>
      <c r="L64" s="2">
        <f t="shared" si="0"/>
        <v>-3801.88</v>
      </c>
      <c r="M64" s="2"/>
      <c r="N64" s="19">
        <f t="shared" si="1"/>
        <v>-1</v>
      </c>
      <c r="O64" s="11"/>
      <c r="P64" s="2">
        <f>--80.71</f>
        <v>80.709999999999994</v>
      </c>
      <c r="Q64" s="2"/>
      <c r="R64" s="19"/>
      <c r="S64" s="2"/>
      <c r="T64" s="2">
        <f>--8466.86</f>
        <v>8466.86</v>
      </c>
      <c r="U64" s="2"/>
      <c r="V64" s="19"/>
      <c r="W64" s="2"/>
      <c r="X64" s="2">
        <f t="shared" si="2"/>
        <v>-8386.1500000000015</v>
      </c>
      <c r="Y64" s="2"/>
      <c r="Z64" s="19">
        <f t="shared" si="3"/>
        <v>-0.99046754050498065</v>
      </c>
    </row>
    <row r="65" spans="1:26" s="24" customFormat="1" hidden="1" outlineLevel="1" x14ac:dyDescent="0.25">
      <c r="A65" s="44"/>
      <c r="B65" s="11" t="str">
        <f>CONCATENATE("          ", "4134", " - ", "NON-TAXABLE SALES-SODA")</f>
        <v xml:space="preserve">          4134 - NON-TAXABLE SALES-SODA</v>
      </c>
      <c r="C65" s="11"/>
      <c r="D65" s="2">
        <f t="shared" si="13"/>
        <v>0</v>
      </c>
      <c r="E65" s="2"/>
      <c r="F65" s="19"/>
      <c r="G65" s="2"/>
      <c r="H65" s="2">
        <f>0</f>
        <v>0</v>
      </c>
      <c r="I65" s="2"/>
      <c r="J65" s="19"/>
      <c r="K65" s="2"/>
      <c r="L65" s="2">
        <f t="shared" si="0"/>
        <v>0</v>
      </c>
      <c r="M65" s="2"/>
      <c r="N65" s="19">
        <f t="shared" si="1"/>
        <v>0</v>
      </c>
      <c r="O65" s="11"/>
      <c r="P65" s="2">
        <f>--45.53</f>
        <v>45.53</v>
      </c>
      <c r="Q65" s="2"/>
      <c r="R65" s="19"/>
      <c r="S65" s="2"/>
      <c r="T65" s="2">
        <f>0</f>
        <v>0</v>
      </c>
      <c r="U65" s="2"/>
      <c r="V65" s="19"/>
      <c r="W65" s="2"/>
      <c r="X65" s="2">
        <f t="shared" si="2"/>
        <v>45.53</v>
      </c>
      <c r="Y65" s="2"/>
      <c r="Z65" s="19">
        <f t="shared" si="3"/>
        <v>0</v>
      </c>
    </row>
    <row r="66" spans="1:26" s="24" customFormat="1" hidden="1" outlineLevel="1" x14ac:dyDescent="0.25">
      <c r="A66" s="44"/>
      <c r="B66" s="11" t="str">
        <f>CONCATENATE("          ", "4135", " - ", "NON-TAXABLE SALES")</f>
        <v xml:space="preserve">          4135 - NON-TAXABLE SALES</v>
      </c>
      <c r="C66" s="11"/>
      <c r="D66" s="2">
        <f t="shared" si="13"/>
        <v>0</v>
      </c>
      <c r="E66" s="2"/>
      <c r="F66" s="19"/>
      <c r="G66" s="2"/>
      <c r="H66" s="2">
        <f>--17.9</f>
        <v>17.899999999999999</v>
      </c>
      <c r="I66" s="2"/>
      <c r="J66" s="19"/>
      <c r="K66" s="2"/>
      <c r="L66" s="2">
        <f t="shared" si="0"/>
        <v>-17.899999999999999</v>
      </c>
      <c r="M66" s="2"/>
      <c r="N66" s="19">
        <f t="shared" si="1"/>
        <v>-1</v>
      </c>
      <c r="O66" s="11"/>
      <c r="P66" s="2">
        <f>0</f>
        <v>0</v>
      </c>
      <c r="Q66" s="2"/>
      <c r="R66" s="19"/>
      <c r="S66" s="2"/>
      <c r="T66" s="2">
        <f>--103.96</f>
        <v>103.96</v>
      </c>
      <c r="U66" s="2"/>
      <c r="V66" s="19"/>
      <c r="W66" s="2"/>
      <c r="X66" s="2">
        <f t="shared" si="2"/>
        <v>-103.96</v>
      </c>
      <c r="Y66" s="2"/>
      <c r="Z66" s="19">
        <f t="shared" si="3"/>
        <v>-1</v>
      </c>
    </row>
    <row r="67" spans="1:26" s="24" customFormat="1" hidden="1" outlineLevel="1" x14ac:dyDescent="0.25">
      <c r="A67" s="44"/>
      <c r="B67" s="11" t="str">
        <f>CONCATENATE("          ", "4137", " - ", "NON-TAXABLE SALES-WATER")</f>
        <v xml:space="preserve">          4137 - NON-TAXABLE SALES-WATER</v>
      </c>
      <c r="C67" s="11"/>
      <c r="D67" s="2">
        <f t="shared" si="13"/>
        <v>0</v>
      </c>
      <c r="E67" s="2"/>
      <c r="F67" s="19"/>
      <c r="G67" s="2"/>
      <c r="H67" s="2">
        <f>--2024.43</f>
        <v>2024.43</v>
      </c>
      <c r="I67" s="2"/>
      <c r="J67" s="19"/>
      <c r="K67" s="2"/>
      <c r="L67" s="2">
        <f t="shared" si="0"/>
        <v>-2024.43</v>
      </c>
      <c r="M67" s="2"/>
      <c r="N67" s="19">
        <f t="shared" si="1"/>
        <v>-1</v>
      </c>
      <c r="O67" s="11"/>
      <c r="P67" s="2">
        <f>--68.25</f>
        <v>68.25</v>
      </c>
      <c r="Q67" s="2"/>
      <c r="R67" s="19"/>
      <c r="S67" s="2"/>
      <c r="T67" s="2">
        <f>--4265.3</f>
        <v>4265.3</v>
      </c>
      <c r="U67" s="2"/>
      <c r="V67" s="19"/>
      <c r="W67" s="2"/>
      <c r="X67" s="2">
        <f t="shared" si="2"/>
        <v>-4197.05</v>
      </c>
      <c r="Y67" s="2"/>
      <c r="Z67" s="19">
        <f t="shared" si="3"/>
        <v>-0.9839987808594941</v>
      </c>
    </row>
    <row r="68" spans="1:26" s="24" customFormat="1" hidden="1" outlineLevel="1" x14ac:dyDescent="0.25">
      <c r="A68" s="44"/>
      <c r="B68" s="11" t="str">
        <f>CONCATENATE("          ", "4140", " - ", "NON-TAXABLE SALES-LOGO CLOTHIN")</f>
        <v xml:space="preserve">          4140 - NON-TAXABLE SALES-LOGO CLOTHIN</v>
      </c>
      <c r="C68" s="11"/>
      <c r="D68" s="2">
        <f>--13163.04</f>
        <v>13163.04</v>
      </c>
      <c r="E68" s="2"/>
      <c r="F68" s="19"/>
      <c r="G68" s="2"/>
      <c r="H68" s="2">
        <f>--4377.82</f>
        <v>4377.82</v>
      </c>
      <c r="I68" s="2"/>
      <c r="J68" s="19"/>
      <c r="K68" s="2"/>
      <c r="L68" s="2">
        <f t="shared" si="0"/>
        <v>8785.2200000000012</v>
      </c>
      <c r="M68" s="2"/>
      <c r="N68" s="19">
        <f t="shared" si="1"/>
        <v>2.0067567876248913</v>
      </c>
      <c r="O68" s="11"/>
      <c r="P68" s="2">
        <f>--30615.48</f>
        <v>30615.48</v>
      </c>
      <c r="Q68" s="2"/>
      <c r="R68" s="19"/>
      <c r="S68" s="2"/>
      <c r="T68" s="2">
        <f>--12635.52</f>
        <v>12635.52</v>
      </c>
      <c r="U68" s="2"/>
      <c r="V68" s="19"/>
      <c r="W68" s="2"/>
      <c r="X68" s="2">
        <f t="shared" si="2"/>
        <v>17979.96</v>
      </c>
      <c r="Y68" s="2"/>
      <c r="Z68" s="19">
        <f t="shared" si="3"/>
        <v>1.4229695335055461</v>
      </c>
    </row>
    <row r="69" spans="1:26" s="24" customFormat="1" hidden="1" outlineLevel="1" x14ac:dyDescent="0.25">
      <c r="A69" s="44"/>
      <c r="B69" s="11" t="str">
        <f>CONCATENATE("          ", "4141", " - ", "NON-TAXABLE SALES-LOGO GIFTS")</f>
        <v xml:space="preserve">          4141 - NON-TAXABLE SALES-LOGO GIFTS</v>
      </c>
      <c r="C69" s="11"/>
      <c r="D69" s="2">
        <f>--437.71</f>
        <v>437.71</v>
      </c>
      <c r="E69" s="2"/>
      <c r="F69" s="19"/>
      <c r="G69" s="2"/>
      <c r="H69" s="2">
        <f>--581.29</f>
        <v>581.29</v>
      </c>
      <c r="I69" s="2"/>
      <c r="J69" s="19"/>
      <c r="K69" s="2"/>
      <c r="L69" s="2">
        <f t="shared" si="0"/>
        <v>-143.57999999999998</v>
      </c>
      <c r="M69" s="2"/>
      <c r="N69" s="19">
        <f t="shared" si="1"/>
        <v>-0.24700235682705704</v>
      </c>
      <c r="O69" s="11"/>
      <c r="P69" s="2">
        <f>--3382.7</f>
        <v>3382.7</v>
      </c>
      <c r="Q69" s="2"/>
      <c r="R69" s="19"/>
      <c r="S69" s="2"/>
      <c r="T69" s="2">
        <f>--1395.93</f>
        <v>1395.93</v>
      </c>
      <c r="U69" s="2"/>
      <c r="V69" s="19"/>
      <c r="W69" s="2"/>
      <c r="X69" s="2">
        <f t="shared" si="2"/>
        <v>1986.7699999999998</v>
      </c>
      <c r="Y69" s="2"/>
      <c r="Z69" s="19">
        <f t="shared" si="3"/>
        <v>1.4232590459406989</v>
      </c>
    </row>
    <row r="70" spans="1:26" s="24" customFormat="1" hidden="1" outlineLevel="1" x14ac:dyDescent="0.25">
      <c r="A70" s="44"/>
      <c r="B70" s="11" t="str">
        <f>CONCATENATE("          ", "4142", " - ", "NON-TAXABLE SALES-EVERYDAY GIF")</f>
        <v xml:space="preserve">          4142 - NON-TAXABLE SALES-EVERYDAY GIF</v>
      </c>
      <c r="C70" s="11"/>
      <c r="D70" s="2">
        <f>--310.68</f>
        <v>310.68</v>
      </c>
      <c r="E70" s="2"/>
      <c r="F70" s="19"/>
      <c r="G70" s="2"/>
      <c r="H70" s="2">
        <f>--2883.11</f>
        <v>2883.11</v>
      </c>
      <c r="I70" s="2"/>
      <c r="J70" s="19"/>
      <c r="K70" s="2"/>
      <c r="L70" s="2">
        <f t="shared" si="0"/>
        <v>-2572.4300000000003</v>
      </c>
      <c r="M70" s="2"/>
      <c r="N70" s="19">
        <f t="shared" si="1"/>
        <v>-0.89224136436001411</v>
      </c>
      <c r="O70" s="11"/>
      <c r="P70" s="2">
        <f>--1320.41</f>
        <v>1320.41</v>
      </c>
      <c r="Q70" s="2"/>
      <c r="R70" s="19"/>
      <c r="S70" s="2"/>
      <c r="T70" s="2">
        <f>--5919.61</f>
        <v>5919.61</v>
      </c>
      <c r="U70" s="2"/>
      <c r="V70" s="19"/>
      <c r="W70" s="2"/>
      <c r="X70" s="2">
        <f t="shared" si="2"/>
        <v>-4599.2</v>
      </c>
      <c r="Y70" s="2"/>
      <c r="Z70" s="19">
        <f t="shared" si="3"/>
        <v>-0.77694307564180753</v>
      </c>
    </row>
    <row r="71" spans="1:26" s="24" customFormat="1" hidden="1" outlineLevel="1" x14ac:dyDescent="0.25">
      <c r="A71" s="44"/>
      <c r="B71" s="11" t="str">
        <f>CONCATENATE("          ", "4143", " - ", "NON-TAXABLE SALES-CARDS")</f>
        <v xml:space="preserve">          4143 - NON-TAXABLE SALES-CARDS</v>
      </c>
      <c r="C71" s="11"/>
      <c r="D71" s="2">
        <f>--9.99</f>
        <v>9.99</v>
      </c>
      <c r="E71" s="2"/>
      <c r="F71" s="19"/>
      <c r="G71" s="2"/>
      <c r="H71" s="2">
        <f>0</f>
        <v>0</v>
      </c>
      <c r="I71" s="2"/>
      <c r="J71" s="19"/>
      <c r="K71" s="2"/>
      <c r="L71" s="2">
        <f t="shared" si="0"/>
        <v>9.99</v>
      </c>
      <c r="M71" s="2"/>
      <c r="N71" s="19">
        <f t="shared" si="1"/>
        <v>0</v>
      </c>
      <c r="O71" s="11"/>
      <c r="P71" s="2">
        <f>--29.97</f>
        <v>29.97</v>
      </c>
      <c r="Q71" s="2"/>
      <c r="R71" s="19"/>
      <c r="S71" s="2"/>
      <c r="T71" s="2">
        <f>0</f>
        <v>0</v>
      </c>
      <c r="U71" s="2"/>
      <c r="V71" s="19"/>
      <c r="W71" s="2"/>
      <c r="X71" s="2">
        <f t="shared" si="2"/>
        <v>29.97</v>
      </c>
      <c r="Y71" s="2"/>
      <c r="Z71" s="19">
        <f t="shared" si="3"/>
        <v>0</v>
      </c>
    </row>
    <row r="72" spans="1:26" s="24" customFormat="1" hidden="1" outlineLevel="1" x14ac:dyDescent="0.25">
      <c r="A72" s="44"/>
      <c r="B72" s="11" t="str">
        <f>CONCATENATE("          ", "4144", " - ", "NON-TAXABLE SALES-ACCESSORIES")</f>
        <v xml:space="preserve">          4144 - NON-TAXABLE SALES-ACCESSORIES</v>
      </c>
      <c r="C72" s="11"/>
      <c r="D72" s="2">
        <f>--154</f>
        <v>154</v>
      </c>
      <c r="E72" s="2"/>
      <c r="F72" s="19"/>
      <c r="G72" s="2"/>
      <c r="H72" s="2">
        <f>--71.85</f>
        <v>71.849999999999994</v>
      </c>
      <c r="I72" s="2"/>
      <c r="J72" s="19"/>
      <c r="K72" s="2"/>
      <c r="L72" s="2">
        <f t="shared" si="0"/>
        <v>82.15</v>
      </c>
      <c r="M72" s="2"/>
      <c r="N72" s="19">
        <f t="shared" si="1"/>
        <v>1.1433542101600558</v>
      </c>
      <c r="O72" s="11"/>
      <c r="P72" s="2">
        <f>--369.75</f>
        <v>369.75</v>
      </c>
      <c r="Q72" s="2"/>
      <c r="R72" s="19"/>
      <c r="S72" s="2"/>
      <c r="T72" s="2">
        <f>--211.61</f>
        <v>211.61</v>
      </c>
      <c r="U72" s="2"/>
      <c r="V72" s="19"/>
      <c r="W72" s="2"/>
      <c r="X72" s="2">
        <f t="shared" si="2"/>
        <v>158.13999999999999</v>
      </c>
      <c r="Y72" s="2"/>
      <c r="Z72" s="19">
        <f t="shared" si="3"/>
        <v>0.7473181796701478</v>
      </c>
    </row>
    <row r="73" spans="1:26" s="24" customFormat="1" hidden="1" outlineLevel="1" x14ac:dyDescent="0.25">
      <c r="A73" s="44"/>
      <c r="B73" s="11" t="str">
        <f>CONCATENATE("          ", "4145", " - ", "NON-TAXABLE SALES-SPECIAL ORDE")</f>
        <v xml:space="preserve">          4145 - NON-TAXABLE SALES-SPECIAL ORDE</v>
      </c>
      <c r="C73" s="11"/>
      <c r="D73" s="2">
        <f>0</f>
        <v>0</v>
      </c>
      <c r="E73" s="2"/>
      <c r="F73" s="19"/>
      <c r="G73" s="2"/>
      <c r="H73" s="2">
        <f>0</f>
        <v>0</v>
      </c>
      <c r="I73" s="2"/>
      <c r="J73" s="19"/>
      <c r="K73" s="2"/>
      <c r="L73" s="2">
        <f t="shared" si="0"/>
        <v>0</v>
      </c>
      <c r="M73" s="2"/>
      <c r="N73" s="19">
        <f t="shared" si="1"/>
        <v>0</v>
      </c>
      <c r="O73" s="11"/>
      <c r="P73" s="2">
        <f>--35846</f>
        <v>35846</v>
      </c>
      <c r="Q73" s="2"/>
      <c r="R73" s="19"/>
      <c r="S73" s="2"/>
      <c r="T73" s="2">
        <f>--90</f>
        <v>90</v>
      </c>
      <c r="U73" s="2"/>
      <c r="V73" s="19"/>
      <c r="W73" s="2"/>
      <c r="X73" s="2">
        <f t="shared" si="2"/>
        <v>35756</v>
      </c>
      <c r="Y73" s="2"/>
      <c r="Z73" s="19">
        <f t="shared" si="3"/>
        <v>397.28888888888889</v>
      </c>
    </row>
    <row r="74" spans="1:26" s="24" customFormat="1" hidden="1" outlineLevel="1" x14ac:dyDescent="0.25">
      <c r="A74" s="44"/>
      <c r="B74" s="11" t="str">
        <f>CONCATENATE("          ", "4146", " - ", "NON-TAXABLE SALES-COIN OP MACH")</f>
        <v xml:space="preserve">          4146 - NON-TAXABLE SALES-COIN OP MACH</v>
      </c>
      <c r="C74" s="11"/>
      <c r="D74" s="2">
        <f>--21.3</f>
        <v>21.3</v>
      </c>
      <c r="E74" s="2"/>
      <c r="F74" s="19"/>
      <c r="G74" s="2"/>
      <c r="H74" s="2">
        <f>--40316.8</f>
        <v>40316.800000000003</v>
      </c>
      <c r="I74" s="2"/>
      <c r="J74" s="19"/>
      <c r="K74" s="2"/>
      <c r="L74" s="2">
        <f t="shared" si="0"/>
        <v>-40295.5</v>
      </c>
      <c r="M74" s="2"/>
      <c r="N74" s="19">
        <f t="shared" si="1"/>
        <v>-0.99947168426065558</v>
      </c>
      <c r="O74" s="11"/>
      <c r="P74" s="2">
        <f t="shared" ref="P74:P75" si="14">--86.5</f>
        <v>86.5</v>
      </c>
      <c r="Q74" s="2"/>
      <c r="R74" s="19"/>
      <c r="S74" s="2"/>
      <c r="T74" s="2">
        <f>--90410.3</f>
        <v>90410.3</v>
      </c>
      <c r="U74" s="2"/>
      <c r="V74" s="19"/>
      <c r="W74" s="2"/>
      <c r="X74" s="2">
        <f t="shared" si="2"/>
        <v>-90323.8</v>
      </c>
      <c r="Y74" s="2"/>
      <c r="Z74" s="19">
        <f t="shared" si="3"/>
        <v>-0.99904325060308397</v>
      </c>
    </row>
    <row r="75" spans="1:26" s="24" customFormat="1" hidden="1" outlineLevel="1" x14ac:dyDescent="0.25">
      <c r="A75" s="44"/>
      <c r="B75" s="11" t="str">
        <f>CONCATENATE("          ", "4147", " - ", "NON-TAXABLE SALES-MISC")</f>
        <v xml:space="preserve">          4147 - NON-TAXABLE SALES-MISC</v>
      </c>
      <c r="C75" s="11"/>
      <c r="D75" s="2">
        <f>--38.5</f>
        <v>38.5</v>
      </c>
      <c r="E75" s="2"/>
      <c r="F75" s="19"/>
      <c r="G75" s="2"/>
      <c r="H75" s="2">
        <f>-240</f>
        <v>-240</v>
      </c>
      <c r="I75" s="2"/>
      <c r="J75" s="19"/>
      <c r="K75" s="2"/>
      <c r="L75" s="2">
        <f t="shared" si="0"/>
        <v>278.5</v>
      </c>
      <c r="M75" s="2"/>
      <c r="N75" s="19">
        <f t="shared" si="1"/>
        <v>-1.1604166666666667</v>
      </c>
      <c r="O75" s="11"/>
      <c r="P75" s="2">
        <f t="shared" si="14"/>
        <v>86.5</v>
      </c>
      <c r="Q75" s="2"/>
      <c r="R75" s="19"/>
      <c r="S75" s="2"/>
      <c r="T75" s="2">
        <f>--174.9</f>
        <v>174.9</v>
      </c>
      <c r="U75" s="2"/>
      <c r="V75" s="19"/>
      <c r="W75" s="2"/>
      <c r="X75" s="2">
        <f t="shared" si="2"/>
        <v>-88.4</v>
      </c>
      <c r="Y75" s="2"/>
      <c r="Z75" s="19">
        <f t="shared" si="3"/>
        <v>-0.50543167524299604</v>
      </c>
    </row>
    <row r="76" spans="1:26" s="24" customFormat="1" hidden="1" outlineLevel="1" x14ac:dyDescent="0.25">
      <c r="A76" s="44"/>
      <c r="B76" s="11" t="str">
        <f>CONCATENATE("          ", "4181", " - ", "NON-TAXABLE SALES-ELECTRONICS")</f>
        <v xml:space="preserve">          4181 - NON-TAXABLE SALES-ELECTRONICS</v>
      </c>
      <c r="C76" s="11"/>
      <c r="D76" s="2">
        <f>--194.97</f>
        <v>194.97</v>
      </c>
      <c r="E76" s="2"/>
      <c r="F76" s="19"/>
      <c r="G76" s="2"/>
      <c r="H76" s="2">
        <f>--7.99</f>
        <v>7.99</v>
      </c>
      <c r="I76" s="2"/>
      <c r="J76" s="19"/>
      <c r="K76" s="2"/>
      <c r="L76" s="2">
        <f t="shared" si="0"/>
        <v>186.98</v>
      </c>
      <c r="M76" s="2"/>
      <c r="N76" s="19">
        <f t="shared" si="1"/>
        <v>23.401752190237794</v>
      </c>
      <c r="O76" s="11"/>
      <c r="P76" s="2">
        <f>--3504.13</f>
        <v>3504.13</v>
      </c>
      <c r="Q76" s="2"/>
      <c r="R76" s="19"/>
      <c r="S76" s="2"/>
      <c r="T76" s="2">
        <f>--1462.51</f>
        <v>1462.51</v>
      </c>
      <c r="U76" s="2"/>
      <c r="V76" s="19"/>
      <c r="W76" s="2"/>
      <c r="X76" s="2">
        <f t="shared" si="2"/>
        <v>2041.6200000000001</v>
      </c>
      <c r="Y76" s="2"/>
      <c r="Z76" s="19">
        <f t="shared" si="3"/>
        <v>1.3959699420858662</v>
      </c>
    </row>
    <row r="77" spans="1:26" s="24" customFormat="1" hidden="1" outlineLevel="1" x14ac:dyDescent="0.25">
      <c r="A77" s="44"/>
      <c r="B77" s="11" t="str">
        <f>CONCATENATE("          ", "4182", " - ", "NON-TAXABLE SALES-COMPUTER HAR")</f>
        <v xml:space="preserve">          4182 - NON-TAXABLE SALES-COMPUTER HAR</v>
      </c>
      <c r="C77" s="11"/>
      <c r="D77" s="2">
        <f>--24570</f>
        <v>24570</v>
      </c>
      <c r="E77" s="2"/>
      <c r="F77" s="19"/>
      <c r="G77" s="2"/>
      <c r="H77" s="2">
        <f>--10758</f>
        <v>10758</v>
      </c>
      <c r="I77" s="2"/>
      <c r="J77" s="19"/>
      <c r="K77" s="2"/>
      <c r="L77" s="2">
        <f t="shared" si="0"/>
        <v>13812</v>
      </c>
      <c r="M77" s="2"/>
      <c r="N77" s="19">
        <f t="shared" si="1"/>
        <v>1.2838817624093697</v>
      </c>
      <c r="O77" s="11"/>
      <c r="P77" s="2">
        <f>--145294.38</f>
        <v>145294.38</v>
      </c>
      <c r="Q77" s="2"/>
      <c r="R77" s="19"/>
      <c r="S77" s="2"/>
      <c r="T77" s="2">
        <f>--56560</f>
        <v>56560</v>
      </c>
      <c r="U77" s="2"/>
      <c r="V77" s="19"/>
      <c r="W77" s="2"/>
      <c r="X77" s="2">
        <f t="shared" si="2"/>
        <v>88734.38</v>
      </c>
      <c r="Y77" s="2"/>
      <c r="Z77" s="19">
        <f t="shared" si="3"/>
        <v>1.5688539603960396</v>
      </c>
    </row>
    <row r="78" spans="1:26" s="24" customFormat="1" hidden="1" outlineLevel="1" x14ac:dyDescent="0.25">
      <c r="A78" s="44"/>
      <c r="B78" s="11" t="str">
        <f>CONCATENATE("          ", "4183", " - ", "NON-TAXABLE SALES-COMPUTER EQU")</f>
        <v xml:space="preserve">          4183 - NON-TAXABLE SALES-COMPUTER EQU</v>
      </c>
      <c r="C78" s="11"/>
      <c r="D78" s="2">
        <f>--1269.91</f>
        <v>1269.9100000000001</v>
      </c>
      <c r="E78" s="2"/>
      <c r="F78" s="19"/>
      <c r="G78" s="2"/>
      <c r="H78" s="2">
        <f>--1033.81</f>
        <v>1033.81</v>
      </c>
      <c r="I78" s="2"/>
      <c r="J78" s="19"/>
      <c r="K78" s="2"/>
      <c r="L78" s="2">
        <f t="shared" si="0"/>
        <v>236.10000000000014</v>
      </c>
      <c r="M78" s="2"/>
      <c r="N78" s="19">
        <f t="shared" si="1"/>
        <v>0.22837852216558183</v>
      </c>
      <c r="O78" s="11"/>
      <c r="P78" s="2">
        <f>--6336.39</f>
        <v>6336.39</v>
      </c>
      <c r="Q78" s="2"/>
      <c r="R78" s="19"/>
      <c r="S78" s="2"/>
      <c r="T78" s="2">
        <f>--3054.92</f>
        <v>3054.92</v>
      </c>
      <c r="U78" s="2"/>
      <c r="V78" s="19"/>
      <c r="W78" s="2"/>
      <c r="X78" s="2">
        <f t="shared" si="2"/>
        <v>3281.4700000000003</v>
      </c>
      <c r="Y78" s="2"/>
      <c r="Z78" s="19">
        <f t="shared" si="3"/>
        <v>1.0741590614484178</v>
      </c>
    </row>
    <row r="79" spans="1:26" s="24" customFormat="1" hidden="1" outlineLevel="1" x14ac:dyDescent="0.25">
      <c r="A79" s="44"/>
      <c r="B79" s="11" t="str">
        <f>CONCATENATE("          ", "4184", " - ", "NON-TAXABLE SALES-SOFTWARE LIC")</f>
        <v xml:space="preserve">          4184 - NON-TAXABLE SALES-SOFTWARE LIC</v>
      </c>
      <c r="C79" s="11"/>
      <c r="D79" s="2">
        <f>0</f>
        <v>0</v>
      </c>
      <c r="E79" s="2"/>
      <c r="F79" s="19"/>
      <c r="G79" s="2"/>
      <c r="H79" s="2">
        <f>0</f>
        <v>0</v>
      </c>
      <c r="I79" s="2"/>
      <c r="J79" s="19"/>
      <c r="K79" s="2"/>
      <c r="L79" s="2">
        <f t="shared" si="0"/>
        <v>0</v>
      </c>
      <c r="M79" s="2"/>
      <c r="N79" s="19">
        <f t="shared" si="1"/>
        <v>0</v>
      </c>
      <c r="O79" s="11"/>
      <c r="P79" s="2">
        <f>0</f>
        <v>0</v>
      </c>
      <c r="Q79" s="2"/>
      <c r="R79" s="19"/>
      <c r="S79" s="2"/>
      <c r="T79" s="2">
        <f>--1522</f>
        <v>1522</v>
      </c>
      <c r="U79" s="2"/>
      <c r="V79" s="19"/>
      <c r="W79" s="2"/>
      <c r="X79" s="2">
        <f t="shared" si="2"/>
        <v>-1522</v>
      </c>
      <c r="Y79" s="2"/>
      <c r="Z79" s="19">
        <f t="shared" si="3"/>
        <v>-1</v>
      </c>
    </row>
    <row r="80" spans="1:26" s="24" customFormat="1" hidden="1" outlineLevel="1" x14ac:dyDescent="0.25">
      <c r="A80" s="44"/>
      <c r="B80" s="11" t="str">
        <f>CONCATENATE("          ", "4185", " - ", "NON-TAXABLE SALES-SOFTWARE")</f>
        <v xml:space="preserve">          4185 - NON-TAXABLE SALES-SOFTWARE</v>
      </c>
      <c r="C80" s="11"/>
      <c r="D80" s="2">
        <f>--4590.76</f>
        <v>4590.76</v>
      </c>
      <c r="E80" s="2"/>
      <c r="F80" s="19"/>
      <c r="G80" s="2"/>
      <c r="H80" s="2">
        <f>--1389.95</f>
        <v>1389.95</v>
      </c>
      <c r="I80" s="2"/>
      <c r="J80" s="19"/>
      <c r="K80" s="2"/>
      <c r="L80" s="2">
        <f t="shared" si="0"/>
        <v>3200.8100000000004</v>
      </c>
      <c r="M80" s="2"/>
      <c r="N80" s="19">
        <f t="shared" si="1"/>
        <v>2.302823842584266</v>
      </c>
      <c r="O80" s="11"/>
      <c r="P80" s="2">
        <f>--23816.85</f>
        <v>23816.85</v>
      </c>
      <c r="Q80" s="2"/>
      <c r="R80" s="19"/>
      <c r="S80" s="2"/>
      <c r="T80" s="2">
        <f>--8467.89</f>
        <v>8467.89</v>
      </c>
      <c r="U80" s="2"/>
      <c r="V80" s="19"/>
      <c r="W80" s="2"/>
      <c r="X80" s="2">
        <f t="shared" si="2"/>
        <v>15348.96</v>
      </c>
      <c r="Y80" s="2"/>
      <c r="Z80" s="19">
        <f t="shared" si="3"/>
        <v>1.812607390979335</v>
      </c>
    </row>
    <row r="81" spans="1:26" s="24" customFormat="1" hidden="1" outlineLevel="1" x14ac:dyDescent="0.25">
      <c r="A81" s="44"/>
      <c r="B81" s="11" t="str">
        <f>CONCATENATE("          ", "4186", " - ", "NON-TAXABLE SALES-COMPUTER SUP")</f>
        <v xml:space="preserve">          4186 - NON-TAXABLE SALES-COMPUTER SUP</v>
      </c>
      <c r="C81" s="11"/>
      <c r="D81" s="2">
        <f>--855.98</f>
        <v>855.98</v>
      </c>
      <c r="E81" s="2"/>
      <c r="F81" s="19"/>
      <c r="G81" s="2"/>
      <c r="H81" s="2">
        <f>--796.63</f>
        <v>796.63</v>
      </c>
      <c r="I81" s="2"/>
      <c r="J81" s="19"/>
      <c r="K81" s="2"/>
      <c r="L81" s="2">
        <f t="shared" si="0"/>
        <v>59.350000000000023</v>
      </c>
      <c r="M81" s="2"/>
      <c r="N81" s="19">
        <f t="shared" si="1"/>
        <v>7.4501336881613825E-2</v>
      </c>
      <c r="O81" s="11"/>
      <c r="P81" s="2">
        <f>--1729.77</f>
        <v>1729.77</v>
      </c>
      <c r="Q81" s="2"/>
      <c r="R81" s="19"/>
      <c r="S81" s="2"/>
      <c r="T81" s="2">
        <f>--1522.41</f>
        <v>1522.41</v>
      </c>
      <c r="U81" s="2"/>
      <c r="V81" s="19"/>
      <c r="W81" s="2"/>
      <c r="X81" s="2">
        <f t="shared" si="2"/>
        <v>207.3599999999999</v>
      </c>
      <c r="Y81" s="2"/>
      <c r="Z81" s="19">
        <f t="shared" si="3"/>
        <v>0.13620509586773594</v>
      </c>
    </row>
    <row r="82" spans="1:26" s="24" customFormat="1" hidden="1" outlineLevel="1" x14ac:dyDescent="0.25">
      <c r="A82" s="44"/>
      <c r="B82" s="11" t="str">
        <f>CONCATENATE("          ", "4188", " - ", "NON-TAXABLE SALES-MUSIC")</f>
        <v xml:space="preserve">          4188 - NON-TAXABLE SALES-MUSIC</v>
      </c>
      <c r="C82" s="11"/>
      <c r="D82" s="2">
        <f>0</f>
        <v>0</v>
      </c>
      <c r="E82" s="2"/>
      <c r="F82" s="19"/>
      <c r="G82" s="2"/>
      <c r="H82" s="2">
        <f>0</f>
        <v>0</v>
      </c>
      <c r="I82" s="2"/>
      <c r="J82" s="19"/>
      <c r="K82" s="2"/>
      <c r="L82" s="2">
        <f t="shared" si="0"/>
        <v>0</v>
      </c>
      <c r="M82" s="2"/>
      <c r="N82" s="19">
        <f t="shared" si="1"/>
        <v>0</v>
      </c>
      <c r="O82" s="11"/>
      <c r="P82" s="2">
        <f>0</f>
        <v>0</v>
      </c>
      <c r="Q82" s="2"/>
      <c r="R82" s="19"/>
      <c r="S82" s="2"/>
      <c r="T82" s="2">
        <f>--219.96</f>
        <v>219.96</v>
      </c>
      <c r="U82" s="2"/>
      <c r="V82" s="19"/>
      <c r="W82" s="2"/>
      <c r="X82" s="2">
        <f t="shared" si="2"/>
        <v>-219.96</v>
      </c>
      <c r="Y82" s="2"/>
      <c r="Z82" s="19">
        <f t="shared" si="3"/>
        <v>-1</v>
      </c>
    </row>
    <row r="83" spans="1:26" s="24" customFormat="1" hidden="1" outlineLevel="1" x14ac:dyDescent="0.25">
      <c r="A83" s="44"/>
      <c r="B83" s="11" t="str">
        <f>CONCATENATE("          ", "4201", " - ", "SALES RETURN TAXABLE-NEW TEXT")</f>
        <v xml:space="preserve">          4201 - SALES RETURN TAXABLE-NEW TEXT</v>
      </c>
      <c r="C83" s="11"/>
      <c r="D83" s="2">
        <f>-1512.25</f>
        <v>-1512.25</v>
      </c>
      <c r="E83" s="2"/>
      <c r="F83" s="19"/>
      <c r="G83" s="2"/>
      <c r="H83" s="2">
        <f>-4543.92</f>
        <v>-4543.92</v>
      </c>
      <c r="I83" s="2"/>
      <c r="J83" s="19"/>
      <c r="K83" s="2"/>
      <c r="L83" s="2">
        <f t="shared" si="0"/>
        <v>3031.67</v>
      </c>
      <c r="M83" s="2"/>
      <c r="N83" s="19">
        <f t="shared" si="1"/>
        <v>-0.66719264423669433</v>
      </c>
      <c r="O83" s="11"/>
      <c r="P83" s="2">
        <f>-33761.24</f>
        <v>-33761.24</v>
      </c>
      <c r="Q83" s="2"/>
      <c r="R83" s="19"/>
      <c r="S83" s="2"/>
      <c r="T83" s="2">
        <f>-77783.67</f>
        <v>-77783.67</v>
      </c>
      <c r="U83" s="2"/>
      <c r="V83" s="19"/>
      <c r="W83" s="2"/>
      <c r="X83" s="2">
        <f t="shared" si="2"/>
        <v>44022.43</v>
      </c>
      <c r="Y83" s="2"/>
      <c r="Z83" s="19">
        <f t="shared" si="3"/>
        <v>-0.56595979593145962</v>
      </c>
    </row>
    <row r="84" spans="1:26" s="24" customFormat="1" hidden="1" outlineLevel="1" x14ac:dyDescent="0.25">
      <c r="A84" s="44"/>
      <c r="B84" s="11" t="str">
        <f>CONCATENATE("          ", "4202", " - ", "SALES RETURN TAXABLE-USED TEXT")</f>
        <v xml:space="preserve">          4202 - SALES RETURN TAXABLE-USED TEXT</v>
      </c>
      <c r="C84" s="11"/>
      <c r="D84" s="2">
        <f>-136.05</f>
        <v>-136.05000000000001</v>
      </c>
      <c r="E84" s="2"/>
      <c r="F84" s="19"/>
      <c r="G84" s="2"/>
      <c r="H84" s="2">
        <f>-3577.9</f>
        <v>-3577.9</v>
      </c>
      <c r="I84" s="2"/>
      <c r="J84" s="19"/>
      <c r="K84" s="2"/>
      <c r="L84" s="2">
        <f t="shared" si="0"/>
        <v>3441.85</v>
      </c>
      <c r="M84" s="2"/>
      <c r="N84" s="19">
        <f t="shared" si="1"/>
        <v>-0.96197490147852083</v>
      </c>
      <c r="O84" s="11"/>
      <c r="P84" s="2">
        <f>-10529</f>
        <v>-10529</v>
      </c>
      <c r="Q84" s="2"/>
      <c r="R84" s="19"/>
      <c r="S84" s="2"/>
      <c r="T84" s="2">
        <f>-26929</f>
        <v>-26929</v>
      </c>
      <c r="U84" s="2"/>
      <c r="V84" s="19"/>
      <c r="W84" s="2"/>
      <c r="X84" s="2">
        <f t="shared" si="2"/>
        <v>16400</v>
      </c>
      <c r="Y84" s="2"/>
      <c r="Z84" s="19">
        <f t="shared" si="3"/>
        <v>-0.60900887519031532</v>
      </c>
    </row>
    <row r="85" spans="1:26" s="24" customFormat="1" hidden="1" outlineLevel="1" x14ac:dyDescent="0.25">
      <c r="A85" s="44"/>
      <c r="B85" s="11" t="str">
        <f>CONCATENATE("          ", "4203", " - ", "SALES RETURN TAXABLE-RENTAL TE")</f>
        <v xml:space="preserve">          4203 - SALES RETURN TAXABLE-RENTAL TE</v>
      </c>
      <c r="C85" s="11"/>
      <c r="D85" s="2">
        <f>0</f>
        <v>0</v>
      </c>
      <c r="E85" s="2"/>
      <c r="F85" s="19"/>
      <c r="G85" s="2"/>
      <c r="H85" s="2">
        <f>0</f>
        <v>0</v>
      </c>
      <c r="I85" s="2"/>
      <c r="J85" s="19"/>
      <c r="K85" s="2"/>
      <c r="L85" s="2">
        <f t="shared" si="0"/>
        <v>0</v>
      </c>
      <c r="M85" s="2"/>
      <c r="N85" s="19">
        <f t="shared" si="1"/>
        <v>0</v>
      </c>
      <c r="O85" s="11"/>
      <c r="P85" s="2">
        <f>0</f>
        <v>0</v>
      </c>
      <c r="Q85" s="2"/>
      <c r="R85" s="19"/>
      <c r="S85" s="2"/>
      <c r="T85" s="2">
        <f>-144.99</f>
        <v>-144.99</v>
      </c>
      <c r="U85" s="2"/>
      <c r="V85" s="19"/>
      <c r="W85" s="2"/>
      <c r="X85" s="2">
        <f t="shared" si="2"/>
        <v>144.99</v>
      </c>
      <c r="Y85" s="2"/>
      <c r="Z85" s="19">
        <f t="shared" si="3"/>
        <v>-1</v>
      </c>
    </row>
    <row r="86" spans="1:26" s="24" customFormat="1" hidden="1" outlineLevel="1" x14ac:dyDescent="0.25">
      <c r="A86" s="44"/>
      <c r="B86" s="11" t="str">
        <f>CONCATENATE("          ", "4204", " - ", "SALES RETURN TAXABLE-DIGITAL T")</f>
        <v xml:space="preserve">          4204 - SALES RETURN TAXABLE-DIGITAL T</v>
      </c>
      <c r="C86" s="11"/>
      <c r="D86" s="2">
        <f>-383.9</f>
        <v>-383.9</v>
      </c>
      <c r="E86" s="2"/>
      <c r="F86" s="19"/>
      <c r="G86" s="2"/>
      <c r="H86" s="2">
        <f>-193.34</f>
        <v>-193.34</v>
      </c>
      <c r="I86" s="2"/>
      <c r="J86" s="19"/>
      <c r="K86" s="2"/>
      <c r="L86" s="2">
        <f t="shared" si="0"/>
        <v>-190.55999999999997</v>
      </c>
      <c r="M86" s="2"/>
      <c r="N86" s="19">
        <f t="shared" si="1"/>
        <v>0.98562118547636268</v>
      </c>
      <c r="O86" s="11"/>
      <c r="P86" s="2">
        <f>-1630.85</f>
        <v>-1630.85</v>
      </c>
      <c r="Q86" s="2"/>
      <c r="R86" s="19"/>
      <c r="S86" s="2"/>
      <c r="T86" s="2">
        <f>-11250.06</f>
        <v>-11250.06</v>
      </c>
      <c r="U86" s="2"/>
      <c r="V86" s="19"/>
      <c r="W86" s="2"/>
      <c r="X86" s="2">
        <f t="shared" si="2"/>
        <v>9619.2099999999991</v>
      </c>
      <c r="Y86" s="2"/>
      <c r="Z86" s="19">
        <f t="shared" si="3"/>
        <v>-0.85503632869513579</v>
      </c>
    </row>
    <row r="87" spans="1:26" s="24" customFormat="1" hidden="1" outlineLevel="1" x14ac:dyDescent="0.25">
      <c r="A87" s="44"/>
      <c r="B87" s="11" t="str">
        <f>CONCATENATE("          ", "4213", " - ", "NON-TAXABLE SALES-TRADE BOOKS")</f>
        <v xml:space="preserve">          4213 - NON-TAXABLE SALES-TRADE BOOKS</v>
      </c>
      <c r="C87" s="11"/>
      <c r="D87" s="2">
        <f t="shared" ref="D87:D90" si="15">0</f>
        <v>0</v>
      </c>
      <c r="E87" s="2"/>
      <c r="F87" s="19"/>
      <c r="G87" s="2"/>
      <c r="H87" s="2">
        <f>-35.37</f>
        <v>-35.369999999999997</v>
      </c>
      <c r="I87" s="2"/>
      <c r="J87" s="19"/>
      <c r="K87" s="2"/>
      <c r="L87" s="2">
        <f t="shared" si="0"/>
        <v>35.369999999999997</v>
      </c>
      <c r="M87" s="2"/>
      <c r="N87" s="19">
        <f t="shared" si="1"/>
        <v>-1</v>
      </c>
      <c r="O87" s="11"/>
      <c r="P87" s="2">
        <f t="shared" ref="P87:P90" si="16">0</f>
        <v>0</v>
      </c>
      <c r="Q87" s="2"/>
      <c r="R87" s="19"/>
      <c r="S87" s="2"/>
      <c r="T87" s="2">
        <f>-35.37</f>
        <v>-35.369999999999997</v>
      </c>
      <c r="U87" s="2"/>
      <c r="V87" s="19"/>
      <c r="W87" s="2"/>
      <c r="X87" s="2">
        <f t="shared" si="2"/>
        <v>35.369999999999997</v>
      </c>
      <c r="Y87" s="2"/>
      <c r="Z87" s="19">
        <f t="shared" si="3"/>
        <v>-1</v>
      </c>
    </row>
    <row r="88" spans="1:26" s="24" customFormat="1" hidden="1" outlineLevel="1" x14ac:dyDescent="0.25">
      <c r="A88" s="44"/>
      <c r="B88" s="11" t="str">
        <f>CONCATENATE("          ", "4217", " - ", "NON-TAXABLE SALES-DORM/HOUSEWA")</f>
        <v xml:space="preserve">          4217 - NON-TAXABLE SALES-DORM/HOUSEWA</v>
      </c>
      <c r="C88" s="11"/>
      <c r="D88" s="2">
        <f t="shared" si="15"/>
        <v>0</v>
      </c>
      <c r="E88" s="2"/>
      <c r="F88" s="19"/>
      <c r="G88" s="2"/>
      <c r="H88" s="2">
        <f>-2.98</f>
        <v>-2.98</v>
      </c>
      <c r="I88" s="2"/>
      <c r="J88" s="19"/>
      <c r="K88" s="2"/>
      <c r="L88" s="2">
        <f t="shared" si="0"/>
        <v>2.98</v>
      </c>
      <c r="M88" s="2"/>
      <c r="N88" s="19">
        <f t="shared" si="1"/>
        <v>-1</v>
      </c>
      <c r="O88" s="11"/>
      <c r="P88" s="2">
        <f t="shared" si="16"/>
        <v>0</v>
      </c>
      <c r="Q88" s="2"/>
      <c r="R88" s="19"/>
      <c r="S88" s="2"/>
      <c r="T88" s="2">
        <f>-2.98</f>
        <v>-2.98</v>
      </c>
      <c r="U88" s="2"/>
      <c r="V88" s="19"/>
      <c r="W88" s="2"/>
      <c r="X88" s="2">
        <f t="shared" si="2"/>
        <v>2.98</v>
      </c>
      <c r="Y88" s="2"/>
      <c r="Z88" s="19">
        <f t="shared" si="3"/>
        <v>-1</v>
      </c>
    </row>
    <row r="89" spans="1:26" s="24" customFormat="1" hidden="1" outlineLevel="1" x14ac:dyDescent="0.25">
      <c r="A89" s="44"/>
      <c r="B89" s="11" t="str">
        <f>CONCATENATE("          ", "4218", " - ", "SALES RETURN TAXABLE-STUDY GUI")</f>
        <v xml:space="preserve">          4218 - SALES RETURN TAXABLE-STUDY GUI</v>
      </c>
      <c r="C89" s="11"/>
      <c r="D89" s="2">
        <f t="shared" si="15"/>
        <v>0</v>
      </c>
      <c r="E89" s="2"/>
      <c r="F89" s="19"/>
      <c r="G89" s="2"/>
      <c r="H89" s="2">
        <f>0</f>
        <v>0</v>
      </c>
      <c r="I89" s="2"/>
      <c r="J89" s="19"/>
      <c r="K89" s="2"/>
      <c r="L89" s="2">
        <f t="shared" si="0"/>
        <v>0</v>
      </c>
      <c r="M89" s="2"/>
      <c r="N89" s="19">
        <f t="shared" si="1"/>
        <v>0</v>
      </c>
      <c r="O89" s="11"/>
      <c r="P89" s="2">
        <f t="shared" si="16"/>
        <v>0</v>
      </c>
      <c r="Q89" s="2"/>
      <c r="R89" s="19"/>
      <c r="S89" s="2"/>
      <c r="T89" s="2">
        <f>-32.75</f>
        <v>-32.75</v>
      </c>
      <c r="U89" s="2"/>
      <c r="V89" s="19"/>
      <c r="W89" s="2"/>
      <c r="X89" s="2">
        <f t="shared" si="2"/>
        <v>32.75</v>
      </c>
      <c r="Y89" s="2"/>
      <c r="Z89" s="19">
        <f t="shared" si="3"/>
        <v>-1</v>
      </c>
    </row>
    <row r="90" spans="1:26" s="24" customFormat="1" hidden="1" outlineLevel="1" x14ac:dyDescent="0.25">
      <c r="A90" s="44"/>
      <c r="B90" s="11" t="str">
        <f>CONCATENATE("          ", "4225", " - ", "SALES RETURN TAXABLE-TEST FORM")</f>
        <v xml:space="preserve">          4225 - SALES RETURN TAXABLE-TEST FORM</v>
      </c>
      <c r="C90" s="11"/>
      <c r="D90" s="2">
        <f t="shared" si="15"/>
        <v>0</v>
      </c>
      <c r="E90" s="2"/>
      <c r="F90" s="19"/>
      <c r="G90" s="2"/>
      <c r="H90" s="2">
        <f>-8.45</f>
        <v>-8.4499999999999993</v>
      </c>
      <c r="I90" s="2"/>
      <c r="J90" s="19"/>
      <c r="K90" s="2"/>
      <c r="L90" s="2">
        <f t="shared" si="0"/>
        <v>8.4499999999999993</v>
      </c>
      <c r="M90" s="2"/>
      <c r="N90" s="19">
        <f t="shared" si="1"/>
        <v>-1</v>
      </c>
      <c r="O90" s="11"/>
      <c r="P90" s="2">
        <f t="shared" si="16"/>
        <v>0</v>
      </c>
      <c r="Q90" s="2"/>
      <c r="R90" s="19"/>
      <c r="S90" s="2"/>
      <c r="T90" s="2">
        <f>-41.55</f>
        <v>-41.55</v>
      </c>
      <c r="U90" s="2"/>
      <c r="V90" s="19"/>
      <c r="W90" s="2"/>
      <c r="X90" s="2">
        <f t="shared" si="2"/>
        <v>41.55</v>
      </c>
      <c r="Y90" s="2"/>
      <c r="Z90" s="19">
        <f t="shared" si="3"/>
        <v>-1</v>
      </c>
    </row>
    <row r="91" spans="1:26" s="24" customFormat="1" hidden="1" outlineLevel="1" x14ac:dyDescent="0.25">
      <c r="A91" s="44"/>
      <c r="B91" s="11" t="str">
        <f>CONCATENATE("          ", "4226", " - ", "SALES RETURN TAXABLE-WRITING I")</f>
        <v xml:space="preserve">          4226 - SALES RETURN TAXABLE-WRITING I</v>
      </c>
      <c r="C91" s="11"/>
      <c r="D91" s="2">
        <f>-5.36</f>
        <v>-5.36</v>
      </c>
      <c r="E91" s="2"/>
      <c r="F91" s="19"/>
      <c r="G91" s="2"/>
      <c r="H91" s="2">
        <f>-166.9</f>
        <v>-166.9</v>
      </c>
      <c r="I91" s="2"/>
      <c r="J91" s="19"/>
      <c r="K91" s="2"/>
      <c r="L91" s="2">
        <f t="shared" si="0"/>
        <v>161.54</v>
      </c>
      <c r="M91" s="2"/>
      <c r="N91" s="19">
        <f t="shared" si="1"/>
        <v>-0.9678849610545236</v>
      </c>
      <c r="O91" s="11"/>
      <c r="P91" s="2">
        <f>-34.23</f>
        <v>-34.229999999999997</v>
      </c>
      <c r="Q91" s="2"/>
      <c r="R91" s="19"/>
      <c r="S91" s="2"/>
      <c r="T91" s="2">
        <f>-475.97</f>
        <v>-475.97</v>
      </c>
      <c r="U91" s="2"/>
      <c r="V91" s="19"/>
      <c r="W91" s="2"/>
      <c r="X91" s="2">
        <f t="shared" si="2"/>
        <v>441.74</v>
      </c>
      <c r="Y91" s="2"/>
      <c r="Z91" s="19">
        <f t="shared" si="3"/>
        <v>-0.92808370275437524</v>
      </c>
    </row>
    <row r="92" spans="1:26" s="24" customFormat="1" hidden="1" outlineLevel="1" x14ac:dyDescent="0.25">
      <c r="A92" s="44"/>
      <c r="B92" s="11" t="str">
        <f>CONCATENATE("          ", "4227", " - ", "SALES RETURN TAXABLE-SCHOOL SU")</f>
        <v xml:space="preserve">          4227 - SALES RETURN TAXABLE-SCHOOL SU</v>
      </c>
      <c r="C92" s="11"/>
      <c r="D92" s="2">
        <f>-9.99</f>
        <v>-9.99</v>
      </c>
      <c r="E92" s="2"/>
      <c r="F92" s="19"/>
      <c r="G92" s="2"/>
      <c r="H92" s="2">
        <f>-324.85</f>
        <v>-324.85000000000002</v>
      </c>
      <c r="I92" s="2"/>
      <c r="J92" s="19"/>
      <c r="K92" s="2"/>
      <c r="L92" s="2">
        <f t="shared" si="0"/>
        <v>314.86</v>
      </c>
      <c r="M92" s="2"/>
      <c r="N92" s="19">
        <f t="shared" si="1"/>
        <v>-0.96924734492842846</v>
      </c>
      <c r="O92" s="11"/>
      <c r="P92" s="2">
        <f>-578.66</f>
        <v>-578.66</v>
      </c>
      <c r="Q92" s="2"/>
      <c r="R92" s="19"/>
      <c r="S92" s="2"/>
      <c r="T92" s="2">
        <f>-4826.48</f>
        <v>-4826.4799999999996</v>
      </c>
      <c r="U92" s="2"/>
      <c r="V92" s="19"/>
      <c r="W92" s="2"/>
      <c r="X92" s="2">
        <f t="shared" si="2"/>
        <v>4247.82</v>
      </c>
      <c r="Y92" s="2"/>
      <c r="Z92" s="19">
        <f t="shared" si="3"/>
        <v>-0.88010724171653054</v>
      </c>
    </row>
    <row r="93" spans="1:26" s="24" customFormat="1" hidden="1" outlineLevel="1" x14ac:dyDescent="0.25">
      <c r="A93" s="44"/>
      <c r="B93" s="11" t="str">
        <f>CONCATENATE("          ", "4228", " - ", "SALES RETURN TAXABLE-ART/TECH")</f>
        <v xml:space="preserve">          4228 - SALES RETURN TAXABLE-ART/TECH</v>
      </c>
      <c r="C93" s="11"/>
      <c r="D93" s="2">
        <f>0</f>
        <v>0</v>
      </c>
      <c r="E93" s="2"/>
      <c r="F93" s="19"/>
      <c r="G93" s="2"/>
      <c r="H93" s="2">
        <f>-502.99</f>
        <v>-502.99</v>
      </c>
      <c r="I93" s="2"/>
      <c r="J93" s="19"/>
      <c r="K93" s="2"/>
      <c r="L93" s="2">
        <f t="shared" si="0"/>
        <v>502.99</v>
      </c>
      <c r="M93" s="2"/>
      <c r="N93" s="19">
        <f t="shared" si="1"/>
        <v>-1</v>
      </c>
      <c r="O93" s="11"/>
      <c r="P93" s="2">
        <f>-222.2</f>
        <v>-222.2</v>
      </c>
      <c r="Q93" s="2"/>
      <c r="R93" s="19"/>
      <c r="S93" s="2"/>
      <c r="T93" s="2">
        <f>-2430.26</f>
        <v>-2430.2600000000002</v>
      </c>
      <c r="U93" s="2"/>
      <c r="V93" s="19"/>
      <c r="W93" s="2"/>
      <c r="X93" s="2">
        <f t="shared" si="2"/>
        <v>2208.0600000000004</v>
      </c>
      <c r="Y93" s="2"/>
      <c r="Z93" s="19">
        <f t="shared" si="3"/>
        <v>-0.908569453474114</v>
      </c>
    </row>
    <row r="94" spans="1:26" s="24" customFormat="1" hidden="1" outlineLevel="1" x14ac:dyDescent="0.25">
      <c r="A94" s="44"/>
      <c r="B94" s="11" t="str">
        <f>CONCATENATE("          ", "4240", " - ", "SALES RETURN TAXABLE-LOGO CLOT")</f>
        <v xml:space="preserve">          4240 - SALES RETURN TAXABLE-LOGO CLOT</v>
      </c>
      <c r="C94" s="11"/>
      <c r="D94" s="2">
        <f>-2239.56</f>
        <v>-2239.56</v>
      </c>
      <c r="E94" s="2"/>
      <c r="F94" s="19"/>
      <c r="G94" s="2"/>
      <c r="H94" s="2">
        <f>-9501.82</f>
        <v>-9501.82</v>
      </c>
      <c r="I94" s="2"/>
      <c r="J94" s="19"/>
      <c r="K94" s="2"/>
      <c r="L94" s="2">
        <f t="shared" si="0"/>
        <v>7262.26</v>
      </c>
      <c r="M94" s="2"/>
      <c r="N94" s="19">
        <f t="shared" si="1"/>
        <v>-0.76430199688059763</v>
      </c>
      <c r="O94" s="11"/>
      <c r="P94" s="2">
        <f>-13849.52</f>
        <v>-13849.52</v>
      </c>
      <c r="Q94" s="2"/>
      <c r="R94" s="19"/>
      <c r="S94" s="2"/>
      <c r="T94" s="2">
        <f>-30294.8</f>
        <v>-30294.799999999999</v>
      </c>
      <c r="U94" s="2"/>
      <c r="V94" s="19"/>
      <c r="W94" s="2"/>
      <c r="X94" s="2">
        <f t="shared" si="2"/>
        <v>16445.28</v>
      </c>
      <c r="Y94" s="2"/>
      <c r="Z94" s="19">
        <f t="shared" si="3"/>
        <v>-0.54284167579914699</v>
      </c>
    </row>
    <row r="95" spans="1:26" s="24" customFormat="1" hidden="1" outlineLevel="1" x14ac:dyDescent="0.25">
      <c r="A95" s="44"/>
      <c r="B95" s="11" t="str">
        <f>CONCATENATE("          ", "4241", " - ", "SALES RETURN TAXABLE-LOGO GIFT")</f>
        <v xml:space="preserve">          4241 - SALES RETURN TAXABLE-LOGO GIFT</v>
      </c>
      <c r="C95" s="11"/>
      <c r="D95" s="2">
        <f>-379.45</f>
        <v>-379.45</v>
      </c>
      <c r="E95" s="2"/>
      <c r="F95" s="19"/>
      <c r="G95" s="2"/>
      <c r="H95" s="2">
        <f>-327.07</f>
        <v>-327.07</v>
      </c>
      <c r="I95" s="2"/>
      <c r="J95" s="19"/>
      <c r="K95" s="2"/>
      <c r="L95" s="2">
        <f t="shared" si="0"/>
        <v>-52.379999999999995</v>
      </c>
      <c r="M95" s="2"/>
      <c r="N95" s="19">
        <f t="shared" si="1"/>
        <v>0.16014920353441159</v>
      </c>
      <c r="O95" s="11"/>
      <c r="P95" s="2">
        <f>-2696.56</f>
        <v>-2696.56</v>
      </c>
      <c r="Q95" s="2"/>
      <c r="R95" s="19"/>
      <c r="S95" s="2"/>
      <c r="T95" s="2">
        <f>-2717.95</f>
        <v>-2717.95</v>
      </c>
      <c r="U95" s="2"/>
      <c r="V95" s="19"/>
      <c r="W95" s="2"/>
      <c r="X95" s="2">
        <f t="shared" si="2"/>
        <v>21.389999999999873</v>
      </c>
      <c r="Y95" s="2"/>
      <c r="Z95" s="19">
        <f t="shared" si="3"/>
        <v>-7.8699019481594124E-3</v>
      </c>
    </row>
    <row r="96" spans="1:26" s="24" customFormat="1" hidden="1" outlineLevel="1" x14ac:dyDescent="0.25">
      <c r="A96" s="44"/>
      <c r="B96" s="11" t="str">
        <f>CONCATENATE("          ", "4242", " - ", "SALES RETURN TAXABLE-EVERYDAY")</f>
        <v xml:space="preserve">          4242 - SALES RETURN TAXABLE-EVERYDAY</v>
      </c>
      <c r="C96" s="11"/>
      <c r="D96" s="2">
        <f>-266.95</f>
        <v>-266.95</v>
      </c>
      <c r="E96" s="2"/>
      <c r="F96" s="19"/>
      <c r="G96" s="2"/>
      <c r="H96" s="2">
        <f>-165.1</f>
        <v>-165.1</v>
      </c>
      <c r="I96" s="2"/>
      <c r="J96" s="19"/>
      <c r="K96" s="2"/>
      <c r="L96" s="2">
        <f t="shared" si="0"/>
        <v>-101.85</v>
      </c>
      <c r="M96" s="2"/>
      <c r="N96" s="19">
        <f t="shared" si="1"/>
        <v>0.61689884918231375</v>
      </c>
      <c r="O96" s="11"/>
      <c r="P96" s="2">
        <f>-1321.51</f>
        <v>-1321.51</v>
      </c>
      <c r="Q96" s="2"/>
      <c r="R96" s="19"/>
      <c r="S96" s="2"/>
      <c r="T96" s="2">
        <f>-1159.57</f>
        <v>-1159.57</v>
      </c>
      <c r="U96" s="2"/>
      <c r="V96" s="19"/>
      <c r="W96" s="2"/>
      <c r="X96" s="2">
        <f t="shared" si="2"/>
        <v>-161.94000000000005</v>
      </c>
      <c r="Y96" s="2"/>
      <c r="Z96" s="19">
        <f t="shared" si="3"/>
        <v>0.13965521702010233</v>
      </c>
    </row>
    <row r="97" spans="1:26" s="24" customFormat="1" hidden="1" outlineLevel="1" x14ac:dyDescent="0.25">
      <c r="A97" s="44"/>
      <c r="B97" s="11" t="str">
        <f>CONCATENATE("          ", "4243", " - ", "SALES RETURN TAXABLE-CARDS")</f>
        <v xml:space="preserve">          4243 - SALES RETURN TAXABLE-CARDS</v>
      </c>
      <c r="C97" s="11"/>
      <c r="D97" s="2">
        <f>-829.55</f>
        <v>-829.55</v>
      </c>
      <c r="E97" s="2"/>
      <c r="F97" s="19"/>
      <c r="G97" s="2"/>
      <c r="H97" s="2">
        <f>0</f>
        <v>0</v>
      </c>
      <c r="I97" s="2"/>
      <c r="J97" s="19"/>
      <c r="K97" s="2"/>
      <c r="L97" s="2">
        <f t="shared" si="0"/>
        <v>-829.55</v>
      </c>
      <c r="M97" s="2"/>
      <c r="N97" s="19">
        <f t="shared" si="1"/>
        <v>0</v>
      </c>
      <c r="O97" s="11"/>
      <c r="P97" s="2">
        <f>-982.92</f>
        <v>-982.92</v>
      </c>
      <c r="Q97" s="2"/>
      <c r="R97" s="19"/>
      <c r="S97" s="2"/>
      <c r="T97" s="2">
        <f>-4.5</f>
        <v>-4.5</v>
      </c>
      <c r="U97" s="2"/>
      <c r="V97" s="19"/>
      <c r="W97" s="2"/>
      <c r="X97" s="2">
        <f t="shared" si="2"/>
        <v>-978.42</v>
      </c>
      <c r="Y97" s="2"/>
      <c r="Z97" s="19">
        <f t="shared" si="3"/>
        <v>217.42666666666665</v>
      </c>
    </row>
    <row r="98" spans="1:26" s="24" customFormat="1" hidden="1" outlineLevel="1" x14ac:dyDescent="0.25">
      <c r="A98" s="44"/>
      <c r="B98" s="11" t="str">
        <f>CONCATENATE("          ", "4244", " - ", "SALES RETURN TAXABLE-ACCESSORI")</f>
        <v xml:space="preserve">          4244 - SALES RETURN TAXABLE-ACCESSORI</v>
      </c>
      <c r="C98" s="11"/>
      <c r="D98" s="2">
        <f>0</f>
        <v>0</v>
      </c>
      <c r="E98" s="2"/>
      <c r="F98" s="19"/>
      <c r="G98" s="2"/>
      <c r="H98" s="2">
        <f>-177.85</f>
        <v>-177.85</v>
      </c>
      <c r="I98" s="2"/>
      <c r="J98" s="19"/>
      <c r="K98" s="2"/>
      <c r="L98" s="2">
        <f t="shared" si="0"/>
        <v>177.85</v>
      </c>
      <c r="M98" s="2"/>
      <c r="N98" s="19">
        <f t="shared" si="1"/>
        <v>-1</v>
      </c>
      <c r="O98" s="11"/>
      <c r="P98" s="2">
        <f>-410.99</f>
        <v>-410.99</v>
      </c>
      <c r="Q98" s="2"/>
      <c r="R98" s="19"/>
      <c r="S98" s="2"/>
      <c r="T98" s="2">
        <f>-1432.36</f>
        <v>-1432.36</v>
      </c>
      <c r="U98" s="2"/>
      <c r="V98" s="19"/>
      <c r="W98" s="2"/>
      <c r="X98" s="2">
        <f t="shared" si="2"/>
        <v>1021.3699999999999</v>
      </c>
      <c r="Y98" s="2"/>
      <c r="Z98" s="19">
        <f t="shared" si="3"/>
        <v>-0.71306794381300787</v>
      </c>
    </row>
    <row r="99" spans="1:26" s="24" customFormat="1" hidden="1" outlineLevel="1" x14ac:dyDescent="0.25">
      <c r="A99" s="44"/>
      <c r="B99" s="11" t="str">
        <f>CONCATENATE("          ", "4245", " - ", "SALES RETURN TAXABLE-SPECIAL O")</f>
        <v xml:space="preserve">          4245 - SALES RETURN TAXABLE-SPECIAL O</v>
      </c>
      <c r="C99" s="11"/>
      <c r="D99" s="2">
        <f>-363.98</f>
        <v>-363.98</v>
      </c>
      <c r="E99" s="2"/>
      <c r="F99" s="19"/>
      <c r="G99" s="2"/>
      <c r="H99" s="2">
        <f>0</f>
        <v>0</v>
      </c>
      <c r="I99" s="2"/>
      <c r="J99" s="19"/>
      <c r="K99" s="2"/>
      <c r="L99" s="2">
        <f t="shared" si="0"/>
        <v>-363.98</v>
      </c>
      <c r="M99" s="2"/>
      <c r="N99" s="19">
        <f t="shared" si="1"/>
        <v>0</v>
      </c>
      <c r="O99" s="11"/>
      <c r="P99" s="2">
        <f>-1546.93</f>
        <v>-1546.93</v>
      </c>
      <c r="Q99" s="2"/>
      <c r="R99" s="19"/>
      <c r="S99" s="2"/>
      <c r="T99" s="2">
        <f>-91.96</f>
        <v>-91.96</v>
      </c>
      <c r="U99" s="2"/>
      <c r="V99" s="19"/>
      <c r="W99" s="2"/>
      <c r="X99" s="2">
        <f t="shared" si="2"/>
        <v>-1454.97</v>
      </c>
      <c r="Y99" s="2"/>
      <c r="Z99" s="19">
        <f t="shared" si="3"/>
        <v>15.821770334928232</v>
      </c>
    </row>
    <row r="100" spans="1:26" s="24" customFormat="1" hidden="1" outlineLevel="1" x14ac:dyDescent="0.25">
      <c r="A100" s="44"/>
      <c r="B100" s="11" t="str">
        <f>CONCATENATE("          ", "4281", " - ", "SALES RETURN TAXABLE-ELECTRONI")</f>
        <v xml:space="preserve">          4281 - SALES RETURN TAXABLE-ELECTRONI</v>
      </c>
      <c r="C100" s="11"/>
      <c r="D100" s="2">
        <f>-357.99</f>
        <v>-357.99</v>
      </c>
      <c r="E100" s="2"/>
      <c r="F100" s="19"/>
      <c r="G100" s="2"/>
      <c r="H100" s="2">
        <f>-1301.67</f>
        <v>-1301.67</v>
      </c>
      <c r="I100" s="2"/>
      <c r="J100" s="19"/>
      <c r="K100" s="2"/>
      <c r="L100" s="2">
        <f t="shared" si="0"/>
        <v>943.68000000000006</v>
      </c>
      <c r="M100" s="2"/>
      <c r="N100" s="19">
        <f t="shared" si="1"/>
        <v>-0.72497637650095648</v>
      </c>
      <c r="O100" s="11"/>
      <c r="P100" s="2">
        <f>-14632.15</f>
        <v>-14632.15</v>
      </c>
      <c r="Q100" s="2"/>
      <c r="R100" s="19"/>
      <c r="S100" s="2"/>
      <c r="T100" s="2">
        <f>-4601.13</f>
        <v>-4601.13</v>
      </c>
      <c r="U100" s="2"/>
      <c r="V100" s="19"/>
      <c r="W100" s="2"/>
      <c r="X100" s="2">
        <f t="shared" si="2"/>
        <v>-10031.02</v>
      </c>
      <c r="Y100" s="2"/>
      <c r="Z100" s="19">
        <f t="shared" si="3"/>
        <v>2.180120970283387</v>
      </c>
    </row>
    <row r="101" spans="1:26" s="24" customFormat="1" hidden="1" outlineLevel="1" x14ac:dyDescent="0.25">
      <c r="A101" s="44"/>
      <c r="B101" s="11" t="str">
        <f>CONCATENATE("          ", "4282", " - ", "SALES RETURN TAXABLE-COMPUTER")</f>
        <v xml:space="preserve">          4282 - SALES RETURN TAXABLE-COMPUTER</v>
      </c>
      <c r="C101" s="11"/>
      <c r="D101" s="2">
        <f>-20038</f>
        <v>-20038</v>
      </c>
      <c r="E101" s="2"/>
      <c r="F101" s="19"/>
      <c r="G101" s="2"/>
      <c r="H101" s="2">
        <f>-22491.01</f>
        <v>-22491.01</v>
      </c>
      <c r="I101" s="2"/>
      <c r="J101" s="19"/>
      <c r="K101" s="2"/>
      <c r="L101" s="2">
        <f t="shared" si="0"/>
        <v>2453.0099999999984</v>
      </c>
      <c r="M101" s="2"/>
      <c r="N101" s="19">
        <f t="shared" si="1"/>
        <v>-0.10906624469065633</v>
      </c>
      <c r="O101" s="11"/>
      <c r="P101" s="2">
        <f>-68323</f>
        <v>-68323</v>
      </c>
      <c r="Q101" s="2"/>
      <c r="R101" s="19"/>
      <c r="S101" s="2"/>
      <c r="T101" s="2">
        <f>-170137.86</f>
        <v>-170137.86</v>
      </c>
      <c r="U101" s="2"/>
      <c r="V101" s="19"/>
      <c r="W101" s="2"/>
      <c r="X101" s="2">
        <f t="shared" si="2"/>
        <v>101814.85999999999</v>
      </c>
      <c r="Y101" s="2"/>
      <c r="Z101" s="19">
        <f t="shared" si="3"/>
        <v>-0.59842565317325602</v>
      </c>
    </row>
    <row r="102" spans="1:26" s="24" customFormat="1" hidden="1" outlineLevel="1" x14ac:dyDescent="0.25">
      <c r="A102" s="44"/>
      <c r="B102" s="11" t="str">
        <f>CONCATENATE("          ", "4283", " - ", "SALES RETURN TAXABLE-COMPUTER")</f>
        <v xml:space="preserve">          4283 - SALES RETURN TAXABLE-COMPUTER</v>
      </c>
      <c r="C102" s="11"/>
      <c r="D102" s="2">
        <f>-629.58</f>
        <v>-629.58000000000004</v>
      </c>
      <c r="E102" s="2"/>
      <c r="F102" s="19"/>
      <c r="G102" s="2"/>
      <c r="H102" s="2">
        <f>-1247.85</f>
        <v>-1247.8499999999999</v>
      </c>
      <c r="I102" s="2"/>
      <c r="J102" s="19"/>
      <c r="K102" s="2"/>
      <c r="L102" s="2">
        <f t="shared" si="0"/>
        <v>618.26999999999987</v>
      </c>
      <c r="M102" s="2"/>
      <c r="N102" s="19">
        <f t="shared" si="1"/>
        <v>-0.49546820531313851</v>
      </c>
      <c r="O102" s="11"/>
      <c r="P102" s="2">
        <f>-2632.31</f>
        <v>-2632.31</v>
      </c>
      <c r="Q102" s="2"/>
      <c r="R102" s="19"/>
      <c r="S102" s="2"/>
      <c r="T102" s="2">
        <f>-2532.33</f>
        <v>-2532.33</v>
      </c>
      <c r="U102" s="2"/>
      <c r="V102" s="19"/>
      <c r="W102" s="2"/>
      <c r="X102" s="2">
        <f t="shared" si="2"/>
        <v>-99.980000000000018</v>
      </c>
      <c r="Y102" s="2"/>
      <c r="Z102" s="19">
        <f t="shared" si="3"/>
        <v>3.9481426196427805E-2</v>
      </c>
    </row>
    <row r="103" spans="1:26" s="24" customFormat="1" hidden="1" outlineLevel="1" x14ac:dyDescent="0.25">
      <c r="A103" s="44"/>
      <c r="B103" s="11" t="str">
        <f>CONCATENATE("          ", "4284", " - ", "SALES RETURN TAXABLE-SOFTWARE")</f>
        <v xml:space="preserve">          4284 - SALES RETURN TAXABLE-SOFTWARE</v>
      </c>
      <c r="C103" s="11"/>
      <c r="D103" s="2">
        <f t="shared" ref="D103:D104" si="17">0</f>
        <v>0</v>
      </c>
      <c r="E103" s="2"/>
      <c r="F103" s="19"/>
      <c r="G103" s="2"/>
      <c r="H103" s="2">
        <f>0</f>
        <v>0</v>
      </c>
      <c r="I103" s="2"/>
      <c r="J103" s="19"/>
      <c r="K103" s="2"/>
      <c r="L103" s="2">
        <f t="shared" si="0"/>
        <v>0</v>
      </c>
      <c r="M103" s="2"/>
      <c r="N103" s="19">
        <f t="shared" si="1"/>
        <v>0</v>
      </c>
      <c r="O103" s="11"/>
      <c r="P103" s="2">
        <f>0</f>
        <v>0</v>
      </c>
      <c r="Q103" s="2"/>
      <c r="R103" s="19"/>
      <c r="S103" s="2"/>
      <c r="T103" s="2">
        <f>-129</f>
        <v>-129</v>
      </c>
      <c r="U103" s="2"/>
      <c r="V103" s="19"/>
      <c r="W103" s="2"/>
      <c r="X103" s="2">
        <f t="shared" si="2"/>
        <v>129</v>
      </c>
      <c r="Y103" s="2"/>
      <c r="Z103" s="19">
        <f t="shared" si="3"/>
        <v>-1</v>
      </c>
    </row>
    <row r="104" spans="1:26" s="24" customFormat="1" hidden="1" outlineLevel="1" x14ac:dyDescent="0.25">
      <c r="A104" s="44"/>
      <c r="B104" s="11" t="str">
        <f>CONCATENATE("          ", "4285", " - ", "SALES RETURN TAXABLE-SOFTWARE")</f>
        <v xml:space="preserve">          4285 - SALES RETURN TAXABLE-SOFTWARE</v>
      </c>
      <c r="C104" s="11"/>
      <c r="D104" s="2">
        <f t="shared" si="17"/>
        <v>0</v>
      </c>
      <c r="E104" s="2"/>
      <c r="F104" s="19"/>
      <c r="G104" s="2"/>
      <c r="H104" s="2">
        <f>-248.99</f>
        <v>-248.99</v>
      </c>
      <c r="I104" s="2"/>
      <c r="J104" s="19"/>
      <c r="K104" s="2"/>
      <c r="L104" s="2">
        <f t="shared" si="0"/>
        <v>248.99</v>
      </c>
      <c r="M104" s="2"/>
      <c r="N104" s="19">
        <f t="shared" si="1"/>
        <v>-1</v>
      </c>
      <c r="O104" s="11"/>
      <c r="P104" s="2">
        <f>-552.98</f>
        <v>-552.98</v>
      </c>
      <c r="Q104" s="2"/>
      <c r="R104" s="19"/>
      <c r="S104" s="2"/>
      <c r="T104" s="2">
        <f>-655.98</f>
        <v>-655.98</v>
      </c>
      <c r="U104" s="2"/>
      <c r="V104" s="19"/>
      <c r="W104" s="2"/>
      <c r="X104" s="2">
        <f t="shared" si="2"/>
        <v>103</v>
      </c>
      <c r="Y104" s="2"/>
      <c r="Z104" s="19">
        <f t="shared" si="3"/>
        <v>-0.15701698222506782</v>
      </c>
    </row>
    <row r="105" spans="1:26" s="24" customFormat="1" hidden="1" outlineLevel="1" x14ac:dyDescent="0.25">
      <c r="A105" s="44"/>
      <c r="B105" s="11" t="str">
        <f>CONCATENATE("          ", "4286", " - ", "SALES RETURN TAXABLE-COMPUTER")</f>
        <v xml:space="preserve">          4286 - SALES RETURN TAXABLE-COMPUTER</v>
      </c>
      <c r="C105" s="11"/>
      <c r="D105" s="2">
        <f>-158.96</f>
        <v>-158.96</v>
      </c>
      <c r="E105" s="2"/>
      <c r="F105" s="19"/>
      <c r="G105" s="2"/>
      <c r="H105" s="2">
        <f>-307.86</f>
        <v>-307.86</v>
      </c>
      <c r="I105" s="2"/>
      <c r="J105" s="19"/>
      <c r="K105" s="2"/>
      <c r="L105" s="2">
        <f t="shared" si="0"/>
        <v>148.9</v>
      </c>
      <c r="M105" s="2"/>
      <c r="N105" s="19">
        <f t="shared" si="1"/>
        <v>-0.48366140453452866</v>
      </c>
      <c r="O105" s="11"/>
      <c r="P105" s="2">
        <f>-571.36</f>
        <v>-571.36</v>
      </c>
      <c r="Q105" s="2"/>
      <c r="R105" s="19"/>
      <c r="S105" s="2"/>
      <c r="T105" s="2">
        <f>-2451.6</f>
        <v>-2451.6</v>
      </c>
      <c r="U105" s="2"/>
      <c r="V105" s="19"/>
      <c r="W105" s="2"/>
      <c r="X105" s="2">
        <f t="shared" si="2"/>
        <v>1880.2399999999998</v>
      </c>
      <c r="Y105" s="2"/>
      <c r="Z105" s="19">
        <f t="shared" si="3"/>
        <v>-0.76694403654756071</v>
      </c>
    </row>
    <row r="106" spans="1:26" s="24" customFormat="1" hidden="1" outlineLevel="1" x14ac:dyDescent="0.25">
      <c r="A106" s="44"/>
      <c r="B106" s="11" t="str">
        <f>CONCATENATE("          ", "4288", " - ", "TAXABLE SALES RETURN-MUSIC")</f>
        <v xml:space="preserve">          4288 - TAXABLE SALES RETURN-MUSIC</v>
      </c>
      <c r="C106" s="11"/>
      <c r="D106" s="2">
        <f t="shared" ref="D106:D108" si="18">0</f>
        <v>0</v>
      </c>
      <c r="E106" s="2"/>
      <c r="F106" s="19"/>
      <c r="G106" s="2"/>
      <c r="H106" s="2">
        <f>-3.99</f>
        <v>-3.99</v>
      </c>
      <c r="I106" s="2"/>
      <c r="J106" s="19"/>
      <c r="K106" s="2"/>
      <c r="L106" s="2">
        <f t="shared" si="0"/>
        <v>3.99</v>
      </c>
      <c r="M106" s="2"/>
      <c r="N106" s="19">
        <f t="shared" si="1"/>
        <v>-1</v>
      </c>
      <c r="O106" s="11"/>
      <c r="P106" s="2">
        <f t="shared" ref="P106:P108" si="19">0</f>
        <v>0</v>
      </c>
      <c r="Q106" s="2"/>
      <c r="R106" s="19"/>
      <c r="S106" s="2"/>
      <c r="T106" s="2">
        <f>-3.99</f>
        <v>-3.99</v>
      </c>
      <c r="U106" s="2"/>
      <c r="V106" s="19"/>
      <c r="W106" s="2"/>
      <c r="X106" s="2">
        <f t="shared" si="2"/>
        <v>3.99</v>
      </c>
      <c r="Y106" s="2"/>
      <c r="Z106" s="19">
        <f t="shared" si="3"/>
        <v>-1</v>
      </c>
    </row>
    <row r="107" spans="1:26" s="24" customFormat="1" hidden="1" outlineLevel="1" x14ac:dyDescent="0.25">
      <c r="A107" s="44"/>
      <c r="B107" s="11" t="str">
        <f>CONCATENATE("          ", "4292", " - ", "SALES RETURN TAXABLE-GRAD MERC")</f>
        <v xml:space="preserve">          4292 - SALES RETURN TAXABLE-GRAD MERC</v>
      </c>
      <c r="C107" s="11"/>
      <c r="D107" s="2">
        <f t="shared" si="18"/>
        <v>0</v>
      </c>
      <c r="E107" s="2"/>
      <c r="F107" s="19"/>
      <c r="G107" s="2"/>
      <c r="H107" s="2">
        <f>-39.95</f>
        <v>-39.950000000000003</v>
      </c>
      <c r="I107" s="2"/>
      <c r="J107" s="19"/>
      <c r="K107" s="2"/>
      <c r="L107" s="2">
        <f t="shared" si="0"/>
        <v>39.950000000000003</v>
      </c>
      <c r="M107" s="2"/>
      <c r="N107" s="19">
        <f t="shared" si="1"/>
        <v>-1</v>
      </c>
      <c r="O107" s="11"/>
      <c r="P107" s="2">
        <f t="shared" si="19"/>
        <v>0</v>
      </c>
      <c r="Q107" s="2"/>
      <c r="R107" s="19"/>
      <c r="S107" s="2"/>
      <c r="T107" s="2">
        <f>-409.1</f>
        <v>-409.1</v>
      </c>
      <c r="U107" s="2"/>
      <c r="V107" s="19"/>
      <c r="W107" s="2"/>
      <c r="X107" s="2">
        <f t="shared" si="2"/>
        <v>409.1</v>
      </c>
      <c r="Y107" s="2"/>
      <c r="Z107" s="19">
        <f t="shared" si="3"/>
        <v>-1</v>
      </c>
    </row>
    <row r="108" spans="1:26" s="24" customFormat="1" hidden="1" outlineLevel="1" x14ac:dyDescent="0.25">
      <c r="A108" s="44"/>
      <c r="B108" s="11" t="str">
        <f>CONCATENATE("          ", "4295", " - ", "SALES RETURN TAXABLE-CUSTOMER")</f>
        <v xml:space="preserve">          4295 - SALES RETURN TAXABLE-CUSTOMER</v>
      </c>
      <c r="C108" s="11"/>
      <c r="D108" s="2">
        <f t="shared" si="18"/>
        <v>0</v>
      </c>
      <c r="E108" s="2"/>
      <c r="F108" s="19"/>
      <c r="G108" s="2"/>
      <c r="H108" s="2">
        <f>0</f>
        <v>0</v>
      </c>
      <c r="I108" s="2"/>
      <c r="J108" s="19"/>
      <c r="K108" s="2"/>
      <c r="L108" s="2">
        <f t="shared" si="0"/>
        <v>0</v>
      </c>
      <c r="M108" s="2"/>
      <c r="N108" s="19">
        <f t="shared" si="1"/>
        <v>0</v>
      </c>
      <c r="O108" s="11"/>
      <c r="P108" s="2">
        <f t="shared" si="19"/>
        <v>0</v>
      </c>
      <c r="Q108" s="2"/>
      <c r="R108" s="19"/>
      <c r="S108" s="2"/>
      <c r="T108" s="2">
        <f>--0.99</f>
        <v>0.99</v>
      </c>
      <c r="U108" s="2"/>
      <c r="V108" s="19"/>
      <c r="W108" s="2"/>
      <c r="X108" s="2">
        <f t="shared" si="2"/>
        <v>-0.99</v>
      </c>
      <c r="Y108" s="2"/>
      <c r="Z108" s="19">
        <f t="shared" si="3"/>
        <v>-1</v>
      </c>
    </row>
    <row r="109" spans="1:26" s="24" customFormat="1" hidden="1" outlineLevel="1" x14ac:dyDescent="0.25">
      <c r="A109" s="44"/>
      <c r="B109" s="11" t="str">
        <f>CONCATENATE("          ", "4301", " - ", "SALES RETURN NON TAXABLE-NEW T")</f>
        <v xml:space="preserve">          4301 - SALES RETURN NON TAXABLE-NEW T</v>
      </c>
      <c r="C109" s="11"/>
      <c r="D109" s="2">
        <f>-535.49</f>
        <v>-535.49</v>
      </c>
      <c r="E109" s="2"/>
      <c r="F109" s="19"/>
      <c r="G109" s="2"/>
      <c r="H109" s="2">
        <f>-5585.76</f>
        <v>-5585.76</v>
      </c>
      <c r="I109" s="2"/>
      <c r="J109" s="19"/>
      <c r="K109" s="2"/>
      <c r="L109" s="2">
        <f t="shared" si="0"/>
        <v>5050.2700000000004</v>
      </c>
      <c r="M109" s="2"/>
      <c r="N109" s="19">
        <f t="shared" si="1"/>
        <v>-0.90413300965311794</v>
      </c>
      <c r="O109" s="11"/>
      <c r="P109" s="2">
        <f>-2376.17</f>
        <v>-2376.17</v>
      </c>
      <c r="Q109" s="2"/>
      <c r="R109" s="19"/>
      <c r="S109" s="2"/>
      <c r="T109" s="2">
        <f>-12310.98</f>
        <v>-12310.98</v>
      </c>
      <c r="U109" s="2"/>
      <c r="V109" s="19"/>
      <c r="W109" s="2"/>
      <c r="X109" s="2">
        <f t="shared" si="2"/>
        <v>9934.81</v>
      </c>
      <c r="Y109" s="2"/>
      <c r="Z109" s="19">
        <f t="shared" si="3"/>
        <v>-0.80698774589837685</v>
      </c>
    </row>
    <row r="110" spans="1:26" s="24" customFormat="1" hidden="1" outlineLevel="1" x14ac:dyDescent="0.25">
      <c r="A110" s="44"/>
      <c r="B110" s="11" t="str">
        <f>CONCATENATE("          ", "4302", " - ", "SALES RETURN NON TAXABLE-TEXT")</f>
        <v xml:space="preserve">          4302 - SALES RETURN NON TAXABLE-TEXT</v>
      </c>
      <c r="C110" s="11"/>
      <c r="D110" s="2">
        <f>-169.72</f>
        <v>-169.72</v>
      </c>
      <c r="E110" s="2"/>
      <c r="F110" s="19"/>
      <c r="G110" s="2"/>
      <c r="H110" s="2">
        <f>-35.1</f>
        <v>-35.1</v>
      </c>
      <c r="I110" s="2"/>
      <c r="J110" s="19"/>
      <c r="K110" s="2"/>
      <c r="L110" s="2">
        <f t="shared" si="0"/>
        <v>-134.62</v>
      </c>
      <c r="M110" s="2"/>
      <c r="N110" s="19">
        <f t="shared" si="1"/>
        <v>3.8353276353276353</v>
      </c>
      <c r="O110" s="11"/>
      <c r="P110" s="2">
        <f>-1316.8</f>
        <v>-1316.8</v>
      </c>
      <c r="Q110" s="2"/>
      <c r="R110" s="19"/>
      <c r="S110" s="2"/>
      <c r="T110" s="2">
        <f>-683.8</f>
        <v>-683.8</v>
      </c>
      <c r="U110" s="2"/>
      <c r="V110" s="19"/>
      <c r="W110" s="2"/>
      <c r="X110" s="2">
        <f t="shared" si="2"/>
        <v>-633</v>
      </c>
      <c r="Y110" s="2"/>
      <c r="Z110" s="19">
        <f t="shared" si="3"/>
        <v>0.92570927171687634</v>
      </c>
    </row>
    <row r="111" spans="1:26" s="24" customFormat="1" hidden="1" outlineLevel="1" x14ac:dyDescent="0.25">
      <c r="A111" s="44"/>
      <c r="B111" s="11" t="str">
        <f>CONCATENATE("          ", "4303", " - ", "SALES RETURN NON-TAXABLE-RENTA")</f>
        <v xml:space="preserve">          4303 - SALES RETURN NON-TAXABLE-RENTA</v>
      </c>
      <c r="C111" s="11"/>
      <c r="D111" s="2">
        <f>0</f>
        <v>0</v>
      </c>
      <c r="E111" s="2"/>
      <c r="F111" s="19"/>
      <c r="G111" s="2"/>
      <c r="H111" s="2">
        <f>0</f>
        <v>0</v>
      </c>
      <c r="I111" s="2"/>
      <c r="J111" s="19"/>
      <c r="K111" s="2"/>
      <c r="L111" s="2">
        <f t="shared" si="0"/>
        <v>0</v>
      </c>
      <c r="M111" s="2"/>
      <c r="N111" s="19">
        <f t="shared" si="1"/>
        <v>0</v>
      </c>
      <c r="O111" s="11"/>
      <c r="P111" s="2">
        <f>0</f>
        <v>0</v>
      </c>
      <c r="Q111" s="2"/>
      <c r="R111" s="19"/>
      <c r="S111" s="2"/>
      <c r="T111" s="2">
        <f>-184.99</f>
        <v>-184.99</v>
      </c>
      <c r="U111" s="2"/>
      <c r="V111" s="19"/>
      <c r="W111" s="2"/>
      <c r="X111" s="2">
        <f t="shared" si="2"/>
        <v>184.99</v>
      </c>
      <c r="Y111" s="2"/>
      <c r="Z111" s="19">
        <f t="shared" si="3"/>
        <v>-1</v>
      </c>
    </row>
    <row r="112" spans="1:26" s="24" customFormat="1" hidden="1" outlineLevel="1" x14ac:dyDescent="0.25">
      <c r="A112" s="44"/>
      <c r="B112" s="11" t="str">
        <f>CONCATENATE("          ", "4304", " - ", "SALES RETURN NON TAXABLE-DIGIT")</f>
        <v xml:space="preserve">          4304 - SALES RETURN NON TAXABLE-DIGIT</v>
      </c>
      <c r="C112" s="11"/>
      <c r="D112" s="2">
        <f>-692.75</f>
        <v>-692.75</v>
      </c>
      <c r="E112" s="2"/>
      <c r="F112" s="19"/>
      <c r="G112" s="2"/>
      <c r="H112" s="2">
        <f>-617.98</f>
        <v>-617.98</v>
      </c>
      <c r="I112" s="2"/>
      <c r="J112" s="19"/>
      <c r="K112" s="2"/>
      <c r="L112" s="2">
        <f t="shared" si="0"/>
        <v>-74.769999999999982</v>
      </c>
      <c r="M112" s="2"/>
      <c r="N112" s="19">
        <f t="shared" si="1"/>
        <v>0.12099097058157218</v>
      </c>
      <c r="O112" s="11"/>
      <c r="P112" s="2">
        <f>-14102.11</f>
        <v>-14102.11</v>
      </c>
      <c r="Q112" s="2"/>
      <c r="R112" s="19"/>
      <c r="S112" s="2"/>
      <c r="T112" s="2">
        <f>-13133.29</f>
        <v>-13133.29</v>
      </c>
      <c r="U112" s="2"/>
      <c r="V112" s="19"/>
      <c r="W112" s="2"/>
      <c r="X112" s="2">
        <f t="shared" si="2"/>
        <v>-968.81999999999971</v>
      </c>
      <c r="Y112" s="2"/>
      <c r="Z112" s="19">
        <f t="shared" si="3"/>
        <v>7.3768263702392894E-2</v>
      </c>
    </row>
    <row r="113" spans="1:26" s="24" customFormat="1" hidden="1" outlineLevel="1" x14ac:dyDescent="0.25">
      <c r="A113" s="44"/>
      <c r="B113" s="11" t="str">
        <f>CONCATENATE("          ", "4311", " - ", "SALES RETURN NON TAXABLE-NO VA")</f>
        <v xml:space="preserve">          4311 - SALES RETURN NON TAXABLE-NO VA</v>
      </c>
      <c r="C113" s="11"/>
      <c r="D113" s="2">
        <f t="shared" ref="D113:D114" si="20">0</f>
        <v>0</v>
      </c>
      <c r="E113" s="2"/>
      <c r="F113" s="19"/>
      <c r="G113" s="2"/>
      <c r="H113" s="2">
        <f>-0.02</f>
        <v>-0.02</v>
      </c>
      <c r="I113" s="2"/>
      <c r="J113" s="19"/>
      <c r="K113" s="2"/>
      <c r="L113" s="2">
        <f t="shared" si="0"/>
        <v>0.02</v>
      </c>
      <c r="M113" s="2"/>
      <c r="N113" s="19">
        <f t="shared" si="1"/>
        <v>-1</v>
      </c>
      <c r="O113" s="11"/>
      <c r="P113" s="2">
        <f t="shared" ref="P113:P114" si="21">0</f>
        <v>0</v>
      </c>
      <c r="Q113" s="2"/>
      <c r="R113" s="19"/>
      <c r="S113" s="2"/>
      <c r="T113" s="2">
        <f>-387.96</f>
        <v>-387.96</v>
      </c>
      <c r="U113" s="2"/>
      <c r="V113" s="19"/>
      <c r="W113" s="2"/>
      <c r="X113" s="2">
        <f t="shared" si="2"/>
        <v>387.96</v>
      </c>
      <c r="Y113" s="2"/>
      <c r="Z113" s="19">
        <f t="shared" si="3"/>
        <v>-1</v>
      </c>
    </row>
    <row r="114" spans="1:26" s="24" customFormat="1" hidden="1" outlineLevel="1" x14ac:dyDescent="0.25">
      <c r="A114" s="44"/>
      <c r="B114" s="11" t="str">
        <f>CONCATENATE("          ", "4327", " - ", "SALES RETURN NON TAXABLE-SCHOO")</f>
        <v xml:space="preserve">          4327 - SALES RETURN NON TAXABLE-SCHOO</v>
      </c>
      <c r="C114" s="11"/>
      <c r="D114" s="2">
        <f t="shared" si="20"/>
        <v>0</v>
      </c>
      <c r="E114" s="2"/>
      <c r="F114" s="19"/>
      <c r="G114" s="2"/>
      <c r="H114" s="2">
        <f t="shared" ref="H114:H115" si="22">0</f>
        <v>0</v>
      </c>
      <c r="I114" s="2"/>
      <c r="J114" s="19"/>
      <c r="K114" s="2"/>
      <c r="L114" s="2">
        <f t="shared" si="0"/>
        <v>0</v>
      </c>
      <c r="M114" s="2"/>
      <c r="N114" s="19">
        <f t="shared" si="1"/>
        <v>0</v>
      </c>
      <c r="O114" s="11"/>
      <c r="P114" s="2">
        <f t="shared" si="21"/>
        <v>0</v>
      </c>
      <c r="Q114" s="2"/>
      <c r="R114" s="19"/>
      <c r="S114" s="2"/>
      <c r="T114" s="2">
        <f>-21.87</f>
        <v>-21.87</v>
      </c>
      <c r="U114" s="2"/>
      <c r="V114" s="19"/>
      <c r="W114" s="2"/>
      <c r="X114" s="2">
        <f t="shared" si="2"/>
        <v>21.87</v>
      </c>
      <c r="Y114" s="2"/>
      <c r="Z114" s="19">
        <f t="shared" si="3"/>
        <v>-1</v>
      </c>
    </row>
    <row r="115" spans="1:26" s="24" customFormat="1" hidden="1" outlineLevel="1" x14ac:dyDescent="0.25">
      <c r="A115" s="44"/>
      <c r="B115" s="11" t="str">
        <f>CONCATENATE("          ", "4340", " - ", "SALES RETURN NON TAXABLE-LOGO")</f>
        <v xml:space="preserve">          4340 - SALES RETURN NON TAXABLE-LOGO</v>
      </c>
      <c r="C115" s="11"/>
      <c r="D115" s="2">
        <f>-195.69</f>
        <v>-195.69</v>
      </c>
      <c r="E115" s="2"/>
      <c r="F115" s="19"/>
      <c r="G115" s="2"/>
      <c r="H115" s="2">
        <f t="shared" si="22"/>
        <v>0</v>
      </c>
      <c r="I115" s="2"/>
      <c r="J115" s="19"/>
      <c r="K115" s="2"/>
      <c r="L115" s="2">
        <f t="shared" si="0"/>
        <v>-195.69</v>
      </c>
      <c r="M115" s="2"/>
      <c r="N115" s="19">
        <f t="shared" si="1"/>
        <v>0</v>
      </c>
      <c r="O115" s="11"/>
      <c r="P115" s="2">
        <f>-736.73</f>
        <v>-736.73</v>
      </c>
      <c r="Q115" s="2"/>
      <c r="R115" s="19"/>
      <c r="S115" s="2"/>
      <c r="T115" s="2">
        <f>-293.45</f>
        <v>-293.45</v>
      </c>
      <c r="U115" s="2"/>
      <c r="V115" s="19"/>
      <c r="W115" s="2"/>
      <c r="X115" s="2">
        <f t="shared" si="2"/>
        <v>-443.28000000000003</v>
      </c>
      <c r="Y115" s="2"/>
      <c r="Z115" s="19">
        <f t="shared" si="3"/>
        <v>1.5105810189129325</v>
      </c>
    </row>
    <row r="116" spans="1:26" s="24" customFormat="1" hidden="1" outlineLevel="1" x14ac:dyDescent="0.25">
      <c r="A116" s="44"/>
      <c r="B116" s="11" t="str">
        <f>CONCATENATE("          ", "4341", " - ", "SALES RETURN NON TAXABLE-LOGO")</f>
        <v xml:space="preserve">          4341 - SALES RETURN NON TAXABLE-LOGO</v>
      </c>
      <c r="C116" s="11"/>
      <c r="D116" s="2">
        <f t="shared" ref="D116:D121" si="23">0</f>
        <v>0</v>
      </c>
      <c r="E116" s="2"/>
      <c r="F116" s="19"/>
      <c r="G116" s="2"/>
      <c r="H116" s="2">
        <f>-6.95</f>
        <v>-6.95</v>
      </c>
      <c r="I116" s="2"/>
      <c r="J116" s="19"/>
      <c r="K116" s="2"/>
      <c r="L116" s="2">
        <f t="shared" si="0"/>
        <v>6.95</v>
      </c>
      <c r="M116" s="2"/>
      <c r="N116" s="19">
        <f t="shared" si="1"/>
        <v>-1</v>
      </c>
      <c r="O116" s="11"/>
      <c r="P116" s="2">
        <f>-146.9</f>
        <v>-146.9</v>
      </c>
      <c r="Q116" s="2"/>
      <c r="R116" s="19"/>
      <c r="S116" s="2"/>
      <c r="T116" s="2">
        <f>-10.9</f>
        <v>-10.9</v>
      </c>
      <c r="U116" s="2"/>
      <c r="V116" s="19"/>
      <c r="W116" s="2"/>
      <c r="X116" s="2">
        <f t="shared" si="2"/>
        <v>-136</v>
      </c>
      <c r="Y116" s="2"/>
      <c r="Z116" s="19">
        <f t="shared" si="3"/>
        <v>12.477064220183486</v>
      </c>
    </row>
    <row r="117" spans="1:26" s="24" customFormat="1" hidden="1" outlineLevel="1" x14ac:dyDescent="0.25">
      <c r="A117" s="44"/>
      <c r="B117" s="11" t="str">
        <f>CONCATENATE("          ", "4342", " - ", "SALES RETURN NON TAXABLE-EVERY")</f>
        <v xml:space="preserve">          4342 - SALES RETURN NON TAXABLE-EVERY</v>
      </c>
      <c r="C117" s="11"/>
      <c r="D117" s="2">
        <f t="shared" si="23"/>
        <v>0</v>
      </c>
      <c r="E117" s="2"/>
      <c r="F117" s="19"/>
      <c r="G117" s="2"/>
      <c r="H117" s="2">
        <f>-92.85</f>
        <v>-92.85</v>
      </c>
      <c r="I117" s="2"/>
      <c r="J117" s="19"/>
      <c r="K117" s="2"/>
      <c r="L117" s="2">
        <f t="shared" si="0"/>
        <v>92.85</v>
      </c>
      <c r="M117" s="2"/>
      <c r="N117" s="19">
        <f t="shared" si="1"/>
        <v>-1</v>
      </c>
      <c r="O117" s="11"/>
      <c r="P117" s="2">
        <f>-118.7</f>
        <v>-118.7</v>
      </c>
      <c r="Q117" s="2"/>
      <c r="R117" s="19"/>
      <c r="S117" s="2"/>
      <c r="T117" s="2">
        <f>-102.85</f>
        <v>-102.85</v>
      </c>
      <c r="U117" s="2"/>
      <c r="V117" s="19"/>
      <c r="W117" s="2"/>
      <c r="X117" s="2">
        <f t="shared" si="2"/>
        <v>-15.850000000000009</v>
      </c>
      <c r="Y117" s="2"/>
      <c r="Z117" s="19">
        <f t="shared" si="3"/>
        <v>0.15410792416140018</v>
      </c>
    </row>
    <row r="118" spans="1:26" s="24" customFormat="1" hidden="1" outlineLevel="1" x14ac:dyDescent="0.25">
      <c r="A118" s="44"/>
      <c r="B118" s="11" t="str">
        <f>CONCATENATE("          ", "4346", " - ", "SALES RETURN NON TAXABLE-COIN-")</f>
        <v xml:space="preserve">          4346 - SALES RETURN NON TAXABLE-COIN-</v>
      </c>
      <c r="C118" s="11"/>
      <c r="D118" s="2">
        <f t="shared" si="23"/>
        <v>0</v>
      </c>
      <c r="E118" s="2"/>
      <c r="F118" s="19"/>
      <c r="G118" s="2"/>
      <c r="H118" s="2">
        <f t="shared" ref="H118:H119" si="24">0</f>
        <v>0</v>
      </c>
      <c r="I118" s="2"/>
      <c r="J118" s="19"/>
      <c r="K118" s="2"/>
      <c r="L118" s="2">
        <f t="shared" si="0"/>
        <v>0</v>
      </c>
      <c r="M118" s="2"/>
      <c r="N118" s="19">
        <f t="shared" si="1"/>
        <v>0</v>
      </c>
      <c r="O118" s="11"/>
      <c r="P118" s="2">
        <f>0</f>
        <v>0</v>
      </c>
      <c r="Q118" s="2"/>
      <c r="R118" s="19"/>
      <c r="S118" s="2"/>
      <c r="T118" s="2">
        <f>-8.15</f>
        <v>-8.15</v>
      </c>
      <c r="U118" s="2"/>
      <c r="V118" s="19"/>
      <c r="W118" s="2"/>
      <c r="X118" s="2">
        <f t="shared" si="2"/>
        <v>8.15</v>
      </c>
      <c r="Y118" s="2"/>
      <c r="Z118" s="19">
        <f t="shared" si="3"/>
        <v>-1</v>
      </c>
    </row>
    <row r="119" spans="1:26" s="24" customFormat="1" hidden="1" outlineLevel="1" x14ac:dyDescent="0.25">
      <c r="A119" s="44"/>
      <c r="B119" s="11" t="str">
        <f>CONCATENATE("          ", "4381", " - ", "SALES RETURN NON TAXABLE-ELECT")</f>
        <v xml:space="preserve">          4381 - SALES RETURN NON TAXABLE-ELECT</v>
      </c>
      <c r="C119" s="11"/>
      <c r="D119" s="2">
        <f t="shared" si="23"/>
        <v>0</v>
      </c>
      <c r="E119" s="2"/>
      <c r="F119" s="19"/>
      <c r="G119" s="2"/>
      <c r="H119" s="2">
        <f t="shared" si="24"/>
        <v>0</v>
      </c>
      <c r="I119" s="2"/>
      <c r="J119" s="19"/>
      <c r="K119" s="2"/>
      <c r="L119" s="2">
        <f t="shared" si="0"/>
        <v>0</v>
      </c>
      <c r="M119" s="2"/>
      <c r="N119" s="19">
        <f t="shared" si="1"/>
        <v>0</v>
      </c>
      <c r="O119" s="11"/>
      <c r="P119" s="2">
        <f>-5624.15</f>
        <v>-5624.15</v>
      </c>
      <c r="Q119" s="2"/>
      <c r="R119" s="19"/>
      <c r="S119" s="2"/>
      <c r="T119" s="2">
        <f>-1279.84</f>
        <v>-1279.8399999999999</v>
      </c>
      <c r="U119" s="2"/>
      <c r="V119" s="19"/>
      <c r="W119" s="2"/>
      <c r="X119" s="2">
        <f t="shared" si="2"/>
        <v>-4344.3099999999995</v>
      </c>
      <c r="Y119" s="2"/>
      <c r="Z119" s="19">
        <f t="shared" si="3"/>
        <v>3.3944164895611948</v>
      </c>
    </row>
    <row r="120" spans="1:26" s="24" customFormat="1" hidden="1" outlineLevel="1" x14ac:dyDescent="0.25">
      <c r="A120" s="44"/>
      <c r="B120" s="11" t="str">
        <f>CONCATENATE("          ", "4383", " - ", "SALES RETURN NON TAXABLE-COMPU")</f>
        <v xml:space="preserve">          4383 - SALES RETURN NON TAXABLE-COMPU</v>
      </c>
      <c r="C120" s="11"/>
      <c r="D120" s="2">
        <f t="shared" si="23"/>
        <v>0</v>
      </c>
      <c r="E120" s="2"/>
      <c r="F120" s="19"/>
      <c r="G120" s="2"/>
      <c r="H120" s="2">
        <f>-24.99</f>
        <v>-24.99</v>
      </c>
      <c r="I120" s="2"/>
      <c r="J120" s="19"/>
      <c r="K120" s="2"/>
      <c r="L120" s="2">
        <f t="shared" si="0"/>
        <v>24.99</v>
      </c>
      <c r="M120" s="2"/>
      <c r="N120" s="19">
        <f t="shared" si="1"/>
        <v>-1</v>
      </c>
      <c r="O120" s="11"/>
      <c r="P120" s="2">
        <f t="shared" ref="P120:P121" si="25">0</f>
        <v>0</v>
      </c>
      <c r="Q120" s="2"/>
      <c r="R120" s="19"/>
      <c r="S120" s="2"/>
      <c r="T120" s="2">
        <f>-49.98</f>
        <v>-49.98</v>
      </c>
      <c r="U120" s="2"/>
      <c r="V120" s="19"/>
      <c r="W120" s="2"/>
      <c r="X120" s="2">
        <f t="shared" si="2"/>
        <v>49.98</v>
      </c>
      <c r="Y120" s="2"/>
      <c r="Z120" s="19">
        <f t="shared" si="3"/>
        <v>-1</v>
      </c>
    </row>
    <row r="121" spans="1:26" s="24" customFormat="1" hidden="1" outlineLevel="1" x14ac:dyDescent="0.25">
      <c r="A121" s="44"/>
      <c r="B121" s="11" t="str">
        <f>CONCATENATE("          ", "4386", " - ", "SALES RETURN NON TAXABLE-COMPU")</f>
        <v xml:space="preserve">          4386 - SALES RETURN NON TAXABLE-COMPU</v>
      </c>
      <c r="C121" s="11"/>
      <c r="D121" s="2">
        <f t="shared" si="23"/>
        <v>0</v>
      </c>
      <c r="E121" s="2"/>
      <c r="F121" s="19"/>
      <c r="G121" s="2"/>
      <c r="H121" s="2">
        <f>-34.98</f>
        <v>-34.979999999999997</v>
      </c>
      <c r="I121" s="2"/>
      <c r="J121" s="19"/>
      <c r="K121" s="2"/>
      <c r="L121" s="2">
        <f t="shared" si="0"/>
        <v>34.979999999999997</v>
      </c>
      <c r="M121" s="2"/>
      <c r="N121" s="19">
        <f t="shared" si="1"/>
        <v>-1</v>
      </c>
      <c r="O121" s="11"/>
      <c r="P121" s="2">
        <f t="shared" si="25"/>
        <v>0</v>
      </c>
      <c r="Q121" s="2"/>
      <c r="R121" s="19"/>
      <c r="S121" s="2"/>
      <c r="T121" s="2">
        <f>-54.97</f>
        <v>-54.97</v>
      </c>
      <c r="U121" s="2"/>
      <c r="V121" s="19"/>
      <c r="W121" s="2"/>
      <c r="X121" s="2">
        <f t="shared" si="2"/>
        <v>54.97</v>
      </c>
      <c r="Y121" s="2"/>
      <c r="Z121" s="19">
        <f t="shared" si="3"/>
        <v>-1</v>
      </c>
    </row>
    <row r="122" spans="1:26" x14ac:dyDescent="0.25">
      <c r="A122" s="9"/>
      <c r="B122" s="10"/>
      <c r="C122" s="9"/>
      <c r="D122" s="3"/>
      <c r="E122" s="3"/>
      <c r="F122" s="8"/>
      <c r="G122" s="3"/>
      <c r="H122" s="3"/>
      <c r="I122" s="3"/>
      <c r="J122" s="8"/>
      <c r="K122" s="3"/>
      <c r="L122" s="3"/>
      <c r="M122" s="3"/>
      <c r="N122" s="8"/>
      <c r="P122" s="3"/>
      <c r="Q122" s="3"/>
      <c r="R122" s="8"/>
      <c r="S122" s="3"/>
      <c r="T122" s="3"/>
      <c r="U122" s="3"/>
      <c r="V122" s="8"/>
      <c r="W122" s="3"/>
      <c r="X122" s="3"/>
      <c r="Y122" s="3"/>
      <c r="Z122" s="8"/>
    </row>
    <row r="123" spans="1:26" s="23" customFormat="1" collapsed="1" x14ac:dyDescent="0.25">
      <c r="A123" s="10"/>
      <c r="B123" s="26" t="s">
        <v>8</v>
      </c>
      <c r="C123" s="10"/>
      <c r="D123" s="4">
        <f>SUM(OSRRefD16x_0)</f>
        <v>243193.50000000003</v>
      </c>
      <c r="E123" s="4"/>
      <c r="F123" s="12">
        <f t="shared" ref="F123:F178" si="26">IF(D$12=0,0,D123/D$12)</f>
        <v>0.73042963175120745</v>
      </c>
      <c r="G123" s="4"/>
      <c r="H123" s="4">
        <f>SUM(OSRRefH16x_0)</f>
        <v>337011.44999999995</v>
      </c>
      <c r="I123" s="4"/>
      <c r="J123" s="12">
        <f t="shared" ref="J123:J178" si="27">IF(H$12=0,0,H123/H$12)</f>
        <v>0.53918427806141977</v>
      </c>
      <c r="K123" s="4"/>
      <c r="L123" s="4">
        <f t="shared" ref="L123:L178" si="28">+D123-H123</f>
        <v>-93817.949999999924</v>
      </c>
      <c r="M123" s="4"/>
      <c r="N123" s="12">
        <f t="shared" ref="N123:N178" si="29">IF(H123=0,0,L123/H123)</f>
        <v>-0.27838208464430492</v>
      </c>
      <c r="O123" s="10"/>
      <c r="P123" s="4">
        <f>SUM(OSRRefP16x_0)</f>
        <v>2621704.9300000011</v>
      </c>
      <c r="Q123" s="4"/>
      <c r="R123" s="12">
        <f t="shared" ref="R123:R178" si="30">IF(P$12=0,0,P123/P$12)</f>
        <v>0.75117648494299416</v>
      </c>
      <c r="S123" s="4"/>
      <c r="T123" s="4">
        <f>SUM(OSRRefT16x_0)</f>
        <v>4015274.2199999988</v>
      </c>
      <c r="U123" s="4"/>
      <c r="V123" s="12">
        <f t="shared" ref="V123:V178" si="31">IF(T$12=0,0,T123/T$12)</f>
        <v>0.67379181063983618</v>
      </c>
      <c r="W123" s="4"/>
      <c r="X123" s="4">
        <f t="shared" ref="X123:X178" si="32">+P123-T123</f>
        <v>-1393569.2899999977</v>
      </c>
      <c r="Y123" s="4"/>
      <c r="Z123" s="12">
        <f t="shared" ref="Z123:Z178" si="33">IF(T123=0,0,X123/T123)</f>
        <v>-0.34706702796502853</v>
      </c>
    </row>
    <row r="124" spans="1:26" s="24" customFormat="1" hidden="1" outlineLevel="1" x14ac:dyDescent="0.25">
      <c r="A124" s="44"/>
      <c r="B124" s="11" t="str">
        <f>CONCATENATE("          ", "5001", " - ", "PURCHASES @ COST-NEW TEXT")</f>
        <v xml:space="preserve">          5001 - PURCHASES @ COST-NEW TEXT</v>
      </c>
      <c r="C124" s="11"/>
      <c r="D124" s="2">
        <v>55775.07</v>
      </c>
      <c r="E124" s="2"/>
      <c r="F124" s="19">
        <f t="shared" si="26"/>
        <v>0.16751995362128433</v>
      </c>
      <c r="G124" s="2"/>
      <c r="H124" s="2">
        <v>-175502.53</v>
      </c>
      <c r="I124" s="2"/>
      <c r="J124" s="19">
        <f t="shared" si="27"/>
        <v>-0.28078632027488287</v>
      </c>
      <c r="K124" s="2"/>
      <c r="L124" s="2">
        <f t="shared" si="28"/>
        <v>231277.6</v>
      </c>
      <c r="M124" s="2"/>
      <c r="N124" s="19">
        <f t="shared" si="29"/>
        <v>-1.3178020852462926</v>
      </c>
      <c r="O124" s="11"/>
      <c r="P124" s="2">
        <v>1349196.8299999998</v>
      </c>
      <c r="Q124" s="2"/>
      <c r="R124" s="19">
        <f t="shared" si="30"/>
        <v>0.38657475166575284</v>
      </c>
      <c r="S124" s="2"/>
      <c r="T124" s="2">
        <v>1757148.42</v>
      </c>
      <c r="U124" s="2"/>
      <c r="V124" s="19">
        <f t="shared" si="31"/>
        <v>0.29486210669684415</v>
      </c>
      <c r="W124" s="2"/>
      <c r="X124" s="2">
        <f t="shared" si="32"/>
        <v>-407951.59000000008</v>
      </c>
      <c r="Y124" s="2"/>
      <c r="Z124" s="19">
        <f t="shared" si="33"/>
        <v>-0.23216683653848666</v>
      </c>
    </row>
    <row r="125" spans="1:26" s="24" customFormat="1" hidden="1" outlineLevel="1" x14ac:dyDescent="0.25">
      <c r="A125" s="44"/>
      <c r="B125" s="11" t="str">
        <f>CONCATENATE("          ", "5002", " - ", "PURCHASES @ COST-USED TEXT")</f>
        <v xml:space="preserve">          5002 - PURCHASES @ COST-USED TEXT</v>
      </c>
      <c r="C125" s="11"/>
      <c r="D125" s="2">
        <v>6331.95</v>
      </c>
      <c r="E125" s="2"/>
      <c r="F125" s="19">
        <f t="shared" si="26"/>
        <v>1.9017958567013743E-2</v>
      </c>
      <c r="G125" s="2"/>
      <c r="H125" s="2">
        <v>14221.93</v>
      </c>
      <c r="I125" s="2"/>
      <c r="J125" s="19">
        <f t="shared" si="27"/>
        <v>2.2753651425463584E-2</v>
      </c>
      <c r="K125" s="2"/>
      <c r="L125" s="2">
        <f t="shared" si="28"/>
        <v>-7889.9800000000005</v>
      </c>
      <c r="M125" s="2"/>
      <c r="N125" s="19">
        <f t="shared" si="29"/>
        <v>-0.55477561765526906</v>
      </c>
      <c r="O125" s="11"/>
      <c r="P125" s="2">
        <v>303063.33</v>
      </c>
      <c r="Q125" s="2"/>
      <c r="R125" s="19">
        <f t="shared" si="30"/>
        <v>8.6834351318292174E-2</v>
      </c>
      <c r="S125" s="2"/>
      <c r="T125" s="2">
        <v>368033.17</v>
      </c>
      <c r="U125" s="2"/>
      <c r="V125" s="19">
        <f t="shared" si="31"/>
        <v>6.1758605366140772E-2</v>
      </c>
      <c r="W125" s="2"/>
      <c r="X125" s="2">
        <f t="shared" si="32"/>
        <v>-64969.839999999967</v>
      </c>
      <c r="Y125" s="2"/>
      <c r="Z125" s="19">
        <f t="shared" si="33"/>
        <v>-0.17653256634449543</v>
      </c>
    </row>
    <row r="126" spans="1:26" s="24" customFormat="1" hidden="1" outlineLevel="1" x14ac:dyDescent="0.25">
      <c r="A126" s="44"/>
      <c r="B126" s="11" t="str">
        <f>CONCATENATE("          ", "5003", " - ", "PURCHASES @ COST-RENTAL TEXT")</f>
        <v xml:space="preserve">          5003 - PURCHASES @ COST-RENTAL TEXT</v>
      </c>
      <c r="C126" s="11"/>
      <c r="D126" s="2">
        <v>10600.69</v>
      </c>
      <c r="E126" s="2"/>
      <c r="F126" s="19">
        <f t="shared" si="26"/>
        <v>3.1839083252672075E-2</v>
      </c>
      <c r="G126" s="2"/>
      <c r="H126" s="2"/>
      <c r="I126" s="2"/>
      <c r="J126" s="19">
        <f t="shared" si="27"/>
        <v>0</v>
      </c>
      <c r="K126" s="2"/>
      <c r="L126" s="2">
        <f t="shared" si="28"/>
        <v>10600.69</v>
      </c>
      <c r="M126" s="2"/>
      <c r="N126" s="19">
        <f t="shared" si="29"/>
        <v>0</v>
      </c>
      <c r="O126" s="11"/>
      <c r="P126" s="2">
        <v>-485.41</v>
      </c>
      <c r="Q126" s="2"/>
      <c r="R126" s="19">
        <f t="shared" si="30"/>
        <v>-1.390807078949875E-4</v>
      </c>
      <c r="S126" s="2"/>
      <c r="T126" s="2">
        <v>-78.400000000000006</v>
      </c>
      <c r="U126" s="2"/>
      <c r="V126" s="19">
        <f t="shared" si="31"/>
        <v>-1.3156082264828024E-5</v>
      </c>
      <c r="W126" s="2"/>
      <c r="X126" s="2">
        <f t="shared" si="32"/>
        <v>-407.01</v>
      </c>
      <c r="Y126" s="2"/>
      <c r="Z126" s="19">
        <f t="shared" si="33"/>
        <v>5.1914540816326529</v>
      </c>
    </row>
    <row r="127" spans="1:26" s="24" customFormat="1" hidden="1" outlineLevel="1" x14ac:dyDescent="0.25">
      <c r="A127" s="44"/>
      <c r="B127" s="11" t="str">
        <f>CONCATENATE("          ", "5004", " - ", "PURCHASES @ COST-DIGITAL TEXT")</f>
        <v xml:space="preserve">          5004 - PURCHASES @ COST-DIGITAL TEXT</v>
      </c>
      <c r="C127" s="11"/>
      <c r="D127" s="2">
        <v>12903.46</v>
      </c>
      <c r="E127" s="2"/>
      <c r="F127" s="19">
        <f t="shared" si="26"/>
        <v>3.8755433579090039E-2</v>
      </c>
      <c r="G127" s="2"/>
      <c r="H127" s="2">
        <v>-30949.360000000001</v>
      </c>
      <c r="I127" s="2"/>
      <c r="J127" s="19">
        <f t="shared" si="27"/>
        <v>-4.951584976730905E-2</v>
      </c>
      <c r="K127" s="2"/>
      <c r="L127" s="2">
        <f t="shared" si="28"/>
        <v>43852.82</v>
      </c>
      <c r="M127" s="2"/>
      <c r="N127" s="19">
        <f t="shared" si="29"/>
        <v>-1.416921706943213</v>
      </c>
      <c r="O127" s="11"/>
      <c r="P127" s="2">
        <v>195519.53</v>
      </c>
      <c r="Q127" s="2"/>
      <c r="R127" s="19">
        <f t="shared" si="30"/>
        <v>5.6020672503028876E-2</v>
      </c>
      <c r="S127" s="2"/>
      <c r="T127" s="2">
        <v>322779.02999999997</v>
      </c>
      <c r="U127" s="2"/>
      <c r="V127" s="19">
        <f t="shared" si="31"/>
        <v>5.4164636122976936E-2</v>
      </c>
      <c r="W127" s="2"/>
      <c r="X127" s="2">
        <f t="shared" si="32"/>
        <v>-127259.49999999997</v>
      </c>
      <c r="Y127" s="2"/>
      <c r="Z127" s="19">
        <f t="shared" si="33"/>
        <v>-0.39426198164112453</v>
      </c>
    </row>
    <row r="128" spans="1:26" s="24" customFormat="1" hidden="1" outlineLevel="1" x14ac:dyDescent="0.25">
      <c r="A128" s="44"/>
      <c r="B128" s="11" t="str">
        <f>CONCATENATE("          ", "5011", " - ", "PURCHASES @ COST-NO VALUE TEXT")</f>
        <v xml:space="preserve">          5011 - PURCHASES @ COST-NO VALUE TEXT</v>
      </c>
      <c r="C128" s="11"/>
      <c r="D128" s="2">
        <v>67.17</v>
      </c>
      <c r="E128" s="2"/>
      <c r="F128" s="19">
        <f t="shared" si="26"/>
        <v>2.0174453003360944E-4</v>
      </c>
      <c r="G128" s="2"/>
      <c r="H128" s="2">
        <v>90</v>
      </c>
      <c r="I128" s="2"/>
      <c r="J128" s="19">
        <f t="shared" si="27"/>
        <v>1.4399090898996989E-4</v>
      </c>
      <c r="K128" s="2"/>
      <c r="L128" s="2">
        <f t="shared" si="28"/>
        <v>-22.83</v>
      </c>
      <c r="M128" s="2"/>
      <c r="N128" s="19">
        <f t="shared" si="29"/>
        <v>-0.25366666666666665</v>
      </c>
      <c r="O128" s="11"/>
      <c r="P128" s="2">
        <v>67.17</v>
      </c>
      <c r="Q128" s="2"/>
      <c r="R128" s="19">
        <f t="shared" si="30"/>
        <v>1.9245691578884471E-5</v>
      </c>
      <c r="S128" s="2"/>
      <c r="T128" s="2">
        <v>3675</v>
      </c>
      <c r="U128" s="2"/>
      <c r="V128" s="19">
        <f t="shared" si="31"/>
        <v>6.1669135616381355E-4</v>
      </c>
      <c r="W128" s="2"/>
      <c r="X128" s="2">
        <f t="shared" si="32"/>
        <v>-3607.83</v>
      </c>
      <c r="Y128" s="2"/>
      <c r="Z128" s="19">
        <f t="shared" si="33"/>
        <v>-0.98172244897959182</v>
      </c>
    </row>
    <row r="129" spans="1:26" s="24" customFormat="1" hidden="1" outlineLevel="1" x14ac:dyDescent="0.25">
      <c r="A129" s="44"/>
      <c r="B129" s="11" t="str">
        <f>CONCATENATE("          ", "5013", " - ", "PURCHASES @ COST-TRADE BOOKS")</f>
        <v xml:space="preserve">          5013 - PURCHASES @ COST-TRADE BOOKS</v>
      </c>
      <c r="C129" s="11"/>
      <c r="D129" s="2">
        <v>1384.46</v>
      </c>
      <c r="E129" s="2"/>
      <c r="F129" s="19">
        <f t="shared" si="26"/>
        <v>4.1582139653168221E-3</v>
      </c>
      <c r="G129" s="2"/>
      <c r="H129" s="2">
        <v>212.56</v>
      </c>
      <c r="I129" s="2"/>
      <c r="J129" s="19">
        <f t="shared" si="27"/>
        <v>3.4007452905453331E-4</v>
      </c>
      <c r="K129" s="2"/>
      <c r="L129" s="2">
        <f t="shared" si="28"/>
        <v>1171.9000000000001</v>
      </c>
      <c r="M129" s="2"/>
      <c r="N129" s="19">
        <f t="shared" si="29"/>
        <v>5.5132668423033504</v>
      </c>
      <c r="O129" s="11"/>
      <c r="P129" s="2">
        <v>1483.64</v>
      </c>
      <c r="Q129" s="2"/>
      <c r="R129" s="19">
        <f t="shared" si="30"/>
        <v>4.2509569531183795E-4</v>
      </c>
      <c r="S129" s="2"/>
      <c r="T129" s="2">
        <v>687.35</v>
      </c>
      <c r="U129" s="2"/>
      <c r="V129" s="19">
        <f t="shared" si="31"/>
        <v>1.1534225949910131E-4</v>
      </c>
      <c r="W129" s="2"/>
      <c r="X129" s="2">
        <f t="shared" si="32"/>
        <v>796.29000000000008</v>
      </c>
      <c r="Y129" s="2"/>
      <c r="Z129" s="19">
        <f t="shared" si="33"/>
        <v>1.1584927620571761</v>
      </c>
    </row>
    <row r="130" spans="1:26" s="24" customFormat="1" hidden="1" outlineLevel="1" x14ac:dyDescent="0.25">
      <c r="A130" s="44"/>
      <c r="B130" s="11" t="str">
        <f>CONCATENATE("          ", "5014", " - ", "PURCHASES @ COST-REMAINDERS")</f>
        <v xml:space="preserve">          5014 - PURCHASES @ COST-REMAINDERS</v>
      </c>
      <c r="C130" s="11"/>
      <c r="D130" s="2">
        <v>102.92</v>
      </c>
      <c r="E130" s="2"/>
      <c r="F130" s="19">
        <f t="shared" si="26"/>
        <v>3.0911935434061458E-4</v>
      </c>
      <c r="G130" s="2"/>
      <c r="H130" s="2">
        <v>52</v>
      </c>
      <c r="I130" s="2"/>
      <c r="J130" s="19">
        <f t="shared" si="27"/>
        <v>8.3194747416427038E-5</v>
      </c>
      <c r="K130" s="2"/>
      <c r="L130" s="2">
        <f t="shared" si="28"/>
        <v>50.92</v>
      </c>
      <c r="M130" s="2"/>
      <c r="N130" s="19">
        <f t="shared" si="29"/>
        <v>0.97923076923076924</v>
      </c>
      <c r="O130" s="11"/>
      <c r="P130" s="2">
        <v>90.41</v>
      </c>
      <c r="Q130" s="2"/>
      <c r="R130" s="19">
        <f t="shared" si="30"/>
        <v>2.5904465917030591E-5</v>
      </c>
      <c r="S130" s="2"/>
      <c r="T130" s="2">
        <v>341.97</v>
      </c>
      <c r="U130" s="2"/>
      <c r="V130" s="19">
        <f t="shared" si="31"/>
        <v>5.7385018521724993E-5</v>
      </c>
      <c r="W130" s="2"/>
      <c r="X130" s="2">
        <f t="shared" si="32"/>
        <v>-251.56000000000003</v>
      </c>
      <c r="Y130" s="2"/>
      <c r="Z130" s="19">
        <f t="shared" si="33"/>
        <v>-0.7356200836330673</v>
      </c>
    </row>
    <row r="131" spans="1:26" s="24" customFormat="1" hidden="1" outlineLevel="1" x14ac:dyDescent="0.25">
      <c r="A131" s="44"/>
      <c r="B131" s="11" t="str">
        <f>CONCATENATE("          ", "5017", " - ", "PURCHASES @ COST-DORM/HOUSEWAR")</f>
        <v xml:space="preserve">          5017 - PURCHASES @ COST-DORM/HOUSEWAR</v>
      </c>
      <c r="C131" s="11"/>
      <c r="D131" s="2"/>
      <c r="E131" s="2"/>
      <c r="F131" s="19">
        <f t="shared" si="26"/>
        <v>0</v>
      </c>
      <c r="G131" s="2"/>
      <c r="H131" s="2"/>
      <c r="I131" s="2"/>
      <c r="J131" s="19">
        <f t="shared" si="27"/>
        <v>0</v>
      </c>
      <c r="K131" s="2"/>
      <c r="L131" s="2">
        <f t="shared" si="28"/>
        <v>0</v>
      </c>
      <c r="M131" s="2"/>
      <c r="N131" s="19">
        <f t="shared" si="29"/>
        <v>0</v>
      </c>
      <c r="O131" s="11"/>
      <c r="P131" s="2"/>
      <c r="Q131" s="2"/>
      <c r="R131" s="19">
        <f t="shared" si="30"/>
        <v>0</v>
      </c>
      <c r="S131" s="2"/>
      <c r="T131" s="2">
        <v>0</v>
      </c>
      <c r="U131" s="2"/>
      <c r="V131" s="19">
        <f t="shared" si="31"/>
        <v>0</v>
      </c>
      <c r="W131" s="2"/>
      <c r="X131" s="2">
        <f t="shared" si="32"/>
        <v>0</v>
      </c>
      <c r="Y131" s="2"/>
      <c r="Z131" s="19">
        <f t="shared" si="33"/>
        <v>0</v>
      </c>
    </row>
    <row r="132" spans="1:26" s="24" customFormat="1" hidden="1" outlineLevel="1" x14ac:dyDescent="0.25">
      <c r="A132" s="44"/>
      <c r="B132" s="11" t="str">
        <f>CONCATENATE("          ", "5018", " - ", "PURCHASES @ COST-STUDY GUIDES")</f>
        <v xml:space="preserve">          5018 - PURCHASES @ COST-STUDY GUIDES</v>
      </c>
      <c r="C132" s="11"/>
      <c r="D132" s="2"/>
      <c r="E132" s="2"/>
      <c r="F132" s="19">
        <f t="shared" si="26"/>
        <v>0</v>
      </c>
      <c r="G132" s="2"/>
      <c r="H132" s="2">
        <v>298.16000000000003</v>
      </c>
      <c r="I132" s="2"/>
      <c r="J132" s="19">
        <f t="shared" si="27"/>
        <v>4.770258824938825E-4</v>
      </c>
      <c r="K132" s="2"/>
      <c r="L132" s="2">
        <f t="shared" si="28"/>
        <v>-298.16000000000003</v>
      </c>
      <c r="M132" s="2"/>
      <c r="N132" s="19">
        <f t="shared" si="29"/>
        <v>-1</v>
      </c>
      <c r="O132" s="11"/>
      <c r="P132" s="2"/>
      <c r="Q132" s="2"/>
      <c r="R132" s="19">
        <f t="shared" si="30"/>
        <v>0</v>
      </c>
      <c r="S132" s="2"/>
      <c r="T132" s="2">
        <v>802.09</v>
      </c>
      <c r="U132" s="2"/>
      <c r="V132" s="19">
        <f t="shared" si="31"/>
        <v>1.3459645438515191E-4</v>
      </c>
      <c r="W132" s="2"/>
      <c r="X132" s="2">
        <f t="shared" si="32"/>
        <v>-802.09</v>
      </c>
      <c r="Y132" s="2"/>
      <c r="Z132" s="19">
        <f t="shared" si="33"/>
        <v>-1</v>
      </c>
    </row>
    <row r="133" spans="1:26" s="24" customFormat="1" hidden="1" outlineLevel="1" x14ac:dyDescent="0.25">
      <c r="A133" s="44"/>
      <c r="B133" s="11" t="str">
        <f>CONCATENATE("          ", "5025", " - ", "PURCHASES @ COST-TEST FORMS")</f>
        <v xml:space="preserve">          5025 - PURCHASES @ COST-TEST FORMS</v>
      </c>
      <c r="C133" s="11"/>
      <c r="D133" s="2">
        <v>599.29</v>
      </c>
      <c r="E133" s="2"/>
      <c r="F133" s="19">
        <f t="shared" si="26"/>
        <v>1.7999624743760875E-3</v>
      </c>
      <c r="G133" s="2"/>
      <c r="H133" s="2">
        <v>0</v>
      </c>
      <c r="I133" s="2"/>
      <c r="J133" s="19">
        <f t="shared" si="27"/>
        <v>0</v>
      </c>
      <c r="K133" s="2"/>
      <c r="L133" s="2">
        <f t="shared" si="28"/>
        <v>599.29</v>
      </c>
      <c r="M133" s="2"/>
      <c r="N133" s="19">
        <f t="shared" si="29"/>
        <v>0</v>
      </c>
      <c r="O133" s="11"/>
      <c r="P133" s="2">
        <v>599.29</v>
      </c>
      <c r="Q133" s="2"/>
      <c r="R133" s="19">
        <f t="shared" si="30"/>
        <v>1.7170984824042986E-4</v>
      </c>
      <c r="S133" s="2"/>
      <c r="T133" s="2">
        <v>3252.39</v>
      </c>
      <c r="U133" s="2"/>
      <c r="V133" s="19">
        <f t="shared" si="31"/>
        <v>5.4577436731255121E-4</v>
      </c>
      <c r="W133" s="2"/>
      <c r="X133" s="2">
        <f t="shared" si="32"/>
        <v>-2653.1</v>
      </c>
      <c r="Y133" s="2"/>
      <c r="Z133" s="19">
        <f t="shared" si="33"/>
        <v>-0.81573857993660048</v>
      </c>
    </row>
    <row r="134" spans="1:26" s="24" customFormat="1" hidden="1" outlineLevel="1" x14ac:dyDescent="0.25">
      <c r="A134" s="44"/>
      <c r="B134" s="11" t="str">
        <f>CONCATENATE("          ", "5026", " - ", "PURCHASES @ COST-WRITING INSTR")</f>
        <v xml:space="preserve">          5026 - PURCHASES @ COST-WRITING INSTR</v>
      </c>
      <c r="C134" s="11"/>
      <c r="D134" s="2">
        <v>380.02</v>
      </c>
      <c r="E134" s="2"/>
      <c r="F134" s="19">
        <f t="shared" si="26"/>
        <v>1.1413868736544924E-3</v>
      </c>
      <c r="G134" s="2"/>
      <c r="H134" s="2">
        <v>10530.19</v>
      </c>
      <c r="I134" s="2"/>
      <c r="J134" s="19">
        <f t="shared" si="27"/>
        <v>1.6847240332634347E-2</v>
      </c>
      <c r="K134" s="2"/>
      <c r="L134" s="2">
        <f t="shared" si="28"/>
        <v>-10150.17</v>
      </c>
      <c r="M134" s="2"/>
      <c r="N134" s="19">
        <f t="shared" si="29"/>
        <v>-0.96391138241570185</v>
      </c>
      <c r="O134" s="11"/>
      <c r="P134" s="2">
        <v>380.02</v>
      </c>
      <c r="Q134" s="2"/>
      <c r="R134" s="19">
        <f t="shared" si="30"/>
        <v>1.0888414044674223E-4</v>
      </c>
      <c r="S134" s="2"/>
      <c r="T134" s="2">
        <v>25317.57</v>
      </c>
      <c r="U134" s="2"/>
      <c r="V134" s="19">
        <f t="shared" si="31"/>
        <v>4.2484698171625255E-3</v>
      </c>
      <c r="W134" s="2"/>
      <c r="X134" s="2">
        <f t="shared" si="32"/>
        <v>-24937.55</v>
      </c>
      <c r="Y134" s="2"/>
      <c r="Z134" s="19">
        <f t="shared" si="33"/>
        <v>-0.98498987067084243</v>
      </c>
    </row>
    <row r="135" spans="1:26" s="24" customFormat="1" hidden="1" outlineLevel="1" x14ac:dyDescent="0.25">
      <c r="A135" s="44"/>
      <c r="B135" s="11" t="str">
        <f>CONCATENATE("          ", "5027", " - ", "PURCHASES @ COST-SCHOOL SUPPLI")</f>
        <v xml:space="preserve">          5027 - PURCHASES @ COST-SCHOOL SUPPLI</v>
      </c>
      <c r="C135" s="11"/>
      <c r="D135" s="2">
        <v>10567.95</v>
      </c>
      <c r="E135" s="2"/>
      <c r="F135" s="19">
        <f t="shared" si="26"/>
        <v>3.1740748938047979E-2</v>
      </c>
      <c r="G135" s="2"/>
      <c r="H135" s="2">
        <v>9839.7000000000007</v>
      </c>
      <c r="I135" s="2"/>
      <c r="J135" s="19">
        <f t="shared" si="27"/>
        <v>1.574252607987341E-2</v>
      </c>
      <c r="K135" s="2"/>
      <c r="L135" s="2">
        <f t="shared" si="28"/>
        <v>728.25</v>
      </c>
      <c r="M135" s="2"/>
      <c r="N135" s="19">
        <f t="shared" si="29"/>
        <v>7.4011402786670316E-2</v>
      </c>
      <c r="O135" s="11"/>
      <c r="P135" s="2">
        <v>19071.350000000002</v>
      </c>
      <c r="Q135" s="2"/>
      <c r="R135" s="19">
        <f t="shared" si="30"/>
        <v>5.4643638542944527E-3</v>
      </c>
      <c r="S135" s="2"/>
      <c r="T135" s="2">
        <v>72022.38</v>
      </c>
      <c r="U135" s="2"/>
      <c r="V135" s="19">
        <f t="shared" si="31"/>
        <v>1.2085871890162048E-2</v>
      </c>
      <c r="W135" s="2"/>
      <c r="X135" s="2">
        <f t="shared" si="32"/>
        <v>-52951.03</v>
      </c>
      <c r="Y135" s="2"/>
      <c r="Z135" s="19">
        <f t="shared" si="33"/>
        <v>-0.73520244679501001</v>
      </c>
    </row>
    <row r="136" spans="1:26" s="24" customFormat="1" hidden="1" outlineLevel="1" x14ac:dyDescent="0.25">
      <c r="A136" s="44"/>
      <c r="B136" s="11" t="str">
        <f>CONCATENATE("          ", "5028", " - ", "PURCHASES @ COST-ART/TECH")</f>
        <v xml:space="preserve">          5028 - PURCHASES @ COST-ART/TECH</v>
      </c>
      <c r="C136" s="11"/>
      <c r="D136" s="2">
        <v>41425.96</v>
      </c>
      <c r="E136" s="2"/>
      <c r="F136" s="19">
        <f t="shared" si="26"/>
        <v>0.12442252242654613</v>
      </c>
      <c r="G136" s="2"/>
      <c r="H136" s="2">
        <v>19494.289999999997</v>
      </c>
      <c r="I136" s="2"/>
      <c r="J136" s="19">
        <f t="shared" si="27"/>
        <v>3.1188894857934218E-2</v>
      </c>
      <c r="K136" s="2"/>
      <c r="L136" s="2">
        <f t="shared" si="28"/>
        <v>21931.670000000002</v>
      </c>
      <c r="M136" s="2"/>
      <c r="N136" s="19">
        <f t="shared" si="29"/>
        <v>1.1250304576365697</v>
      </c>
      <c r="O136" s="11"/>
      <c r="P136" s="2">
        <v>41342.559999999998</v>
      </c>
      <c r="Q136" s="2"/>
      <c r="R136" s="19">
        <f t="shared" si="30"/>
        <v>1.1845558416577726E-2</v>
      </c>
      <c r="S136" s="2"/>
      <c r="T136" s="2">
        <v>90339.069999999992</v>
      </c>
      <c r="U136" s="2"/>
      <c r="V136" s="19">
        <f t="shared" si="31"/>
        <v>1.5159543834796648E-2</v>
      </c>
      <c r="W136" s="2"/>
      <c r="X136" s="2">
        <f t="shared" si="32"/>
        <v>-48996.509999999995</v>
      </c>
      <c r="Y136" s="2"/>
      <c r="Z136" s="19">
        <f t="shared" si="33"/>
        <v>-0.54236234665687832</v>
      </c>
    </row>
    <row r="137" spans="1:26" s="24" customFormat="1" hidden="1" outlineLevel="1" x14ac:dyDescent="0.25">
      <c r="A137" s="44"/>
      <c r="B137" s="11" t="str">
        <f>CONCATENATE("          ", "5031", " - ", "PURCHASES @ COST-FOOD")</f>
        <v xml:space="preserve">          5031 - PURCHASES @ COST-FOOD</v>
      </c>
      <c r="C137" s="11"/>
      <c r="D137" s="2">
        <v>4469.18</v>
      </c>
      <c r="E137" s="2"/>
      <c r="F137" s="19">
        <f t="shared" si="26"/>
        <v>1.342314453975892E-2</v>
      </c>
      <c r="G137" s="2"/>
      <c r="H137" s="2">
        <v>7839.04</v>
      </c>
      <c r="I137" s="2"/>
      <c r="J137" s="19">
        <f t="shared" si="27"/>
        <v>1.2541672168985928E-2</v>
      </c>
      <c r="K137" s="2"/>
      <c r="L137" s="2">
        <f t="shared" si="28"/>
        <v>-3369.8599999999997</v>
      </c>
      <c r="M137" s="2"/>
      <c r="N137" s="19">
        <f t="shared" si="29"/>
        <v>-0.42988172021063797</v>
      </c>
      <c r="O137" s="11"/>
      <c r="P137" s="2">
        <v>8535.1</v>
      </c>
      <c r="Q137" s="2"/>
      <c r="R137" s="19">
        <f t="shared" si="30"/>
        <v>2.4454950453317976E-3</v>
      </c>
      <c r="S137" s="2"/>
      <c r="T137" s="2">
        <v>15989.089999999998</v>
      </c>
      <c r="U137" s="2"/>
      <c r="V137" s="19">
        <f t="shared" si="31"/>
        <v>2.6830839716803453E-3</v>
      </c>
      <c r="W137" s="2"/>
      <c r="X137" s="2">
        <f t="shared" si="32"/>
        <v>-7453.989999999998</v>
      </c>
      <c r="Y137" s="2"/>
      <c r="Z137" s="19">
        <f t="shared" si="33"/>
        <v>-0.46619225984718321</v>
      </c>
    </row>
    <row r="138" spans="1:26" s="24" customFormat="1" hidden="1" outlineLevel="1" x14ac:dyDescent="0.25">
      <c r="A138" s="44"/>
      <c r="B138" s="11" t="str">
        <f>CONCATENATE("          ", "5032", " - ", "PURCHASES @ COST-JUICE")</f>
        <v xml:space="preserve">          5032 - PURCHASES @ COST-JUICE</v>
      </c>
      <c r="C138" s="11"/>
      <c r="D138" s="2"/>
      <c r="E138" s="2"/>
      <c r="F138" s="19">
        <f t="shared" si="26"/>
        <v>0</v>
      </c>
      <c r="G138" s="2"/>
      <c r="H138" s="2">
        <v>2565.13</v>
      </c>
      <c r="I138" s="2"/>
      <c r="J138" s="19">
        <f t="shared" si="27"/>
        <v>4.103948893082683E-3</v>
      </c>
      <c r="K138" s="2"/>
      <c r="L138" s="2">
        <f t="shared" si="28"/>
        <v>-2565.13</v>
      </c>
      <c r="M138" s="2"/>
      <c r="N138" s="19">
        <f t="shared" si="29"/>
        <v>-1</v>
      </c>
      <c r="O138" s="11"/>
      <c r="P138" s="2"/>
      <c r="Q138" s="2"/>
      <c r="R138" s="19">
        <f t="shared" si="30"/>
        <v>0</v>
      </c>
      <c r="S138" s="2"/>
      <c r="T138" s="2">
        <v>3384.28</v>
      </c>
      <c r="U138" s="2"/>
      <c r="V138" s="19">
        <f t="shared" si="31"/>
        <v>5.6790645519403293E-4</v>
      </c>
      <c r="W138" s="2"/>
      <c r="X138" s="2">
        <f t="shared" si="32"/>
        <v>-3384.28</v>
      </c>
      <c r="Y138" s="2"/>
      <c r="Z138" s="19">
        <f t="shared" si="33"/>
        <v>-1</v>
      </c>
    </row>
    <row r="139" spans="1:26" s="24" customFormat="1" hidden="1" outlineLevel="1" x14ac:dyDescent="0.25">
      <c r="A139" s="44"/>
      <c r="B139" s="11" t="str">
        <f>CONCATENATE("          ", "5033", " - ", "PURCHASES @ COST-CANDY")</f>
        <v xml:space="preserve">          5033 - PURCHASES @ COST-CANDY</v>
      </c>
      <c r="C139" s="11"/>
      <c r="D139" s="2"/>
      <c r="E139" s="2"/>
      <c r="F139" s="19">
        <f t="shared" si="26"/>
        <v>0</v>
      </c>
      <c r="G139" s="2"/>
      <c r="H139" s="2">
        <v>2102.09</v>
      </c>
      <c r="I139" s="2"/>
      <c r="J139" s="19">
        <f t="shared" si="27"/>
        <v>3.3631316653191757E-3</v>
      </c>
      <c r="K139" s="2"/>
      <c r="L139" s="2">
        <f t="shared" si="28"/>
        <v>-2102.09</v>
      </c>
      <c r="M139" s="2"/>
      <c r="N139" s="19">
        <f t="shared" si="29"/>
        <v>-1</v>
      </c>
      <c r="O139" s="11"/>
      <c r="P139" s="2"/>
      <c r="Q139" s="2"/>
      <c r="R139" s="19">
        <f t="shared" si="30"/>
        <v>0</v>
      </c>
      <c r="S139" s="2"/>
      <c r="T139" s="2">
        <v>4455.2</v>
      </c>
      <c r="U139" s="2"/>
      <c r="V139" s="19">
        <f t="shared" si="31"/>
        <v>7.4761451155946185E-4</v>
      </c>
      <c r="W139" s="2"/>
      <c r="X139" s="2">
        <f t="shared" si="32"/>
        <v>-4455.2</v>
      </c>
      <c r="Y139" s="2"/>
      <c r="Z139" s="19">
        <f t="shared" si="33"/>
        <v>-1</v>
      </c>
    </row>
    <row r="140" spans="1:26" s="24" customFormat="1" hidden="1" outlineLevel="1" x14ac:dyDescent="0.25">
      <c r="A140" s="44"/>
      <c r="B140" s="11" t="str">
        <f>CONCATENATE("          ", "5034", " - ", "PURCHASES @ COST-SODA")</f>
        <v xml:space="preserve">          5034 - PURCHASES @ COST-SODA</v>
      </c>
      <c r="C140" s="11"/>
      <c r="D140" s="2"/>
      <c r="E140" s="2"/>
      <c r="F140" s="19">
        <f t="shared" si="26"/>
        <v>0</v>
      </c>
      <c r="G140" s="2"/>
      <c r="H140" s="2">
        <v>876</v>
      </c>
      <c r="I140" s="2"/>
      <c r="J140" s="19">
        <f t="shared" si="27"/>
        <v>1.4015115141690403E-3</v>
      </c>
      <c r="K140" s="2"/>
      <c r="L140" s="2">
        <f t="shared" si="28"/>
        <v>-876</v>
      </c>
      <c r="M140" s="2"/>
      <c r="N140" s="19">
        <f t="shared" si="29"/>
        <v>-1</v>
      </c>
      <c r="O140" s="11"/>
      <c r="P140" s="2"/>
      <c r="Q140" s="2"/>
      <c r="R140" s="19">
        <f t="shared" si="30"/>
        <v>0</v>
      </c>
      <c r="S140" s="2"/>
      <c r="T140" s="2">
        <v>1494.54</v>
      </c>
      <c r="U140" s="2"/>
      <c r="V140" s="19">
        <f t="shared" si="31"/>
        <v>2.5079453046015398E-4</v>
      </c>
      <c r="W140" s="2"/>
      <c r="X140" s="2">
        <f t="shared" si="32"/>
        <v>-1494.54</v>
      </c>
      <c r="Y140" s="2"/>
      <c r="Z140" s="19">
        <f t="shared" si="33"/>
        <v>-1</v>
      </c>
    </row>
    <row r="141" spans="1:26" s="24" customFormat="1" hidden="1" outlineLevel="1" x14ac:dyDescent="0.25">
      <c r="A141" s="44"/>
      <c r="B141" s="11" t="str">
        <f>CONCATENATE("          ", "5035", " - ", "PURCHASES @ COST-HEALTH &amp; BEAU")</f>
        <v xml:space="preserve">          5035 - PURCHASES @ COST-HEALTH &amp; BEAU</v>
      </c>
      <c r="C141" s="11"/>
      <c r="D141" s="2"/>
      <c r="E141" s="2"/>
      <c r="F141" s="19">
        <f t="shared" si="26"/>
        <v>0</v>
      </c>
      <c r="G141" s="2"/>
      <c r="H141" s="2">
        <v>291.13</v>
      </c>
      <c r="I141" s="2"/>
      <c r="J141" s="19">
        <f t="shared" si="27"/>
        <v>4.6577859260277704E-4</v>
      </c>
      <c r="K141" s="2"/>
      <c r="L141" s="2">
        <f t="shared" si="28"/>
        <v>-291.13</v>
      </c>
      <c r="M141" s="2"/>
      <c r="N141" s="19">
        <f t="shared" si="29"/>
        <v>-1</v>
      </c>
      <c r="O141" s="11"/>
      <c r="P141" s="2"/>
      <c r="Q141" s="2"/>
      <c r="R141" s="19">
        <f t="shared" si="30"/>
        <v>0</v>
      </c>
      <c r="S141" s="2"/>
      <c r="T141" s="2">
        <v>578.69000000000005</v>
      </c>
      <c r="U141" s="2"/>
      <c r="V141" s="19">
        <f t="shared" si="31"/>
        <v>9.7108332217261858E-5</v>
      </c>
      <c r="W141" s="2"/>
      <c r="X141" s="2">
        <f t="shared" si="32"/>
        <v>-578.69000000000005</v>
      </c>
      <c r="Y141" s="2"/>
      <c r="Z141" s="19">
        <f t="shared" si="33"/>
        <v>-1</v>
      </c>
    </row>
    <row r="142" spans="1:26" s="24" customFormat="1" hidden="1" outlineLevel="1" x14ac:dyDescent="0.25">
      <c r="A142" s="44"/>
      <c r="B142" s="11" t="str">
        <f>CONCATENATE("          ", "5037", " - ", "PURCHASES @ COST-WATER")</f>
        <v xml:space="preserve">          5037 - PURCHASES @ COST-WATER</v>
      </c>
      <c r="C142" s="11"/>
      <c r="D142" s="2"/>
      <c r="E142" s="2"/>
      <c r="F142" s="19">
        <f t="shared" si="26"/>
        <v>0</v>
      </c>
      <c r="G142" s="2"/>
      <c r="H142" s="2">
        <v>1463.27</v>
      </c>
      <c r="I142" s="2"/>
      <c r="J142" s="19">
        <f t="shared" si="27"/>
        <v>2.3410841933083691E-3</v>
      </c>
      <c r="K142" s="2"/>
      <c r="L142" s="2">
        <f t="shared" si="28"/>
        <v>-1463.27</v>
      </c>
      <c r="M142" s="2"/>
      <c r="N142" s="19">
        <f t="shared" si="29"/>
        <v>-1</v>
      </c>
      <c r="O142" s="11"/>
      <c r="P142" s="2"/>
      <c r="Q142" s="2"/>
      <c r="R142" s="19">
        <f t="shared" si="30"/>
        <v>0</v>
      </c>
      <c r="S142" s="2"/>
      <c r="T142" s="2">
        <v>2855.85</v>
      </c>
      <c r="U142" s="2"/>
      <c r="V142" s="19">
        <f t="shared" si="31"/>
        <v>4.7923211142868763E-4</v>
      </c>
      <c r="W142" s="2"/>
      <c r="X142" s="2">
        <f t="shared" si="32"/>
        <v>-2855.85</v>
      </c>
      <c r="Y142" s="2"/>
      <c r="Z142" s="19">
        <f t="shared" si="33"/>
        <v>-1</v>
      </c>
    </row>
    <row r="143" spans="1:26" s="24" customFormat="1" hidden="1" outlineLevel="1" x14ac:dyDescent="0.25">
      <c r="A143" s="44"/>
      <c r="B143" s="11" t="str">
        <f>CONCATENATE("          ", "5040", " - ", "PURCHASES @ COST-LOGO CLOTHING")</f>
        <v xml:space="preserve">          5040 - PURCHASES @ COST-LOGO CLOTHING</v>
      </c>
      <c r="C143" s="11"/>
      <c r="D143" s="2">
        <v>25420.9</v>
      </c>
      <c r="E143" s="2"/>
      <c r="F143" s="19">
        <f t="shared" si="26"/>
        <v>7.6351459334991545E-2</v>
      </c>
      <c r="G143" s="2"/>
      <c r="H143" s="2">
        <v>176749.05</v>
      </c>
      <c r="I143" s="2"/>
      <c r="J143" s="19">
        <f t="shared" si="27"/>
        <v>0.28278062636237372</v>
      </c>
      <c r="K143" s="2"/>
      <c r="L143" s="2">
        <f t="shared" si="28"/>
        <v>-151328.15</v>
      </c>
      <c r="M143" s="2"/>
      <c r="N143" s="19">
        <f t="shared" si="29"/>
        <v>-0.85617518170536133</v>
      </c>
      <c r="O143" s="11"/>
      <c r="P143" s="2">
        <v>39170.950000000004</v>
      </c>
      <c r="Q143" s="2"/>
      <c r="R143" s="19">
        <f t="shared" si="30"/>
        <v>1.1223344090396081E-2</v>
      </c>
      <c r="S143" s="2"/>
      <c r="T143" s="2">
        <v>512600.91000000003</v>
      </c>
      <c r="U143" s="2"/>
      <c r="V143" s="19">
        <f t="shared" si="31"/>
        <v>8.6018108941144214E-2</v>
      </c>
      <c r="W143" s="2"/>
      <c r="X143" s="2">
        <f t="shared" si="32"/>
        <v>-473429.96</v>
      </c>
      <c r="Y143" s="2"/>
      <c r="Z143" s="19">
        <f t="shared" si="33"/>
        <v>-0.92358392418772728</v>
      </c>
    </row>
    <row r="144" spans="1:26" s="24" customFormat="1" hidden="1" outlineLevel="1" x14ac:dyDescent="0.25">
      <c r="A144" s="44"/>
      <c r="B144" s="11" t="str">
        <f>CONCATENATE("          ", "5041", " - ", "PURCHASES @ COST-LOGO GIFTS")</f>
        <v xml:space="preserve">          5041 - PURCHASES @ COST-LOGO GIFTS</v>
      </c>
      <c r="C144" s="11"/>
      <c r="D144" s="2">
        <v>15289.8</v>
      </c>
      <c r="E144" s="2"/>
      <c r="F144" s="19">
        <f t="shared" si="26"/>
        <v>4.5922785697601332E-2</v>
      </c>
      <c r="G144" s="2"/>
      <c r="H144" s="2">
        <v>27759.98</v>
      </c>
      <c r="I144" s="2"/>
      <c r="J144" s="19">
        <f t="shared" si="27"/>
        <v>4.4413163930482044E-2</v>
      </c>
      <c r="K144" s="2"/>
      <c r="L144" s="2">
        <f t="shared" si="28"/>
        <v>-12470.18</v>
      </c>
      <c r="M144" s="2"/>
      <c r="N144" s="19">
        <f t="shared" si="29"/>
        <v>-0.44921430058667189</v>
      </c>
      <c r="O144" s="11"/>
      <c r="P144" s="2">
        <v>17287.34</v>
      </c>
      <c r="Q144" s="2"/>
      <c r="R144" s="19">
        <f t="shared" si="30"/>
        <v>4.9532055063169966E-3</v>
      </c>
      <c r="S144" s="2"/>
      <c r="T144" s="2">
        <v>70456.460000000006</v>
      </c>
      <c r="U144" s="2"/>
      <c r="V144" s="19">
        <f t="shared" si="31"/>
        <v>1.1823099283782718E-2</v>
      </c>
      <c r="W144" s="2"/>
      <c r="X144" s="2">
        <f t="shared" si="32"/>
        <v>-53169.12000000001</v>
      </c>
      <c r="Y144" s="2"/>
      <c r="Z144" s="19">
        <f t="shared" si="33"/>
        <v>-0.75463797074107908</v>
      </c>
    </row>
    <row r="145" spans="1:26" s="24" customFormat="1" hidden="1" outlineLevel="1" x14ac:dyDescent="0.25">
      <c r="A145" s="44"/>
      <c r="B145" s="11" t="str">
        <f>CONCATENATE("          ", "5042", " - ", "PURCHASES @ COST-EVERYDAY GIFT")</f>
        <v xml:space="preserve">          5042 - PURCHASES @ COST-EVERYDAY GIFT</v>
      </c>
      <c r="C145" s="11"/>
      <c r="D145" s="2">
        <v>9421.5300000000007</v>
      </c>
      <c r="E145" s="2"/>
      <c r="F145" s="19">
        <f t="shared" si="26"/>
        <v>2.8297486110578418E-2</v>
      </c>
      <c r="G145" s="2"/>
      <c r="H145" s="2">
        <v>13956.79</v>
      </c>
      <c r="I145" s="2"/>
      <c r="J145" s="19">
        <f t="shared" si="27"/>
        <v>2.2329454207579133E-2</v>
      </c>
      <c r="K145" s="2"/>
      <c r="L145" s="2">
        <f t="shared" si="28"/>
        <v>-4535.26</v>
      </c>
      <c r="M145" s="2"/>
      <c r="N145" s="19">
        <f t="shared" si="29"/>
        <v>-0.32495007806236248</v>
      </c>
      <c r="O145" s="11"/>
      <c r="P145" s="2">
        <v>10912.68</v>
      </c>
      <c r="Q145" s="2"/>
      <c r="R145" s="19">
        <f t="shared" si="30"/>
        <v>3.1267243349569897E-3</v>
      </c>
      <c r="S145" s="2"/>
      <c r="T145" s="2">
        <v>49248.47</v>
      </c>
      <c r="U145" s="2"/>
      <c r="V145" s="19">
        <f t="shared" si="31"/>
        <v>8.2642464634810585E-3</v>
      </c>
      <c r="W145" s="2"/>
      <c r="X145" s="2">
        <f t="shared" si="32"/>
        <v>-38335.79</v>
      </c>
      <c r="Y145" s="2"/>
      <c r="Z145" s="19">
        <f t="shared" si="33"/>
        <v>-0.77841585738602637</v>
      </c>
    </row>
    <row r="146" spans="1:26" s="24" customFormat="1" hidden="1" outlineLevel="1" x14ac:dyDescent="0.25">
      <c r="A146" s="44"/>
      <c r="B146" s="11" t="str">
        <f>CONCATENATE("          ", "5043", " - ", "PURCHASES @ COST-CARDS")</f>
        <v xml:space="preserve">          5043 - PURCHASES @ COST-CARDS</v>
      </c>
      <c r="C146" s="11"/>
      <c r="D146" s="2">
        <v>2526.75</v>
      </c>
      <c r="E146" s="2"/>
      <c r="F146" s="19">
        <f t="shared" si="26"/>
        <v>7.5890723725237849E-3</v>
      </c>
      <c r="G146" s="2"/>
      <c r="H146" s="2">
        <v>331.09</v>
      </c>
      <c r="I146" s="2"/>
      <c r="J146" s="19">
        <f t="shared" si="27"/>
        <v>5.2971055619432364E-4</v>
      </c>
      <c r="K146" s="2"/>
      <c r="L146" s="2">
        <f t="shared" si="28"/>
        <v>2195.66</v>
      </c>
      <c r="M146" s="2"/>
      <c r="N146" s="19">
        <f t="shared" si="29"/>
        <v>6.631610740282099</v>
      </c>
      <c r="O146" s="11"/>
      <c r="P146" s="2">
        <v>5643</v>
      </c>
      <c r="Q146" s="2"/>
      <c r="R146" s="19">
        <f t="shared" si="30"/>
        <v>1.6168443885610402E-3</v>
      </c>
      <c r="S146" s="2"/>
      <c r="T146" s="2">
        <v>1340.08</v>
      </c>
      <c r="U146" s="2"/>
      <c r="V146" s="19">
        <f t="shared" si="31"/>
        <v>2.2487503471238184E-4</v>
      </c>
      <c r="W146" s="2"/>
      <c r="X146" s="2">
        <f t="shared" si="32"/>
        <v>4302.92</v>
      </c>
      <c r="Y146" s="2"/>
      <c r="Z146" s="19">
        <f t="shared" si="33"/>
        <v>3.2109426302907291</v>
      </c>
    </row>
    <row r="147" spans="1:26" s="24" customFormat="1" hidden="1" outlineLevel="1" x14ac:dyDescent="0.25">
      <c r="A147" s="44"/>
      <c r="B147" s="11" t="str">
        <f>CONCATENATE("          ", "5044", " - ", "PURCHASES @ COST-ACCESSORIES")</f>
        <v xml:space="preserve">          5044 - PURCHASES @ COST-ACCESSORIES</v>
      </c>
      <c r="C147" s="11"/>
      <c r="D147" s="2"/>
      <c r="E147" s="2"/>
      <c r="F147" s="19">
        <f t="shared" si="26"/>
        <v>0</v>
      </c>
      <c r="G147" s="2"/>
      <c r="H147" s="2">
        <v>3747.48</v>
      </c>
      <c r="I147" s="2"/>
      <c r="J147" s="19">
        <f t="shared" si="27"/>
        <v>5.9955894624636923E-3</v>
      </c>
      <c r="K147" s="2"/>
      <c r="L147" s="2">
        <f t="shared" si="28"/>
        <v>-3747.48</v>
      </c>
      <c r="M147" s="2"/>
      <c r="N147" s="19">
        <f t="shared" si="29"/>
        <v>-1</v>
      </c>
      <c r="O147" s="11"/>
      <c r="P147" s="2"/>
      <c r="Q147" s="2"/>
      <c r="R147" s="19">
        <f t="shared" si="30"/>
        <v>0</v>
      </c>
      <c r="S147" s="2"/>
      <c r="T147" s="2">
        <v>24151.129999999997</v>
      </c>
      <c r="U147" s="2"/>
      <c r="V147" s="19">
        <f t="shared" si="31"/>
        <v>4.0527328197519892E-3</v>
      </c>
      <c r="W147" s="2"/>
      <c r="X147" s="2">
        <f t="shared" si="32"/>
        <v>-24151.129999999997</v>
      </c>
      <c r="Y147" s="2"/>
      <c r="Z147" s="19">
        <f t="shared" si="33"/>
        <v>-1</v>
      </c>
    </row>
    <row r="148" spans="1:26" s="24" customFormat="1" hidden="1" outlineLevel="1" x14ac:dyDescent="0.25">
      <c r="A148" s="44"/>
      <c r="B148" s="11" t="str">
        <f>CONCATENATE("          ", "5045", " - ", "PURCHASES @ COST-SPECIAL ORDER")</f>
        <v xml:space="preserve">          5045 - PURCHASES @ COST-SPECIAL ORDER</v>
      </c>
      <c r="C148" s="11"/>
      <c r="D148" s="2">
        <v>10080.23</v>
      </c>
      <c r="E148" s="2"/>
      <c r="F148" s="19">
        <f t="shared" si="26"/>
        <v>3.0275886020257416E-2</v>
      </c>
      <c r="G148" s="2"/>
      <c r="H148" s="2">
        <v>3599.17</v>
      </c>
      <c r="I148" s="2"/>
      <c r="J148" s="19">
        <f t="shared" si="27"/>
        <v>5.7583084434381102E-3</v>
      </c>
      <c r="K148" s="2"/>
      <c r="L148" s="2">
        <f t="shared" si="28"/>
        <v>6481.0599999999995</v>
      </c>
      <c r="M148" s="2"/>
      <c r="N148" s="19">
        <f t="shared" si="29"/>
        <v>1.8007096080485221</v>
      </c>
      <c r="O148" s="11"/>
      <c r="P148" s="2">
        <v>71254.52</v>
      </c>
      <c r="Q148" s="2"/>
      <c r="R148" s="19">
        <f t="shared" si="30"/>
        <v>2.0415996955805496E-2</v>
      </c>
      <c r="S148" s="2"/>
      <c r="T148" s="2">
        <v>28063.200000000001</v>
      </c>
      <c r="U148" s="2"/>
      <c r="V148" s="19">
        <f t="shared" si="31"/>
        <v>4.7092062221214511E-3</v>
      </c>
      <c r="W148" s="2"/>
      <c r="X148" s="2">
        <f t="shared" si="32"/>
        <v>43191.320000000007</v>
      </c>
      <c r="Y148" s="2"/>
      <c r="Z148" s="19">
        <f t="shared" si="33"/>
        <v>1.539073234698823</v>
      </c>
    </row>
    <row r="149" spans="1:26" s="24" customFormat="1" hidden="1" outlineLevel="1" x14ac:dyDescent="0.25">
      <c r="A149" s="44"/>
      <c r="B149" s="11" t="str">
        <f>CONCATENATE("          ", "5081", " - ", "PURCHASES @ COST-ELECTRONICS")</f>
        <v xml:space="preserve">          5081 - PURCHASES @ COST-ELECTRONICS</v>
      </c>
      <c r="C149" s="11"/>
      <c r="D149" s="2">
        <v>6249.76</v>
      </c>
      <c r="E149" s="2"/>
      <c r="F149" s="19">
        <f t="shared" si="26"/>
        <v>1.8771101593313248E-2</v>
      </c>
      <c r="G149" s="2"/>
      <c r="H149" s="2">
        <v>18978.52</v>
      </c>
      <c r="I149" s="2"/>
      <c r="J149" s="19">
        <f t="shared" si="27"/>
        <v>3.0363714956492482E-2</v>
      </c>
      <c r="K149" s="2"/>
      <c r="L149" s="2">
        <f t="shared" si="28"/>
        <v>-12728.76</v>
      </c>
      <c r="M149" s="2"/>
      <c r="N149" s="19">
        <f t="shared" si="29"/>
        <v>-0.67069297289778129</v>
      </c>
      <c r="O149" s="11"/>
      <c r="P149" s="2">
        <v>21947.21</v>
      </c>
      <c r="Q149" s="2"/>
      <c r="R149" s="19">
        <f t="shared" si="30"/>
        <v>6.2883613916481914E-3</v>
      </c>
      <c r="S149" s="2"/>
      <c r="T149" s="2">
        <v>169136.69</v>
      </c>
      <c r="U149" s="2"/>
      <c r="V149" s="19">
        <f t="shared" si="31"/>
        <v>2.8382349587254021E-2</v>
      </c>
      <c r="W149" s="2"/>
      <c r="X149" s="2">
        <f t="shared" si="32"/>
        <v>-147189.48000000001</v>
      </c>
      <c r="Y149" s="2"/>
      <c r="Z149" s="19">
        <f t="shared" si="33"/>
        <v>-0.87023980426718772</v>
      </c>
    </row>
    <row r="150" spans="1:26" s="24" customFormat="1" hidden="1" outlineLevel="1" x14ac:dyDescent="0.25">
      <c r="A150" s="44"/>
      <c r="B150" s="11" t="str">
        <f>CONCATENATE("          ", "5082", " - ", "PURCHASES @ COST-COMPUTER HARD")</f>
        <v xml:space="preserve">          5082 - PURCHASES @ COST-COMPUTER HARD</v>
      </c>
      <c r="C150" s="11"/>
      <c r="D150" s="2">
        <v>175404.87</v>
      </c>
      <c r="E150" s="2"/>
      <c r="F150" s="19">
        <f t="shared" si="26"/>
        <v>0.52682705171589039</v>
      </c>
      <c r="G150" s="2"/>
      <c r="H150" s="2">
        <v>94594.73</v>
      </c>
      <c r="I150" s="2"/>
      <c r="J150" s="19">
        <f t="shared" si="27"/>
        <v>0.15134201287067525</v>
      </c>
      <c r="K150" s="2"/>
      <c r="L150" s="2">
        <f t="shared" si="28"/>
        <v>80810.14</v>
      </c>
      <c r="M150" s="2"/>
      <c r="N150" s="19">
        <f t="shared" si="29"/>
        <v>0.85427740002006458</v>
      </c>
      <c r="O150" s="11"/>
      <c r="P150" s="2">
        <v>888778.08000000007</v>
      </c>
      <c r="Q150" s="2"/>
      <c r="R150" s="19">
        <f t="shared" si="30"/>
        <v>0.25465458999185808</v>
      </c>
      <c r="S150" s="2"/>
      <c r="T150" s="2">
        <v>895787.3</v>
      </c>
      <c r="U150" s="2"/>
      <c r="V150" s="19">
        <f t="shared" si="31"/>
        <v>0.15031953329831862</v>
      </c>
      <c r="W150" s="2"/>
      <c r="X150" s="2">
        <f t="shared" si="32"/>
        <v>-7009.2199999999721</v>
      </c>
      <c r="Y150" s="2"/>
      <c r="Z150" s="19">
        <f t="shared" si="33"/>
        <v>-7.8246476591038658E-3</v>
      </c>
    </row>
    <row r="151" spans="1:26" s="24" customFormat="1" hidden="1" outlineLevel="1" x14ac:dyDescent="0.25">
      <c r="A151" s="44"/>
      <c r="B151" s="11" t="str">
        <f>CONCATENATE("          ", "5083", " - ", "PURCHASES @ COST-COMPUTER EQUI")</f>
        <v xml:space="preserve">          5083 - PURCHASES @ COST-COMPUTER EQUI</v>
      </c>
      <c r="C151" s="11"/>
      <c r="D151" s="2">
        <v>11838.95</v>
      </c>
      <c r="E151" s="2"/>
      <c r="F151" s="19">
        <f t="shared" si="26"/>
        <v>3.5558186747676052E-2</v>
      </c>
      <c r="G151" s="2"/>
      <c r="H151" s="2">
        <v>14172.43</v>
      </c>
      <c r="I151" s="2"/>
      <c r="J151" s="19">
        <f t="shared" si="27"/>
        <v>2.2674456425519098E-2</v>
      </c>
      <c r="K151" s="2"/>
      <c r="L151" s="2">
        <f t="shared" si="28"/>
        <v>-2333.4799999999996</v>
      </c>
      <c r="M151" s="2"/>
      <c r="N151" s="19">
        <f t="shared" si="29"/>
        <v>-0.16464925210426154</v>
      </c>
      <c r="O151" s="11"/>
      <c r="P151" s="2">
        <v>73272.95</v>
      </c>
      <c r="Q151" s="2"/>
      <c r="R151" s="19">
        <f t="shared" si="30"/>
        <v>2.0994321821870221E-2</v>
      </c>
      <c r="S151" s="2"/>
      <c r="T151" s="2">
        <v>42040.84</v>
      </c>
      <c r="U151" s="2"/>
      <c r="V151" s="19">
        <f t="shared" si="31"/>
        <v>7.0547544581948023E-3</v>
      </c>
      <c r="W151" s="2"/>
      <c r="X151" s="2">
        <f t="shared" si="32"/>
        <v>31232.11</v>
      </c>
      <c r="Y151" s="2"/>
      <c r="Z151" s="19">
        <f t="shared" si="33"/>
        <v>0.74289928555185869</v>
      </c>
    </row>
    <row r="152" spans="1:26" s="24" customFormat="1" hidden="1" outlineLevel="1" x14ac:dyDescent="0.25">
      <c r="A152" s="44"/>
      <c r="B152" s="11" t="str">
        <f>CONCATENATE("          ", "5084", " - ", "PURCHASES @ COST-SOFTWARE LICE")</f>
        <v xml:space="preserve">          5084 - PURCHASES @ COST-SOFTWARE LICE</v>
      </c>
      <c r="C152" s="11"/>
      <c r="D152" s="2"/>
      <c r="E152" s="2"/>
      <c r="F152" s="19">
        <f t="shared" si="26"/>
        <v>0</v>
      </c>
      <c r="G152" s="2"/>
      <c r="H152" s="2">
        <v>1206</v>
      </c>
      <c r="I152" s="2"/>
      <c r="J152" s="19">
        <f t="shared" si="27"/>
        <v>1.9294781804655963E-3</v>
      </c>
      <c r="K152" s="2"/>
      <c r="L152" s="2">
        <f t="shared" si="28"/>
        <v>-1206</v>
      </c>
      <c r="M152" s="2"/>
      <c r="N152" s="19">
        <f t="shared" si="29"/>
        <v>-1</v>
      </c>
      <c r="O152" s="11"/>
      <c r="P152" s="2"/>
      <c r="Q152" s="2"/>
      <c r="R152" s="19">
        <f t="shared" si="30"/>
        <v>0</v>
      </c>
      <c r="S152" s="2"/>
      <c r="T152" s="2">
        <v>2728</v>
      </c>
      <c r="U152" s="2"/>
      <c r="V152" s="19">
        <f t="shared" si="31"/>
        <v>4.5777796452105675E-4</v>
      </c>
      <c r="W152" s="2"/>
      <c r="X152" s="2">
        <f t="shared" si="32"/>
        <v>-2728</v>
      </c>
      <c r="Y152" s="2"/>
      <c r="Z152" s="19">
        <f t="shared" si="33"/>
        <v>-1</v>
      </c>
    </row>
    <row r="153" spans="1:26" s="24" customFormat="1" hidden="1" outlineLevel="1" x14ac:dyDescent="0.25">
      <c r="A153" s="44"/>
      <c r="B153" s="11" t="str">
        <f>CONCATENATE("          ", "5085", " - ", "PURCHASES @ COST-SOFTWARE")</f>
        <v xml:space="preserve">          5085 - PURCHASES @ COST-SOFTWARE</v>
      </c>
      <c r="C153" s="11"/>
      <c r="D153" s="2">
        <v>5843.52</v>
      </c>
      <c r="E153" s="2"/>
      <c r="F153" s="19">
        <f t="shared" si="26"/>
        <v>1.7550963170194989E-2</v>
      </c>
      <c r="G153" s="2"/>
      <c r="H153" s="2">
        <v>506.04</v>
      </c>
      <c r="I153" s="2"/>
      <c r="J153" s="19">
        <f t="shared" si="27"/>
        <v>8.0961288428093735E-4</v>
      </c>
      <c r="K153" s="2"/>
      <c r="L153" s="2">
        <f t="shared" si="28"/>
        <v>5337.4800000000005</v>
      </c>
      <c r="M153" s="2"/>
      <c r="N153" s="19">
        <f t="shared" si="29"/>
        <v>10.547545648565331</v>
      </c>
      <c r="O153" s="11"/>
      <c r="P153" s="2">
        <v>20681.2</v>
      </c>
      <c r="Q153" s="2"/>
      <c r="R153" s="19">
        <f t="shared" si="30"/>
        <v>5.9256215078342346E-3</v>
      </c>
      <c r="S153" s="2"/>
      <c r="T153" s="2">
        <v>6932.04</v>
      </c>
      <c r="U153" s="2"/>
      <c r="V153" s="19">
        <f t="shared" si="31"/>
        <v>1.1632460268249803E-3</v>
      </c>
      <c r="W153" s="2"/>
      <c r="X153" s="2">
        <f t="shared" si="32"/>
        <v>13749.16</v>
      </c>
      <c r="Y153" s="2"/>
      <c r="Z153" s="19">
        <f t="shared" si="33"/>
        <v>1.9834219075481387</v>
      </c>
    </row>
    <row r="154" spans="1:26" s="24" customFormat="1" hidden="1" outlineLevel="1" x14ac:dyDescent="0.25">
      <c r="A154" s="44"/>
      <c r="B154" s="11" t="str">
        <f>CONCATENATE("          ", "5086", " - ", "PURCHASES @ COST-COMPUTER SUPP")</f>
        <v xml:space="preserve">          5086 - PURCHASES @ COST-COMPUTER SUPP</v>
      </c>
      <c r="C154" s="11"/>
      <c r="D154" s="2">
        <v>773.47</v>
      </c>
      <c r="E154" s="2"/>
      <c r="F154" s="19">
        <f t="shared" si="26"/>
        <v>2.323110639349351E-3</v>
      </c>
      <c r="G154" s="2"/>
      <c r="H154" s="2">
        <v>5942.35</v>
      </c>
      <c r="I154" s="2"/>
      <c r="J154" s="19">
        <f t="shared" si="27"/>
        <v>9.5071597559616399E-3</v>
      </c>
      <c r="K154" s="2"/>
      <c r="L154" s="2">
        <f t="shared" si="28"/>
        <v>-5168.88</v>
      </c>
      <c r="M154" s="2"/>
      <c r="N154" s="19">
        <f t="shared" si="29"/>
        <v>-0.86983769047599013</v>
      </c>
      <c r="O154" s="11"/>
      <c r="P154" s="2">
        <v>22529.439999999999</v>
      </c>
      <c r="Q154" s="2"/>
      <c r="R154" s="19">
        <f t="shared" si="30"/>
        <v>6.4551831723236993E-3</v>
      </c>
      <c r="S154" s="2"/>
      <c r="T154" s="2">
        <v>18509.099999999999</v>
      </c>
      <c r="U154" s="2"/>
      <c r="V154" s="19">
        <f t="shared" si="31"/>
        <v>3.1059597225501063E-3</v>
      </c>
      <c r="W154" s="2"/>
      <c r="X154" s="2">
        <f t="shared" si="32"/>
        <v>4020.34</v>
      </c>
      <c r="Y154" s="2"/>
      <c r="Z154" s="19">
        <f t="shared" si="33"/>
        <v>0.21720883241216485</v>
      </c>
    </row>
    <row r="155" spans="1:26" s="24" customFormat="1" hidden="1" outlineLevel="1" x14ac:dyDescent="0.25">
      <c r="A155" s="44"/>
      <c r="B155" s="11" t="str">
        <f>CONCATENATE("          ", "5088", " - ", "PURCHASES @ COST-MUSIC")</f>
        <v xml:space="preserve">          5088 - PURCHASES @ COST-MUSIC</v>
      </c>
      <c r="C155" s="11"/>
      <c r="D155" s="2"/>
      <c r="E155" s="2"/>
      <c r="F155" s="19">
        <f t="shared" si="26"/>
        <v>0</v>
      </c>
      <c r="G155" s="2"/>
      <c r="H155" s="2"/>
      <c r="I155" s="2"/>
      <c r="J155" s="19">
        <f t="shared" si="27"/>
        <v>0</v>
      </c>
      <c r="K155" s="2"/>
      <c r="L155" s="2">
        <f t="shared" si="28"/>
        <v>0</v>
      </c>
      <c r="M155" s="2"/>
      <c r="N155" s="19">
        <f t="shared" si="29"/>
        <v>0</v>
      </c>
      <c r="O155" s="11"/>
      <c r="P155" s="2"/>
      <c r="Q155" s="2"/>
      <c r="R155" s="19">
        <f t="shared" si="30"/>
        <v>0</v>
      </c>
      <c r="S155" s="2"/>
      <c r="T155" s="2">
        <v>88.75</v>
      </c>
      <c r="U155" s="2"/>
      <c r="V155" s="19">
        <f t="shared" si="31"/>
        <v>1.4892886492391417E-5</v>
      </c>
      <c r="W155" s="2"/>
      <c r="X155" s="2">
        <f t="shared" si="32"/>
        <v>-88.75</v>
      </c>
      <c r="Y155" s="2"/>
      <c r="Z155" s="19">
        <f t="shared" si="33"/>
        <v>-1</v>
      </c>
    </row>
    <row r="156" spans="1:26" s="24" customFormat="1" hidden="1" outlineLevel="1" x14ac:dyDescent="0.25">
      <c r="A156" s="44"/>
      <c r="B156" s="11" t="str">
        <f>CONCATENATE("          ", "5092", " - ", "PURCHASES @ COST-GRAD MERCH")</f>
        <v xml:space="preserve">          5092 - PURCHASES @ COST-GRAD MERCH</v>
      </c>
      <c r="C156" s="11"/>
      <c r="D156" s="2"/>
      <c r="E156" s="2"/>
      <c r="F156" s="19">
        <f t="shared" si="26"/>
        <v>0</v>
      </c>
      <c r="G156" s="2"/>
      <c r="H156" s="2">
        <v>1296.1400000000001</v>
      </c>
      <c r="I156" s="2"/>
      <c r="J156" s="19">
        <f t="shared" si="27"/>
        <v>2.0736930753139952E-3</v>
      </c>
      <c r="K156" s="2"/>
      <c r="L156" s="2">
        <f t="shared" si="28"/>
        <v>-1296.1400000000001</v>
      </c>
      <c r="M156" s="2"/>
      <c r="N156" s="19">
        <f t="shared" si="29"/>
        <v>-1</v>
      </c>
      <c r="O156" s="11"/>
      <c r="P156" s="2"/>
      <c r="Q156" s="2"/>
      <c r="R156" s="19">
        <f t="shared" si="30"/>
        <v>0</v>
      </c>
      <c r="S156" s="2"/>
      <c r="T156" s="2">
        <v>1296.1400000000001</v>
      </c>
      <c r="U156" s="2"/>
      <c r="V156" s="19">
        <f t="shared" si="31"/>
        <v>2.1750158758589535E-4</v>
      </c>
      <c r="W156" s="2"/>
      <c r="X156" s="2">
        <f t="shared" si="32"/>
        <v>-1296.1400000000001</v>
      </c>
      <c r="Y156" s="2"/>
      <c r="Z156" s="19">
        <f t="shared" si="33"/>
        <v>-1</v>
      </c>
    </row>
    <row r="157" spans="1:26" s="24" customFormat="1" hidden="1" outlineLevel="1" x14ac:dyDescent="0.25">
      <c r="A157" s="44"/>
      <c r="B157" s="11" t="str">
        <f>CONCATENATE("          ", "5095", " - ", "PURCHASES @ COST-CUSTOMER SERV")</f>
        <v xml:space="preserve">          5095 - PURCHASES @ COST-CUSTOMER SERV</v>
      </c>
      <c r="C157" s="11"/>
      <c r="D157" s="2"/>
      <c r="E157" s="2"/>
      <c r="F157" s="19">
        <f t="shared" si="26"/>
        <v>0</v>
      </c>
      <c r="G157" s="2"/>
      <c r="H157" s="2"/>
      <c r="I157" s="2"/>
      <c r="J157" s="19">
        <f t="shared" si="27"/>
        <v>0</v>
      </c>
      <c r="K157" s="2"/>
      <c r="L157" s="2">
        <f t="shared" si="28"/>
        <v>0</v>
      </c>
      <c r="M157" s="2"/>
      <c r="N157" s="19">
        <f t="shared" si="29"/>
        <v>0</v>
      </c>
      <c r="O157" s="11"/>
      <c r="P157" s="2"/>
      <c r="Q157" s="2"/>
      <c r="R157" s="19">
        <f t="shared" si="30"/>
        <v>0</v>
      </c>
      <c r="S157" s="2"/>
      <c r="T157" s="2">
        <v>0</v>
      </c>
      <c r="U157" s="2"/>
      <c r="V157" s="19">
        <f t="shared" si="31"/>
        <v>0</v>
      </c>
      <c r="W157" s="2"/>
      <c r="X157" s="2">
        <f t="shared" si="32"/>
        <v>0</v>
      </c>
      <c r="Y157" s="2"/>
      <c r="Z157" s="19">
        <f t="shared" si="33"/>
        <v>0</v>
      </c>
    </row>
    <row r="158" spans="1:26" s="24" customFormat="1" hidden="1" outlineLevel="1" x14ac:dyDescent="0.25">
      <c r="A158" s="44"/>
      <c r="B158" s="11" t="str">
        <f>CONCATENATE("          ", "5200", " - ", "PURCHASES OFFSET")</f>
        <v xml:space="preserve">          5200 - PURCHASES OFFSET</v>
      </c>
      <c r="C158" s="11"/>
      <c r="D158" s="2">
        <v>-434415.86</v>
      </c>
      <c r="E158" s="2"/>
      <c r="F158" s="19">
        <f t="shared" si="26"/>
        <v>-1.3047643816413022</v>
      </c>
      <c r="G158" s="2"/>
      <c r="H158" s="2">
        <v>-237338.99999999997</v>
      </c>
      <c r="I158" s="2"/>
      <c r="J158" s="19">
        <f t="shared" si="27"/>
        <v>-0.37971842609744955</v>
      </c>
      <c r="K158" s="2"/>
      <c r="L158" s="2">
        <f t="shared" si="28"/>
        <v>-197076.86000000002</v>
      </c>
      <c r="M158" s="2"/>
      <c r="N158" s="19">
        <f t="shared" si="29"/>
        <v>0.8303602020738271</v>
      </c>
      <c r="O158" s="11"/>
      <c r="P158" s="2">
        <v>-2796709.36</v>
      </c>
      <c r="Q158" s="2"/>
      <c r="R158" s="19">
        <f t="shared" si="30"/>
        <v>-0.80131912726424559</v>
      </c>
      <c r="S158" s="2"/>
      <c r="T158" s="2">
        <v>-3872821</v>
      </c>
      <c r="U158" s="2"/>
      <c r="V158" s="19">
        <f t="shared" si="31"/>
        <v>-0.64988713868563175</v>
      </c>
      <c r="W158" s="2"/>
      <c r="X158" s="2">
        <f t="shared" si="32"/>
        <v>1076111.6400000001</v>
      </c>
      <c r="Y158" s="2"/>
      <c r="Z158" s="19">
        <f t="shared" si="33"/>
        <v>-0.2778624780231258</v>
      </c>
    </row>
    <row r="159" spans="1:26" s="24" customFormat="1" hidden="1" outlineLevel="1" x14ac:dyDescent="0.25">
      <c r="A159" s="44"/>
      <c r="B159" s="11" t="str">
        <f>CONCATENATE("          ", "5300", " - ", "COG$ OFFSET")</f>
        <v xml:space="preserve">          5300 - COG$ OFFSET</v>
      </c>
      <c r="C159" s="11"/>
      <c r="D159" s="2">
        <v>241934</v>
      </c>
      <c r="E159" s="2"/>
      <c r="F159" s="19">
        <f t="shared" si="26"/>
        <v>0.72664673409485281</v>
      </c>
      <c r="G159" s="2"/>
      <c r="H159" s="2">
        <v>328565</v>
      </c>
      <c r="I159" s="2"/>
      <c r="J159" s="19">
        <f t="shared" si="27"/>
        <v>0.52567081124766057</v>
      </c>
      <c r="K159" s="2"/>
      <c r="L159" s="2">
        <f t="shared" si="28"/>
        <v>-86631</v>
      </c>
      <c r="M159" s="2"/>
      <c r="N159" s="19">
        <f t="shared" si="29"/>
        <v>-0.26366472387503231</v>
      </c>
      <c r="O159" s="11"/>
      <c r="P159" s="2">
        <v>2276964</v>
      </c>
      <c r="Q159" s="2"/>
      <c r="R159" s="19">
        <f t="shared" si="30"/>
        <v>0.65240057883315616</v>
      </c>
      <c r="S159" s="2"/>
      <c r="T159" s="2">
        <v>3332472</v>
      </c>
      <c r="U159" s="2"/>
      <c r="V159" s="19">
        <f t="shared" si="31"/>
        <v>0.55921270124025479</v>
      </c>
      <c r="W159" s="2"/>
      <c r="X159" s="2">
        <f t="shared" si="32"/>
        <v>-1055508</v>
      </c>
      <c r="Y159" s="2"/>
      <c r="Z159" s="19">
        <f t="shared" si="33"/>
        <v>-0.31673424412868284</v>
      </c>
    </row>
    <row r="160" spans="1:26" s="24" customFormat="1" hidden="1" outlineLevel="1" x14ac:dyDescent="0.25">
      <c r="A160" s="44"/>
      <c r="B160" s="11" t="str">
        <f>CONCATENATE("          ", "5500", " - ", "FREIGHT-IN")</f>
        <v xml:space="preserve">          5500 - FREIGHT-IN</v>
      </c>
      <c r="C160" s="11"/>
      <c r="D160" s="2"/>
      <c r="E160" s="2"/>
      <c r="F160" s="19">
        <f t="shared" si="26"/>
        <v>0</v>
      </c>
      <c r="G160" s="2"/>
      <c r="H160" s="2">
        <v>35.229999999999997</v>
      </c>
      <c r="I160" s="2"/>
      <c r="J160" s="19">
        <f t="shared" si="27"/>
        <v>5.6364441374629314E-5</v>
      </c>
      <c r="K160" s="2"/>
      <c r="L160" s="2">
        <f t="shared" si="28"/>
        <v>-35.229999999999997</v>
      </c>
      <c r="M160" s="2"/>
      <c r="N160" s="19">
        <f t="shared" si="29"/>
        <v>-1</v>
      </c>
      <c r="O160" s="11"/>
      <c r="P160" s="2"/>
      <c r="Q160" s="2"/>
      <c r="R160" s="19">
        <f t="shared" si="30"/>
        <v>0</v>
      </c>
      <c r="S160" s="2"/>
      <c r="T160" s="2">
        <v>35.229999999999997</v>
      </c>
      <c r="U160" s="2"/>
      <c r="V160" s="19">
        <f t="shared" si="31"/>
        <v>5.9118466605853474E-6</v>
      </c>
      <c r="W160" s="2"/>
      <c r="X160" s="2">
        <f t="shared" si="32"/>
        <v>-35.229999999999997</v>
      </c>
      <c r="Y160" s="2"/>
      <c r="Z160" s="19">
        <f t="shared" si="33"/>
        <v>-1</v>
      </c>
    </row>
    <row r="161" spans="1:26" s="24" customFormat="1" hidden="1" outlineLevel="1" x14ac:dyDescent="0.25">
      <c r="A161" s="44"/>
      <c r="B161" s="11" t="str">
        <f>CONCATENATE("          ", "5501", " - ", "FREIGHT-IN-NEW TEXT")</f>
        <v xml:space="preserve">          5501 - FREIGHT-IN-NEW TEXT</v>
      </c>
      <c r="C161" s="11"/>
      <c r="D161" s="2">
        <v>23295.74</v>
      </c>
      <c r="E161" s="2"/>
      <c r="F161" s="19">
        <f t="shared" si="26"/>
        <v>6.9968559149697143E-2</v>
      </c>
      <c r="G161" s="2"/>
      <c r="H161" s="2">
        <v>7434.02</v>
      </c>
      <c r="I161" s="2"/>
      <c r="J161" s="19">
        <f t="shared" si="27"/>
        <v>1.1893681080551289E-2</v>
      </c>
      <c r="K161" s="2"/>
      <c r="L161" s="2">
        <f t="shared" si="28"/>
        <v>15861.720000000001</v>
      </c>
      <c r="M161" s="2"/>
      <c r="N161" s="19">
        <f t="shared" si="29"/>
        <v>2.1336665760920739</v>
      </c>
      <c r="O161" s="11"/>
      <c r="P161" s="2">
        <v>34058.620000000003</v>
      </c>
      <c r="Q161" s="2"/>
      <c r="R161" s="19">
        <f t="shared" si="30"/>
        <v>9.7585484014057807E-3</v>
      </c>
      <c r="S161" s="2"/>
      <c r="T161" s="2">
        <v>34017.480000000003</v>
      </c>
      <c r="U161" s="2"/>
      <c r="V161" s="19">
        <f t="shared" si="31"/>
        <v>5.7083771087007911E-3</v>
      </c>
      <c r="W161" s="2"/>
      <c r="X161" s="2">
        <f t="shared" si="32"/>
        <v>41.139999999999418</v>
      </c>
      <c r="Y161" s="2"/>
      <c r="Z161" s="19">
        <f t="shared" si="33"/>
        <v>1.2093782373062147E-3</v>
      </c>
    </row>
    <row r="162" spans="1:26" s="24" customFormat="1" hidden="1" outlineLevel="1" x14ac:dyDescent="0.25">
      <c r="A162" s="44"/>
      <c r="B162" s="11" t="str">
        <f>CONCATENATE("          ", "5502", " - ", "FREIGHT-IN-USED TEXT")</f>
        <v xml:space="preserve">          5502 - FREIGHT-IN-USED TEXT</v>
      </c>
      <c r="C162" s="11"/>
      <c r="D162" s="2">
        <v>2233.9</v>
      </c>
      <c r="E162" s="2"/>
      <c r="F162" s="19">
        <f t="shared" si="26"/>
        <v>6.7094998606830446E-3</v>
      </c>
      <c r="G162" s="2"/>
      <c r="H162" s="2">
        <v>591.29999999999995</v>
      </c>
      <c r="I162" s="2"/>
      <c r="J162" s="19">
        <f t="shared" si="27"/>
        <v>9.4602027206410204E-4</v>
      </c>
      <c r="K162" s="2"/>
      <c r="L162" s="2">
        <f t="shared" si="28"/>
        <v>1642.6000000000001</v>
      </c>
      <c r="M162" s="2"/>
      <c r="N162" s="19">
        <f t="shared" si="29"/>
        <v>2.7779468966683583</v>
      </c>
      <c r="O162" s="11"/>
      <c r="P162" s="2">
        <v>10744.72</v>
      </c>
      <c r="Q162" s="2"/>
      <c r="R162" s="19">
        <f t="shared" si="30"/>
        <v>3.0786000777351724E-3</v>
      </c>
      <c r="S162" s="2"/>
      <c r="T162" s="2">
        <v>6852.47</v>
      </c>
      <c r="U162" s="2"/>
      <c r="V162" s="19">
        <f t="shared" si="31"/>
        <v>1.1498936101692102E-3</v>
      </c>
      <c r="W162" s="2"/>
      <c r="X162" s="2">
        <f t="shared" si="32"/>
        <v>3892.2499999999991</v>
      </c>
      <c r="Y162" s="2"/>
      <c r="Z162" s="19">
        <f t="shared" si="33"/>
        <v>0.56800686467799189</v>
      </c>
    </row>
    <row r="163" spans="1:26" s="24" customFormat="1" hidden="1" outlineLevel="1" x14ac:dyDescent="0.25">
      <c r="A163" s="44"/>
      <c r="B163" s="11" t="str">
        <f>CONCATENATE("          ", "5504", " - ", "FREIGHT-IN-DIGITAL TEXT")</f>
        <v xml:space="preserve">          5504 - FREIGHT-IN-DIGITAL TEXT</v>
      </c>
      <c r="C163" s="11"/>
      <c r="D163" s="2">
        <v>10.99</v>
      </c>
      <c r="E163" s="2"/>
      <c r="F163" s="19">
        <f t="shared" si="26"/>
        <v>3.3008372563188443E-5</v>
      </c>
      <c r="G163" s="2"/>
      <c r="H163" s="2">
        <v>93.94</v>
      </c>
      <c r="I163" s="2"/>
      <c r="J163" s="19">
        <f t="shared" si="27"/>
        <v>1.5029451100575299E-4</v>
      </c>
      <c r="K163" s="2"/>
      <c r="L163" s="2">
        <f t="shared" si="28"/>
        <v>-82.95</v>
      </c>
      <c r="M163" s="2"/>
      <c r="N163" s="19">
        <f t="shared" si="29"/>
        <v>-0.88301043219076014</v>
      </c>
      <c r="O163" s="11"/>
      <c r="P163" s="2">
        <v>21.98</v>
      </c>
      <c r="Q163" s="2"/>
      <c r="R163" s="19">
        <f t="shared" si="30"/>
        <v>6.2977564523430205E-6</v>
      </c>
      <c r="S163" s="2"/>
      <c r="T163" s="2">
        <v>100.97</v>
      </c>
      <c r="U163" s="2"/>
      <c r="V163" s="19">
        <f t="shared" si="31"/>
        <v>1.6943490131118438E-5</v>
      </c>
      <c r="W163" s="2"/>
      <c r="X163" s="2">
        <f t="shared" si="32"/>
        <v>-78.989999999999995</v>
      </c>
      <c r="Y163" s="2"/>
      <c r="Z163" s="19">
        <f t="shared" si="33"/>
        <v>-0.78231157769634541</v>
      </c>
    </row>
    <row r="164" spans="1:26" s="24" customFormat="1" hidden="1" outlineLevel="1" x14ac:dyDescent="0.25">
      <c r="A164" s="44"/>
      <c r="B164" s="11" t="str">
        <f>CONCATENATE("          ", "5525", " - ", "FREIGHT-IN-TEST FORMS")</f>
        <v xml:space="preserve">          5525 - FREIGHT-IN-TEST FORMS</v>
      </c>
      <c r="C164" s="11"/>
      <c r="D164" s="2">
        <v>48.14</v>
      </c>
      <c r="E164" s="2"/>
      <c r="F164" s="19">
        <f t="shared" si="26"/>
        <v>1.4458808509480362E-4</v>
      </c>
      <c r="G164" s="2"/>
      <c r="H164" s="2">
        <v>39.22</v>
      </c>
      <c r="I164" s="2"/>
      <c r="J164" s="19">
        <f t="shared" si="27"/>
        <v>6.2748038339851316E-5</v>
      </c>
      <c r="K164" s="2"/>
      <c r="L164" s="2">
        <f t="shared" si="28"/>
        <v>8.9200000000000017</v>
      </c>
      <c r="M164" s="2"/>
      <c r="N164" s="19">
        <f t="shared" si="29"/>
        <v>0.22743498215196334</v>
      </c>
      <c r="O164" s="11"/>
      <c r="P164" s="2">
        <v>48.14</v>
      </c>
      <c r="Q164" s="2"/>
      <c r="R164" s="19">
        <f t="shared" si="30"/>
        <v>1.3793175414731255E-5</v>
      </c>
      <c r="S164" s="2"/>
      <c r="T164" s="2">
        <v>39.22</v>
      </c>
      <c r="U164" s="2"/>
      <c r="V164" s="19">
        <f t="shared" si="31"/>
        <v>6.5813972758489165E-6</v>
      </c>
      <c r="W164" s="2"/>
      <c r="X164" s="2">
        <f t="shared" si="32"/>
        <v>8.9200000000000017</v>
      </c>
      <c r="Y164" s="2"/>
      <c r="Z164" s="19">
        <f t="shared" si="33"/>
        <v>0.22743498215196334</v>
      </c>
    </row>
    <row r="165" spans="1:26" s="24" customFormat="1" hidden="1" outlineLevel="1" x14ac:dyDescent="0.25">
      <c r="A165" s="44"/>
      <c r="B165" s="11" t="str">
        <f>CONCATENATE("          ", "5526", " - ", "FREIGHT-IN-WRITING INSTRUMENTS")</f>
        <v xml:space="preserve">          5526 - FREIGHT-IN-WRITING INSTRUMENTS</v>
      </c>
      <c r="C165" s="11"/>
      <c r="D165" s="2"/>
      <c r="E165" s="2"/>
      <c r="F165" s="19">
        <f t="shared" si="26"/>
        <v>0</v>
      </c>
      <c r="G165" s="2"/>
      <c r="H165" s="2"/>
      <c r="I165" s="2"/>
      <c r="J165" s="19">
        <f t="shared" si="27"/>
        <v>0</v>
      </c>
      <c r="K165" s="2"/>
      <c r="L165" s="2">
        <f t="shared" si="28"/>
        <v>0</v>
      </c>
      <c r="M165" s="2"/>
      <c r="N165" s="19">
        <f t="shared" si="29"/>
        <v>0</v>
      </c>
      <c r="O165" s="11"/>
      <c r="P165" s="2"/>
      <c r="Q165" s="2"/>
      <c r="R165" s="19">
        <f t="shared" si="30"/>
        <v>0</v>
      </c>
      <c r="S165" s="2"/>
      <c r="T165" s="2">
        <v>56.57</v>
      </c>
      <c r="U165" s="2"/>
      <c r="V165" s="19">
        <f t="shared" si="31"/>
        <v>9.4928517056290971E-6</v>
      </c>
      <c r="W165" s="2"/>
      <c r="X165" s="2">
        <f t="shared" si="32"/>
        <v>-56.57</v>
      </c>
      <c r="Y165" s="2"/>
      <c r="Z165" s="19">
        <f t="shared" si="33"/>
        <v>-1</v>
      </c>
    </row>
    <row r="166" spans="1:26" s="24" customFormat="1" hidden="1" outlineLevel="1" x14ac:dyDescent="0.25">
      <c r="A166" s="44"/>
      <c r="B166" s="11" t="str">
        <f>CONCATENATE("          ", "5527", " - ", "FREIGHT-IN-SCHOOL SUPPLIES")</f>
        <v xml:space="preserve">          5527 - FREIGHT-IN-SCHOOL SUPPLIES</v>
      </c>
      <c r="C166" s="11"/>
      <c r="D166" s="2">
        <v>56</v>
      </c>
      <c r="E166" s="2"/>
      <c r="F166" s="19">
        <f t="shared" si="26"/>
        <v>1.6819552898439971E-4</v>
      </c>
      <c r="G166" s="2"/>
      <c r="H166" s="2">
        <v>344.59</v>
      </c>
      <c r="I166" s="2"/>
      <c r="J166" s="19">
        <f t="shared" si="27"/>
        <v>5.5130919254281908E-4</v>
      </c>
      <c r="K166" s="2"/>
      <c r="L166" s="2">
        <f t="shared" si="28"/>
        <v>-288.58999999999997</v>
      </c>
      <c r="M166" s="2"/>
      <c r="N166" s="19">
        <f t="shared" si="29"/>
        <v>-0.83748802925215471</v>
      </c>
      <c r="O166" s="11"/>
      <c r="P166" s="2">
        <v>56</v>
      </c>
      <c r="Q166" s="2"/>
      <c r="R166" s="19">
        <f t="shared" si="30"/>
        <v>1.6045239369026804E-5</v>
      </c>
      <c r="S166" s="2"/>
      <c r="T166" s="2">
        <v>738.49</v>
      </c>
      <c r="U166" s="2"/>
      <c r="V166" s="19">
        <f t="shared" si="31"/>
        <v>1.2392391826215367E-4</v>
      </c>
      <c r="W166" s="2"/>
      <c r="X166" s="2">
        <f t="shared" si="32"/>
        <v>-682.49</v>
      </c>
      <c r="Y166" s="2"/>
      <c r="Z166" s="19">
        <f t="shared" si="33"/>
        <v>-0.92416958929707915</v>
      </c>
    </row>
    <row r="167" spans="1:26" s="24" customFormat="1" hidden="1" outlineLevel="1" x14ac:dyDescent="0.25">
      <c r="A167" s="44"/>
      <c r="B167" s="11" t="str">
        <f>CONCATENATE("          ", "5528", " - ", "FREIGHT-IN-ART/TECH")</f>
        <v xml:space="preserve">          5528 - FREIGHT-IN-ART/TECH</v>
      </c>
      <c r="C167" s="11"/>
      <c r="D167" s="2">
        <v>239.39</v>
      </c>
      <c r="E167" s="2"/>
      <c r="F167" s="19">
        <f t="shared" si="26"/>
        <v>7.1900585149241867E-4</v>
      </c>
      <c r="G167" s="2"/>
      <c r="H167" s="2">
        <v>185.67</v>
      </c>
      <c r="I167" s="2"/>
      <c r="J167" s="19">
        <f t="shared" si="27"/>
        <v>2.9705324524630783E-4</v>
      </c>
      <c r="K167" s="2"/>
      <c r="L167" s="2">
        <f t="shared" si="28"/>
        <v>53.72</v>
      </c>
      <c r="M167" s="2"/>
      <c r="N167" s="19">
        <f t="shared" si="29"/>
        <v>0.28933053266548175</v>
      </c>
      <c r="O167" s="11"/>
      <c r="P167" s="2">
        <v>284.2</v>
      </c>
      <c r="Q167" s="2"/>
      <c r="R167" s="19">
        <f t="shared" si="30"/>
        <v>8.1429589797811023E-5</v>
      </c>
      <c r="S167" s="2"/>
      <c r="T167" s="2">
        <v>818.44</v>
      </c>
      <c r="U167" s="2"/>
      <c r="V167" s="19">
        <f t="shared" si="31"/>
        <v>1.3734010164318682E-4</v>
      </c>
      <c r="W167" s="2"/>
      <c r="X167" s="2">
        <f t="shared" si="32"/>
        <v>-534.24</v>
      </c>
      <c r="Y167" s="2"/>
      <c r="Z167" s="19">
        <f t="shared" si="33"/>
        <v>-0.65275401984262738</v>
      </c>
    </row>
    <row r="168" spans="1:26" s="24" customFormat="1" hidden="1" outlineLevel="1" x14ac:dyDescent="0.25">
      <c r="A168" s="44"/>
      <c r="B168" s="11" t="str">
        <f>CONCATENATE("          ", "5540", " - ", "FREIGHT-IN-LOGO CLOTHING")</f>
        <v xml:space="preserve">          5540 - FREIGHT-IN-LOGO CLOTHING</v>
      </c>
      <c r="C168" s="11"/>
      <c r="D168" s="2">
        <v>1036.57</v>
      </c>
      <c r="E168" s="2"/>
      <c r="F168" s="19">
        <f t="shared" si="26"/>
        <v>3.1133292764171285E-3</v>
      </c>
      <c r="G168" s="2"/>
      <c r="H168" s="2">
        <v>9102.58</v>
      </c>
      <c r="I168" s="2"/>
      <c r="J168" s="19">
        <f t="shared" si="27"/>
        <v>1.4563208537265778E-2</v>
      </c>
      <c r="K168" s="2"/>
      <c r="L168" s="2">
        <f t="shared" si="28"/>
        <v>-8066.01</v>
      </c>
      <c r="M168" s="2"/>
      <c r="N168" s="19">
        <f t="shared" si="29"/>
        <v>-0.88612349465755869</v>
      </c>
      <c r="O168" s="11"/>
      <c r="P168" s="2">
        <v>3202.33</v>
      </c>
      <c r="Q168" s="2"/>
      <c r="R168" s="19">
        <f t="shared" si="30"/>
        <v>9.1753841765384995E-4</v>
      </c>
      <c r="S168" s="2"/>
      <c r="T168" s="2">
        <v>14107.44</v>
      </c>
      <c r="U168" s="2"/>
      <c r="V168" s="19">
        <f t="shared" si="31"/>
        <v>2.367329606965886E-3</v>
      </c>
      <c r="W168" s="2"/>
      <c r="X168" s="2">
        <f t="shared" si="32"/>
        <v>-10905.11</v>
      </c>
      <c r="Y168" s="2"/>
      <c r="Z168" s="19">
        <f t="shared" si="33"/>
        <v>-0.77300417368424035</v>
      </c>
    </row>
    <row r="169" spans="1:26" s="24" customFormat="1" hidden="1" outlineLevel="1" x14ac:dyDescent="0.25">
      <c r="A169" s="44"/>
      <c r="B169" s="11" t="str">
        <f>CONCATENATE("          ", "5541", " - ", "FREIGHT-IN-LOGO GIFTS")</f>
        <v xml:space="preserve">          5541 - FREIGHT-IN-LOGO GIFTS</v>
      </c>
      <c r="C169" s="11"/>
      <c r="D169" s="2">
        <v>773.7</v>
      </c>
      <c r="E169" s="2"/>
      <c r="F169" s="19">
        <f t="shared" si="26"/>
        <v>2.3238014424148226E-3</v>
      </c>
      <c r="G169" s="2"/>
      <c r="H169" s="2">
        <v>718.84</v>
      </c>
      <c r="I169" s="2"/>
      <c r="J169" s="19">
        <f t="shared" si="27"/>
        <v>1.1500713890927772E-3</v>
      </c>
      <c r="K169" s="2"/>
      <c r="L169" s="2">
        <f t="shared" si="28"/>
        <v>54.860000000000014</v>
      </c>
      <c r="M169" s="2"/>
      <c r="N169" s="19">
        <f t="shared" si="29"/>
        <v>7.6317400255967963E-2</v>
      </c>
      <c r="O169" s="11"/>
      <c r="P169" s="2">
        <v>1134.81</v>
      </c>
      <c r="Q169" s="2"/>
      <c r="R169" s="19">
        <f t="shared" si="30"/>
        <v>3.2514818014938042E-4</v>
      </c>
      <c r="S169" s="2"/>
      <c r="T169" s="2">
        <v>1536.85</v>
      </c>
      <c r="U169" s="2"/>
      <c r="V169" s="19">
        <f t="shared" si="31"/>
        <v>2.5789445189669573E-4</v>
      </c>
      <c r="W169" s="2"/>
      <c r="X169" s="2">
        <f t="shared" si="32"/>
        <v>-402.03999999999996</v>
      </c>
      <c r="Y169" s="2"/>
      <c r="Z169" s="19">
        <f t="shared" si="33"/>
        <v>-0.26160002602726357</v>
      </c>
    </row>
    <row r="170" spans="1:26" s="24" customFormat="1" hidden="1" outlineLevel="1" x14ac:dyDescent="0.25">
      <c r="A170" s="44"/>
      <c r="B170" s="11" t="str">
        <f>CONCATENATE("          ", "5542", " - ", "FREIGHT-IN-EVERYDAY GIFTS")</f>
        <v xml:space="preserve">          5542 - FREIGHT-IN-EVERYDAY GIFTS</v>
      </c>
      <c r="C170" s="11"/>
      <c r="D170" s="2">
        <v>104.17</v>
      </c>
      <c r="E170" s="2"/>
      <c r="F170" s="19">
        <f t="shared" si="26"/>
        <v>3.1287371882687354E-4</v>
      </c>
      <c r="G170" s="2"/>
      <c r="H170" s="2">
        <v>596.04999999999995</v>
      </c>
      <c r="I170" s="2"/>
      <c r="J170" s="19">
        <f t="shared" si="27"/>
        <v>9.536197922607949E-4</v>
      </c>
      <c r="K170" s="2"/>
      <c r="L170" s="2">
        <f t="shared" si="28"/>
        <v>-491.87999999999994</v>
      </c>
      <c r="M170" s="2"/>
      <c r="N170" s="19">
        <f t="shared" si="29"/>
        <v>-0.8252327824846909</v>
      </c>
      <c r="O170" s="11"/>
      <c r="P170" s="2">
        <v>175.55</v>
      </c>
      <c r="Q170" s="2"/>
      <c r="R170" s="19">
        <f t="shared" si="30"/>
        <v>5.0298960200583133E-5</v>
      </c>
      <c r="S170" s="2"/>
      <c r="T170" s="2">
        <v>767.73</v>
      </c>
      <c r="U170" s="2"/>
      <c r="V170" s="19">
        <f t="shared" si="31"/>
        <v>1.2883059996398493E-4</v>
      </c>
      <c r="W170" s="2"/>
      <c r="X170" s="2">
        <f t="shared" si="32"/>
        <v>-592.18000000000006</v>
      </c>
      <c r="Y170" s="2"/>
      <c r="Z170" s="19">
        <f t="shared" si="33"/>
        <v>-0.77133888215909241</v>
      </c>
    </row>
    <row r="171" spans="1:26" s="24" customFormat="1" hidden="1" outlineLevel="1" x14ac:dyDescent="0.25">
      <c r="A171" s="44"/>
      <c r="B171" s="11" t="str">
        <f>CONCATENATE("          ", "5543", " - ", "FREIGHT-IN-CARDS")</f>
        <v xml:space="preserve">          5543 - FREIGHT-IN-CARDS</v>
      </c>
      <c r="C171" s="11"/>
      <c r="D171" s="2">
        <v>107.42</v>
      </c>
      <c r="E171" s="2"/>
      <c r="F171" s="19">
        <f t="shared" si="26"/>
        <v>3.2263506649114673E-4</v>
      </c>
      <c r="G171" s="2"/>
      <c r="H171" s="2"/>
      <c r="I171" s="2"/>
      <c r="J171" s="19">
        <f t="shared" si="27"/>
        <v>0</v>
      </c>
      <c r="K171" s="2"/>
      <c r="L171" s="2">
        <f t="shared" si="28"/>
        <v>107.42</v>
      </c>
      <c r="M171" s="2"/>
      <c r="N171" s="19">
        <f t="shared" si="29"/>
        <v>0</v>
      </c>
      <c r="O171" s="11"/>
      <c r="P171" s="2">
        <v>189.19</v>
      </c>
      <c r="Q171" s="2"/>
      <c r="R171" s="19">
        <f t="shared" si="30"/>
        <v>5.420712207546751E-5</v>
      </c>
      <c r="S171" s="2"/>
      <c r="T171" s="2">
        <v>4.58</v>
      </c>
      <c r="U171" s="2"/>
      <c r="V171" s="19">
        <f t="shared" si="31"/>
        <v>7.685568465932697E-7</v>
      </c>
      <c r="W171" s="2"/>
      <c r="X171" s="2">
        <f t="shared" si="32"/>
        <v>184.60999999999999</v>
      </c>
      <c r="Y171" s="2"/>
      <c r="Z171" s="19">
        <f t="shared" si="33"/>
        <v>40.307860262008731</v>
      </c>
    </row>
    <row r="172" spans="1:26" s="24" customFormat="1" hidden="1" outlineLevel="1" x14ac:dyDescent="0.25">
      <c r="A172" s="44"/>
      <c r="B172" s="11" t="str">
        <f>CONCATENATE("          ", "5544", " - ", "FREIGHT-IN-ACCESSORIES")</f>
        <v xml:space="preserve">          5544 - FREIGHT-IN-ACCESSORIES</v>
      </c>
      <c r="C172" s="11"/>
      <c r="D172" s="2"/>
      <c r="E172" s="2"/>
      <c r="F172" s="19">
        <f t="shared" si="26"/>
        <v>0</v>
      </c>
      <c r="G172" s="2"/>
      <c r="H172" s="2">
        <v>223.25</v>
      </c>
      <c r="I172" s="2"/>
      <c r="J172" s="19">
        <f t="shared" si="27"/>
        <v>3.5717744924456421E-4</v>
      </c>
      <c r="K172" s="2"/>
      <c r="L172" s="2">
        <f t="shared" si="28"/>
        <v>-223.25</v>
      </c>
      <c r="M172" s="2"/>
      <c r="N172" s="19">
        <f t="shared" si="29"/>
        <v>-1</v>
      </c>
      <c r="O172" s="11"/>
      <c r="P172" s="2"/>
      <c r="Q172" s="2"/>
      <c r="R172" s="19">
        <f t="shared" si="30"/>
        <v>0</v>
      </c>
      <c r="S172" s="2"/>
      <c r="T172" s="2">
        <v>359.09</v>
      </c>
      <c r="U172" s="2"/>
      <c r="V172" s="19">
        <f t="shared" si="31"/>
        <v>6.0257877302003758E-5</v>
      </c>
      <c r="W172" s="2"/>
      <c r="X172" s="2">
        <f t="shared" si="32"/>
        <v>-359.09</v>
      </c>
      <c r="Y172" s="2"/>
      <c r="Z172" s="19">
        <f t="shared" si="33"/>
        <v>-1</v>
      </c>
    </row>
    <row r="173" spans="1:26" s="24" customFormat="1" hidden="1" outlineLevel="1" x14ac:dyDescent="0.25">
      <c r="A173" s="44"/>
      <c r="B173" s="11" t="str">
        <f>CONCATENATE("          ", "5545", " - ", "FREIGHT-IN-SPECIAL ORDERS")</f>
        <v xml:space="preserve">          5545 - FREIGHT-IN-SPECIAL ORDERS</v>
      </c>
      <c r="C173" s="11"/>
      <c r="D173" s="2">
        <v>189.66</v>
      </c>
      <c r="E173" s="2"/>
      <c r="F173" s="19">
        <f t="shared" si="26"/>
        <v>5.6964221477109368E-4</v>
      </c>
      <c r="G173" s="2"/>
      <c r="H173" s="2">
        <v>84.47</v>
      </c>
      <c r="I173" s="2"/>
      <c r="J173" s="19">
        <f t="shared" si="27"/>
        <v>1.3514346758203063E-4</v>
      </c>
      <c r="K173" s="2"/>
      <c r="L173" s="2">
        <f t="shared" si="28"/>
        <v>105.19</v>
      </c>
      <c r="M173" s="2"/>
      <c r="N173" s="19">
        <f t="shared" si="29"/>
        <v>1.2452941872854268</v>
      </c>
      <c r="O173" s="11"/>
      <c r="P173" s="2">
        <v>850.27</v>
      </c>
      <c r="Q173" s="2"/>
      <c r="R173" s="19">
        <f t="shared" si="30"/>
        <v>2.436211728268289E-4</v>
      </c>
      <c r="S173" s="2"/>
      <c r="T173" s="2">
        <v>346.98</v>
      </c>
      <c r="U173" s="2"/>
      <c r="V173" s="19">
        <f t="shared" si="31"/>
        <v>5.822573245216872E-5</v>
      </c>
      <c r="W173" s="2"/>
      <c r="X173" s="2">
        <f t="shared" si="32"/>
        <v>503.28999999999996</v>
      </c>
      <c r="Y173" s="2"/>
      <c r="Z173" s="19">
        <f t="shared" si="33"/>
        <v>1.4504870597728974</v>
      </c>
    </row>
    <row r="174" spans="1:26" s="24" customFormat="1" hidden="1" outlineLevel="1" x14ac:dyDescent="0.25">
      <c r="A174" s="44"/>
      <c r="B174" s="11" t="str">
        <f>CONCATENATE("          ", "5581", " - ", "FREIGHT-IN-ELECTRONICS")</f>
        <v xml:space="preserve">          5581 - FREIGHT-IN-ELECTRONICS</v>
      </c>
      <c r="C174" s="11"/>
      <c r="D174" s="2"/>
      <c r="E174" s="2"/>
      <c r="F174" s="19">
        <f t="shared" si="26"/>
        <v>0</v>
      </c>
      <c r="G174" s="2"/>
      <c r="H174" s="2">
        <v>12.8</v>
      </c>
      <c r="I174" s="2"/>
      <c r="J174" s="19">
        <f t="shared" si="27"/>
        <v>2.0478707056351272E-5</v>
      </c>
      <c r="K174" s="2"/>
      <c r="L174" s="2">
        <f t="shared" si="28"/>
        <v>-12.8</v>
      </c>
      <c r="M174" s="2"/>
      <c r="N174" s="19">
        <f t="shared" si="29"/>
        <v>-1</v>
      </c>
      <c r="O174" s="11"/>
      <c r="P174" s="2"/>
      <c r="Q174" s="2"/>
      <c r="R174" s="19">
        <f t="shared" si="30"/>
        <v>0</v>
      </c>
      <c r="S174" s="2"/>
      <c r="T174" s="2">
        <v>105.75</v>
      </c>
      <c r="U174" s="2"/>
      <c r="V174" s="19">
        <f t="shared" si="31"/>
        <v>1.774560841206076E-5</v>
      </c>
      <c r="W174" s="2"/>
      <c r="X174" s="2">
        <f t="shared" si="32"/>
        <v>-105.75</v>
      </c>
      <c r="Y174" s="2"/>
      <c r="Z174" s="19">
        <f t="shared" si="33"/>
        <v>-1</v>
      </c>
    </row>
    <row r="175" spans="1:26" s="24" customFormat="1" hidden="1" outlineLevel="1" x14ac:dyDescent="0.25">
      <c r="A175" s="44"/>
      <c r="B175" s="11" t="str">
        <f>CONCATENATE("          ", "5582", " - ", "FREIGHT-IN-COMPUTER HARDWARE")</f>
        <v xml:space="preserve">          5582 - FREIGHT-IN-COMPUTER HARDWARE</v>
      </c>
      <c r="C175" s="11"/>
      <c r="D175" s="2">
        <v>70</v>
      </c>
      <c r="E175" s="2"/>
      <c r="F175" s="19">
        <f t="shared" si="26"/>
        <v>2.1024441123049963E-4</v>
      </c>
      <c r="G175" s="2"/>
      <c r="H175" s="2"/>
      <c r="I175" s="2"/>
      <c r="J175" s="19">
        <f t="shared" si="27"/>
        <v>0</v>
      </c>
      <c r="K175" s="2"/>
      <c r="L175" s="2">
        <f t="shared" si="28"/>
        <v>70</v>
      </c>
      <c r="M175" s="2"/>
      <c r="N175" s="19">
        <f t="shared" si="29"/>
        <v>0</v>
      </c>
      <c r="O175" s="11"/>
      <c r="P175" s="2">
        <v>94</v>
      </c>
      <c r="Q175" s="2"/>
      <c r="R175" s="19">
        <f t="shared" si="30"/>
        <v>2.6933080369437848E-5</v>
      </c>
      <c r="S175" s="2"/>
      <c r="T175" s="2">
        <v>4.84</v>
      </c>
      <c r="U175" s="2"/>
      <c r="V175" s="19">
        <f t="shared" si="31"/>
        <v>8.121867112470361E-7</v>
      </c>
      <c r="W175" s="2"/>
      <c r="X175" s="2">
        <f t="shared" si="32"/>
        <v>89.16</v>
      </c>
      <c r="Y175" s="2"/>
      <c r="Z175" s="19">
        <f t="shared" si="33"/>
        <v>18.421487603305785</v>
      </c>
    </row>
    <row r="176" spans="1:26" s="24" customFormat="1" hidden="1" outlineLevel="1" x14ac:dyDescent="0.25">
      <c r="A176" s="44"/>
      <c r="B176" s="11" t="str">
        <f>CONCATENATE("          ", "5583", " - ", "FREIGHT-IN-COMPUTER EQUIPMENT")</f>
        <v xml:space="preserve">          5583 - FREIGHT-IN-COMPUTER EQUIPMENT</v>
      </c>
      <c r="C176" s="11"/>
      <c r="D176" s="2">
        <v>51.78</v>
      </c>
      <c r="E176" s="2"/>
      <c r="F176" s="19">
        <f t="shared" si="26"/>
        <v>1.5552079447878959E-4</v>
      </c>
      <c r="G176" s="2"/>
      <c r="H176" s="2"/>
      <c r="I176" s="2"/>
      <c r="J176" s="19">
        <f t="shared" si="27"/>
        <v>0</v>
      </c>
      <c r="K176" s="2"/>
      <c r="L176" s="2">
        <f t="shared" si="28"/>
        <v>51.78</v>
      </c>
      <c r="M176" s="2"/>
      <c r="N176" s="19">
        <f t="shared" si="29"/>
        <v>0</v>
      </c>
      <c r="O176" s="11"/>
      <c r="P176" s="2">
        <v>225.17</v>
      </c>
      <c r="Q176" s="2"/>
      <c r="R176" s="19">
        <f t="shared" si="30"/>
        <v>6.4516188370067229E-5</v>
      </c>
      <c r="S176" s="2"/>
      <c r="T176" s="2">
        <v>41</v>
      </c>
      <c r="U176" s="2"/>
      <c r="V176" s="19">
        <f t="shared" si="31"/>
        <v>6.8800940415554709E-6</v>
      </c>
      <c r="W176" s="2"/>
      <c r="X176" s="2">
        <f t="shared" si="32"/>
        <v>184.17</v>
      </c>
      <c r="Y176" s="2"/>
      <c r="Z176" s="19">
        <f t="shared" si="33"/>
        <v>4.4919512195121944</v>
      </c>
    </row>
    <row r="177" spans="1:26" s="24" customFormat="1" hidden="1" outlineLevel="1" x14ac:dyDescent="0.25">
      <c r="A177" s="44"/>
      <c r="B177" s="11" t="str">
        <f>CONCATENATE("          ", "5586", " - ", "FREIGHT-IN-COMPUTER SUPPLIES")</f>
        <v xml:space="preserve">          5586 - FREIGHT-IN-COMPUTER SUPPLIES</v>
      </c>
      <c r="C177" s="11"/>
      <c r="D177" s="2"/>
      <c r="E177" s="2"/>
      <c r="F177" s="19">
        <f t="shared" si="26"/>
        <v>0</v>
      </c>
      <c r="G177" s="2"/>
      <c r="H177" s="2">
        <v>60.12</v>
      </c>
      <c r="I177" s="2"/>
      <c r="J177" s="19">
        <f t="shared" si="27"/>
        <v>9.6185927205299872E-5</v>
      </c>
      <c r="K177" s="2"/>
      <c r="L177" s="2">
        <f t="shared" si="28"/>
        <v>-60.12</v>
      </c>
      <c r="M177" s="2"/>
      <c r="N177" s="19">
        <f t="shared" si="29"/>
        <v>-1</v>
      </c>
      <c r="O177" s="11"/>
      <c r="P177" s="2">
        <v>24.12</v>
      </c>
      <c r="Q177" s="2"/>
      <c r="R177" s="19">
        <f t="shared" si="30"/>
        <v>6.9109138139451162E-6</v>
      </c>
      <c r="S177" s="2"/>
      <c r="T177" s="2">
        <v>162.51</v>
      </c>
      <c r="U177" s="2"/>
      <c r="V177" s="19">
        <f t="shared" si="31"/>
        <v>2.7270343480321454E-5</v>
      </c>
      <c r="W177" s="2"/>
      <c r="X177" s="2">
        <f t="shared" si="32"/>
        <v>-138.38999999999999</v>
      </c>
      <c r="Y177" s="2"/>
      <c r="Z177" s="19">
        <f t="shared" si="33"/>
        <v>-0.85157836440834411</v>
      </c>
    </row>
    <row r="178" spans="1:26" s="24" customFormat="1" hidden="1" outlineLevel="1" x14ac:dyDescent="0.25">
      <c r="A178" s="44"/>
      <c r="B178" s="11" t="str">
        <f>CONCATENATE("          ", "5592", " - ", "FREIGHT-IN-GRAD MERCH")</f>
        <v xml:space="preserve">          5592 - FREIGHT-IN-GRAD MERCH</v>
      </c>
      <c r="C178" s="11"/>
      <c r="D178" s="2"/>
      <c r="E178" s="2"/>
      <c r="F178" s="19">
        <f t="shared" si="26"/>
        <v>0</v>
      </c>
      <c r="G178" s="2"/>
      <c r="H178" s="2"/>
      <c r="I178" s="2"/>
      <c r="J178" s="19">
        <f t="shared" si="27"/>
        <v>0</v>
      </c>
      <c r="K178" s="2"/>
      <c r="L178" s="2">
        <f t="shared" si="28"/>
        <v>0</v>
      </c>
      <c r="M178" s="2"/>
      <c r="N178" s="19">
        <f t="shared" si="29"/>
        <v>0</v>
      </c>
      <c r="O178" s="11"/>
      <c r="P178" s="2"/>
      <c r="Q178" s="2"/>
      <c r="R178" s="19">
        <f t="shared" si="30"/>
        <v>0</v>
      </c>
      <c r="S178" s="2"/>
      <c r="T178" s="2">
        <v>70.78</v>
      </c>
      <c r="U178" s="2"/>
      <c r="V178" s="19">
        <f t="shared" si="31"/>
        <v>1.1877391616129177E-5</v>
      </c>
      <c r="W178" s="2"/>
      <c r="X178" s="2">
        <f t="shared" si="32"/>
        <v>-70.78</v>
      </c>
      <c r="Y178" s="2"/>
      <c r="Z178" s="19">
        <f t="shared" si="33"/>
        <v>-1</v>
      </c>
    </row>
    <row r="179" spans="1:26" x14ac:dyDescent="0.25">
      <c r="A179" s="9"/>
      <c r="B179" s="10"/>
      <c r="C179" s="10"/>
      <c r="D179" s="3"/>
      <c r="E179" s="3"/>
      <c r="F179" s="8"/>
      <c r="G179" s="3"/>
      <c r="H179" s="3"/>
      <c r="I179" s="3"/>
      <c r="J179" s="8"/>
      <c r="K179" s="3"/>
      <c r="L179" s="3"/>
      <c r="M179" s="3"/>
      <c r="N179" s="8"/>
      <c r="O179" s="10"/>
      <c r="P179" s="3"/>
      <c r="Q179" s="3"/>
      <c r="R179" s="8"/>
      <c r="S179" s="3"/>
      <c r="T179" s="3"/>
      <c r="U179" s="3"/>
      <c r="V179" s="8"/>
      <c r="W179" s="3"/>
      <c r="X179" s="3"/>
      <c r="Y179" s="3"/>
      <c r="Z179" s="8"/>
    </row>
    <row r="180" spans="1:26" s="23" customFormat="1" x14ac:dyDescent="0.25">
      <c r="A180" s="10"/>
      <c r="B180" s="25" t="s">
        <v>6</v>
      </c>
      <c r="C180" s="25"/>
      <c r="D180" s="20">
        <f>D12-D123</f>
        <v>89752.329999999871</v>
      </c>
      <c r="E180" s="13"/>
      <c r="F180" s="21">
        <f>IF(D$12=0,0,D180/D$12)</f>
        <v>0.2695703682487926</v>
      </c>
      <c r="G180" s="13"/>
      <c r="H180" s="20">
        <f>H12-H123</f>
        <v>288028.01000000059</v>
      </c>
      <c r="I180" s="13"/>
      <c r="J180" s="21">
        <f>IF(H$12=0,0,H180/H$12)</f>
        <v>0.46081572193858023</v>
      </c>
      <c r="K180" s="15"/>
      <c r="L180" s="20">
        <f>+D180-H180</f>
        <v>-198275.68000000072</v>
      </c>
      <c r="M180" s="15"/>
      <c r="N180" s="21">
        <f>IF(H180=0,0,L180/H180)</f>
        <v>-0.68839027148783316</v>
      </c>
      <c r="O180" s="26"/>
      <c r="P180" s="20">
        <f>P12-P123</f>
        <v>868426.85999999987</v>
      </c>
      <c r="Q180" s="13"/>
      <c r="R180" s="21">
        <f>IF(P$12=0,0,P180/P$12)</f>
        <v>0.24882351505700581</v>
      </c>
      <c r="S180" s="13"/>
      <c r="T180" s="20">
        <f>T12-T123</f>
        <v>1943946.6499999994</v>
      </c>
      <c r="U180" s="13"/>
      <c r="V180" s="21">
        <f>IF(T$12=0,0,T180/T$12)</f>
        <v>0.32620818936016377</v>
      </c>
      <c r="W180" s="15"/>
      <c r="X180" s="20">
        <f>+P180-T180</f>
        <v>-1075519.7899999996</v>
      </c>
      <c r="Y180" s="15"/>
      <c r="Z180" s="21">
        <f>IF(T180=0,0,X180/T180)</f>
        <v>-0.55326610429355139</v>
      </c>
    </row>
    <row r="181" spans="1:26" x14ac:dyDescent="0.25">
      <c r="A181" s="9"/>
      <c r="B181" s="10"/>
      <c r="C181" s="9"/>
      <c r="D181" s="1"/>
      <c r="E181" s="1"/>
      <c r="F181" s="5"/>
      <c r="G181" s="1"/>
      <c r="H181" s="1"/>
      <c r="I181" s="1"/>
      <c r="J181" s="5"/>
      <c r="K181" s="1"/>
      <c r="L181" s="1"/>
      <c r="M181" s="1"/>
      <c r="N181" s="5"/>
      <c r="O181" s="37"/>
      <c r="P181" s="1"/>
      <c r="Q181" s="1"/>
      <c r="R181" s="5"/>
      <c r="S181" s="1"/>
      <c r="T181" s="1"/>
      <c r="U181" s="1"/>
      <c r="V181" s="5"/>
      <c r="W181" s="1"/>
      <c r="X181" s="1"/>
      <c r="Y181" s="1"/>
      <c r="Z181" s="5"/>
    </row>
    <row r="182" spans="1:26" s="23" customFormat="1" x14ac:dyDescent="0.25">
      <c r="A182" s="10"/>
      <c r="B182" s="26" t="s">
        <v>9</v>
      </c>
      <c r="C182" s="10"/>
      <c r="D182" s="22">
        <f>SUM(OSRRefD22x_0)</f>
        <v>335616.08000000007</v>
      </c>
      <c r="E182" s="22"/>
      <c r="F182" s="36">
        <f t="shared" ref="F182:F193" si="34">IF(D$12=0,0,D182/D$12)</f>
        <v>1.0080200734155469</v>
      </c>
      <c r="G182" s="22"/>
      <c r="H182" s="22">
        <f>SUM(OSRRefH22x_0)</f>
        <v>420455.72000000009</v>
      </c>
      <c r="I182" s="22"/>
      <c r="J182" s="36">
        <f t="shared" ref="J182:J193" si="35">IF(H$12=0,0,H182/H$12)</f>
        <v>0.67268668125369191</v>
      </c>
      <c r="K182" s="4"/>
      <c r="L182" s="22">
        <f t="shared" ref="L182:L193" si="36">+D182-H182</f>
        <v>-84839.640000000014</v>
      </c>
      <c r="M182" s="4"/>
      <c r="N182" s="36">
        <f t="shared" ref="N182:N193" si="37">IF(H182=0,0,L182/H182)</f>
        <v>-0.20178020172968511</v>
      </c>
      <c r="O182" s="10"/>
      <c r="P182" s="22">
        <f>SUM(OSRRefP22x_0)</f>
        <v>1177145.92</v>
      </c>
      <c r="Q182" s="22"/>
      <c r="R182" s="36">
        <f t="shared" ref="R182:R193" si="38">IF(P$12=0,0,P182/P$12)</f>
        <v>0.33727835819059415</v>
      </c>
      <c r="S182" s="22"/>
      <c r="T182" s="22">
        <f>SUM(OSRRefT22x_0)</f>
        <v>1642742.5599999994</v>
      </c>
      <c r="U182" s="22"/>
      <c r="V182" s="36">
        <f t="shared" ref="V182:V193" si="39">IF(T$12=0,0,T182/T$12)</f>
        <v>0.27566398289916039</v>
      </c>
      <c r="W182" s="4"/>
      <c r="X182" s="22">
        <f t="shared" ref="X182:X193" si="40">+P182-T182</f>
        <v>-465596.63999999943</v>
      </c>
      <c r="Y182" s="4"/>
      <c r="Z182" s="36">
        <f t="shared" ref="Z182:Z193" si="41">IF(T182=0,0,X182/T182)</f>
        <v>-0.28342641831840021</v>
      </c>
    </row>
    <row r="183" spans="1:26" s="29" customFormat="1" outlineLevel="1" collapsed="1" x14ac:dyDescent="0.25">
      <c r="A183" s="27"/>
      <c r="B183" s="14" t="str">
        <f>CONCATENATE("     ","*Benefits                                         ")</f>
        <v xml:space="preserve">     *Benefits                                         </v>
      </c>
      <c r="C183" s="14"/>
      <c r="D183" s="1">
        <f>SUM(OSRRefD22_0x_0)</f>
        <v>51389.23000000001</v>
      </c>
      <c r="E183" s="1"/>
      <c r="F183" s="5">
        <f t="shared" si="34"/>
        <v>0.15434712007055329</v>
      </c>
      <c r="G183" s="1"/>
      <c r="H183" s="1">
        <f>SUM(OSRRefH22_0x_0)</f>
        <v>64355.5</v>
      </c>
      <c r="I183" s="1"/>
      <c r="J183" s="5">
        <f t="shared" si="35"/>
        <v>0.10296229937226674</v>
      </c>
      <c r="K183" s="1"/>
      <c r="L183" s="1">
        <f t="shared" si="36"/>
        <v>-12966.26999999999</v>
      </c>
      <c r="M183" s="1"/>
      <c r="N183" s="5">
        <f t="shared" si="37"/>
        <v>-0.20147881688433761</v>
      </c>
      <c r="O183" s="14"/>
      <c r="P183" s="1">
        <f>SUM(OSRRefP22_0x_0)</f>
        <v>192868.53999999998</v>
      </c>
      <c r="Q183" s="1"/>
      <c r="R183" s="5">
        <f t="shared" si="38"/>
        <v>5.5261105197405722E-2</v>
      </c>
      <c r="S183" s="1"/>
      <c r="T183" s="1">
        <f>SUM(OSRRefT22_0x_0)</f>
        <v>229701.74</v>
      </c>
      <c r="U183" s="1"/>
      <c r="V183" s="5">
        <f t="shared" si="39"/>
        <v>3.8545599334364002E-2</v>
      </c>
      <c r="W183" s="1"/>
      <c r="X183" s="1">
        <f t="shared" si="40"/>
        <v>-36833.200000000012</v>
      </c>
      <c r="Y183" s="1"/>
      <c r="Z183" s="5">
        <f t="shared" si="41"/>
        <v>-0.16035228988687683</v>
      </c>
    </row>
    <row r="184" spans="1:26" s="24" customFormat="1" hidden="1" outlineLevel="2" x14ac:dyDescent="0.25">
      <c r="A184" s="28"/>
      <c r="B184" s="11" t="str">
        <f>CONCATENATE("          ", "6111", " - ", "F.I.C.A.")</f>
        <v xml:space="preserve">          6111 - F.I.C.A.</v>
      </c>
      <c r="C184" s="11"/>
      <c r="D184" s="6">
        <v>13030.49</v>
      </c>
      <c r="E184" s="2"/>
      <c r="F184" s="7">
        <f t="shared" si="34"/>
        <v>3.9136967115641616E-2</v>
      </c>
      <c r="G184" s="2"/>
      <c r="H184" s="6">
        <v>17165.099999999999</v>
      </c>
      <c r="I184" s="2"/>
      <c r="J184" s="7">
        <f t="shared" si="35"/>
        <v>2.7462426132263688E-2</v>
      </c>
      <c r="K184" s="2"/>
      <c r="L184" s="6">
        <f t="shared" si="36"/>
        <v>-4134.6099999999988</v>
      </c>
      <c r="M184" s="2"/>
      <c r="N184" s="7">
        <f t="shared" si="37"/>
        <v>-0.24087305055024433</v>
      </c>
      <c r="O184" s="11"/>
      <c r="P184" s="6">
        <v>44206.879999999997</v>
      </c>
      <c r="Q184" s="2"/>
      <c r="R184" s="7">
        <f t="shared" si="38"/>
        <v>1.266624948853292E-2</v>
      </c>
      <c r="S184" s="2"/>
      <c r="T184" s="6">
        <v>51335.91</v>
      </c>
      <c r="U184" s="2"/>
      <c r="V184" s="7">
        <f t="shared" si="39"/>
        <v>8.6145338660689741E-3</v>
      </c>
      <c r="W184" s="2"/>
      <c r="X184" s="6">
        <f t="shared" si="40"/>
        <v>-7129.0300000000061</v>
      </c>
      <c r="Y184" s="2"/>
      <c r="Z184" s="7">
        <f t="shared" si="41"/>
        <v>-0.13887023722770289</v>
      </c>
    </row>
    <row r="185" spans="1:26" s="24" customFormat="1" hidden="1" outlineLevel="2" x14ac:dyDescent="0.25">
      <c r="A185" s="28"/>
      <c r="B185" s="11" t="str">
        <f>CONCATENATE("          ", "6112", " - ", "COMPENSATION INSURANCE")</f>
        <v xml:space="preserve">          6112 - COMPENSATION INSURANCE</v>
      </c>
      <c r="C185" s="11"/>
      <c r="D185" s="6">
        <v>1900.4</v>
      </c>
      <c r="E185" s="2"/>
      <c r="F185" s="7">
        <f t="shared" si="34"/>
        <v>5.7078354157491648E-3</v>
      </c>
      <c r="G185" s="2"/>
      <c r="H185" s="6">
        <v>136.85</v>
      </c>
      <c r="I185" s="2"/>
      <c r="J185" s="7">
        <f t="shared" si="35"/>
        <v>2.1894617661419308E-4</v>
      </c>
      <c r="K185" s="2"/>
      <c r="L185" s="6">
        <f t="shared" si="36"/>
        <v>1763.5500000000002</v>
      </c>
      <c r="M185" s="2"/>
      <c r="N185" s="7">
        <f t="shared" si="37"/>
        <v>12.886737303617101</v>
      </c>
      <c r="O185" s="11"/>
      <c r="P185" s="6">
        <v>10427.35</v>
      </c>
      <c r="Q185" s="2"/>
      <c r="R185" s="7">
        <f t="shared" si="38"/>
        <v>2.9876665488325293E-3</v>
      </c>
      <c r="S185" s="2"/>
      <c r="T185" s="6">
        <v>8760.44</v>
      </c>
      <c r="U185" s="2"/>
      <c r="V185" s="7">
        <f t="shared" si="39"/>
        <v>1.4700646596440053E-3</v>
      </c>
      <c r="W185" s="2"/>
      <c r="X185" s="6">
        <f t="shared" si="40"/>
        <v>1666.9099999999999</v>
      </c>
      <c r="Y185" s="2"/>
      <c r="Z185" s="7">
        <f t="shared" si="41"/>
        <v>0.19027697238951466</v>
      </c>
    </row>
    <row r="186" spans="1:26" s="24" customFormat="1" hidden="1" outlineLevel="2" x14ac:dyDescent="0.25">
      <c r="A186" s="28"/>
      <c r="B186" s="11" t="str">
        <f>CONCATENATE("          ", "6113", " - ", "GROUP INSURANCE")</f>
        <v xml:space="preserve">          6113 - GROUP INSURANCE</v>
      </c>
      <c r="C186" s="11"/>
      <c r="D186" s="6">
        <v>15836.910000000002</v>
      </c>
      <c r="E186" s="2"/>
      <c r="F186" s="7">
        <f t="shared" si="34"/>
        <v>4.7566025980863035E-2</v>
      </c>
      <c r="G186" s="2"/>
      <c r="H186" s="6">
        <v>19970.38</v>
      </c>
      <c r="I186" s="2"/>
      <c r="J186" s="7">
        <f t="shared" si="35"/>
        <v>3.1950590767501279E-2</v>
      </c>
      <c r="K186" s="2"/>
      <c r="L186" s="6">
        <f t="shared" si="36"/>
        <v>-4133.4699999999993</v>
      </c>
      <c r="M186" s="2"/>
      <c r="N186" s="7">
        <f t="shared" si="37"/>
        <v>-0.20698003743544185</v>
      </c>
      <c r="O186" s="11"/>
      <c r="P186" s="6">
        <v>62728.97</v>
      </c>
      <c r="Q186" s="2"/>
      <c r="R186" s="7">
        <f t="shared" si="38"/>
        <v>1.7973238196830381E-2</v>
      </c>
      <c r="S186" s="2"/>
      <c r="T186" s="6">
        <v>79429.119999999995</v>
      </c>
      <c r="U186" s="2"/>
      <c r="V186" s="7">
        <f t="shared" si="39"/>
        <v>1.3328775981414499E-2</v>
      </c>
      <c r="W186" s="2"/>
      <c r="X186" s="6">
        <f t="shared" si="40"/>
        <v>-16700.149999999994</v>
      </c>
      <c r="Y186" s="2"/>
      <c r="Z186" s="7">
        <f t="shared" si="41"/>
        <v>-0.2102522349485931</v>
      </c>
    </row>
    <row r="187" spans="1:26" s="24" customFormat="1" hidden="1" outlineLevel="2" x14ac:dyDescent="0.25">
      <c r="A187" s="28"/>
      <c r="B187" s="11" t="str">
        <f>CONCATENATE("          ", "6114", " - ", "STATE UNEMPLOYMENT INSURANCE")</f>
        <v xml:space="preserve">          6114 - STATE UNEMPLOYMENT INSURANCE</v>
      </c>
      <c r="C187" s="11"/>
      <c r="D187" s="6">
        <v>324.23</v>
      </c>
      <c r="E187" s="2"/>
      <c r="F187" s="7">
        <f t="shared" si="34"/>
        <v>9.7382207790378428E-4</v>
      </c>
      <c r="G187" s="2"/>
      <c r="H187" s="6">
        <v>634.78</v>
      </c>
      <c r="I187" s="2"/>
      <c r="J187" s="7">
        <f t="shared" si="35"/>
        <v>1.0155838800961453E-3</v>
      </c>
      <c r="K187" s="2"/>
      <c r="L187" s="6">
        <f t="shared" si="36"/>
        <v>-310.54999999999995</v>
      </c>
      <c r="M187" s="2"/>
      <c r="N187" s="7">
        <f t="shared" si="37"/>
        <v>-0.48922461325183525</v>
      </c>
      <c r="O187" s="11"/>
      <c r="P187" s="6">
        <v>1518.69</v>
      </c>
      <c r="Q187" s="2"/>
      <c r="R187" s="7">
        <f t="shared" si="38"/>
        <v>4.3513829602405922E-4</v>
      </c>
      <c r="S187" s="2"/>
      <c r="T187" s="6">
        <v>2102.64</v>
      </c>
      <c r="U187" s="2"/>
      <c r="V187" s="7">
        <f t="shared" si="39"/>
        <v>3.5283807159844377E-4</v>
      </c>
      <c r="W187" s="2"/>
      <c r="X187" s="6">
        <f t="shared" si="40"/>
        <v>-583.94999999999982</v>
      </c>
      <c r="Y187" s="2"/>
      <c r="Z187" s="7">
        <f t="shared" si="41"/>
        <v>-0.27772229197580178</v>
      </c>
    </row>
    <row r="188" spans="1:26" s="24" customFormat="1" hidden="1" outlineLevel="2" x14ac:dyDescent="0.25">
      <c r="A188" s="28"/>
      <c r="B188" s="11" t="str">
        <f>CONCATENATE("          ", "6115", " - ", "P.E.R.S.")</f>
        <v xml:space="preserve">          6115 - P.E.R.S.</v>
      </c>
      <c r="C188" s="11"/>
      <c r="D188" s="6">
        <v>5115.0600000000004</v>
      </c>
      <c r="E188" s="2"/>
      <c r="F188" s="7">
        <f t="shared" si="34"/>
        <v>1.536303968726685E-2</v>
      </c>
      <c r="G188" s="2"/>
      <c r="H188" s="6">
        <v>11147.32</v>
      </c>
      <c r="I188" s="2"/>
      <c r="J188" s="7">
        <f t="shared" si="35"/>
        <v>1.7834585995578568E-2</v>
      </c>
      <c r="K188" s="2"/>
      <c r="L188" s="6">
        <f t="shared" si="36"/>
        <v>-6032.2599999999993</v>
      </c>
      <c r="M188" s="2"/>
      <c r="N188" s="7">
        <f t="shared" si="37"/>
        <v>-0.54113993318573428</v>
      </c>
      <c r="O188" s="11"/>
      <c r="P188" s="6">
        <v>25977.06</v>
      </c>
      <c r="Q188" s="2"/>
      <c r="R188" s="7">
        <f t="shared" si="38"/>
        <v>7.4430026036352041E-3</v>
      </c>
      <c r="S188" s="2"/>
      <c r="T188" s="6">
        <v>30400.329999999998</v>
      </c>
      <c r="U188" s="2"/>
      <c r="V188" s="7">
        <f t="shared" si="39"/>
        <v>5.1013933974224396E-3</v>
      </c>
      <c r="W188" s="2"/>
      <c r="X188" s="6">
        <f t="shared" si="40"/>
        <v>-4423.2699999999968</v>
      </c>
      <c r="Y188" s="2"/>
      <c r="Z188" s="7">
        <f t="shared" si="41"/>
        <v>-0.14550072318293902</v>
      </c>
    </row>
    <row r="189" spans="1:26" s="24" customFormat="1" hidden="1" outlineLevel="2" x14ac:dyDescent="0.25">
      <c r="A189" s="28"/>
      <c r="B189" s="11" t="str">
        <f>CONCATENATE("          ", "6116", " - ", "EDUCATIONAL BENEFITS")</f>
        <v xml:space="preserve">          6116 - EDUCATIONAL BENEFITS</v>
      </c>
      <c r="C189" s="11"/>
      <c r="D189" s="6"/>
      <c r="E189" s="2"/>
      <c r="F189" s="7">
        <f t="shared" si="34"/>
        <v>0</v>
      </c>
      <c r="G189" s="2"/>
      <c r="H189" s="6"/>
      <c r="I189" s="2"/>
      <c r="J189" s="7">
        <f t="shared" si="35"/>
        <v>0</v>
      </c>
      <c r="K189" s="2"/>
      <c r="L189" s="6">
        <f t="shared" si="36"/>
        <v>0</v>
      </c>
      <c r="M189" s="2"/>
      <c r="N189" s="7">
        <f t="shared" si="37"/>
        <v>0</v>
      </c>
      <c r="O189" s="11"/>
      <c r="P189" s="6">
        <v>0</v>
      </c>
      <c r="Q189" s="2"/>
      <c r="R189" s="7">
        <f t="shared" si="38"/>
        <v>0</v>
      </c>
      <c r="S189" s="2"/>
      <c r="T189" s="6"/>
      <c r="U189" s="2"/>
      <c r="V189" s="7">
        <f t="shared" si="39"/>
        <v>0</v>
      </c>
      <c r="W189" s="2"/>
      <c r="X189" s="6">
        <f t="shared" si="40"/>
        <v>0</v>
      </c>
      <c r="Y189" s="2"/>
      <c r="Z189" s="7">
        <f t="shared" si="41"/>
        <v>0</v>
      </c>
    </row>
    <row r="190" spans="1:26" s="24" customFormat="1" hidden="1" outlineLevel="2" x14ac:dyDescent="0.25">
      <c r="A190" s="28"/>
      <c r="B190" s="11" t="str">
        <f>CONCATENATE("          ", "6117", " - ", "RETIREMENT STAFF HOURLY")</f>
        <v xml:space="preserve">          6117 - RETIREMENT STAFF HOURLY</v>
      </c>
      <c r="C190" s="11"/>
      <c r="D190" s="6">
        <v>378.72</v>
      </c>
      <c r="E190" s="2"/>
      <c r="F190" s="7">
        <f t="shared" si="34"/>
        <v>1.1374823345887833E-3</v>
      </c>
      <c r="G190" s="2"/>
      <c r="H190" s="6">
        <v>237.99</v>
      </c>
      <c r="I190" s="2"/>
      <c r="J190" s="7">
        <f t="shared" si="35"/>
        <v>3.807599603391437E-4</v>
      </c>
      <c r="K190" s="2"/>
      <c r="L190" s="6">
        <f t="shared" si="36"/>
        <v>140.73000000000002</v>
      </c>
      <c r="M190" s="2"/>
      <c r="N190" s="7">
        <f t="shared" si="37"/>
        <v>0.59132736669607977</v>
      </c>
      <c r="O190" s="11"/>
      <c r="P190" s="6">
        <v>1840.3</v>
      </c>
      <c r="Q190" s="2"/>
      <c r="R190" s="7">
        <f t="shared" si="38"/>
        <v>5.2728667876464331E-4</v>
      </c>
      <c r="S190" s="2"/>
      <c r="T190" s="6">
        <v>1251.3800000000001</v>
      </c>
      <c r="U190" s="2"/>
      <c r="V190" s="7">
        <f t="shared" si="39"/>
        <v>2.0999053857857772E-4</v>
      </c>
      <c r="W190" s="2"/>
      <c r="X190" s="6">
        <f t="shared" si="40"/>
        <v>588.91999999999985</v>
      </c>
      <c r="Y190" s="2"/>
      <c r="Z190" s="7">
        <f t="shared" si="41"/>
        <v>0.47061643945084608</v>
      </c>
    </row>
    <row r="191" spans="1:26" s="24" customFormat="1" hidden="1" outlineLevel="2" x14ac:dyDescent="0.25">
      <c r="A191" s="28"/>
      <c r="B191" s="11" t="str">
        <f>CONCATENATE("          ", "6118", " - ", "VACATION")</f>
        <v xml:space="preserve">          6118 - VACATION</v>
      </c>
      <c r="C191" s="11"/>
      <c r="D191" s="6">
        <v>7230.84</v>
      </c>
      <c r="E191" s="2"/>
      <c r="F191" s="7">
        <f t="shared" si="34"/>
        <v>2.1717767121456372E-2</v>
      </c>
      <c r="G191" s="2"/>
      <c r="H191" s="6">
        <v>7486.5</v>
      </c>
      <c r="I191" s="2"/>
      <c r="J191" s="7">
        <f t="shared" si="35"/>
        <v>1.1977643779482329E-2</v>
      </c>
      <c r="K191" s="2"/>
      <c r="L191" s="6">
        <f t="shared" si="36"/>
        <v>-255.65999999999985</v>
      </c>
      <c r="M191" s="2"/>
      <c r="N191" s="7">
        <f t="shared" si="37"/>
        <v>-3.4149469044279686E-2</v>
      </c>
      <c r="O191" s="11"/>
      <c r="P191" s="6">
        <v>22433.809999999998</v>
      </c>
      <c r="Q191" s="2"/>
      <c r="R191" s="7">
        <f t="shared" si="38"/>
        <v>6.4277830608797703E-3</v>
      </c>
      <c r="S191" s="2"/>
      <c r="T191" s="6">
        <v>25988.99</v>
      </c>
      <c r="U191" s="2"/>
      <c r="V191" s="7">
        <f t="shared" si="39"/>
        <v>4.3611389084157251E-3</v>
      </c>
      <c r="W191" s="2"/>
      <c r="X191" s="6">
        <f t="shared" si="40"/>
        <v>-3555.1800000000039</v>
      </c>
      <c r="Y191" s="2"/>
      <c r="Z191" s="7">
        <f t="shared" si="41"/>
        <v>-0.13679561999138881</v>
      </c>
    </row>
    <row r="192" spans="1:26" s="24" customFormat="1" hidden="1" outlineLevel="2" x14ac:dyDescent="0.25">
      <c r="A192" s="28"/>
      <c r="B192" s="11" t="str">
        <f>CONCATENATE("          ", "6119", " - ", "SICK LEAVE")</f>
        <v xml:space="preserve">          6119 - SICK LEAVE</v>
      </c>
      <c r="C192" s="11"/>
      <c r="D192" s="6">
        <v>5525.85</v>
      </c>
      <c r="E192" s="2"/>
      <c r="F192" s="7">
        <f t="shared" si="34"/>
        <v>1.6596843997115092E-2</v>
      </c>
      <c r="G192" s="2"/>
      <c r="H192" s="6">
        <v>5263.96</v>
      </c>
      <c r="I192" s="2"/>
      <c r="J192" s="7">
        <f t="shared" si="35"/>
        <v>8.4218042809649091E-3</v>
      </c>
      <c r="K192" s="2"/>
      <c r="L192" s="6">
        <f t="shared" si="36"/>
        <v>261.89000000000033</v>
      </c>
      <c r="M192" s="2"/>
      <c r="N192" s="7">
        <f t="shared" si="37"/>
        <v>4.9751517868676876E-2</v>
      </c>
      <c r="O192" s="11"/>
      <c r="P192" s="6">
        <v>16774.02</v>
      </c>
      <c r="Q192" s="2"/>
      <c r="R192" s="7">
        <f t="shared" si="38"/>
        <v>4.8061279657293388E-3</v>
      </c>
      <c r="S192" s="2"/>
      <c r="T192" s="6">
        <v>21851.75</v>
      </c>
      <c r="U192" s="2"/>
      <c r="V192" s="7">
        <f t="shared" si="39"/>
        <v>3.6668803651843849E-3</v>
      </c>
      <c r="W192" s="2"/>
      <c r="X192" s="6">
        <f t="shared" si="40"/>
        <v>-5077.7299999999996</v>
      </c>
      <c r="Y192" s="2"/>
      <c r="Z192" s="7">
        <f t="shared" si="41"/>
        <v>-0.23237177800405001</v>
      </c>
    </row>
    <row r="193" spans="1:26" s="24" customFormat="1" hidden="1" outlineLevel="2" x14ac:dyDescent="0.25">
      <c r="A193" s="28"/>
      <c r="B193" s="11" t="str">
        <f>CONCATENATE("          ", "6156", " - ", "EMPLOYEE MEALS")</f>
        <v xml:space="preserve">          6156 - EMPLOYEE MEALS</v>
      </c>
      <c r="C193" s="11"/>
      <c r="D193" s="6">
        <v>2046.73</v>
      </c>
      <c r="E193" s="2"/>
      <c r="F193" s="7">
        <f t="shared" si="34"/>
        <v>6.1473363399685791E-3</v>
      </c>
      <c r="G193" s="2"/>
      <c r="H193" s="6">
        <v>2312.62</v>
      </c>
      <c r="I193" s="2"/>
      <c r="J193" s="7">
        <f t="shared" si="35"/>
        <v>3.6999583994264903E-3</v>
      </c>
      <c r="K193" s="2"/>
      <c r="L193" s="6">
        <f t="shared" si="36"/>
        <v>-265.88999999999987</v>
      </c>
      <c r="M193" s="2"/>
      <c r="N193" s="7">
        <f t="shared" si="37"/>
        <v>-0.11497349326737634</v>
      </c>
      <c r="O193" s="11"/>
      <c r="P193" s="6">
        <v>6961.46</v>
      </c>
      <c r="Q193" s="2"/>
      <c r="R193" s="7">
        <f t="shared" si="38"/>
        <v>1.9946123581768807E-3</v>
      </c>
      <c r="S193" s="2"/>
      <c r="T193" s="6">
        <v>8581.18</v>
      </c>
      <c r="U193" s="2"/>
      <c r="V193" s="7">
        <f t="shared" si="39"/>
        <v>1.4399835460369508E-3</v>
      </c>
      <c r="W193" s="2"/>
      <c r="X193" s="6">
        <f t="shared" si="40"/>
        <v>-1619.7200000000003</v>
      </c>
      <c r="Y193" s="2"/>
      <c r="Z193" s="7">
        <f t="shared" si="41"/>
        <v>-0.18875259579684847</v>
      </c>
    </row>
    <row r="194" spans="1:26" s="29" customFormat="1" outlineLevel="1" collapsed="1" x14ac:dyDescent="0.25">
      <c r="A194" s="27"/>
      <c r="B194" s="14" t="str">
        <f>CONCATENATE("     ","*Payroll                                          ")</f>
        <v xml:space="preserve">     *Payroll                                          </v>
      </c>
      <c r="C194" s="14"/>
      <c r="D194" s="1">
        <f>SUM(OSRRefD22_1x_0)</f>
        <v>126380.26</v>
      </c>
      <c r="E194" s="1"/>
      <c r="F194" s="5">
        <f t="shared" ref="F194:F201" si="42">IF(D$12=0,0,D194/D$12)</f>
        <v>0.37958204792653516</v>
      </c>
      <c r="G194" s="1"/>
      <c r="H194" s="1">
        <f>SUM(OSRRefH22_1x_0)</f>
        <v>196389.44</v>
      </c>
      <c r="I194" s="1"/>
      <c r="J194" s="5">
        <f t="shared" ref="J194:J201" si="43">IF(H$12=0,0,H194/H$12)</f>
        <v>0.31420326646256835</v>
      </c>
      <c r="K194" s="1"/>
      <c r="L194" s="1">
        <f t="shared" ref="L194:L201" si="44">+D194-H194</f>
        <v>-70009.180000000008</v>
      </c>
      <c r="M194" s="1"/>
      <c r="N194" s="5">
        <f t="shared" ref="N194:N201" si="45">IF(H194=0,0,L194/H194)</f>
        <v>-0.35648138718660233</v>
      </c>
      <c r="O194" s="14"/>
      <c r="P194" s="1">
        <f>SUM(OSRRefP22_1x_0)</f>
        <v>550367.99999999988</v>
      </c>
      <c r="Q194" s="1"/>
      <c r="R194" s="5">
        <f t="shared" ref="R194:R201" si="46">IF(P$12=0,0,P194/P$12)</f>
        <v>0.15769261251879538</v>
      </c>
      <c r="S194" s="1"/>
      <c r="T194" s="1">
        <f>SUM(OSRRefT22_1x_0)</f>
        <v>790492.79999999993</v>
      </c>
      <c r="U194" s="1"/>
      <c r="V194" s="5">
        <f t="shared" ref="V194:V201" si="47">IF(T$12=0,0,T194/T$12)</f>
        <v>0.1326503610529878</v>
      </c>
      <c r="W194" s="1"/>
      <c r="X194" s="1">
        <f t="shared" ref="X194:X201" si="48">+P194-T194</f>
        <v>-240124.80000000005</v>
      </c>
      <c r="Y194" s="1"/>
      <c r="Z194" s="5">
        <f t="shared" ref="Z194:Z201" si="49">IF(T194=0,0,X194/T194)</f>
        <v>-0.30376595460452022</v>
      </c>
    </row>
    <row r="195" spans="1:26" s="24" customFormat="1" hidden="1" outlineLevel="2" x14ac:dyDescent="0.25">
      <c r="A195" s="28"/>
      <c r="B195" s="11" t="str">
        <f>CONCATENATE("          ", "6001", " - ", "ADMINISTRATIVE SALARIES")</f>
        <v xml:space="preserve">          6001 - ADMINISTRATIVE SALARIES</v>
      </c>
      <c r="C195" s="11"/>
      <c r="D195" s="6">
        <v>4205.17</v>
      </c>
      <c r="E195" s="2"/>
      <c r="F195" s="7">
        <f t="shared" si="42"/>
        <v>1.2630192725345145E-2</v>
      </c>
      <c r="G195" s="2"/>
      <c r="H195" s="6">
        <v>12324.99</v>
      </c>
      <c r="I195" s="2"/>
      <c r="J195" s="7">
        <f t="shared" si="43"/>
        <v>1.9718739037692098E-2</v>
      </c>
      <c r="K195" s="2"/>
      <c r="L195" s="6">
        <f t="shared" si="44"/>
        <v>-8119.82</v>
      </c>
      <c r="M195" s="2"/>
      <c r="N195" s="7">
        <f t="shared" si="45"/>
        <v>-0.65880945948029168</v>
      </c>
      <c r="O195" s="11"/>
      <c r="P195" s="6">
        <v>17142.5</v>
      </c>
      <c r="Q195" s="2"/>
      <c r="R195" s="7">
        <f t="shared" si="46"/>
        <v>4.9117056407775349E-3</v>
      </c>
      <c r="S195" s="2"/>
      <c r="T195" s="6">
        <v>46083.689999999995</v>
      </c>
      <c r="U195" s="2"/>
      <c r="V195" s="7">
        <f t="shared" si="47"/>
        <v>7.7331736824851078E-3</v>
      </c>
      <c r="W195" s="2"/>
      <c r="X195" s="6">
        <f t="shared" si="48"/>
        <v>-28941.189999999995</v>
      </c>
      <c r="Y195" s="2"/>
      <c r="Z195" s="7">
        <f t="shared" si="49"/>
        <v>-0.6280137289353348</v>
      </c>
    </row>
    <row r="196" spans="1:26" s="24" customFormat="1" hidden="1" outlineLevel="2" x14ac:dyDescent="0.25">
      <c r="A196" s="28"/>
      <c r="B196" s="11" t="str">
        <f>CONCATENATE("          ", "6002", " - ", "STAFF SALARIES")</f>
        <v xml:space="preserve">          6002 - STAFF SALARIES</v>
      </c>
      <c r="C196" s="11"/>
      <c r="D196" s="6">
        <v>57436.28</v>
      </c>
      <c r="E196" s="2"/>
      <c r="F196" s="7">
        <f t="shared" si="42"/>
        <v>0.17250938388385886</v>
      </c>
      <c r="G196" s="2"/>
      <c r="H196" s="6">
        <v>68354.48</v>
      </c>
      <c r="I196" s="2"/>
      <c r="J196" s="7">
        <f t="shared" si="43"/>
        <v>0.10936026343040796</v>
      </c>
      <c r="K196" s="2"/>
      <c r="L196" s="6">
        <f t="shared" si="44"/>
        <v>-10918.199999999997</v>
      </c>
      <c r="M196" s="2"/>
      <c r="N196" s="7">
        <f t="shared" si="45"/>
        <v>-0.15972910627072281</v>
      </c>
      <c r="O196" s="11"/>
      <c r="P196" s="6">
        <v>236331.59999999998</v>
      </c>
      <c r="Q196" s="2"/>
      <c r="R196" s="7">
        <f t="shared" si="46"/>
        <v>6.7714233794019543E-2</v>
      </c>
      <c r="S196" s="2"/>
      <c r="T196" s="6">
        <v>256907.28</v>
      </c>
      <c r="U196" s="2"/>
      <c r="V196" s="7">
        <f t="shared" si="47"/>
        <v>4.3110884057566419E-2</v>
      </c>
      <c r="W196" s="2"/>
      <c r="X196" s="6">
        <f t="shared" si="48"/>
        <v>-20575.680000000022</v>
      </c>
      <c r="Y196" s="2"/>
      <c r="Z196" s="7">
        <f t="shared" si="49"/>
        <v>-8.0089906366219057E-2</v>
      </c>
    </row>
    <row r="197" spans="1:26" s="24" customFormat="1" hidden="1" outlineLevel="2" x14ac:dyDescent="0.25">
      <c r="A197" s="28"/>
      <c r="B197" s="11" t="str">
        <f>CONCATENATE("          ", "6004", " - ", "STAFF HOURLY")</f>
        <v xml:space="preserve">          6004 - STAFF HOURLY</v>
      </c>
      <c r="C197" s="11"/>
      <c r="D197" s="6">
        <v>21970.18</v>
      </c>
      <c r="E197" s="2"/>
      <c r="F197" s="7">
        <f t="shared" si="42"/>
        <v>6.5987250838972833E-2</v>
      </c>
      <c r="G197" s="2"/>
      <c r="H197" s="6">
        <v>4439.95</v>
      </c>
      <c r="I197" s="2"/>
      <c r="J197" s="7">
        <f t="shared" si="43"/>
        <v>7.1034715152224082E-3</v>
      </c>
      <c r="K197" s="2"/>
      <c r="L197" s="6">
        <f t="shared" si="44"/>
        <v>17530.23</v>
      </c>
      <c r="M197" s="2"/>
      <c r="N197" s="7">
        <f t="shared" si="45"/>
        <v>3.9482944627754817</v>
      </c>
      <c r="O197" s="11"/>
      <c r="P197" s="6">
        <v>77997.440000000002</v>
      </c>
      <c r="Q197" s="2"/>
      <c r="R197" s="7">
        <f t="shared" si="46"/>
        <v>2.2347992767344747E-2</v>
      </c>
      <c r="S197" s="2"/>
      <c r="T197" s="6">
        <v>10542.16</v>
      </c>
      <c r="U197" s="2"/>
      <c r="V197" s="7">
        <f t="shared" si="47"/>
        <v>1.7690500536859616E-3</v>
      </c>
      <c r="W197" s="2"/>
      <c r="X197" s="6">
        <f t="shared" si="48"/>
        <v>67455.28</v>
      </c>
      <c r="Y197" s="2"/>
      <c r="Z197" s="7">
        <f t="shared" si="49"/>
        <v>6.3986203965790693</v>
      </c>
    </row>
    <row r="198" spans="1:26" s="24" customFormat="1" hidden="1" outlineLevel="2" x14ac:dyDescent="0.25">
      <c r="A198" s="28"/>
      <c r="B198" s="11" t="str">
        <f>CONCATENATE("          ", "6005", " - ", "TEMPORARY WAGES-HOURLY")</f>
        <v xml:space="preserve">          6005 - TEMPORARY WAGES-HOURLY</v>
      </c>
      <c r="C198" s="11"/>
      <c r="D198" s="6">
        <v>19636.400000000001</v>
      </c>
      <c r="E198" s="2"/>
      <c r="F198" s="7">
        <f t="shared" si="42"/>
        <v>5.8977762238379763E-2</v>
      </c>
      <c r="G198" s="2"/>
      <c r="H198" s="6">
        <v>28722.880000000001</v>
      </c>
      <c r="I198" s="2"/>
      <c r="J198" s="7">
        <f t="shared" si="43"/>
        <v>4.5953706666775847E-2</v>
      </c>
      <c r="K198" s="2"/>
      <c r="L198" s="6">
        <f t="shared" si="44"/>
        <v>-9086.48</v>
      </c>
      <c r="M198" s="2"/>
      <c r="N198" s="7">
        <f t="shared" si="45"/>
        <v>-0.31634989248988954</v>
      </c>
      <c r="O198" s="11"/>
      <c r="P198" s="6">
        <v>80368.899999999994</v>
      </c>
      <c r="Q198" s="2"/>
      <c r="R198" s="7">
        <f t="shared" si="46"/>
        <v>2.3027468541524609E-2</v>
      </c>
      <c r="S198" s="2"/>
      <c r="T198" s="6">
        <v>88906.790000000008</v>
      </c>
      <c r="U198" s="2"/>
      <c r="V198" s="7">
        <f t="shared" si="47"/>
        <v>1.4919196978849357E-2</v>
      </c>
      <c r="W198" s="2"/>
      <c r="X198" s="6">
        <f t="shared" si="48"/>
        <v>-8537.890000000014</v>
      </c>
      <c r="Y198" s="2"/>
      <c r="Z198" s="7">
        <f t="shared" si="49"/>
        <v>-9.6031922871132935E-2</v>
      </c>
    </row>
    <row r="199" spans="1:26" s="24" customFormat="1" hidden="1" outlineLevel="2" x14ac:dyDescent="0.25">
      <c r="A199" s="28"/>
      <c r="B199" s="11" t="str">
        <f>CONCATENATE("          ", "6006", " - ", "TEMPORARY PART TIME")</f>
        <v xml:space="preserve">          6006 - TEMPORARY PART TIME</v>
      </c>
      <c r="C199" s="11"/>
      <c r="D199" s="6">
        <v>1802.76</v>
      </c>
      <c r="E199" s="2"/>
      <c r="F199" s="7">
        <f t="shared" si="42"/>
        <v>5.4145744969985076E-3</v>
      </c>
      <c r="G199" s="2"/>
      <c r="H199" s="6">
        <v>5815.62</v>
      </c>
      <c r="I199" s="2"/>
      <c r="J199" s="7">
        <f t="shared" si="43"/>
        <v>9.3044045571138746E-3</v>
      </c>
      <c r="K199" s="2"/>
      <c r="L199" s="6">
        <f t="shared" si="44"/>
        <v>-4012.8599999999997</v>
      </c>
      <c r="M199" s="2"/>
      <c r="N199" s="7">
        <f t="shared" si="45"/>
        <v>-0.69001413434853032</v>
      </c>
      <c r="O199" s="11"/>
      <c r="P199" s="6">
        <v>7507.17</v>
      </c>
      <c r="Q199" s="2"/>
      <c r="R199" s="7">
        <f t="shared" si="46"/>
        <v>2.150970350606731E-3</v>
      </c>
      <c r="S199" s="2"/>
      <c r="T199" s="6">
        <v>25086.16</v>
      </c>
      <c r="U199" s="2"/>
      <c r="V199" s="7">
        <f t="shared" si="47"/>
        <v>4.2096375595489562E-3</v>
      </c>
      <c r="W199" s="2"/>
      <c r="X199" s="6">
        <f t="shared" si="48"/>
        <v>-17578.989999999998</v>
      </c>
      <c r="Y199" s="2"/>
      <c r="Z199" s="7">
        <f t="shared" si="49"/>
        <v>-0.70074455396920043</v>
      </c>
    </row>
    <row r="200" spans="1:26" s="24" customFormat="1" hidden="1" outlineLevel="2" x14ac:dyDescent="0.25">
      <c r="A200" s="28"/>
      <c r="B200" s="11" t="str">
        <f>CONCATENATE("          ", "6007", " - ", "STUDENT HOURLY")</f>
        <v xml:space="preserve">          6007 - STUDENT HOURLY</v>
      </c>
      <c r="C200" s="11"/>
      <c r="D200" s="6">
        <v>19853.449999999997</v>
      </c>
      <c r="E200" s="2"/>
      <c r="F200" s="7">
        <f t="shared" si="42"/>
        <v>5.9629670087773749E-2</v>
      </c>
      <c r="G200" s="2"/>
      <c r="H200" s="6">
        <v>75624.51999999999</v>
      </c>
      <c r="I200" s="2"/>
      <c r="J200" s="7">
        <f t="shared" si="43"/>
        <v>0.12099159307477951</v>
      </c>
      <c r="K200" s="2"/>
      <c r="L200" s="6">
        <f t="shared" si="44"/>
        <v>-55771.069999999992</v>
      </c>
      <c r="M200" s="2"/>
      <c r="N200" s="7">
        <f t="shared" si="45"/>
        <v>-0.73747337503762012</v>
      </c>
      <c r="O200" s="11"/>
      <c r="P200" s="6">
        <v>128055.66999999998</v>
      </c>
      <c r="Q200" s="2"/>
      <c r="R200" s="7">
        <f t="shared" si="46"/>
        <v>3.6690783530555431E-2</v>
      </c>
      <c r="S200" s="2"/>
      <c r="T200" s="6">
        <v>358235.72000000003</v>
      </c>
      <c r="U200" s="2"/>
      <c r="V200" s="7">
        <f t="shared" si="47"/>
        <v>6.0114522991325227E-2</v>
      </c>
      <c r="W200" s="2"/>
      <c r="X200" s="6">
        <f t="shared" si="48"/>
        <v>-230180.05000000005</v>
      </c>
      <c r="Y200" s="2"/>
      <c r="Z200" s="7">
        <f t="shared" si="49"/>
        <v>-0.64253796355092685</v>
      </c>
    </row>
    <row r="201" spans="1:26" s="24" customFormat="1" hidden="1" outlineLevel="2" x14ac:dyDescent="0.25">
      <c r="A201" s="28"/>
      <c r="B201" s="11" t="str">
        <f>CONCATENATE("          ", "6008", " - ", "STUDENT HOURLY-FICA EXEMPT")</f>
        <v xml:space="preserve">          6008 - STUDENT HOURLY-FICA EXEMPT</v>
      </c>
      <c r="C201" s="11"/>
      <c r="D201" s="6">
        <v>1476.02</v>
      </c>
      <c r="E201" s="2"/>
      <c r="F201" s="7">
        <f t="shared" si="42"/>
        <v>4.4332136552063155E-3</v>
      </c>
      <c r="G201" s="2"/>
      <c r="H201" s="6">
        <v>1107</v>
      </c>
      <c r="I201" s="2"/>
      <c r="J201" s="7">
        <f t="shared" si="43"/>
        <v>1.7710881805766295E-3</v>
      </c>
      <c r="K201" s="2"/>
      <c r="L201" s="6">
        <f t="shared" si="44"/>
        <v>369.02</v>
      </c>
      <c r="M201" s="2"/>
      <c r="N201" s="7">
        <f t="shared" si="45"/>
        <v>0.33335140018066844</v>
      </c>
      <c r="O201" s="11"/>
      <c r="P201" s="6">
        <v>2964.72</v>
      </c>
      <c r="Q201" s="2"/>
      <c r="R201" s="7">
        <f t="shared" si="46"/>
        <v>8.4945789396680604E-4</v>
      </c>
      <c r="S201" s="2"/>
      <c r="T201" s="6">
        <v>4731</v>
      </c>
      <c r="U201" s="2"/>
      <c r="V201" s="7">
        <f t="shared" si="47"/>
        <v>7.9389572952680331E-4</v>
      </c>
      <c r="W201" s="2"/>
      <c r="X201" s="6">
        <f t="shared" si="48"/>
        <v>-1766.2800000000002</v>
      </c>
      <c r="Y201" s="2"/>
      <c r="Z201" s="7">
        <f t="shared" si="49"/>
        <v>-0.37334178820545344</v>
      </c>
    </row>
    <row r="202" spans="1:26" s="29" customFormat="1" outlineLevel="1" collapsed="1" x14ac:dyDescent="0.25">
      <c r="A202" s="27"/>
      <c r="B202" s="14" t="str">
        <f>CONCATENATE("     ","Advertising/Promo                                 ")</f>
        <v xml:space="preserve">     Advertising/Promo                                 </v>
      </c>
      <c r="C202" s="14"/>
      <c r="D202" s="1">
        <f>SUM(OSRRefD22_2x_0)</f>
        <v>1316.16</v>
      </c>
      <c r="E202" s="1"/>
      <c r="F202" s="5">
        <f t="shared" ref="F202:F206" si="50">IF(D$12=0,0,D202/D$12)</f>
        <v>3.9530754897876344E-3</v>
      </c>
      <c r="G202" s="1"/>
      <c r="H202" s="1">
        <f>SUM(OSRRefH22_2x_0)</f>
        <v>11178.51</v>
      </c>
      <c r="I202" s="1"/>
      <c r="J202" s="5">
        <f t="shared" ref="J202:J206" si="51">IF(H$12=0,0,H202/H$12)</f>
        <v>1.7884486845038537E-2</v>
      </c>
      <c r="K202" s="1"/>
      <c r="L202" s="1">
        <f t="shared" ref="L202:L206" si="52">+D202-H202</f>
        <v>-9862.35</v>
      </c>
      <c r="M202" s="1"/>
      <c r="N202" s="5">
        <f t="shared" ref="N202:N206" si="53">IF(H202=0,0,L202/H202)</f>
        <v>-0.88225980027749673</v>
      </c>
      <c r="O202" s="14"/>
      <c r="P202" s="1">
        <f>SUM(OSRRefP22_2x_0)</f>
        <v>13958.63</v>
      </c>
      <c r="Q202" s="1"/>
      <c r="R202" s="5">
        <f t="shared" ref="R202:R206" si="54">IF(P$12=0,0,P202/P$12)</f>
        <v>3.9994564216728314E-3</v>
      </c>
      <c r="S202" s="1"/>
      <c r="T202" s="1">
        <f>SUM(OSRRefT22_2x_0)</f>
        <v>18986.59</v>
      </c>
      <c r="U202" s="1"/>
      <c r="V202" s="5">
        <f t="shared" ref="V202:V206" si="55">IF(T$12=0,0,T202/T$12)</f>
        <v>3.1860859689867489E-3</v>
      </c>
      <c r="W202" s="1"/>
      <c r="X202" s="1">
        <f t="shared" ref="X202:X206" si="56">+P202-T202</f>
        <v>-5027.9600000000009</v>
      </c>
      <c r="Y202" s="1"/>
      <c r="Z202" s="5">
        <f t="shared" ref="Z202:Z206" si="57">IF(T202=0,0,X202/T202)</f>
        <v>-0.26481637829647142</v>
      </c>
    </row>
    <row r="203" spans="1:26" s="24" customFormat="1" hidden="1" outlineLevel="2" x14ac:dyDescent="0.25">
      <c r="A203" s="28"/>
      <c r="B203" s="11" t="str">
        <f>CONCATENATE("          ", "6362", " - ", "ADVERTISING EXPENSE")</f>
        <v xml:space="preserve">          6362 - ADVERTISING EXPENSE</v>
      </c>
      <c r="C203" s="11"/>
      <c r="D203" s="6">
        <v>1316.16</v>
      </c>
      <c r="E203" s="2"/>
      <c r="F203" s="7">
        <f t="shared" si="50"/>
        <v>3.9530754897876344E-3</v>
      </c>
      <c r="G203" s="2"/>
      <c r="H203" s="6">
        <v>11178.51</v>
      </c>
      <c r="I203" s="2"/>
      <c r="J203" s="7">
        <f t="shared" si="51"/>
        <v>1.7884486845038537E-2</v>
      </c>
      <c r="K203" s="2"/>
      <c r="L203" s="6">
        <f t="shared" si="52"/>
        <v>-9862.35</v>
      </c>
      <c r="M203" s="2"/>
      <c r="N203" s="7">
        <f t="shared" si="53"/>
        <v>-0.88225980027749673</v>
      </c>
      <c r="O203" s="11"/>
      <c r="P203" s="6">
        <v>13958.63</v>
      </c>
      <c r="Q203" s="2"/>
      <c r="R203" s="7">
        <f t="shared" si="54"/>
        <v>3.9994564216728314E-3</v>
      </c>
      <c r="S203" s="2"/>
      <c r="T203" s="6">
        <v>18986.59</v>
      </c>
      <c r="U203" s="2"/>
      <c r="V203" s="7">
        <f t="shared" si="55"/>
        <v>3.1860859689867489E-3</v>
      </c>
      <c r="W203" s="2"/>
      <c r="X203" s="6">
        <f t="shared" si="56"/>
        <v>-5027.9600000000009</v>
      </c>
      <c r="Y203" s="2"/>
      <c r="Z203" s="7">
        <f t="shared" si="57"/>
        <v>-0.26481637829647142</v>
      </c>
    </row>
    <row r="204" spans="1:26" s="29" customFormat="1" outlineLevel="1" collapsed="1" x14ac:dyDescent="0.25">
      <c r="A204" s="27"/>
      <c r="B204" s="14" t="str">
        <f>CONCATENATE("     ","Bad Debts/Over/Short                              ")</f>
        <v xml:space="preserve">     Bad Debts/Over/Short                              </v>
      </c>
      <c r="C204" s="14"/>
      <c r="D204" s="1">
        <f>SUM(OSRRefD22_3x_0)</f>
        <v>-29.45</v>
      </c>
      <c r="E204" s="1"/>
      <c r="F204" s="5">
        <f t="shared" si="50"/>
        <v>-8.8452827296260197E-5</v>
      </c>
      <c r="G204" s="1"/>
      <c r="H204" s="1">
        <f>SUM(OSRRefH22_3x_0)</f>
        <v>87.5</v>
      </c>
      <c r="I204" s="1"/>
      <c r="J204" s="5">
        <f t="shared" si="51"/>
        <v>1.3999116151802628E-4</v>
      </c>
      <c r="K204" s="1"/>
      <c r="L204" s="1">
        <f t="shared" si="52"/>
        <v>-116.95</v>
      </c>
      <c r="M204" s="1"/>
      <c r="N204" s="5">
        <f t="shared" si="53"/>
        <v>-1.3365714285714285</v>
      </c>
      <c r="O204" s="14"/>
      <c r="P204" s="1">
        <f>SUM(OSRRefP22_3x_0)</f>
        <v>50.56</v>
      </c>
      <c r="Q204" s="1"/>
      <c r="R204" s="5">
        <f t="shared" si="54"/>
        <v>1.4486558973178486E-5</v>
      </c>
      <c r="S204" s="1"/>
      <c r="T204" s="1">
        <f>SUM(OSRRefT22_3x_0)</f>
        <v>-77.650000000000006</v>
      </c>
      <c r="U204" s="1"/>
      <c r="V204" s="5">
        <f t="shared" si="55"/>
        <v>-1.3030226886019082E-5</v>
      </c>
      <c r="W204" s="1"/>
      <c r="X204" s="1">
        <f t="shared" si="56"/>
        <v>128.21</v>
      </c>
      <c r="Y204" s="1"/>
      <c r="Z204" s="5">
        <f t="shared" si="57"/>
        <v>-1.6511268512556343</v>
      </c>
    </row>
    <row r="205" spans="1:26" s="24" customFormat="1" hidden="1" outlineLevel="2" x14ac:dyDescent="0.25">
      <c r="A205" s="28"/>
      <c r="B205" s="11" t="str">
        <f>CONCATENATE("          ", "6272", " - ", "CASH (OVER/SHORT)")</f>
        <v xml:space="preserve">          6272 - CASH (OVER/SHORT)</v>
      </c>
      <c r="C205" s="11"/>
      <c r="D205" s="6">
        <v>-29.45</v>
      </c>
      <c r="E205" s="2"/>
      <c r="F205" s="7">
        <f t="shared" si="50"/>
        <v>-8.8452827296260197E-5</v>
      </c>
      <c r="G205" s="2"/>
      <c r="H205" s="6">
        <v>42.7</v>
      </c>
      <c r="I205" s="2"/>
      <c r="J205" s="7">
        <f t="shared" si="51"/>
        <v>6.8315686820796822E-5</v>
      </c>
      <c r="K205" s="2"/>
      <c r="L205" s="6">
        <f t="shared" si="52"/>
        <v>-72.150000000000006</v>
      </c>
      <c r="M205" s="2"/>
      <c r="N205" s="7">
        <f t="shared" si="53"/>
        <v>-1.689695550351288</v>
      </c>
      <c r="O205" s="11"/>
      <c r="P205" s="6">
        <v>50.56</v>
      </c>
      <c r="Q205" s="2"/>
      <c r="R205" s="7">
        <f t="shared" si="54"/>
        <v>1.4486558973178486E-5</v>
      </c>
      <c r="S205" s="2"/>
      <c r="T205" s="6">
        <v>-122.45</v>
      </c>
      <c r="U205" s="2"/>
      <c r="V205" s="7">
        <f t="shared" si="55"/>
        <v>-2.0547988180206525E-5</v>
      </c>
      <c r="W205" s="2"/>
      <c r="X205" s="6">
        <f t="shared" si="56"/>
        <v>173.01</v>
      </c>
      <c r="Y205" s="2"/>
      <c r="Z205" s="7">
        <f t="shared" si="57"/>
        <v>-1.4129032258064516</v>
      </c>
    </row>
    <row r="206" spans="1:26" s="24" customFormat="1" hidden="1" outlineLevel="2" x14ac:dyDescent="0.25">
      <c r="A206" s="28"/>
      <c r="B206" s="11" t="str">
        <f>CONCATENATE("          ", "6342", " - ", "BAD DEBT")</f>
        <v xml:space="preserve">          6342 - BAD DEBT</v>
      </c>
      <c r="C206" s="11"/>
      <c r="D206" s="6"/>
      <c r="E206" s="2"/>
      <c r="F206" s="7">
        <f t="shared" si="50"/>
        <v>0</v>
      </c>
      <c r="G206" s="2"/>
      <c r="H206" s="6">
        <v>44.8</v>
      </c>
      <c r="I206" s="2"/>
      <c r="J206" s="7">
        <f t="shared" si="51"/>
        <v>7.1675474697229449E-5</v>
      </c>
      <c r="K206" s="2"/>
      <c r="L206" s="6">
        <f t="shared" si="52"/>
        <v>-44.8</v>
      </c>
      <c r="M206" s="2"/>
      <c r="N206" s="7">
        <f t="shared" si="53"/>
        <v>-1</v>
      </c>
      <c r="O206" s="11"/>
      <c r="P206" s="6"/>
      <c r="Q206" s="2"/>
      <c r="R206" s="7">
        <f t="shared" si="54"/>
        <v>0</v>
      </c>
      <c r="S206" s="2"/>
      <c r="T206" s="6">
        <v>44.8</v>
      </c>
      <c r="U206" s="2"/>
      <c r="V206" s="7">
        <f t="shared" si="55"/>
        <v>7.5177612941874414E-6</v>
      </c>
      <c r="W206" s="2"/>
      <c r="X206" s="6">
        <f t="shared" si="56"/>
        <v>-44.8</v>
      </c>
      <c r="Y206" s="2"/>
      <c r="Z206" s="7">
        <f t="shared" si="57"/>
        <v>-1</v>
      </c>
    </row>
    <row r="207" spans="1:26" s="29" customFormat="1" outlineLevel="1" collapsed="1" x14ac:dyDescent="0.25">
      <c r="A207" s="27"/>
      <c r="B207" s="14" t="str">
        <f>CONCATENATE("     ","Bank/card Fees                                    ")</f>
        <v xml:space="preserve">     Bank/card Fees                                    </v>
      </c>
      <c r="C207" s="14"/>
      <c r="D207" s="1">
        <f>SUM(OSRRefD22_4x_0)</f>
        <v>4891.9799999999996</v>
      </c>
      <c r="E207" s="1"/>
      <c r="F207" s="5">
        <f t="shared" ref="F207:F211" si="58">IF(D$12=0,0,D207/D$12)</f>
        <v>1.4693020783591136E-2</v>
      </c>
      <c r="G207" s="1"/>
      <c r="H207" s="1">
        <f>SUM(OSRRefH22_4x_0)</f>
        <v>11091.96</v>
      </c>
      <c r="I207" s="1"/>
      <c r="J207" s="5">
        <f t="shared" ref="J207:J211" si="59">IF(H$12=0,0,H207/H$12)</f>
        <v>1.7746015587559848E-2</v>
      </c>
      <c r="K207" s="1"/>
      <c r="L207" s="1">
        <f t="shared" ref="L207:L211" si="60">+D207-H207</f>
        <v>-6199.98</v>
      </c>
      <c r="M207" s="1"/>
      <c r="N207" s="5">
        <f t="shared" ref="N207:N211" si="61">IF(H207=0,0,L207/H207)</f>
        <v>-0.55896162625902002</v>
      </c>
      <c r="O207" s="14"/>
      <c r="P207" s="1">
        <f>SUM(OSRRefP22_4x_0)</f>
        <v>39139.75</v>
      </c>
      <c r="Q207" s="1"/>
      <c r="R207" s="5">
        <f t="shared" ref="R207:R211" si="62">IF(P$12=0,0,P207/P$12)</f>
        <v>1.1214404599890478E-2</v>
      </c>
      <c r="S207" s="1"/>
      <c r="T207" s="1">
        <f>SUM(OSRRefT22_4x_0)</f>
        <v>71349.02</v>
      </c>
      <c r="U207" s="1"/>
      <c r="V207" s="5">
        <f t="shared" ref="V207:V211" si="63">IF(T$12=0,0,T207/T$12)</f>
        <v>1.1972877252995662E-2</v>
      </c>
      <c r="W207" s="1"/>
      <c r="X207" s="1">
        <f t="shared" ref="X207:X211" si="64">+P207-T207</f>
        <v>-32209.270000000004</v>
      </c>
      <c r="Y207" s="1"/>
      <c r="Z207" s="5">
        <f t="shared" ref="Z207:Z211" si="65">IF(T207=0,0,X207/T207)</f>
        <v>-0.45143254945898348</v>
      </c>
    </row>
    <row r="208" spans="1:26" s="24" customFormat="1" hidden="1" outlineLevel="2" x14ac:dyDescent="0.25">
      <c r="A208" s="28"/>
      <c r="B208" s="11" t="str">
        <f>CONCATENATE("          ", "6381", " - ", "BANK/CREDIT CARD FEES")</f>
        <v xml:space="preserve">          6381 - BANK/CREDIT CARD FEES</v>
      </c>
      <c r="C208" s="11"/>
      <c r="D208" s="6">
        <v>4891.9799999999996</v>
      </c>
      <c r="E208" s="2"/>
      <c r="F208" s="7">
        <f t="shared" si="58"/>
        <v>1.4693020783591136E-2</v>
      </c>
      <c r="G208" s="2"/>
      <c r="H208" s="6">
        <v>11091.96</v>
      </c>
      <c r="I208" s="2"/>
      <c r="J208" s="7">
        <f t="shared" si="59"/>
        <v>1.7746015587559848E-2</v>
      </c>
      <c r="K208" s="2"/>
      <c r="L208" s="6">
        <f t="shared" si="60"/>
        <v>-6199.98</v>
      </c>
      <c r="M208" s="2"/>
      <c r="N208" s="7">
        <f t="shared" si="61"/>
        <v>-0.55896162625902002</v>
      </c>
      <c r="O208" s="11"/>
      <c r="P208" s="6">
        <v>39139.75</v>
      </c>
      <c r="Q208" s="2"/>
      <c r="R208" s="7">
        <f t="shared" si="62"/>
        <v>1.1214404599890478E-2</v>
      </c>
      <c r="S208" s="2"/>
      <c r="T208" s="6">
        <v>71349.02</v>
      </c>
      <c r="U208" s="2"/>
      <c r="V208" s="7">
        <f t="shared" si="63"/>
        <v>1.1972877252995662E-2</v>
      </c>
      <c r="W208" s="2"/>
      <c r="X208" s="6">
        <f t="shared" si="64"/>
        <v>-32209.270000000004</v>
      </c>
      <c r="Y208" s="2"/>
      <c r="Z208" s="7">
        <f t="shared" si="65"/>
        <v>-0.45143254945898348</v>
      </c>
    </row>
    <row r="209" spans="1:26" s="29" customFormat="1" outlineLevel="1" collapsed="1" x14ac:dyDescent="0.25">
      <c r="A209" s="27"/>
      <c r="B209" s="14" t="str">
        <f>CONCATENATE("     ","Depreciation                                      ")</f>
        <v xml:space="preserve">     Depreciation                                      </v>
      </c>
      <c r="C209" s="14"/>
      <c r="D209" s="1">
        <f>SUM(OSRRefD22_5x_0)</f>
        <v>31016.300000000003</v>
      </c>
      <c r="E209" s="1"/>
      <c r="F209" s="5">
        <f t="shared" si="58"/>
        <v>9.3157196172122092E-2</v>
      </c>
      <c r="G209" s="1"/>
      <c r="H209" s="1">
        <f>SUM(OSRRefH22_5x_0)</f>
        <v>29887.870000000003</v>
      </c>
      <c r="I209" s="1"/>
      <c r="J209" s="5">
        <f t="shared" si="59"/>
        <v>4.7817572989711683E-2</v>
      </c>
      <c r="K209" s="1"/>
      <c r="L209" s="1">
        <f t="shared" si="60"/>
        <v>1128.4300000000003</v>
      </c>
      <c r="M209" s="1"/>
      <c r="N209" s="5">
        <f t="shared" si="61"/>
        <v>3.7755450622610452E-2</v>
      </c>
      <c r="O209" s="14"/>
      <c r="P209" s="1">
        <f>SUM(OSRRefP22_5x_0)</f>
        <v>124360.65</v>
      </c>
      <c r="Q209" s="1"/>
      <c r="R209" s="5">
        <f t="shared" si="62"/>
        <v>3.5632078523888625E-2</v>
      </c>
      <c r="S209" s="1"/>
      <c r="T209" s="1">
        <f>SUM(OSRRefT22_5x_0)</f>
        <v>119551.48000000001</v>
      </c>
      <c r="U209" s="1"/>
      <c r="V209" s="5">
        <f t="shared" si="63"/>
        <v>2.0061595736759467E-2</v>
      </c>
      <c r="W209" s="1"/>
      <c r="X209" s="1">
        <f t="shared" si="64"/>
        <v>4809.1699999999837</v>
      </c>
      <c r="Y209" s="1"/>
      <c r="Z209" s="5">
        <f t="shared" si="65"/>
        <v>4.022677092746977E-2</v>
      </c>
    </row>
    <row r="210" spans="1:26" s="24" customFormat="1" hidden="1" outlineLevel="2" x14ac:dyDescent="0.25">
      <c r="A210" s="28"/>
      <c r="B210" s="11" t="str">
        <f>CONCATENATE("          ", "6321", " - ", "BUILDING DEPRECIATION")</f>
        <v xml:space="preserve">          6321 - BUILDING DEPRECIATION</v>
      </c>
      <c r="C210" s="11"/>
      <c r="D210" s="6">
        <v>16396.52</v>
      </c>
      <c r="E210" s="2"/>
      <c r="F210" s="7">
        <f t="shared" si="58"/>
        <v>4.9246809908987312E-2</v>
      </c>
      <c r="G210" s="2"/>
      <c r="H210" s="6">
        <v>16396.52</v>
      </c>
      <c r="I210" s="2"/>
      <c r="J210" s="7">
        <f t="shared" si="59"/>
        <v>2.6232775767469123E-2</v>
      </c>
      <c r="K210" s="2"/>
      <c r="L210" s="6">
        <f t="shared" si="60"/>
        <v>0</v>
      </c>
      <c r="M210" s="2"/>
      <c r="N210" s="7">
        <f t="shared" si="61"/>
        <v>0</v>
      </c>
      <c r="O210" s="11"/>
      <c r="P210" s="6">
        <v>65586.080000000002</v>
      </c>
      <c r="Q210" s="2"/>
      <c r="R210" s="7">
        <f t="shared" si="62"/>
        <v>1.8791863444216812E-2</v>
      </c>
      <c r="S210" s="2"/>
      <c r="T210" s="6">
        <v>65586.080000000002</v>
      </c>
      <c r="U210" s="2"/>
      <c r="V210" s="7">
        <f t="shared" si="63"/>
        <v>1.100581459065806E-2</v>
      </c>
      <c r="W210" s="2"/>
      <c r="X210" s="6">
        <f t="shared" si="64"/>
        <v>0</v>
      </c>
      <c r="Y210" s="2"/>
      <c r="Z210" s="7">
        <f t="shared" si="65"/>
        <v>0</v>
      </c>
    </row>
    <row r="211" spans="1:26" s="24" customFormat="1" hidden="1" outlineLevel="2" x14ac:dyDescent="0.25">
      <c r="A211" s="28"/>
      <c r="B211" s="11" t="str">
        <f>CONCATENATE("          ", "6322", " - ", "EQUIPMENT DEPRECIATION EXPENSE")</f>
        <v xml:space="preserve">          6322 - EQUIPMENT DEPRECIATION EXPENSE</v>
      </c>
      <c r="C211" s="11"/>
      <c r="D211" s="6">
        <v>14619.78</v>
      </c>
      <c r="E211" s="2"/>
      <c r="F211" s="7">
        <f t="shared" si="58"/>
        <v>4.3910386263134774E-2</v>
      </c>
      <c r="G211" s="2"/>
      <c r="H211" s="6">
        <v>13491.35</v>
      </c>
      <c r="I211" s="2"/>
      <c r="J211" s="7">
        <f t="shared" si="59"/>
        <v>2.1584797222242557E-2</v>
      </c>
      <c r="K211" s="2"/>
      <c r="L211" s="6">
        <f t="shared" si="60"/>
        <v>1128.4300000000003</v>
      </c>
      <c r="M211" s="2"/>
      <c r="N211" s="7">
        <f t="shared" si="61"/>
        <v>8.3640999603449631E-2</v>
      </c>
      <c r="O211" s="11"/>
      <c r="P211" s="6">
        <v>58774.57</v>
      </c>
      <c r="Q211" s="2"/>
      <c r="R211" s="7">
        <f t="shared" si="62"/>
        <v>1.6840215079671816E-2</v>
      </c>
      <c r="S211" s="2"/>
      <c r="T211" s="6">
        <v>53965.4</v>
      </c>
      <c r="U211" s="2"/>
      <c r="V211" s="7">
        <f t="shared" si="63"/>
        <v>9.0557811461014059E-3</v>
      </c>
      <c r="W211" s="2"/>
      <c r="X211" s="6">
        <f t="shared" si="64"/>
        <v>4809.1699999999983</v>
      </c>
      <c r="Y211" s="2"/>
      <c r="Z211" s="7">
        <f t="shared" si="65"/>
        <v>8.9115803829861326E-2</v>
      </c>
    </row>
    <row r="212" spans="1:26" s="29" customFormat="1" outlineLevel="1" collapsed="1" x14ac:dyDescent="0.25">
      <c r="A212" s="27"/>
      <c r="B212" s="14" t="str">
        <f>CONCATENATE("     ","Discounts and Markdowns                           ")</f>
        <v xml:space="preserve">     Discounts and Markdowns                           </v>
      </c>
      <c r="C212" s="14"/>
      <c r="D212" s="1">
        <f>SUM(OSRRefD22_6x_0)</f>
        <v>-1249.8000000000002</v>
      </c>
      <c r="E212" s="1"/>
      <c r="F212" s="5">
        <f t="shared" ref="F212:F214" si="66">IF(D$12=0,0,D212/D$12)</f>
        <v>-3.753763787941121E-3</v>
      </c>
      <c r="G212" s="1"/>
      <c r="H212" s="1">
        <f>SUM(OSRRefH22_6x_0)</f>
        <v>35150.67</v>
      </c>
      <c r="I212" s="1"/>
      <c r="J212" s="5">
        <f t="shared" ref="J212:J214" si="67">IF(H$12=0,0,H212/H$12)</f>
        <v>5.6237521387849605E-2</v>
      </c>
      <c r="K212" s="1"/>
      <c r="L212" s="1">
        <f t="shared" ref="L212:L214" si="68">+D212-H212</f>
        <v>-36400.47</v>
      </c>
      <c r="M212" s="1"/>
      <c r="N212" s="5">
        <f t="shared" ref="N212:N214" si="69">IF(H212=0,0,L212/H212)</f>
        <v>-1.0355555100372198</v>
      </c>
      <c r="O212" s="14"/>
      <c r="P212" s="1">
        <f>SUM(OSRRefP22_6x_0)</f>
        <v>-418.85</v>
      </c>
      <c r="Q212" s="1"/>
      <c r="R212" s="5">
        <f t="shared" ref="R212:R214" si="70">IF(P$12=0,0,P212/P$12)</f>
        <v>-1.200097948163728E-4</v>
      </c>
      <c r="S212" s="1"/>
      <c r="T212" s="1">
        <f>SUM(OSRRefT22_6x_0)</f>
        <v>166178.92000000001</v>
      </c>
      <c r="U212" s="1"/>
      <c r="V212" s="5">
        <f t="shared" ref="V212:V214" si="71">IF(T$12=0,0,T212/T$12)</f>
        <v>2.7886014568881061E-2</v>
      </c>
      <c r="W212" s="1"/>
      <c r="X212" s="1">
        <f t="shared" ref="X212:X214" si="72">+P212-T212</f>
        <v>-166597.77000000002</v>
      </c>
      <c r="Y212" s="1"/>
      <c r="Z212" s="5">
        <f t="shared" ref="Z212:Z214" si="73">IF(T212=0,0,X212/T212)</f>
        <v>-1.0025204761229645</v>
      </c>
    </row>
    <row r="213" spans="1:26" s="24" customFormat="1" hidden="1" outlineLevel="2" x14ac:dyDescent="0.25">
      <c r="A213" s="28"/>
      <c r="B213" s="11" t="str">
        <f>CONCATENATE("          ", "6382", " - ", "DISCOUNTS/MARK DOWNS")</f>
        <v xml:space="preserve">          6382 - DISCOUNTS/MARK DOWNS</v>
      </c>
      <c r="C213" s="11"/>
      <c r="D213" s="6">
        <v>-830.95</v>
      </c>
      <c r="E213" s="2"/>
      <c r="F213" s="7">
        <f t="shared" si="66"/>
        <v>-2.4957513358854809E-3</v>
      </c>
      <c r="G213" s="2"/>
      <c r="H213" s="6">
        <v>35620.559999999998</v>
      </c>
      <c r="I213" s="2"/>
      <c r="J213" s="7">
        <f t="shared" si="67"/>
        <v>5.698929792368624E-2</v>
      </c>
      <c r="K213" s="2"/>
      <c r="L213" s="6">
        <f t="shared" si="68"/>
        <v>-36451.509999999995</v>
      </c>
      <c r="M213" s="2"/>
      <c r="N213" s="7">
        <f t="shared" si="69"/>
        <v>-1.0233278196636997</v>
      </c>
      <c r="O213" s="11"/>
      <c r="P213" s="6">
        <v>0</v>
      </c>
      <c r="Q213" s="2"/>
      <c r="R213" s="7">
        <f t="shared" si="70"/>
        <v>0</v>
      </c>
      <c r="S213" s="2"/>
      <c r="T213" s="6">
        <v>168296.67</v>
      </c>
      <c r="U213" s="2"/>
      <c r="V213" s="7">
        <f t="shared" si="71"/>
        <v>2.8241388206844575E-2</v>
      </c>
      <c r="W213" s="2"/>
      <c r="X213" s="6">
        <f t="shared" si="72"/>
        <v>-168296.67</v>
      </c>
      <c r="Y213" s="2"/>
      <c r="Z213" s="7">
        <f t="shared" si="73"/>
        <v>-1</v>
      </c>
    </row>
    <row r="214" spans="1:26" s="24" customFormat="1" hidden="1" outlineLevel="2" x14ac:dyDescent="0.25">
      <c r="A214" s="28"/>
      <c r="B214" s="11" t="str">
        <f>CONCATENATE("          ", "9175", " - ", "EARNED DISCOUNTS")</f>
        <v xml:space="preserve">          9175 - EARNED DISCOUNTS</v>
      </c>
      <c r="C214" s="11"/>
      <c r="D214" s="6">
        <v>-418.85</v>
      </c>
      <c r="E214" s="2"/>
      <c r="F214" s="7">
        <f t="shared" si="66"/>
        <v>-1.2580124520556396E-3</v>
      </c>
      <c r="G214" s="2"/>
      <c r="H214" s="6">
        <v>-469.89</v>
      </c>
      <c r="I214" s="2"/>
      <c r="J214" s="7">
        <f t="shared" si="67"/>
        <v>-7.5177653583663278E-4</v>
      </c>
      <c r="K214" s="2"/>
      <c r="L214" s="6">
        <f t="shared" si="68"/>
        <v>51.039999999999964</v>
      </c>
      <c r="M214" s="2"/>
      <c r="N214" s="7">
        <f t="shared" si="69"/>
        <v>-0.10862116665602581</v>
      </c>
      <c r="O214" s="11"/>
      <c r="P214" s="6">
        <v>-418.85</v>
      </c>
      <c r="Q214" s="2"/>
      <c r="R214" s="7">
        <f t="shared" si="70"/>
        <v>-1.200097948163728E-4</v>
      </c>
      <c r="S214" s="2"/>
      <c r="T214" s="6">
        <v>-2117.75</v>
      </c>
      <c r="U214" s="2"/>
      <c r="V214" s="7">
        <f t="shared" si="71"/>
        <v>-3.5537363796351462E-4</v>
      </c>
      <c r="W214" s="2"/>
      <c r="X214" s="6">
        <f t="shared" si="72"/>
        <v>1698.9</v>
      </c>
      <c r="Y214" s="2"/>
      <c r="Z214" s="7">
        <f t="shared" si="73"/>
        <v>-0.80221933656002842</v>
      </c>
    </row>
    <row r="215" spans="1:26" s="29" customFormat="1" outlineLevel="1" collapsed="1" x14ac:dyDescent="0.25">
      <c r="A215" s="27"/>
      <c r="B215" s="14" t="str">
        <f>CONCATENATE("     ","Donations                                         ")</f>
        <v xml:space="preserve">     Donations                                         </v>
      </c>
      <c r="C215" s="14"/>
      <c r="D215" s="1">
        <f>SUM(OSRRefD22_7x_0)</f>
        <v>0</v>
      </c>
      <c r="E215" s="1"/>
      <c r="F215" s="5">
        <f t="shared" ref="F215:F223" si="74">IF(D$12=0,0,D215/D$12)</f>
        <v>0</v>
      </c>
      <c r="G215" s="1"/>
      <c r="H215" s="1">
        <f>SUM(OSRRefH22_7x_0)</f>
        <v>1006.14</v>
      </c>
      <c r="I215" s="1"/>
      <c r="J215" s="5">
        <f t="shared" ref="J215:J223" si="75">IF(H$12=0,0,H215/H$12)</f>
        <v>1.6097223685685366E-3</v>
      </c>
      <c r="K215" s="1"/>
      <c r="L215" s="1">
        <f t="shared" ref="L215:L223" si="76">+D215-H215</f>
        <v>-1006.14</v>
      </c>
      <c r="M215" s="1"/>
      <c r="N215" s="5">
        <f t="shared" ref="N215:N223" si="77">IF(H215=0,0,L215/H215)</f>
        <v>-1</v>
      </c>
      <c r="O215" s="14"/>
      <c r="P215" s="1">
        <f>SUM(OSRRefP22_7x_0)</f>
        <v>0</v>
      </c>
      <c r="Q215" s="1"/>
      <c r="R215" s="5">
        <f t="shared" ref="R215:R223" si="78">IF(P$12=0,0,P215/P$12)</f>
        <v>0</v>
      </c>
      <c r="S215" s="1"/>
      <c r="T215" s="1">
        <f>SUM(OSRRefT22_7x_0)</f>
        <v>6231.48</v>
      </c>
      <c r="U215" s="1"/>
      <c r="V215" s="5">
        <f t="shared" ref="V215:V223" si="79">IF(T$12=0,0,T215/T$12)</f>
        <v>1.045687034587124E-3</v>
      </c>
      <c r="W215" s="1"/>
      <c r="X215" s="1">
        <f t="shared" ref="X215:X223" si="80">+P215-T215</f>
        <v>-6231.48</v>
      </c>
      <c r="Y215" s="1"/>
      <c r="Z215" s="5">
        <f t="shared" ref="Z215:Z223" si="81">IF(T215=0,0,X215/T215)</f>
        <v>-1</v>
      </c>
    </row>
    <row r="216" spans="1:26" s="24" customFormat="1" hidden="1" outlineLevel="2" x14ac:dyDescent="0.25">
      <c r="A216" s="28"/>
      <c r="B216" s="11" t="str">
        <f>CONCATENATE("          ", "6399", " - ", "DONATION-ON CAMPUS")</f>
        <v xml:space="preserve">          6399 - DONATION-ON CAMPUS</v>
      </c>
      <c r="C216" s="11"/>
      <c r="D216" s="6"/>
      <c r="E216" s="2"/>
      <c r="F216" s="7">
        <f t="shared" si="74"/>
        <v>0</v>
      </c>
      <c r="G216" s="2"/>
      <c r="H216" s="6">
        <v>1006.14</v>
      </c>
      <c r="I216" s="2"/>
      <c r="J216" s="7">
        <f t="shared" si="75"/>
        <v>1.6097223685685366E-3</v>
      </c>
      <c r="K216" s="2"/>
      <c r="L216" s="6">
        <f t="shared" si="76"/>
        <v>-1006.14</v>
      </c>
      <c r="M216" s="2"/>
      <c r="N216" s="7">
        <f t="shared" si="77"/>
        <v>-1</v>
      </c>
      <c r="O216" s="11"/>
      <c r="P216" s="6"/>
      <c r="Q216" s="2"/>
      <c r="R216" s="7">
        <f t="shared" si="78"/>
        <v>0</v>
      </c>
      <c r="S216" s="2"/>
      <c r="T216" s="6">
        <v>6231.48</v>
      </c>
      <c r="U216" s="2"/>
      <c r="V216" s="7">
        <f t="shared" si="79"/>
        <v>1.045687034587124E-3</v>
      </c>
      <c r="W216" s="2"/>
      <c r="X216" s="6">
        <f t="shared" si="80"/>
        <v>-6231.48</v>
      </c>
      <c r="Y216" s="2"/>
      <c r="Z216" s="7">
        <f t="shared" si="81"/>
        <v>-1</v>
      </c>
    </row>
    <row r="217" spans="1:26" s="29" customFormat="1" outlineLevel="1" collapsed="1" x14ac:dyDescent="0.25">
      <c r="A217" s="27"/>
      <c r="B217" s="14" t="str">
        <f>CONCATENATE("     ","Employees' Appreciation                           ")</f>
        <v xml:space="preserve">     Employees' Appreciation                           </v>
      </c>
      <c r="C217" s="14"/>
      <c r="D217" s="1">
        <f>SUM(OSRRefD22_8x_0)</f>
        <v>0</v>
      </c>
      <c r="E217" s="1"/>
      <c r="F217" s="5">
        <f t="shared" si="74"/>
        <v>0</v>
      </c>
      <c r="G217" s="1"/>
      <c r="H217" s="1">
        <f>SUM(OSRRefH22_8x_0)</f>
        <v>60</v>
      </c>
      <c r="I217" s="1"/>
      <c r="J217" s="5">
        <f t="shared" si="75"/>
        <v>9.599393932664659E-5</v>
      </c>
      <c r="K217" s="1"/>
      <c r="L217" s="1">
        <f t="shared" si="76"/>
        <v>-60</v>
      </c>
      <c r="M217" s="1"/>
      <c r="N217" s="5">
        <f t="shared" si="77"/>
        <v>-1</v>
      </c>
      <c r="O217" s="14"/>
      <c r="P217" s="1">
        <f>SUM(OSRRefP22_8x_0)</f>
        <v>107.7</v>
      </c>
      <c r="Q217" s="1"/>
      <c r="R217" s="5">
        <f t="shared" si="78"/>
        <v>3.085843357221762E-5</v>
      </c>
      <c r="S217" s="1"/>
      <c r="T217" s="1">
        <f>SUM(OSRRefT22_8x_0)</f>
        <v>645.13</v>
      </c>
      <c r="U217" s="1"/>
      <c r="V217" s="5">
        <f t="shared" si="79"/>
        <v>1.0825744070801662E-4</v>
      </c>
      <c r="W217" s="1"/>
      <c r="X217" s="1">
        <f t="shared" si="80"/>
        <v>-537.42999999999995</v>
      </c>
      <c r="Y217" s="1"/>
      <c r="Z217" s="5">
        <f t="shared" si="81"/>
        <v>-0.83305690325980808</v>
      </c>
    </row>
    <row r="218" spans="1:26" s="24" customFormat="1" hidden="1" outlineLevel="2" x14ac:dyDescent="0.25">
      <c r="A218" s="28"/>
      <c r="B218" s="11" t="str">
        <f>CONCATENATE("          ", "6277", " - ", "EMPLOYEE APPRECIATION")</f>
        <v xml:space="preserve">          6277 - EMPLOYEE APPRECIATION</v>
      </c>
      <c r="C218" s="11"/>
      <c r="D218" s="6"/>
      <c r="E218" s="2"/>
      <c r="F218" s="7">
        <f t="shared" si="74"/>
        <v>0</v>
      </c>
      <c r="G218" s="2"/>
      <c r="H218" s="6">
        <v>60</v>
      </c>
      <c r="I218" s="2"/>
      <c r="J218" s="7">
        <f t="shared" si="75"/>
        <v>9.599393932664659E-5</v>
      </c>
      <c r="K218" s="2"/>
      <c r="L218" s="6">
        <f t="shared" si="76"/>
        <v>-60</v>
      </c>
      <c r="M218" s="2"/>
      <c r="N218" s="7">
        <f t="shared" si="77"/>
        <v>-1</v>
      </c>
      <c r="O218" s="11"/>
      <c r="P218" s="6">
        <v>107.7</v>
      </c>
      <c r="Q218" s="2"/>
      <c r="R218" s="7">
        <f t="shared" si="78"/>
        <v>3.085843357221762E-5</v>
      </c>
      <c r="S218" s="2"/>
      <c r="T218" s="6">
        <v>645.13</v>
      </c>
      <c r="U218" s="2"/>
      <c r="V218" s="7">
        <f t="shared" si="79"/>
        <v>1.0825744070801662E-4</v>
      </c>
      <c r="W218" s="2"/>
      <c r="X218" s="6">
        <f t="shared" si="80"/>
        <v>-537.42999999999995</v>
      </c>
      <c r="Y218" s="2"/>
      <c r="Z218" s="7">
        <f t="shared" si="81"/>
        <v>-0.83305690325980808</v>
      </c>
    </row>
    <row r="219" spans="1:26" s="29" customFormat="1" outlineLevel="1" collapsed="1" x14ac:dyDescent="0.25">
      <c r="A219" s="27"/>
      <c r="B219" s="14" t="str">
        <f>CONCATENATE("     ","Equipment Rental                                  ")</f>
        <v xml:space="preserve">     Equipment Rental                                  </v>
      </c>
      <c r="C219" s="14"/>
      <c r="D219" s="1">
        <f>SUM(OSRRefD22_9x_0)</f>
        <v>1479.42</v>
      </c>
      <c r="E219" s="1"/>
      <c r="F219" s="5">
        <f t="shared" si="74"/>
        <v>4.4434255266089396E-3</v>
      </c>
      <c r="G219" s="1"/>
      <c r="H219" s="1">
        <f>SUM(OSRRefH22_9x_0)</f>
        <v>2776.32</v>
      </c>
      <c r="I219" s="1"/>
      <c r="J219" s="5">
        <f t="shared" si="75"/>
        <v>4.4418315605225913E-3</v>
      </c>
      <c r="K219" s="1"/>
      <c r="L219" s="1">
        <f t="shared" si="76"/>
        <v>-1296.9000000000001</v>
      </c>
      <c r="M219" s="1"/>
      <c r="N219" s="5">
        <f t="shared" si="77"/>
        <v>-0.46712914937759337</v>
      </c>
      <c r="O219" s="14"/>
      <c r="P219" s="1">
        <f>SUM(OSRRefP22_9x_0)</f>
        <v>5967.79</v>
      </c>
      <c r="Q219" s="1"/>
      <c r="R219" s="5">
        <f t="shared" si="78"/>
        <v>1.7099039116800796E-3</v>
      </c>
      <c r="S219" s="1"/>
      <c r="T219" s="1">
        <f>SUM(OSRRefT22_9x_0)</f>
        <v>6667.02</v>
      </c>
      <c r="U219" s="1"/>
      <c r="V219" s="5">
        <f t="shared" si="79"/>
        <v>1.1187737701690527E-3</v>
      </c>
      <c r="W219" s="1"/>
      <c r="X219" s="1">
        <f t="shared" si="80"/>
        <v>-699.23000000000047</v>
      </c>
      <c r="Y219" s="1"/>
      <c r="Z219" s="5">
        <f t="shared" si="81"/>
        <v>-0.10487894141610501</v>
      </c>
    </row>
    <row r="220" spans="1:26" s="24" customFormat="1" hidden="1" outlineLevel="2" x14ac:dyDescent="0.25">
      <c r="A220" s="28"/>
      <c r="B220" s="11" t="str">
        <f>CONCATENATE("          ", "6351", " - ", "EQUIPMENT RENTAL")</f>
        <v xml:space="preserve">          6351 - EQUIPMENT RENTAL</v>
      </c>
      <c r="C220" s="11"/>
      <c r="D220" s="6">
        <v>1479.42</v>
      </c>
      <c r="E220" s="2"/>
      <c r="F220" s="7">
        <f t="shared" si="74"/>
        <v>4.4434255266089396E-3</v>
      </c>
      <c r="G220" s="2"/>
      <c r="H220" s="6">
        <v>2776.32</v>
      </c>
      <c r="I220" s="2"/>
      <c r="J220" s="7">
        <f t="shared" si="75"/>
        <v>4.4418315605225913E-3</v>
      </c>
      <c r="K220" s="2"/>
      <c r="L220" s="6">
        <f t="shared" si="76"/>
        <v>-1296.9000000000001</v>
      </c>
      <c r="M220" s="2"/>
      <c r="N220" s="7">
        <f t="shared" si="77"/>
        <v>-0.46712914937759337</v>
      </c>
      <c r="O220" s="11"/>
      <c r="P220" s="6">
        <v>5967.79</v>
      </c>
      <c r="Q220" s="2"/>
      <c r="R220" s="7">
        <f t="shared" si="78"/>
        <v>1.7099039116800796E-3</v>
      </c>
      <c r="S220" s="2"/>
      <c r="T220" s="6">
        <v>6667.02</v>
      </c>
      <c r="U220" s="2"/>
      <c r="V220" s="7">
        <f t="shared" si="79"/>
        <v>1.1187737701690527E-3</v>
      </c>
      <c r="W220" s="2"/>
      <c r="X220" s="6">
        <f t="shared" si="80"/>
        <v>-699.23000000000047</v>
      </c>
      <c r="Y220" s="2"/>
      <c r="Z220" s="7">
        <f t="shared" si="81"/>
        <v>-0.10487894141610501</v>
      </c>
    </row>
    <row r="221" spans="1:26" s="29" customFormat="1" outlineLevel="1" collapsed="1" x14ac:dyDescent="0.25">
      <c r="A221" s="27"/>
      <c r="B221" s="14" t="str">
        <f>CONCATENATE("     ","Freight out/Postage                               ")</f>
        <v xml:space="preserve">     Freight out/Postage                               </v>
      </c>
      <c r="C221" s="14"/>
      <c r="D221" s="1">
        <f>SUM(OSRRefD22_10x_0)</f>
        <v>49181.37000000001</v>
      </c>
      <c r="E221" s="1"/>
      <c r="F221" s="5">
        <f t="shared" si="74"/>
        <v>0.14771583113084799</v>
      </c>
      <c r="G221" s="1"/>
      <c r="H221" s="1">
        <f>SUM(OSRRefH22_10x_0)</f>
        <v>1637.6699999999996</v>
      </c>
      <c r="I221" s="1"/>
      <c r="J221" s="5">
        <f t="shared" si="75"/>
        <v>2.6201065769511549E-3</v>
      </c>
      <c r="K221" s="1"/>
      <c r="L221" s="1">
        <f t="shared" si="76"/>
        <v>47543.700000000012</v>
      </c>
      <c r="M221" s="1"/>
      <c r="N221" s="5">
        <f t="shared" si="77"/>
        <v>29.031306673505664</v>
      </c>
      <c r="O221" s="14"/>
      <c r="P221" s="1">
        <f>SUM(OSRRefP22_10x_0)</f>
        <v>-31292.87999999999</v>
      </c>
      <c r="Q221" s="1"/>
      <c r="R221" s="5">
        <f t="shared" si="78"/>
        <v>-8.9661026811827024E-3</v>
      </c>
      <c r="S221" s="1"/>
      <c r="T221" s="1">
        <f>SUM(OSRRefT22_10x_0)</f>
        <v>-4067.6500000000015</v>
      </c>
      <c r="U221" s="1"/>
      <c r="V221" s="5">
        <f t="shared" si="79"/>
        <v>-6.8258084214958836E-4</v>
      </c>
      <c r="W221" s="1"/>
      <c r="X221" s="1">
        <f t="shared" si="80"/>
        <v>-27225.229999999989</v>
      </c>
      <c r="Y221" s="1"/>
      <c r="Z221" s="5">
        <f t="shared" si="81"/>
        <v>6.6931102725160665</v>
      </c>
    </row>
    <row r="222" spans="1:26" s="24" customFormat="1" hidden="1" outlineLevel="2" x14ac:dyDescent="0.25">
      <c r="A222" s="28"/>
      <c r="B222" s="11" t="str">
        <f>CONCATENATE("          ", "6305", " - ", "FREIGHT OUT")</f>
        <v xml:space="preserve">          6305 - FREIGHT OUT</v>
      </c>
      <c r="C222" s="11"/>
      <c r="D222" s="6">
        <v>60867.890000000007</v>
      </c>
      <c r="E222" s="2"/>
      <c r="F222" s="7">
        <f t="shared" si="74"/>
        <v>0.18281619565561169</v>
      </c>
      <c r="G222" s="2"/>
      <c r="H222" s="6">
        <v>4583.8599999999997</v>
      </c>
      <c r="I222" s="2"/>
      <c r="J222" s="7">
        <f t="shared" si="75"/>
        <v>7.3337129786973697E-3</v>
      </c>
      <c r="K222" s="2"/>
      <c r="L222" s="6">
        <f t="shared" si="76"/>
        <v>56284.030000000006</v>
      </c>
      <c r="M222" s="2"/>
      <c r="N222" s="7">
        <f t="shared" si="77"/>
        <v>12.278741061027171</v>
      </c>
      <c r="O222" s="11"/>
      <c r="P222" s="6">
        <v>86790.61</v>
      </c>
      <c r="Q222" s="2"/>
      <c r="R222" s="7">
        <f t="shared" si="78"/>
        <v>2.4867430579175915E-2</v>
      </c>
      <c r="S222" s="2"/>
      <c r="T222" s="6">
        <v>19520.580000000002</v>
      </c>
      <c r="U222" s="2"/>
      <c r="V222" s="7">
        <f t="shared" si="79"/>
        <v>3.2756933206269977E-3</v>
      </c>
      <c r="W222" s="2"/>
      <c r="X222" s="6">
        <f t="shared" si="80"/>
        <v>67270.03</v>
      </c>
      <c r="Y222" s="2"/>
      <c r="Z222" s="7">
        <f t="shared" si="81"/>
        <v>3.4461081586715143</v>
      </c>
    </row>
    <row r="223" spans="1:26" s="24" customFormat="1" hidden="1" outlineLevel="2" x14ac:dyDescent="0.25">
      <c r="A223" s="28"/>
      <c r="B223" s="11" t="str">
        <f>CONCATENATE("          ", "6307", " - ", "POSTAGE")</f>
        <v xml:space="preserve">          6307 - POSTAGE</v>
      </c>
      <c r="C223" s="11"/>
      <c r="D223" s="6">
        <v>-11686.52</v>
      </c>
      <c r="E223" s="2"/>
      <c r="F223" s="7">
        <f t="shared" si="74"/>
        <v>-3.5100364524763693E-2</v>
      </c>
      <c r="G223" s="2"/>
      <c r="H223" s="6">
        <v>-2946.19</v>
      </c>
      <c r="I223" s="2"/>
      <c r="J223" s="7">
        <f t="shared" si="75"/>
        <v>-4.7136064017462157E-3</v>
      </c>
      <c r="K223" s="2"/>
      <c r="L223" s="6">
        <f t="shared" si="76"/>
        <v>-8740.33</v>
      </c>
      <c r="M223" s="2"/>
      <c r="N223" s="7">
        <f t="shared" si="77"/>
        <v>2.9666552394787842</v>
      </c>
      <c r="O223" s="11"/>
      <c r="P223" s="6">
        <v>-118083.48999999999</v>
      </c>
      <c r="Q223" s="2"/>
      <c r="R223" s="7">
        <f t="shared" si="78"/>
        <v>-3.3833533260358616E-2</v>
      </c>
      <c r="S223" s="2"/>
      <c r="T223" s="6">
        <v>-23588.230000000003</v>
      </c>
      <c r="U223" s="2"/>
      <c r="V223" s="7">
        <f t="shared" si="79"/>
        <v>-3.958274162776586E-3</v>
      </c>
      <c r="W223" s="2"/>
      <c r="X223" s="6">
        <f t="shared" si="80"/>
        <v>-94495.25999999998</v>
      </c>
      <c r="Y223" s="2"/>
      <c r="Z223" s="7">
        <f t="shared" si="81"/>
        <v>4.0060343654441208</v>
      </c>
    </row>
    <row r="224" spans="1:26" s="29" customFormat="1" outlineLevel="1" collapsed="1" x14ac:dyDescent="0.25">
      <c r="A224" s="27"/>
      <c r="B224" s="14" t="str">
        <f>CONCATENATE("     ","General                                           ")</f>
        <v xml:space="preserve">     General                                           </v>
      </c>
      <c r="C224" s="14"/>
      <c r="D224" s="1">
        <f>SUM(OSRRefD22_11x_0)</f>
        <v>-40</v>
      </c>
      <c r="E224" s="1"/>
      <c r="F224" s="5">
        <f t="shared" ref="F224:F238" si="82">IF(D$12=0,0,D224/D$12)</f>
        <v>-1.201396635602855E-4</v>
      </c>
      <c r="G224" s="1"/>
      <c r="H224" s="1">
        <f>SUM(OSRRefH22_11x_0)</f>
        <v>188.95</v>
      </c>
      <c r="I224" s="1"/>
      <c r="J224" s="5">
        <f t="shared" ref="J224:J238" si="83">IF(H$12=0,0,H224/H$12)</f>
        <v>3.0230091392949787E-4</v>
      </c>
      <c r="K224" s="1"/>
      <c r="L224" s="1">
        <f t="shared" ref="L224:L238" si="84">+D224-H224</f>
        <v>-228.95</v>
      </c>
      <c r="M224" s="1"/>
      <c r="N224" s="5">
        <f t="shared" ref="N224:N238" si="85">IF(H224=0,0,L224/H224)</f>
        <v>-1.2116962159301403</v>
      </c>
      <c r="O224" s="14"/>
      <c r="P224" s="1">
        <f>SUM(OSRRefP22_11x_0)</f>
        <v>-3276.98</v>
      </c>
      <c r="Q224" s="1"/>
      <c r="R224" s="5">
        <f t="shared" ref="R224:R238" si="86">IF(P$12=0,0,P224/P$12)</f>
        <v>-9.3892729477702591E-4</v>
      </c>
      <c r="S224" s="1"/>
      <c r="T224" s="1">
        <f>SUM(OSRRefT22_11x_0)</f>
        <v>-15512.79</v>
      </c>
      <c r="U224" s="1"/>
      <c r="V224" s="5">
        <f t="shared" ref="V224:V238" si="87">IF(T$12=0,0,T224/T$12)</f>
        <v>-2.6031574157780808E-3</v>
      </c>
      <c r="W224" s="1"/>
      <c r="X224" s="1">
        <f t="shared" ref="X224:X238" si="88">+P224-T224</f>
        <v>12235.810000000001</v>
      </c>
      <c r="Y224" s="1"/>
      <c r="Z224" s="5">
        <f t="shared" ref="Z224:Z238" si="89">IF(T224=0,0,X224/T224)</f>
        <v>-0.7887562456527808</v>
      </c>
    </row>
    <row r="225" spans="1:26" s="24" customFormat="1" hidden="1" outlineLevel="2" x14ac:dyDescent="0.25">
      <c r="A225" s="28"/>
      <c r="B225" s="11" t="str">
        <f>CONCATENATE("          ", "6279", " - ", "GENERAL EXPENSE")</f>
        <v xml:space="preserve">          6279 - GENERAL EXPENSE</v>
      </c>
      <c r="C225" s="11"/>
      <c r="D225" s="6">
        <v>-40</v>
      </c>
      <c r="E225" s="2"/>
      <c r="F225" s="7">
        <f t="shared" si="82"/>
        <v>-1.201396635602855E-4</v>
      </c>
      <c r="G225" s="2"/>
      <c r="H225" s="6">
        <v>188.95</v>
      </c>
      <c r="I225" s="2"/>
      <c r="J225" s="7">
        <f t="shared" si="83"/>
        <v>3.0230091392949787E-4</v>
      </c>
      <c r="K225" s="2"/>
      <c r="L225" s="6">
        <f t="shared" si="84"/>
        <v>-228.95</v>
      </c>
      <c r="M225" s="2"/>
      <c r="N225" s="7">
        <f t="shared" si="85"/>
        <v>-1.2116962159301403</v>
      </c>
      <c r="O225" s="11"/>
      <c r="P225" s="6">
        <v>-3276.98</v>
      </c>
      <c r="Q225" s="2"/>
      <c r="R225" s="7">
        <f t="shared" si="86"/>
        <v>-9.3892729477702591E-4</v>
      </c>
      <c r="S225" s="2"/>
      <c r="T225" s="6">
        <v>-15512.79</v>
      </c>
      <c r="U225" s="2"/>
      <c r="V225" s="7">
        <f t="shared" si="87"/>
        <v>-2.6031574157780808E-3</v>
      </c>
      <c r="W225" s="2"/>
      <c r="X225" s="6">
        <f t="shared" si="88"/>
        <v>12235.810000000001</v>
      </c>
      <c r="Y225" s="2"/>
      <c r="Z225" s="7">
        <f t="shared" si="89"/>
        <v>-0.7887562456527808</v>
      </c>
    </row>
    <row r="226" spans="1:26" s="29" customFormat="1" outlineLevel="1" collapsed="1" x14ac:dyDescent="0.25">
      <c r="A226" s="27"/>
      <c r="B226" s="14" t="str">
        <f>CONCATENATE("     ","Insurance                                         ")</f>
        <v xml:space="preserve">     Insurance                                         </v>
      </c>
      <c r="C226" s="14"/>
      <c r="D226" s="1">
        <f>SUM(OSRRefD22_12x_0)</f>
        <v>4044.74</v>
      </c>
      <c r="E226" s="1"/>
      <c r="F226" s="5">
        <f t="shared" si="82"/>
        <v>1.2148342569720728E-2</v>
      </c>
      <c r="G226" s="1"/>
      <c r="H226" s="1">
        <f>SUM(OSRRefH22_12x_0)</f>
        <v>4044.74</v>
      </c>
      <c r="I226" s="1"/>
      <c r="J226" s="5">
        <f t="shared" si="83"/>
        <v>6.4711754358676753E-3</v>
      </c>
      <c r="K226" s="1"/>
      <c r="L226" s="1">
        <f t="shared" si="84"/>
        <v>0</v>
      </c>
      <c r="M226" s="1"/>
      <c r="N226" s="5">
        <f t="shared" si="85"/>
        <v>0</v>
      </c>
      <c r="O226" s="14"/>
      <c r="P226" s="1">
        <f>SUM(OSRRefP22_12x_0)</f>
        <v>16178.96</v>
      </c>
      <c r="Q226" s="1"/>
      <c r="R226" s="5">
        <f t="shared" si="86"/>
        <v>4.6356301061055332E-3</v>
      </c>
      <c r="S226" s="1"/>
      <c r="T226" s="1">
        <f>SUM(OSRRefT22_12x_0)</f>
        <v>16178.96</v>
      </c>
      <c r="U226" s="1"/>
      <c r="V226" s="5">
        <f t="shared" si="87"/>
        <v>2.7149455193796173E-3</v>
      </c>
      <c r="W226" s="1"/>
      <c r="X226" s="1">
        <f t="shared" si="88"/>
        <v>0</v>
      </c>
      <c r="Y226" s="1"/>
      <c r="Z226" s="5">
        <f t="shared" si="89"/>
        <v>0</v>
      </c>
    </row>
    <row r="227" spans="1:26" s="24" customFormat="1" hidden="1" outlineLevel="2" x14ac:dyDescent="0.25">
      <c r="A227" s="28"/>
      <c r="B227" s="11" t="str">
        <f>CONCATENATE("          ", "6314", " - ", "LIABILITY INSURANCE")</f>
        <v xml:space="preserve">          6314 - LIABILITY INSURANCE</v>
      </c>
      <c r="C227" s="11"/>
      <c r="D227" s="6">
        <v>4044.74</v>
      </c>
      <c r="E227" s="2"/>
      <c r="F227" s="7">
        <f t="shared" si="82"/>
        <v>1.2148342569720728E-2</v>
      </c>
      <c r="G227" s="2"/>
      <c r="H227" s="6">
        <v>4044.74</v>
      </c>
      <c r="I227" s="2"/>
      <c r="J227" s="7">
        <f t="shared" si="83"/>
        <v>6.4711754358676753E-3</v>
      </c>
      <c r="K227" s="2"/>
      <c r="L227" s="6">
        <f t="shared" si="84"/>
        <v>0</v>
      </c>
      <c r="M227" s="2"/>
      <c r="N227" s="7">
        <f t="shared" si="85"/>
        <v>0</v>
      </c>
      <c r="O227" s="11"/>
      <c r="P227" s="6">
        <v>16178.96</v>
      </c>
      <c r="Q227" s="2"/>
      <c r="R227" s="7">
        <f t="shared" si="86"/>
        <v>4.6356301061055332E-3</v>
      </c>
      <c r="S227" s="2"/>
      <c r="T227" s="6">
        <v>16178.96</v>
      </c>
      <c r="U227" s="2"/>
      <c r="V227" s="7">
        <f t="shared" si="87"/>
        <v>2.7149455193796173E-3</v>
      </c>
      <c r="W227" s="2"/>
      <c r="X227" s="6">
        <f t="shared" si="88"/>
        <v>0</v>
      </c>
      <c r="Y227" s="2"/>
      <c r="Z227" s="7">
        <f t="shared" si="89"/>
        <v>0</v>
      </c>
    </row>
    <row r="228" spans="1:26" s="29" customFormat="1" outlineLevel="1" collapsed="1" x14ac:dyDescent="0.25">
      <c r="A228" s="27"/>
      <c r="B228" s="14" t="str">
        <f>CONCATENATE("     ","Inventory Adjustment                              ")</f>
        <v xml:space="preserve">     Inventory Adjustment                              </v>
      </c>
      <c r="C228" s="14"/>
      <c r="D228" s="1">
        <f>SUM(OSRRefD22_13x_0)</f>
        <v>3350</v>
      </c>
      <c r="E228" s="1"/>
      <c r="F228" s="5">
        <f t="shared" si="82"/>
        <v>1.0061696823173911E-2</v>
      </c>
      <c r="G228" s="1"/>
      <c r="H228" s="1">
        <f>SUM(OSRRefH22_13x_0)</f>
        <v>4250</v>
      </c>
      <c r="I228" s="1"/>
      <c r="J228" s="5">
        <f t="shared" si="83"/>
        <v>6.7995707023041337E-3</v>
      </c>
      <c r="K228" s="1"/>
      <c r="L228" s="1">
        <f t="shared" si="84"/>
        <v>-900</v>
      </c>
      <c r="M228" s="1"/>
      <c r="N228" s="5">
        <f t="shared" si="85"/>
        <v>-0.21176470588235294</v>
      </c>
      <c r="O228" s="14"/>
      <c r="P228" s="1">
        <f>SUM(OSRRefP22_13x_0)</f>
        <v>13400</v>
      </c>
      <c r="Q228" s="1"/>
      <c r="R228" s="5">
        <f t="shared" si="86"/>
        <v>3.839396563302842E-3</v>
      </c>
      <c r="S228" s="1"/>
      <c r="T228" s="1">
        <f>SUM(OSRRefT22_13x_0)</f>
        <v>16900</v>
      </c>
      <c r="U228" s="1"/>
      <c r="V228" s="5">
        <f t="shared" si="87"/>
        <v>2.8359412024948163E-3</v>
      </c>
      <c r="W228" s="1"/>
      <c r="X228" s="1">
        <f t="shared" si="88"/>
        <v>-3500</v>
      </c>
      <c r="Y228" s="1"/>
      <c r="Z228" s="5">
        <f t="shared" si="89"/>
        <v>-0.20710059171597633</v>
      </c>
    </row>
    <row r="229" spans="1:26" s="24" customFormat="1" hidden="1" outlineLevel="2" x14ac:dyDescent="0.25">
      <c r="A229" s="28"/>
      <c r="B229" s="11" t="str">
        <f>CONCATENATE("          ", "6408", " - ", "INVENTORY ADJUSTMENT")</f>
        <v xml:space="preserve">          6408 - INVENTORY ADJUSTMENT</v>
      </c>
      <c r="C229" s="11"/>
      <c r="D229" s="6">
        <v>3350</v>
      </c>
      <c r="E229" s="2"/>
      <c r="F229" s="7">
        <f t="shared" si="82"/>
        <v>1.0061696823173911E-2</v>
      </c>
      <c r="G229" s="2"/>
      <c r="H229" s="6">
        <v>4250</v>
      </c>
      <c r="I229" s="2"/>
      <c r="J229" s="7">
        <f t="shared" si="83"/>
        <v>6.7995707023041337E-3</v>
      </c>
      <c r="K229" s="2"/>
      <c r="L229" s="6">
        <f t="shared" si="84"/>
        <v>-900</v>
      </c>
      <c r="M229" s="2"/>
      <c r="N229" s="7">
        <f t="shared" si="85"/>
        <v>-0.21176470588235294</v>
      </c>
      <c r="O229" s="11"/>
      <c r="P229" s="6">
        <v>13400</v>
      </c>
      <c r="Q229" s="2"/>
      <c r="R229" s="7">
        <f t="shared" si="86"/>
        <v>3.839396563302842E-3</v>
      </c>
      <c r="S229" s="2"/>
      <c r="T229" s="6">
        <v>16900</v>
      </c>
      <c r="U229" s="2"/>
      <c r="V229" s="7">
        <f t="shared" si="87"/>
        <v>2.8359412024948163E-3</v>
      </c>
      <c r="W229" s="2"/>
      <c r="X229" s="6">
        <f t="shared" si="88"/>
        <v>-3500</v>
      </c>
      <c r="Y229" s="2"/>
      <c r="Z229" s="7">
        <f t="shared" si="89"/>
        <v>-0.20710059171597633</v>
      </c>
    </row>
    <row r="230" spans="1:26" s="29" customFormat="1" outlineLevel="1" collapsed="1" x14ac:dyDescent="0.25">
      <c r="A230" s="27"/>
      <c r="B230" s="14" t="str">
        <f>CONCATENATE("     ","Professional Services                             ")</f>
        <v xml:space="preserve">     Professional Services                             </v>
      </c>
      <c r="C230" s="14"/>
      <c r="D230" s="1">
        <f>SUM(OSRRefD22_14x_0)</f>
        <v>0</v>
      </c>
      <c r="E230" s="1"/>
      <c r="F230" s="5">
        <f t="shared" si="82"/>
        <v>0</v>
      </c>
      <c r="G230" s="1"/>
      <c r="H230" s="1">
        <f>SUM(OSRRefH22_14x_0)</f>
        <v>0</v>
      </c>
      <c r="I230" s="1"/>
      <c r="J230" s="5">
        <f t="shared" si="83"/>
        <v>0</v>
      </c>
      <c r="K230" s="1"/>
      <c r="L230" s="1">
        <f t="shared" si="84"/>
        <v>0</v>
      </c>
      <c r="M230" s="1"/>
      <c r="N230" s="5">
        <f t="shared" si="85"/>
        <v>0</v>
      </c>
      <c r="O230" s="14"/>
      <c r="P230" s="1">
        <f>SUM(OSRRefP22_14x_0)</f>
        <v>0</v>
      </c>
      <c r="Q230" s="1"/>
      <c r="R230" s="5">
        <f t="shared" si="86"/>
        <v>0</v>
      </c>
      <c r="S230" s="1"/>
      <c r="T230" s="1">
        <f>SUM(OSRRefT22_14x_0)</f>
        <v>6158.41</v>
      </c>
      <c r="U230" s="1"/>
      <c r="V230" s="5">
        <f t="shared" si="87"/>
        <v>1.0334253645476984E-3</v>
      </c>
      <c r="W230" s="1"/>
      <c r="X230" s="1">
        <f t="shared" si="88"/>
        <v>-6158.41</v>
      </c>
      <c r="Y230" s="1"/>
      <c r="Z230" s="5">
        <f t="shared" si="89"/>
        <v>-1</v>
      </c>
    </row>
    <row r="231" spans="1:26" s="24" customFormat="1" hidden="1" outlineLevel="2" x14ac:dyDescent="0.25">
      <c r="A231" s="28"/>
      <c r="B231" s="11" t="str">
        <f>CONCATENATE("          ", "6336", " - ", "PROFESSIONAL SERVICES")</f>
        <v xml:space="preserve">          6336 - PROFESSIONAL SERVICES</v>
      </c>
      <c r="C231" s="11"/>
      <c r="D231" s="6"/>
      <c r="E231" s="2"/>
      <c r="F231" s="7">
        <f t="shared" si="82"/>
        <v>0</v>
      </c>
      <c r="G231" s="2"/>
      <c r="H231" s="6"/>
      <c r="I231" s="2"/>
      <c r="J231" s="7">
        <f t="shared" si="83"/>
        <v>0</v>
      </c>
      <c r="K231" s="2"/>
      <c r="L231" s="6">
        <f t="shared" si="84"/>
        <v>0</v>
      </c>
      <c r="M231" s="2"/>
      <c r="N231" s="7">
        <f t="shared" si="85"/>
        <v>0</v>
      </c>
      <c r="O231" s="11"/>
      <c r="P231" s="6"/>
      <c r="Q231" s="2"/>
      <c r="R231" s="7">
        <f t="shared" si="86"/>
        <v>0</v>
      </c>
      <c r="S231" s="2"/>
      <c r="T231" s="6">
        <v>6158.41</v>
      </c>
      <c r="U231" s="2"/>
      <c r="V231" s="7">
        <f t="shared" si="87"/>
        <v>1.0334253645476984E-3</v>
      </c>
      <c r="W231" s="2"/>
      <c r="X231" s="6">
        <f t="shared" si="88"/>
        <v>-6158.41</v>
      </c>
      <c r="Y231" s="2"/>
      <c r="Z231" s="7">
        <f t="shared" si="89"/>
        <v>-1</v>
      </c>
    </row>
    <row r="232" spans="1:26" s="29" customFormat="1" outlineLevel="1" collapsed="1" x14ac:dyDescent="0.25">
      <c r="A232" s="27"/>
      <c r="B232" s="14" t="str">
        <f>CONCATENATE("     ","Rent                                              ")</f>
        <v xml:space="preserve">     Rent                                              </v>
      </c>
      <c r="C232" s="14"/>
      <c r="D232" s="1">
        <f>SUM(OSRRefD22_15x_0)</f>
        <v>6100</v>
      </c>
      <c r="E232" s="1"/>
      <c r="F232" s="5">
        <f t="shared" si="82"/>
        <v>1.8321298692943539E-2</v>
      </c>
      <c r="G232" s="1"/>
      <c r="H232" s="1">
        <f>SUM(OSRRefH22_15x_0)</f>
        <v>6100</v>
      </c>
      <c r="I232" s="1"/>
      <c r="J232" s="5">
        <f t="shared" si="83"/>
        <v>9.7593838315424026E-3</v>
      </c>
      <c r="K232" s="1"/>
      <c r="L232" s="1">
        <f t="shared" si="84"/>
        <v>0</v>
      </c>
      <c r="M232" s="1"/>
      <c r="N232" s="5">
        <f t="shared" si="85"/>
        <v>0</v>
      </c>
      <c r="O232" s="14"/>
      <c r="P232" s="1">
        <f>SUM(OSRRefP22_15x_0)</f>
        <v>24400</v>
      </c>
      <c r="Q232" s="1"/>
      <c r="R232" s="5">
        <f t="shared" si="86"/>
        <v>6.9911400107902496E-3</v>
      </c>
      <c r="S232" s="1"/>
      <c r="T232" s="1">
        <f>SUM(OSRRefT22_15x_0)</f>
        <v>24400</v>
      </c>
      <c r="U232" s="1"/>
      <c r="V232" s="5">
        <f t="shared" si="87"/>
        <v>4.0944949905842316E-3</v>
      </c>
      <c r="W232" s="1"/>
      <c r="X232" s="1">
        <f t="shared" si="88"/>
        <v>0</v>
      </c>
      <c r="Y232" s="1"/>
      <c r="Z232" s="5">
        <f t="shared" si="89"/>
        <v>0</v>
      </c>
    </row>
    <row r="233" spans="1:26" s="24" customFormat="1" hidden="1" outlineLevel="2" x14ac:dyDescent="0.25">
      <c r="A233" s="28"/>
      <c r="B233" s="11" t="str">
        <f>CONCATENATE("          ", "6273", " - ", "RENT")</f>
        <v xml:space="preserve">          6273 - RENT</v>
      </c>
      <c r="C233" s="11"/>
      <c r="D233" s="6">
        <v>6100</v>
      </c>
      <c r="E233" s="2"/>
      <c r="F233" s="7">
        <f t="shared" si="82"/>
        <v>1.8321298692943539E-2</v>
      </c>
      <c r="G233" s="2"/>
      <c r="H233" s="6">
        <v>6100</v>
      </c>
      <c r="I233" s="2"/>
      <c r="J233" s="7">
        <f t="shared" si="83"/>
        <v>9.7593838315424026E-3</v>
      </c>
      <c r="K233" s="2"/>
      <c r="L233" s="6">
        <f t="shared" si="84"/>
        <v>0</v>
      </c>
      <c r="M233" s="2"/>
      <c r="N233" s="7">
        <f t="shared" si="85"/>
        <v>0</v>
      </c>
      <c r="O233" s="11"/>
      <c r="P233" s="6">
        <v>24400</v>
      </c>
      <c r="Q233" s="2"/>
      <c r="R233" s="7">
        <f t="shared" si="86"/>
        <v>6.9911400107902496E-3</v>
      </c>
      <c r="S233" s="2"/>
      <c r="T233" s="6">
        <v>24400</v>
      </c>
      <c r="U233" s="2"/>
      <c r="V233" s="7">
        <f t="shared" si="87"/>
        <v>4.0944949905842316E-3</v>
      </c>
      <c r="W233" s="2"/>
      <c r="X233" s="6">
        <f t="shared" si="88"/>
        <v>0</v>
      </c>
      <c r="Y233" s="2"/>
      <c r="Z233" s="7">
        <f t="shared" si="89"/>
        <v>0</v>
      </c>
    </row>
    <row r="234" spans="1:26" s="29" customFormat="1" outlineLevel="1" collapsed="1" x14ac:dyDescent="0.25">
      <c r="A234" s="27"/>
      <c r="B234" s="14" t="str">
        <f>CONCATENATE("     ","Repair and Maintenance                            ")</f>
        <v xml:space="preserve">     Repair and Maintenance                            </v>
      </c>
      <c r="C234" s="14"/>
      <c r="D234" s="1">
        <f>SUM(OSRRefD22_16x_0)</f>
        <v>11552.1</v>
      </c>
      <c r="E234" s="1"/>
      <c r="F234" s="5">
        <f t="shared" si="82"/>
        <v>3.4696635185369355E-2</v>
      </c>
      <c r="G234" s="1"/>
      <c r="H234" s="1">
        <f>SUM(OSRRefH22_16x_0)</f>
        <v>16586.900000000001</v>
      </c>
      <c r="I234" s="1"/>
      <c r="J234" s="5">
        <f t="shared" si="83"/>
        <v>2.6537364536952573E-2</v>
      </c>
      <c r="K234" s="1"/>
      <c r="L234" s="1">
        <f t="shared" si="84"/>
        <v>-5034.8000000000011</v>
      </c>
      <c r="M234" s="1"/>
      <c r="N234" s="5">
        <f t="shared" si="85"/>
        <v>-0.30354074601040582</v>
      </c>
      <c r="O234" s="14"/>
      <c r="P234" s="1">
        <f>SUM(OSRRefP22_16x_0)</f>
        <v>97944.37</v>
      </c>
      <c r="Q234" s="1"/>
      <c r="R234" s="5">
        <f t="shared" si="86"/>
        <v>2.8063229669616566E-2</v>
      </c>
      <c r="S234" s="1"/>
      <c r="T234" s="1">
        <f>SUM(OSRRefT22_16x_0)</f>
        <v>64941.310000000005</v>
      </c>
      <c r="U234" s="1"/>
      <c r="V234" s="5">
        <f t="shared" si="87"/>
        <v>1.0897617560531873E-2</v>
      </c>
      <c r="W234" s="1"/>
      <c r="X234" s="1">
        <f t="shared" si="88"/>
        <v>33003.05999999999</v>
      </c>
      <c r="Y234" s="1"/>
      <c r="Z234" s="5">
        <f t="shared" si="89"/>
        <v>0.50819824854164453</v>
      </c>
    </row>
    <row r="235" spans="1:26" s="24" customFormat="1" hidden="1" outlineLevel="2" x14ac:dyDescent="0.25">
      <c r="A235" s="28"/>
      <c r="B235" s="11" t="str">
        <f>CONCATENATE("          ", "6371", " - ", "COMPUTER SOFTWARE MAINTENANCE")</f>
        <v xml:space="preserve">          6371 - COMPUTER SOFTWARE MAINTENANCE</v>
      </c>
      <c r="C235" s="11"/>
      <c r="D235" s="6">
        <v>7.69</v>
      </c>
      <c r="E235" s="2"/>
      <c r="F235" s="7">
        <f t="shared" si="82"/>
        <v>2.3096850319464889E-5</v>
      </c>
      <c r="G235" s="2"/>
      <c r="H235" s="6">
        <v>601</v>
      </c>
      <c r="I235" s="2"/>
      <c r="J235" s="7">
        <f t="shared" si="83"/>
        <v>9.6153929225524331E-4</v>
      </c>
      <c r="K235" s="2"/>
      <c r="L235" s="6">
        <f t="shared" si="84"/>
        <v>-593.30999999999995</v>
      </c>
      <c r="M235" s="2"/>
      <c r="N235" s="7">
        <f t="shared" si="85"/>
        <v>-0.98720465890183018</v>
      </c>
      <c r="O235" s="11"/>
      <c r="P235" s="6">
        <v>58436.47</v>
      </c>
      <c r="Q235" s="2"/>
      <c r="R235" s="7">
        <f t="shared" si="86"/>
        <v>1.6743341946981315E-2</v>
      </c>
      <c r="S235" s="2"/>
      <c r="T235" s="6">
        <v>12751.4</v>
      </c>
      <c r="U235" s="2"/>
      <c r="V235" s="7">
        <f t="shared" si="87"/>
        <v>2.1397763697924496E-3</v>
      </c>
      <c r="W235" s="2"/>
      <c r="X235" s="6">
        <f t="shared" si="88"/>
        <v>45685.07</v>
      </c>
      <c r="Y235" s="2"/>
      <c r="Z235" s="7">
        <f t="shared" si="89"/>
        <v>3.5827493451699421</v>
      </c>
    </row>
    <row r="236" spans="1:26" s="24" customFormat="1" hidden="1" outlineLevel="2" x14ac:dyDescent="0.25">
      <c r="A236" s="28"/>
      <c r="B236" s="11" t="str">
        <f>CONCATENATE("          ", "6372", " - ", "COMPUTER HARDWARE MAINTENANCE")</f>
        <v xml:space="preserve">          6372 - COMPUTER HARDWARE MAINTENANCE</v>
      </c>
      <c r="C236" s="11"/>
      <c r="D236" s="6">
        <v>8.11</v>
      </c>
      <c r="E236" s="2"/>
      <c r="F236" s="7">
        <f t="shared" si="82"/>
        <v>2.4358316786847886E-5</v>
      </c>
      <c r="G236" s="2"/>
      <c r="H236" s="6"/>
      <c r="I236" s="2"/>
      <c r="J236" s="7">
        <f t="shared" si="83"/>
        <v>0</v>
      </c>
      <c r="K236" s="2"/>
      <c r="L236" s="6">
        <f t="shared" si="84"/>
        <v>8.11</v>
      </c>
      <c r="M236" s="2"/>
      <c r="N236" s="7">
        <f t="shared" si="85"/>
        <v>0</v>
      </c>
      <c r="O236" s="11"/>
      <c r="P236" s="6">
        <v>0</v>
      </c>
      <c r="Q236" s="2"/>
      <c r="R236" s="7">
        <f t="shared" si="86"/>
        <v>0</v>
      </c>
      <c r="S236" s="2"/>
      <c r="T236" s="6"/>
      <c r="U236" s="2"/>
      <c r="V236" s="7">
        <f t="shared" si="87"/>
        <v>0</v>
      </c>
      <c r="W236" s="2"/>
      <c r="X236" s="6">
        <f t="shared" si="88"/>
        <v>0</v>
      </c>
      <c r="Y236" s="2"/>
      <c r="Z236" s="7">
        <f t="shared" si="89"/>
        <v>0</v>
      </c>
    </row>
    <row r="237" spans="1:26" s="24" customFormat="1" hidden="1" outlineLevel="2" x14ac:dyDescent="0.25">
      <c r="A237" s="28"/>
      <c r="B237" s="11" t="str">
        <f>CONCATENATE("          ", "6373", " - ", "MAINTENANCE CONTRACTS")</f>
        <v xml:space="preserve">          6373 - MAINTENANCE CONTRACTS</v>
      </c>
      <c r="C237" s="11"/>
      <c r="D237" s="6">
        <v>5396.67</v>
      </c>
      <c r="E237" s="2"/>
      <c r="F237" s="7">
        <f t="shared" si="82"/>
        <v>1.620885295364715E-2</v>
      </c>
      <c r="G237" s="2"/>
      <c r="H237" s="6">
        <v>11328</v>
      </c>
      <c r="I237" s="2"/>
      <c r="J237" s="7">
        <f t="shared" si="83"/>
        <v>1.8123655744870876E-2</v>
      </c>
      <c r="K237" s="2"/>
      <c r="L237" s="6">
        <f t="shared" si="84"/>
        <v>-5931.33</v>
      </c>
      <c r="M237" s="2"/>
      <c r="N237" s="7">
        <f t="shared" si="85"/>
        <v>-0.52359904661016954</v>
      </c>
      <c r="O237" s="11"/>
      <c r="P237" s="6">
        <v>30585.72</v>
      </c>
      <c r="Q237" s="2"/>
      <c r="R237" s="7">
        <f t="shared" si="86"/>
        <v>8.763485690607687E-3</v>
      </c>
      <c r="S237" s="2"/>
      <c r="T237" s="6">
        <v>30376.190000000002</v>
      </c>
      <c r="U237" s="2"/>
      <c r="V237" s="7">
        <f t="shared" si="87"/>
        <v>5.0973425322965102E-3</v>
      </c>
      <c r="W237" s="2"/>
      <c r="X237" s="6">
        <f t="shared" si="88"/>
        <v>209.52999999999884</v>
      </c>
      <c r="Y237" s="2"/>
      <c r="Z237" s="7">
        <f t="shared" si="89"/>
        <v>6.8978367596462496E-3</v>
      </c>
    </row>
    <row r="238" spans="1:26" s="24" customFormat="1" hidden="1" outlineLevel="2" x14ac:dyDescent="0.25">
      <c r="A238" s="28"/>
      <c r="B238" s="11" t="str">
        <f>CONCATENATE("          ", "6375", " - ", "OUTSIDE REPAIRS &amp; MAINTENANCE")</f>
        <v xml:space="preserve">          6375 - OUTSIDE REPAIRS &amp; MAINTENANCE</v>
      </c>
      <c r="C238" s="11"/>
      <c r="D238" s="6">
        <v>6139.63</v>
      </c>
      <c r="E238" s="2"/>
      <c r="F238" s="7">
        <f t="shared" si="82"/>
        <v>1.8440327064615892E-2</v>
      </c>
      <c r="G238" s="2"/>
      <c r="H238" s="6">
        <v>4657.8999999999996</v>
      </c>
      <c r="I238" s="2"/>
      <c r="J238" s="7">
        <f t="shared" si="83"/>
        <v>7.4521694998264517E-3</v>
      </c>
      <c r="K238" s="2"/>
      <c r="L238" s="6">
        <f t="shared" si="84"/>
        <v>1481.7300000000005</v>
      </c>
      <c r="M238" s="2"/>
      <c r="N238" s="7">
        <f t="shared" si="85"/>
        <v>0.31811116597608374</v>
      </c>
      <c r="O238" s="11"/>
      <c r="P238" s="6">
        <v>8922.18</v>
      </c>
      <c r="Q238" s="2"/>
      <c r="R238" s="7">
        <f t="shared" si="86"/>
        <v>2.5564020320275635E-3</v>
      </c>
      <c r="S238" s="2"/>
      <c r="T238" s="6">
        <v>21813.72</v>
      </c>
      <c r="U238" s="2"/>
      <c r="V238" s="7">
        <f t="shared" si="87"/>
        <v>3.6604986584429129E-3</v>
      </c>
      <c r="W238" s="2"/>
      <c r="X238" s="6">
        <f t="shared" si="88"/>
        <v>-12891.54</v>
      </c>
      <c r="Y238" s="2"/>
      <c r="Z238" s="7">
        <f t="shared" si="89"/>
        <v>-0.59098310604518622</v>
      </c>
    </row>
    <row r="239" spans="1:26" s="29" customFormat="1" outlineLevel="1" collapsed="1" x14ac:dyDescent="0.25">
      <c r="A239" s="27"/>
      <c r="B239" s="14" t="str">
        <f>CONCATENATE("     ","Royalty &amp; Commissions                             ")</f>
        <v xml:space="preserve">     Royalty &amp; Commissions                             </v>
      </c>
      <c r="C239" s="14"/>
      <c r="D239" s="1">
        <f>SUM(OSRRefD22_17x_0)</f>
        <v>10810</v>
      </c>
      <c r="E239" s="1"/>
      <c r="F239" s="5">
        <f t="shared" ref="F239:F242" si="90">IF(D$12=0,0,D239/D$12)</f>
        <v>3.2467744077167154E-2</v>
      </c>
      <c r="G239" s="1"/>
      <c r="H239" s="1">
        <f>SUM(OSRRefH22_17x_0)</f>
        <v>12626.66</v>
      </c>
      <c r="I239" s="1"/>
      <c r="J239" s="5">
        <f t="shared" ref="J239:J242" si="91">IF(H$12=0,0,H239/H$12)</f>
        <v>2.0201380565636591E-2</v>
      </c>
      <c r="K239" s="1"/>
      <c r="L239" s="1">
        <f t="shared" ref="L239:L242" si="92">+D239-H239</f>
        <v>-1816.6599999999999</v>
      </c>
      <c r="M239" s="1"/>
      <c r="N239" s="5">
        <f t="shared" ref="N239:N242" si="93">IF(H239=0,0,L239/H239)</f>
        <v>-0.14387494396776343</v>
      </c>
      <c r="O239" s="14"/>
      <c r="P239" s="1">
        <f>SUM(OSRRefP22_17x_0)</f>
        <v>24117</v>
      </c>
      <c r="Q239" s="1"/>
      <c r="R239" s="5">
        <f t="shared" ref="R239:R242" si="94">IF(P$12=0,0,P239/P$12)</f>
        <v>6.9100542475503462E-3</v>
      </c>
      <c r="S239" s="1"/>
      <c r="T239" s="1">
        <f>SUM(OSRRefT22_17x_0)</f>
        <v>32079.1</v>
      </c>
      <c r="U239" s="1"/>
      <c r="V239" s="5">
        <f t="shared" ref="V239:V242" si="95">IF(T$12=0,0,T239/T$12)</f>
        <v>5.383103043133222E-3</v>
      </c>
      <c r="W239" s="1"/>
      <c r="X239" s="1">
        <f t="shared" ref="X239:X242" si="96">+P239-T239</f>
        <v>-7962.0999999999985</v>
      </c>
      <c r="Y239" s="1"/>
      <c r="Z239" s="5">
        <f t="shared" ref="Z239:Z242" si="97">IF(T239=0,0,X239/T239)</f>
        <v>-0.24820210043299215</v>
      </c>
    </row>
    <row r="240" spans="1:26" s="24" customFormat="1" hidden="1" outlineLevel="2" x14ac:dyDescent="0.25">
      <c r="A240" s="28"/>
      <c r="B240" s="11" t="str">
        <f>CONCATENATE("          ", "6253", " - ", "ROYALTY DUE ATHLETICS-LRG")</f>
        <v xml:space="preserve">          6253 - ROYALTY DUE ATHLETICS-LRG</v>
      </c>
      <c r="C240" s="11"/>
      <c r="D240" s="6">
        <v>10489.6</v>
      </c>
      <c r="E240" s="2"/>
      <c r="F240" s="7">
        <f t="shared" si="90"/>
        <v>3.150542537204927E-2</v>
      </c>
      <c r="G240" s="2"/>
      <c r="H240" s="6"/>
      <c r="I240" s="2"/>
      <c r="J240" s="7">
        <f t="shared" si="91"/>
        <v>0</v>
      </c>
      <c r="K240" s="2"/>
      <c r="L240" s="6">
        <f t="shared" si="92"/>
        <v>10489.6</v>
      </c>
      <c r="M240" s="2"/>
      <c r="N240" s="7">
        <f t="shared" si="93"/>
        <v>0</v>
      </c>
      <c r="O240" s="11"/>
      <c r="P240" s="6">
        <v>18411.8</v>
      </c>
      <c r="Q240" s="2"/>
      <c r="R240" s="7">
        <f t="shared" si="94"/>
        <v>5.2753881824044229E-3</v>
      </c>
      <c r="S240" s="2"/>
      <c r="T240" s="6">
        <v>4366.95</v>
      </c>
      <c r="U240" s="2"/>
      <c r="V240" s="7">
        <f t="shared" si="95"/>
        <v>7.3280552865294304E-4</v>
      </c>
      <c r="W240" s="2"/>
      <c r="X240" s="6">
        <f t="shared" si="96"/>
        <v>14044.849999999999</v>
      </c>
      <c r="Y240" s="2"/>
      <c r="Z240" s="7">
        <f t="shared" si="97"/>
        <v>3.216169179862375</v>
      </c>
    </row>
    <row r="241" spans="1:26" s="24" customFormat="1" hidden="1" outlineLevel="2" x14ac:dyDescent="0.25">
      <c r="A241" s="28"/>
      <c r="B241" s="11" t="str">
        <f>CONCATENATE("          ", "6254", " - ", "ROYALTY &amp; COMMISSIONS")</f>
        <v xml:space="preserve">          6254 - ROYALTY &amp; COMMISSIONS</v>
      </c>
      <c r="C241" s="11"/>
      <c r="D241" s="6"/>
      <c r="E241" s="2"/>
      <c r="F241" s="7">
        <f t="shared" si="90"/>
        <v>0</v>
      </c>
      <c r="G241" s="2"/>
      <c r="H241" s="6">
        <v>882.02</v>
      </c>
      <c r="I241" s="2"/>
      <c r="J241" s="7">
        <f t="shared" si="91"/>
        <v>1.4111429060814805E-3</v>
      </c>
      <c r="K241" s="2"/>
      <c r="L241" s="6">
        <f t="shared" si="92"/>
        <v>-882.02</v>
      </c>
      <c r="M241" s="2"/>
      <c r="N241" s="7">
        <f t="shared" si="93"/>
        <v>-1</v>
      </c>
      <c r="O241" s="11"/>
      <c r="P241" s="6"/>
      <c r="Q241" s="2"/>
      <c r="R241" s="7">
        <f t="shared" si="94"/>
        <v>0</v>
      </c>
      <c r="S241" s="2"/>
      <c r="T241" s="6">
        <v>1497.89</v>
      </c>
      <c r="U241" s="2"/>
      <c r="V241" s="7">
        <f t="shared" si="95"/>
        <v>2.5135668448550061E-4</v>
      </c>
      <c r="W241" s="2"/>
      <c r="X241" s="6">
        <f t="shared" si="96"/>
        <v>-1497.89</v>
      </c>
      <c r="Y241" s="2"/>
      <c r="Z241" s="7">
        <f t="shared" si="97"/>
        <v>-1</v>
      </c>
    </row>
    <row r="242" spans="1:26" s="24" customFormat="1" hidden="1" outlineLevel="2" x14ac:dyDescent="0.25">
      <c r="A242" s="28"/>
      <c r="B242" s="11" t="str">
        <f>CONCATENATE("          ", "6259", " - ", "ROYALTY &amp; COMMISSIONS")</f>
        <v xml:space="preserve">          6259 - ROYALTY &amp; COMMISSIONS</v>
      </c>
      <c r="C242" s="11"/>
      <c r="D242" s="6">
        <v>320.39999999999998</v>
      </c>
      <c r="E242" s="2"/>
      <c r="F242" s="7">
        <f t="shared" si="90"/>
        <v>9.6231870511788681E-4</v>
      </c>
      <c r="G242" s="2"/>
      <c r="H242" s="6">
        <v>11744.64</v>
      </c>
      <c r="I242" s="2"/>
      <c r="J242" s="7">
        <f t="shared" si="91"/>
        <v>1.879023765955511E-2</v>
      </c>
      <c r="K242" s="2"/>
      <c r="L242" s="6">
        <f t="shared" si="92"/>
        <v>-11424.24</v>
      </c>
      <c r="M242" s="2"/>
      <c r="N242" s="7">
        <f t="shared" si="93"/>
        <v>-0.97271947032859252</v>
      </c>
      <c r="O242" s="11"/>
      <c r="P242" s="6">
        <v>5705.2</v>
      </c>
      <c r="Q242" s="2"/>
      <c r="R242" s="7">
        <f t="shared" si="94"/>
        <v>1.6346660651459235E-3</v>
      </c>
      <c r="S242" s="2"/>
      <c r="T242" s="6">
        <v>26214.26</v>
      </c>
      <c r="U242" s="2"/>
      <c r="V242" s="7">
        <f t="shared" si="95"/>
        <v>4.3989408299947783E-3</v>
      </c>
      <c r="W242" s="2"/>
      <c r="X242" s="6">
        <f t="shared" si="96"/>
        <v>-20509.059999999998</v>
      </c>
      <c r="Y242" s="2"/>
      <c r="Z242" s="7">
        <f t="shared" si="97"/>
        <v>-0.78236272929314044</v>
      </c>
    </row>
    <row r="243" spans="1:26" s="29" customFormat="1" outlineLevel="1" collapsed="1" x14ac:dyDescent="0.25">
      <c r="A243" s="27"/>
      <c r="B243" s="14" t="str">
        <f>CONCATENATE("     ","Services                                          ")</f>
        <v xml:space="preserve">     Services                                          </v>
      </c>
      <c r="C243" s="14"/>
      <c r="D243" s="1">
        <f>SUM(OSRRefD22_18x_0)</f>
        <v>3968.4200000000005</v>
      </c>
      <c r="E243" s="1"/>
      <c r="F243" s="5">
        <f t="shared" ref="F243:F247" si="98">IF(D$12=0,0,D243/D$12)</f>
        <v>1.1919116091647707E-2</v>
      </c>
      <c r="G243" s="1"/>
      <c r="H243" s="1">
        <f>SUM(OSRRefH22_18x_0)</f>
        <v>5247.7199999999993</v>
      </c>
      <c r="I243" s="1"/>
      <c r="J243" s="5">
        <f t="shared" ref="J243:J247" si="99">IF(H$12=0,0,H243/H$12)</f>
        <v>8.3958219213871622E-3</v>
      </c>
      <c r="K243" s="1"/>
      <c r="L243" s="1">
        <f t="shared" ref="L243:L247" si="100">+D243-H243</f>
        <v>-1279.2999999999988</v>
      </c>
      <c r="M243" s="1"/>
      <c r="N243" s="5">
        <f t="shared" ref="N243:N247" si="101">IF(H243=0,0,L243/H243)</f>
        <v>-0.24378206154291748</v>
      </c>
      <c r="O243" s="14"/>
      <c r="P243" s="1">
        <f>SUM(OSRRefP22_18x_0)</f>
        <v>12791.19</v>
      </c>
      <c r="Q243" s="1"/>
      <c r="R243" s="5">
        <f t="shared" ref="R243:R247" si="102">IF(P$12=0,0,P243/P$12)</f>
        <v>3.6649590243696779E-3</v>
      </c>
      <c r="S243" s="1"/>
      <c r="T243" s="1">
        <f>SUM(OSRRefT22_18x_0)</f>
        <v>18474.909999999996</v>
      </c>
      <c r="U243" s="1"/>
      <c r="V243" s="5">
        <f t="shared" ref="V243:V247" si="103">IF(T$12=0,0,T243/T$12)</f>
        <v>3.1002223953481359E-3</v>
      </c>
      <c r="W243" s="1"/>
      <c r="X243" s="1">
        <f t="shared" ref="X243:X247" si="104">+P243-T243</f>
        <v>-5683.7199999999957</v>
      </c>
      <c r="Y243" s="1"/>
      <c r="Z243" s="5">
        <f t="shared" ref="Z243:Z247" si="105">IF(T243=0,0,X243/T243)</f>
        <v>-0.30764534170937757</v>
      </c>
    </row>
    <row r="244" spans="1:26" s="24" customFormat="1" hidden="1" outlineLevel="2" x14ac:dyDescent="0.25">
      <c r="A244" s="28"/>
      <c r="B244" s="11" t="str">
        <f>CONCATENATE("          ", "6282", " - ", "JANITORIAL/EXTERMINATOR EXPENS")</f>
        <v xml:space="preserve">          6282 - JANITORIAL/EXTERMINATOR EXPENS</v>
      </c>
      <c r="C244" s="11"/>
      <c r="D244" s="6">
        <v>4330.68</v>
      </c>
      <c r="E244" s="2"/>
      <c r="F244" s="7">
        <f t="shared" si="98"/>
        <v>1.3007160954681431E-2</v>
      </c>
      <c r="G244" s="2"/>
      <c r="H244" s="6">
        <v>266.5</v>
      </c>
      <c r="I244" s="2"/>
      <c r="J244" s="7">
        <f t="shared" si="99"/>
        <v>4.2637308050918858E-4</v>
      </c>
      <c r="K244" s="2"/>
      <c r="L244" s="6">
        <f t="shared" si="100"/>
        <v>4064.1800000000003</v>
      </c>
      <c r="M244" s="2"/>
      <c r="N244" s="7">
        <f t="shared" si="101"/>
        <v>15.250206378986867</v>
      </c>
      <c r="O244" s="11"/>
      <c r="P244" s="6">
        <v>5073.62</v>
      </c>
      <c r="Q244" s="2"/>
      <c r="R244" s="7">
        <f t="shared" si="102"/>
        <v>1.45370441727646E-3</v>
      </c>
      <c r="S244" s="2"/>
      <c r="T244" s="6">
        <v>1066</v>
      </c>
      <c r="U244" s="2"/>
      <c r="V244" s="7">
        <f t="shared" si="103"/>
        <v>1.7888244508044225E-4</v>
      </c>
      <c r="W244" s="2"/>
      <c r="X244" s="6">
        <f t="shared" si="104"/>
        <v>4007.62</v>
      </c>
      <c r="Y244" s="2"/>
      <c r="Z244" s="7">
        <f t="shared" si="105"/>
        <v>3.7594934333958725</v>
      </c>
    </row>
    <row r="245" spans="1:26" s="24" customFormat="1" hidden="1" outlineLevel="2" x14ac:dyDescent="0.25">
      <c r="A245" s="28"/>
      <c r="B245" s="11" t="str">
        <f>CONCATENATE("          ", "6283", " - ", "PLANT SERVICE")</f>
        <v xml:space="preserve">          6283 - PLANT SERVICE</v>
      </c>
      <c r="C245" s="11"/>
      <c r="D245" s="6"/>
      <c r="E245" s="2"/>
      <c r="F245" s="7">
        <f t="shared" si="98"/>
        <v>0</v>
      </c>
      <c r="G245" s="2"/>
      <c r="H245" s="6"/>
      <c r="I245" s="2"/>
      <c r="J245" s="7">
        <f t="shared" si="99"/>
        <v>0</v>
      </c>
      <c r="K245" s="2"/>
      <c r="L245" s="6">
        <f t="shared" si="100"/>
        <v>0</v>
      </c>
      <c r="M245" s="2"/>
      <c r="N245" s="7">
        <f t="shared" si="101"/>
        <v>0</v>
      </c>
      <c r="O245" s="11"/>
      <c r="P245" s="6">
        <v>130</v>
      </c>
      <c r="Q245" s="2"/>
      <c r="R245" s="7">
        <f t="shared" si="102"/>
        <v>3.7247877106669363E-5</v>
      </c>
      <c r="S245" s="2"/>
      <c r="T245" s="6">
        <v>541.98</v>
      </c>
      <c r="U245" s="2"/>
      <c r="V245" s="7">
        <f t="shared" si="103"/>
        <v>9.0948130942493526E-5</v>
      </c>
      <c r="W245" s="2"/>
      <c r="X245" s="6">
        <f t="shared" si="104"/>
        <v>-411.98</v>
      </c>
      <c r="Y245" s="2"/>
      <c r="Z245" s="7">
        <f t="shared" si="105"/>
        <v>-0.76013875050739876</v>
      </c>
    </row>
    <row r="246" spans="1:26" s="24" customFormat="1" hidden="1" outlineLevel="2" x14ac:dyDescent="0.25">
      <c r="A246" s="28"/>
      <c r="B246" s="11" t="str">
        <f>CONCATENATE("          ", "6284", " - ", "TRASH REMOVAL EXPENSE")</f>
        <v xml:space="preserve">          6284 - TRASH REMOVAL EXPENSE</v>
      </c>
      <c r="C246" s="11"/>
      <c r="D246" s="6">
        <v>157.59</v>
      </c>
      <c r="E246" s="2"/>
      <c r="F246" s="7">
        <f t="shared" si="98"/>
        <v>4.7332023951163481E-4</v>
      </c>
      <c r="G246" s="2"/>
      <c r="H246" s="6">
        <v>134.82</v>
      </c>
      <c r="I246" s="2"/>
      <c r="J246" s="7">
        <f t="shared" si="99"/>
        <v>2.1569838166697489E-4</v>
      </c>
      <c r="K246" s="2"/>
      <c r="L246" s="6">
        <f t="shared" si="100"/>
        <v>22.77000000000001</v>
      </c>
      <c r="M246" s="2"/>
      <c r="N246" s="7">
        <f t="shared" si="101"/>
        <v>0.16889185580774374</v>
      </c>
      <c r="O246" s="11"/>
      <c r="P246" s="6">
        <v>585.29999999999995</v>
      </c>
      <c r="Q246" s="2"/>
      <c r="R246" s="7">
        <f t="shared" si="102"/>
        <v>1.6770140361948904E-4</v>
      </c>
      <c r="S246" s="2"/>
      <c r="T246" s="6">
        <v>539.28</v>
      </c>
      <c r="U246" s="2"/>
      <c r="V246" s="7">
        <f t="shared" si="103"/>
        <v>9.0495051578781333E-5</v>
      </c>
      <c r="W246" s="2"/>
      <c r="X246" s="6">
        <f t="shared" si="104"/>
        <v>46.019999999999982</v>
      </c>
      <c r="Y246" s="2"/>
      <c r="Z246" s="7">
        <f t="shared" si="105"/>
        <v>8.533600356030259E-2</v>
      </c>
    </row>
    <row r="247" spans="1:26" s="24" customFormat="1" hidden="1" outlineLevel="2" x14ac:dyDescent="0.25">
      <c r="A247" s="28"/>
      <c r="B247" s="11" t="str">
        <f>CONCATENATE("          ", "6285", " - ", "JANITORIAL SERVICES")</f>
        <v xml:space="preserve">          6285 - JANITORIAL SERVICES</v>
      </c>
      <c r="C247" s="11"/>
      <c r="D247" s="6">
        <v>-519.85</v>
      </c>
      <c r="E247" s="2"/>
      <c r="F247" s="7">
        <f t="shared" si="98"/>
        <v>-1.5613651025453605E-3</v>
      </c>
      <c r="G247" s="2"/>
      <c r="H247" s="6">
        <v>4846.3999999999996</v>
      </c>
      <c r="I247" s="2"/>
      <c r="J247" s="7">
        <f t="shared" si="99"/>
        <v>7.7537504592110002E-3</v>
      </c>
      <c r="K247" s="2"/>
      <c r="L247" s="6">
        <f t="shared" si="100"/>
        <v>-5366.25</v>
      </c>
      <c r="M247" s="2"/>
      <c r="N247" s="7">
        <f t="shared" si="101"/>
        <v>-1.1072651865302081</v>
      </c>
      <c r="O247" s="11"/>
      <c r="P247" s="6">
        <v>7002.27</v>
      </c>
      <c r="Q247" s="2"/>
      <c r="R247" s="7">
        <f t="shared" si="102"/>
        <v>2.0063053263670591E-3</v>
      </c>
      <c r="S247" s="2"/>
      <c r="T247" s="6">
        <v>16327.649999999998</v>
      </c>
      <c r="U247" s="2"/>
      <c r="V247" s="7">
        <f t="shared" si="103"/>
        <v>2.7398967677464189E-3</v>
      </c>
      <c r="W247" s="2"/>
      <c r="X247" s="6">
        <f t="shared" si="104"/>
        <v>-9325.3799999999974</v>
      </c>
      <c r="Y247" s="2"/>
      <c r="Z247" s="7">
        <f t="shared" si="105"/>
        <v>-0.57114036618864306</v>
      </c>
    </row>
    <row r="248" spans="1:26" s="29" customFormat="1" outlineLevel="1" collapsed="1" x14ac:dyDescent="0.25">
      <c r="A248" s="27"/>
      <c r="B248" s="14" t="str">
        <f>CONCATENATE("     ","Subscriptions &amp; Dues                              ")</f>
        <v xml:space="preserve">     Subscriptions &amp; Dues                              </v>
      </c>
      <c r="C248" s="14"/>
      <c r="D248" s="1">
        <f>SUM(OSRRefD22_19x_0)</f>
        <v>865.32</v>
      </c>
      <c r="E248" s="1"/>
      <c r="F248" s="5">
        <f t="shared" ref="F248:F250" si="106">IF(D$12=0,0,D248/D$12)</f>
        <v>2.5989813417996565E-3</v>
      </c>
      <c r="G248" s="1"/>
      <c r="H248" s="1">
        <f>SUM(OSRRefH22_19x_0)</f>
        <v>343.55</v>
      </c>
      <c r="I248" s="1"/>
      <c r="J248" s="5">
        <f t="shared" ref="J248:J250" si="107">IF(H$12=0,0,H248/H$12)</f>
        <v>5.4964529759449058E-4</v>
      </c>
      <c r="K248" s="1"/>
      <c r="L248" s="1">
        <f t="shared" ref="L248:L250" si="108">+D248-H248</f>
        <v>521.77</v>
      </c>
      <c r="M248" s="1"/>
      <c r="N248" s="5">
        <f t="shared" ref="N248:N250" si="109">IF(H248=0,0,L248/H248)</f>
        <v>1.5187600058215689</v>
      </c>
      <c r="O248" s="14"/>
      <c r="P248" s="1">
        <f>SUM(OSRRefP22_19x_0)</f>
        <v>1649.09</v>
      </c>
      <c r="Q248" s="1"/>
      <c r="R248" s="5">
        <f t="shared" ref="R248:R250" si="110">IF(P$12=0,0,P248/P$12)</f>
        <v>4.7250078198336445E-4</v>
      </c>
      <c r="S248" s="1"/>
      <c r="T248" s="1">
        <f>SUM(OSRRefT22_19x_0)</f>
        <v>-2957.6</v>
      </c>
      <c r="U248" s="1"/>
      <c r="V248" s="5">
        <f t="shared" ref="V248:V250" si="111">IF(T$12=0,0,T248/T$12)</f>
        <v>-4.9630649115376736E-4</v>
      </c>
      <c r="W248" s="1"/>
      <c r="X248" s="1">
        <f t="shared" ref="X248:X250" si="112">+P248-T248</f>
        <v>4606.6899999999996</v>
      </c>
      <c r="Y248" s="1"/>
      <c r="Z248" s="5">
        <f t="shared" ref="Z248:Z250" si="113">IF(T248=0,0,X248/T248)</f>
        <v>-1.5575770895320529</v>
      </c>
    </row>
    <row r="249" spans="1:26" s="24" customFormat="1" hidden="1" outlineLevel="2" x14ac:dyDescent="0.25">
      <c r="A249" s="28"/>
      <c r="B249" s="11" t="str">
        <f>CONCATENATE("          ", "6258", " - ", "MEMBERSHIP DUES")</f>
        <v xml:space="preserve">          6258 - MEMBERSHIP DUES</v>
      </c>
      <c r="C249" s="11"/>
      <c r="D249" s="6">
        <v>790.32</v>
      </c>
      <c r="E249" s="2"/>
      <c r="F249" s="7">
        <f t="shared" si="106"/>
        <v>2.3737194726241211E-3</v>
      </c>
      <c r="G249" s="2"/>
      <c r="H249" s="6">
        <v>268.55</v>
      </c>
      <c r="I249" s="2"/>
      <c r="J249" s="7">
        <f t="shared" si="107"/>
        <v>4.2965287343618236E-4</v>
      </c>
      <c r="K249" s="2"/>
      <c r="L249" s="6">
        <f t="shared" si="108"/>
        <v>521.77</v>
      </c>
      <c r="M249" s="2"/>
      <c r="N249" s="7">
        <f t="shared" si="109"/>
        <v>1.9429156581642151</v>
      </c>
      <c r="O249" s="11"/>
      <c r="P249" s="6">
        <v>1423.36</v>
      </c>
      <c r="Q249" s="2"/>
      <c r="R249" s="7">
        <f t="shared" si="110"/>
        <v>4.0782414121960691E-4</v>
      </c>
      <c r="S249" s="2"/>
      <c r="T249" s="6">
        <v>-3822.6</v>
      </c>
      <c r="U249" s="2"/>
      <c r="V249" s="7">
        <f t="shared" si="111"/>
        <v>-6.4145969471341325E-4</v>
      </c>
      <c r="W249" s="2"/>
      <c r="X249" s="6">
        <f t="shared" si="112"/>
        <v>5245.96</v>
      </c>
      <c r="Y249" s="2"/>
      <c r="Z249" s="7">
        <f t="shared" si="113"/>
        <v>-1.3723538952545389</v>
      </c>
    </row>
    <row r="250" spans="1:26" s="24" customFormat="1" hidden="1" outlineLevel="2" x14ac:dyDescent="0.25">
      <c r="A250" s="28"/>
      <c r="B250" s="11" t="str">
        <f>CONCATENATE("          ", "6275", " - ", "SUBSCRIPTIONS")</f>
        <v xml:space="preserve">          6275 - SUBSCRIPTIONS</v>
      </c>
      <c r="C250" s="11"/>
      <c r="D250" s="6">
        <v>75</v>
      </c>
      <c r="E250" s="2"/>
      <c r="F250" s="7">
        <f t="shared" si="106"/>
        <v>2.2526186917553532E-4</v>
      </c>
      <c r="G250" s="2"/>
      <c r="H250" s="6">
        <v>75</v>
      </c>
      <c r="I250" s="2"/>
      <c r="J250" s="7">
        <f t="shared" si="107"/>
        <v>1.1999242415830823E-4</v>
      </c>
      <c r="K250" s="2"/>
      <c r="L250" s="6">
        <f t="shared" si="108"/>
        <v>0</v>
      </c>
      <c r="M250" s="2"/>
      <c r="N250" s="7">
        <f t="shared" si="109"/>
        <v>0</v>
      </c>
      <c r="O250" s="11"/>
      <c r="P250" s="6">
        <v>225.73</v>
      </c>
      <c r="Q250" s="2"/>
      <c r="R250" s="7">
        <f t="shared" si="110"/>
        <v>6.4676640763757499E-5</v>
      </c>
      <c r="S250" s="2"/>
      <c r="T250" s="6">
        <v>865</v>
      </c>
      <c r="U250" s="2"/>
      <c r="V250" s="7">
        <f t="shared" si="111"/>
        <v>1.4515320355964592E-4</v>
      </c>
      <c r="W250" s="2"/>
      <c r="X250" s="6">
        <f t="shared" si="112"/>
        <v>-639.27</v>
      </c>
      <c r="Y250" s="2"/>
      <c r="Z250" s="7">
        <f t="shared" si="113"/>
        <v>-0.73904046242774568</v>
      </c>
    </row>
    <row r="251" spans="1:26" s="29" customFormat="1" outlineLevel="1" collapsed="1" x14ac:dyDescent="0.25">
      <c r="A251" s="27"/>
      <c r="B251" s="14" t="str">
        <f>CONCATENATE("     ","Supplies                                          ")</f>
        <v xml:space="preserve">     Supplies                                          </v>
      </c>
      <c r="C251" s="14"/>
      <c r="D251" s="1">
        <f>SUM(OSRRefD22_20x_0)</f>
        <v>23238.389999999996</v>
      </c>
      <c r="E251" s="1"/>
      <c r="F251" s="5">
        <f t="shared" ref="F251:F258" si="114">IF(D$12=0,0,D251/D$12)</f>
        <v>6.9796308907067561E-2</v>
      </c>
      <c r="G251" s="1"/>
      <c r="H251" s="1">
        <f>SUM(OSRRefH22_20x_0)</f>
        <v>7204.62</v>
      </c>
      <c r="I251" s="1"/>
      <c r="J251" s="5">
        <f t="shared" ref="J251:J258" si="115">IF(H$12=0,0,H251/H$12)</f>
        <v>1.1526664252525742E-2</v>
      </c>
      <c r="K251" s="1"/>
      <c r="L251" s="1">
        <f t="shared" ref="L251:L258" si="116">+D251-H251</f>
        <v>16033.769999999997</v>
      </c>
      <c r="M251" s="1"/>
      <c r="N251" s="5">
        <f t="shared" ref="N251:N258" si="117">IF(H251=0,0,L251/H251)</f>
        <v>2.2254844807914917</v>
      </c>
      <c r="O251" s="14"/>
      <c r="P251" s="1">
        <f>SUM(OSRRefP22_20x_0)</f>
        <v>58123.44</v>
      </c>
      <c r="Q251" s="1"/>
      <c r="R251" s="5">
        <f t="shared" ref="R251:R258" si="118">IF(P$12=0,0,P251/P$12)</f>
        <v>1.6653651924129771E-2</v>
      </c>
      <c r="S251" s="1"/>
      <c r="T251" s="1">
        <f>SUM(OSRRefT22_20x_0)</f>
        <v>40630.78</v>
      </c>
      <c r="U251" s="1"/>
      <c r="V251" s="5">
        <f t="shared" ref="V251:V258" si="119">IF(T$12=0,0,T251/T$12)</f>
        <v>6.8181362776036881E-3</v>
      </c>
      <c r="W251" s="1"/>
      <c r="X251" s="1">
        <f t="shared" ref="X251:X258" si="120">+P251-T251</f>
        <v>17492.660000000003</v>
      </c>
      <c r="Y251" s="1"/>
      <c r="Z251" s="5">
        <f t="shared" ref="Z251:Z258" si="121">IF(T251=0,0,X251/T251)</f>
        <v>0.43052729974664539</v>
      </c>
    </row>
    <row r="252" spans="1:26" s="24" customFormat="1" hidden="1" outlineLevel="2" x14ac:dyDescent="0.25">
      <c r="A252" s="28"/>
      <c r="B252" s="11" t="str">
        <f>CONCATENATE("          ", "6234", " - ", "EXPENDABLE SUPPLIES &amp; EQUIPMEN")</f>
        <v xml:space="preserve">          6234 - EXPENDABLE SUPPLIES &amp; EQUIPMEN</v>
      </c>
      <c r="C252" s="11"/>
      <c r="D252" s="6">
        <v>101.34</v>
      </c>
      <c r="E252" s="2"/>
      <c r="F252" s="7">
        <f t="shared" si="114"/>
        <v>3.0437383762998331E-4</v>
      </c>
      <c r="G252" s="2"/>
      <c r="H252" s="6"/>
      <c r="I252" s="2"/>
      <c r="J252" s="7">
        <f t="shared" si="115"/>
        <v>0</v>
      </c>
      <c r="K252" s="2"/>
      <c r="L252" s="6">
        <f t="shared" si="116"/>
        <v>101.34</v>
      </c>
      <c r="M252" s="2"/>
      <c r="N252" s="7">
        <f t="shared" si="117"/>
        <v>0</v>
      </c>
      <c r="O252" s="11"/>
      <c r="P252" s="6">
        <v>101.34</v>
      </c>
      <c r="Q252" s="2"/>
      <c r="R252" s="7">
        <f t="shared" si="118"/>
        <v>2.9036152815306719E-5</v>
      </c>
      <c r="S252" s="2"/>
      <c r="T252" s="6">
        <v>1716.1</v>
      </c>
      <c r="U252" s="2"/>
      <c r="V252" s="7">
        <f t="shared" si="119"/>
        <v>2.8797388743203277E-4</v>
      </c>
      <c r="W252" s="2"/>
      <c r="X252" s="6">
        <f t="shared" si="120"/>
        <v>-1614.76</v>
      </c>
      <c r="Y252" s="2"/>
      <c r="Z252" s="7">
        <f t="shared" si="121"/>
        <v>-0.94094749723209603</v>
      </c>
    </row>
    <row r="253" spans="1:26" s="24" customFormat="1" hidden="1" outlineLevel="2" x14ac:dyDescent="0.25">
      <c r="A253" s="28"/>
      <c r="B253" s="11" t="str">
        <f>CONCATENATE("          ", "6235", " - ", "COVID-19 EXPENSES")</f>
        <v xml:space="preserve">          6235 - COVID-19 EXPENSES</v>
      </c>
      <c r="C253" s="11"/>
      <c r="D253" s="6">
        <v>16805.12</v>
      </c>
      <c r="E253" s="2"/>
      <c r="F253" s="7">
        <f t="shared" si="114"/>
        <v>5.0474036572255625E-2</v>
      </c>
      <c r="G253" s="2"/>
      <c r="H253" s="6"/>
      <c r="I253" s="2"/>
      <c r="J253" s="7">
        <f t="shared" si="115"/>
        <v>0</v>
      </c>
      <c r="K253" s="2"/>
      <c r="L253" s="6">
        <f t="shared" si="116"/>
        <v>16805.12</v>
      </c>
      <c r="M253" s="2"/>
      <c r="N253" s="7">
        <f t="shared" si="117"/>
        <v>0</v>
      </c>
      <c r="O253" s="11"/>
      <c r="P253" s="6">
        <v>26567.91</v>
      </c>
      <c r="Q253" s="2"/>
      <c r="R253" s="7">
        <f t="shared" si="118"/>
        <v>7.6122942050850153E-3</v>
      </c>
      <c r="S253" s="2"/>
      <c r="T253" s="6"/>
      <c r="U253" s="2"/>
      <c r="V253" s="7">
        <f t="shared" si="119"/>
        <v>0</v>
      </c>
      <c r="W253" s="2"/>
      <c r="X253" s="6">
        <f t="shared" si="120"/>
        <v>26567.91</v>
      </c>
      <c r="Y253" s="2"/>
      <c r="Z253" s="7">
        <f t="shared" si="121"/>
        <v>0</v>
      </c>
    </row>
    <row r="254" spans="1:26" s="24" customFormat="1" hidden="1" outlineLevel="2" x14ac:dyDescent="0.25">
      <c r="A254" s="28"/>
      <c r="B254" s="11" t="str">
        <f>CONCATENATE("          ", "6237", " - ", "JANITORIAL SUPPLIES")</f>
        <v xml:space="preserve">          6237 - JANITORIAL SUPPLIES</v>
      </c>
      <c r="C254" s="11"/>
      <c r="D254" s="6">
        <v>1109.05</v>
      </c>
      <c r="E254" s="2"/>
      <c r="F254" s="7">
        <f t="shared" si="114"/>
        <v>3.3310223467883657E-3</v>
      </c>
      <c r="G254" s="2"/>
      <c r="H254" s="6">
        <v>302.61</v>
      </c>
      <c r="I254" s="2"/>
      <c r="J254" s="7">
        <f t="shared" si="115"/>
        <v>4.8414543299394209E-4</v>
      </c>
      <c r="K254" s="2"/>
      <c r="L254" s="6">
        <f t="shared" si="116"/>
        <v>806.43999999999994</v>
      </c>
      <c r="M254" s="2"/>
      <c r="N254" s="7">
        <f t="shared" si="117"/>
        <v>2.6649482832688935</v>
      </c>
      <c r="O254" s="11"/>
      <c r="P254" s="6">
        <v>1248.3599999999999</v>
      </c>
      <c r="Q254" s="2"/>
      <c r="R254" s="7">
        <f t="shared" si="118"/>
        <v>3.5768276819139814E-4</v>
      </c>
      <c r="S254" s="2"/>
      <c r="T254" s="6">
        <v>2166.2199999999998</v>
      </c>
      <c r="U254" s="2"/>
      <c r="V254" s="7">
        <f t="shared" si="119"/>
        <v>3.6350725157800713E-4</v>
      </c>
      <c r="W254" s="2"/>
      <c r="X254" s="6">
        <f t="shared" si="120"/>
        <v>-917.8599999999999</v>
      </c>
      <c r="Y254" s="2"/>
      <c r="Z254" s="7">
        <f t="shared" si="121"/>
        <v>-0.42371504279343741</v>
      </c>
    </row>
    <row r="255" spans="1:26" s="24" customFormat="1" hidden="1" outlineLevel="2" x14ac:dyDescent="0.25">
      <c r="A255" s="28"/>
      <c r="B255" s="11" t="str">
        <f>CONCATENATE("          ", "6241", " - ", "OFFICE EXPENSE")</f>
        <v xml:space="preserve">          6241 - OFFICE EXPENSE</v>
      </c>
      <c r="C255" s="11"/>
      <c r="D255" s="6">
        <v>359.78</v>
      </c>
      <c r="E255" s="2"/>
      <c r="F255" s="7">
        <f t="shared" si="114"/>
        <v>1.0805962038929879E-3</v>
      </c>
      <c r="G255" s="2"/>
      <c r="H255" s="6">
        <v>2718.9</v>
      </c>
      <c r="I255" s="2"/>
      <c r="J255" s="7">
        <f t="shared" si="115"/>
        <v>4.3499653605869907E-3</v>
      </c>
      <c r="K255" s="2"/>
      <c r="L255" s="6">
        <f t="shared" si="116"/>
        <v>-2359.12</v>
      </c>
      <c r="M255" s="2"/>
      <c r="N255" s="7">
        <f t="shared" si="117"/>
        <v>-0.86767442715804177</v>
      </c>
      <c r="O255" s="11"/>
      <c r="P255" s="6">
        <v>8666.06</v>
      </c>
      <c r="Q255" s="2"/>
      <c r="R255" s="7">
        <f t="shared" si="118"/>
        <v>2.483017983684793E-3</v>
      </c>
      <c r="S255" s="2"/>
      <c r="T255" s="6">
        <v>12914.82</v>
      </c>
      <c r="U255" s="2"/>
      <c r="V255" s="7">
        <f t="shared" si="119"/>
        <v>2.1671994177990591E-3</v>
      </c>
      <c r="W255" s="2"/>
      <c r="X255" s="6">
        <f t="shared" si="120"/>
        <v>-4248.76</v>
      </c>
      <c r="Y255" s="2"/>
      <c r="Z255" s="7">
        <f t="shared" si="121"/>
        <v>-0.32898329206291688</v>
      </c>
    </row>
    <row r="256" spans="1:26" s="24" customFormat="1" hidden="1" outlineLevel="2" x14ac:dyDescent="0.25">
      <c r="A256" s="28"/>
      <c r="B256" s="11" t="str">
        <f>CONCATENATE("          ", "6243", " - ", "PAPER SUPPLIES")</f>
        <v xml:space="preserve">          6243 - PAPER SUPPLIES</v>
      </c>
      <c r="C256" s="11"/>
      <c r="D256" s="6">
        <v>449.01</v>
      </c>
      <c r="E256" s="2"/>
      <c r="F256" s="7">
        <f t="shared" si="114"/>
        <v>1.3485977583800948E-3</v>
      </c>
      <c r="G256" s="2"/>
      <c r="H256" s="6">
        <v>1929.38</v>
      </c>
      <c r="I256" s="2"/>
      <c r="J256" s="7">
        <f t="shared" si="115"/>
        <v>3.0868131109674235E-3</v>
      </c>
      <c r="K256" s="2"/>
      <c r="L256" s="6">
        <f t="shared" si="116"/>
        <v>-1480.3700000000001</v>
      </c>
      <c r="M256" s="2"/>
      <c r="N256" s="7">
        <f t="shared" si="117"/>
        <v>-0.76727757103318162</v>
      </c>
      <c r="O256" s="11"/>
      <c r="P256" s="6">
        <v>3573.7</v>
      </c>
      <c r="Q256" s="2"/>
      <c r="R256" s="7">
        <f t="shared" si="118"/>
        <v>1.0239441416623407E-3</v>
      </c>
      <c r="S256" s="2"/>
      <c r="T256" s="6">
        <v>4906.33</v>
      </c>
      <c r="U256" s="2"/>
      <c r="V256" s="7">
        <f t="shared" si="119"/>
        <v>8.2331736094889887E-4</v>
      </c>
      <c r="W256" s="2"/>
      <c r="X256" s="6">
        <f t="shared" si="120"/>
        <v>-1332.63</v>
      </c>
      <c r="Y256" s="2"/>
      <c r="Z256" s="7">
        <f t="shared" si="121"/>
        <v>-0.27161442463103791</v>
      </c>
    </row>
    <row r="257" spans="1:26" s="24" customFormat="1" hidden="1" outlineLevel="2" x14ac:dyDescent="0.25">
      <c r="A257" s="28"/>
      <c r="B257" s="11" t="str">
        <f>CONCATENATE("          ", "6245", " - ", "PRINTING")</f>
        <v xml:space="preserve">          6245 - PRINTING</v>
      </c>
      <c r="C257" s="11"/>
      <c r="D257" s="6">
        <v>353.09</v>
      </c>
      <c r="E257" s="2"/>
      <c r="F257" s="7">
        <f t="shared" si="114"/>
        <v>1.0605028451625301E-3</v>
      </c>
      <c r="G257" s="2"/>
      <c r="H257" s="6">
        <v>7.24</v>
      </c>
      <c r="I257" s="2"/>
      <c r="J257" s="7">
        <f t="shared" si="115"/>
        <v>1.1583268678748689E-5</v>
      </c>
      <c r="K257" s="2"/>
      <c r="L257" s="6">
        <f t="shared" si="116"/>
        <v>345.84999999999997</v>
      </c>
      <c r="M257" s="2"/>
      <c r="N257" s="7">
        <f t="shared" si="117"/>
        <v>47.769337016574582</v>
      </c>
      <c r="O257" s="11"/>
      <c r="P257" s="6">
        <v>414.55</v>
      </c>
      <c r="Q257" s="2"/>
      <c r="R257" s="7">
        <f t="shared" si="118"/>
        <v>1.187777496505368E-4</v>
      </c>
      <c r="S257" s="2"/>
      <c r="T257" s="6">
        <v>5247.25</v>
      </c>
      <c r="U257" s="2"/>
      <c r="V257" s="7">
        <f t="shared" si="119"/>
        <v>8.8052618194029136E-4</v>
      </c>
      <c r="W257" s="2"/>
      <c r="X257" s="6">
        <f t="shared" si="120"/>
        <v>-4832.7</v>
      </c>
      <c r="Y257" s="2"/>
      <c r="Z257" s="7">
        <f t="shared" si="121"/>
        <v>-0.92099671256372384</v>
      </c>
    </row>
    <row r="258" spans="1:26" s="24" customFormat="1" hidden="1" outlineLevel="2" x14ac:dyDescent="0.25">
      <c r="A258" s="28"/>
      <c r="B258" s="11" t="str">
        <f>CONCATENATE("          ", "6247", " - ", "STORE SUPPLIES")</f>
        <v xml:space="preserve">          6247 - STORE SUPPLIES</v>
      </c>
      <c r="C258" s="11"/>
      <c r="D258" s="6">
        <v>4061</v>
      </c>
      <c r="E258" s="2"/>
      <c r="F258" s="7">
        <f t="shared" si="114"/>
        <v>1.2197179342957986E-2</v>
      </c>
      <c r="G258" s="2"/>
      <c r="H258" s="6">
        <v>2246.4899999999998</v>
      </c>
      <c r="I258" s="2"/>
      <c r="J258" s="7">
        <f t="shared" si="115"/>
        <v>3.5941570792986377E-3</v>
      </c>
      <c r="K258" s="2"/>
      <c r="L258" s="6">
        <f t="shared" si="116"/>
        <v>1814.5100000000002</v>
      </c>
      <c r="M258" s="2"/>
      <c r="N258" s="7">
        <f t="shared" si="117"/>
        <v>0.80770891479597073</v>
      </c>
      <c r="O258" s="11"/>
      <c r="P258" s="6">
        <v>17551.52</v>
      </c>
      <c r="Q258" s="2"/>
      <c r="R258" s="7">
        <f t="shared" si="118"/>
        <v>5.0288989230403806E-3</v>
      </c>
      <c r="S258" s="2"/>
      <c r="T258" s="6">
        <v>13680.06</v>
      </c>
      <c r="U258" s="2"/>
      <c r="V258" s="7">
        <f t="shared" si="119"/>
        <v>2.2956121779053986E-3</v>
      </c>
      <c r="W258" s="2"/>
      <c r="X258" s="6">
        <f t="shared" si="120"/>
        <v>3871.4600000000009</v>
      </c>
      <c r="Y258" s="2"/>
      <c r="Z258" s="7">
        <f t="shared" si="121"/>
        <v>0.28300022075926573</v>
      </c>
    </row>
    <row r="259" spans="1:26" s="29" customFormat="1" outlineLevel="1" collapsed="1" x14ac:dyDescent="0.25">
      <c r="A259" s="27"/>
      <c r="B259" s="14" t="str">
        <f>CONCATENATE("     ","Telephone/Data Lines                              ")</f>
        <v xml:space="preserve">     Telephone/Data Lines                              </v>
      </c>
      <c r="C259" s="14"/>
      <c r="D259" s="1">
        <f>SUM(OSRRefD22_21x_0)</f>
        <v>1203.6300000000001</v>
      </c>
      <c r="E259" s="1"/>
      <c r="F259" s="5">
        <f t="shared" ref="F259:F261" si="122">IF(D$12=0,0,D259/D$12)</f>
        <v>3.6150925812766612E-3</v>
      </c>
      <c r="G259" s="1"/>
      <c r="H259" s="1">
        <f>SUM(OSRRefH22_21x_0)</f>
        <v>930.37</v>
      </c>
      <c r="I259" s="1"/>
      <c r="J259" s="5">
        <f t="shared" ref="J259:J261" si="123">IF(H$12=0,0,H259/H$12)</f>
        <v>1.4884980221888699E-3</v>
      </c>
      <c r="K259" s="1"/>
      <c r="L259" s="1">
        <f t="shared" ref="L259:L261" si="124">+D259-H259</f>
        <v>273.2600000000001</v>
      </c>
      <c r="M259" s="1"/>
      <c r="N259" s="5">
        <f t="shared" ref="N259:N261" si="125">IF(H259=0,0,L259/H259)</f>
        <v>0.29371110418435686</v>
      </c>
      <c r="O259" s="14"/>
      <c r="P259" s="1">
        <f>SUM(OSRRefP22_21x_0)</f>
        <v>11645.97</v>
      </c>
      <c r="Q259" s="1"/>
      <c r="R259" s="5">
        <f t="shared" ref="R259:R261" si="126">IF(P$12=0,0,P259/P$12)</f>
        <v>3.3368281488304475E-3</v>
      </c>
      <c r="S259" s="1"/>
      <c r="T259" s="1">
        <f>SUM(OSRRefT22_21x_0)</f>
        <v>12108.07</v>
      </c>
      <c r="U259" s="1"/>
      <c r="V259" s="5">
        <f t="shared" ref="V259:V261" si="127">IF(T$12=0,0,T259/T$12)</f>
        <v>2.0318209819935743E-3</v>
      </c>
      <c r="W259" s="1"/>
      <c r="X259" s="1">
        <f t="shared" ref="X259:X261" si="128">+P259-T259</f>
        <v>-462.10000000000036</v>
      </c>
      <c r="Y259" s="1"/>
      <c r="Z259" s="5">
        <f t="shared" ref="Z259:Z261" si="129">IF(T259=0,0,X259/T259)</f>
        <v>-3.816462904492627E-2</v>
      </c>
    </row>
    <row r="260" spans="1:26" s="24" customFormat="1" hidden="1" outlineLevel="2" x14ac:dyDescent="0.25">
      <c r="A260" s="28"/>
      <c r="B260" s="11" t="str">
        <f>CONCATENATE("          ", "6303", " - ", "DATA PHONE LINES")</f>
        <v xml:space="preserve">          6303 - DATA PHONE LINES</v>
      </c>
      <c r="C260" s="11"/>
      <c r="D260" s="6"/>
      <c r="E260" s="2"/>
      <c r="F260" s="7">
        <f t="shared" si="122"/>
        <v>0</v>
      </c>
      <c r="G260" s="2"/>
      <c r="H260" s="6">
        <v>295</v>
      </c>
      <c r="I260" s="2"/>
      <c r="J260" s="7">
        <f t="shared" si="123"/>
        <v>4.7197020168934572E-4</v>
      </c>
      <c r="K260" s="2"/>
      <c r="L260" s="6">
        <f t="shared" si="124"/>
        <v>-295</v>
      </c>
      <c r="M260" s="2"/>
      <c r="N260" s="7">
        <f t="shared" si="125"/>
        <v>-1</v>
      </c>
      <c r="O260" s="11"/>
      <c r="P260" s="6">
        <v>1180</v>
      </c>
      <c r="Q260" s="2"/>
      <c r="R260" s="7">
        <f t="shared" si="126"/>
        <v>3.3809611527592192E-4</v>
      </c>
      <c r="S260" s="2"/>
      <c r="T260" s="6">
        <v>1180</v>
      </c>
      <c r="U260" s="2"/>
      <c r="V260" s="7">
        <f t="shared" si="127"/>
        <v>1.9801246265940136E-4</v>
      </c>
      <c r="W260" s="2"/>
      <c r="X260" s="6">
        <f t="shared" si="128"/>
        <v>0</v>
      </c>
      <c r="Y260" s="2"/>
      <c r="Z260" s="7">
        <f t="shared" si="129"/>
        <v>0</v>
      </c>
    </row>
    <row r="261" spans="1:26" s="24" customFormat="1" hidden="1" outlineLevel="2" x14ac:dyDescent="0.25">
      <c r="A261" s="28"/>
      <c r="B261" s="11" t="str">
        <f>CONCATENATE("          ", "6309", " - ", "TELEPHONE")</f>
        <v xml:space="preserve">          6309 - TELEPHONE</v>
      </c>
      <c r="C261" s="11"/>
      <c r="D261" s="6">
        <v>1203.6300000000001</v>
      </c>
      <c r="E261" s="2"/>
      <c r="F261" s="7">
        <f t="shared" si="122"/>
        <v>3.6150925812766612E-3</v>
      </c>
      <c r="G261" s="2"/>
      <c r="H261" s="6">
        <v>635.37</v>
      </c>
      <c r="I261" s="2"/>
      <c r="J261" s="7">
        <f t="shared" si="123"/>
        <v>1.0165278204995242E-3</v>
      </c>
      <c r="K261" s="2"/>
      <c r="L261" s="6">
        <f t="shared" si="124"/>
        <v>568.2600000000001</v>
      </c>
      <c r="M261" s="2"/>
      <c r="N261" s="7">
        <f t="shared" si="125"/>
        <v>0.89437650502856614</v>
      </c>
      <c r="O261" s="11"/>
      <c r="P261" s="6">
        <v>10465.969999999999</v>
      </c>
      <c r="Q261" s="2"/>
      <c r="R261" s="7">
        <f t="shared" si="126"/>
        <v>2.9987320335545255E-3</v>
      </c>
      <c r="S261" s="2"/>
      <c r="T261" s="6">
        <v>10928.07</v>
      </c>
      <c r="U261" s="2"/>
      <c r="V261" s="7">
        <f t="shared" si="127"/>
        <v>1.833808519334173E-3</v>
      </c>
      <c r="W261" s="2"/>
      <c r="X261" s="6">
        <f t="shared" si="128"/>
        <v>-462.10000000000036</v>
      </c>
      <c r="Y261" s="2"/>
      <c r="Z261" s="7">
        <f t="shared" si="129"/>
        <v>-4.2285600293555985E-2</v>
      </c>
    </row>
    <row r="262" spans="1:26" s="29" customFormat="1" outlineLevel="1" collapsed="1" x14ac:dyDescent="0.25">
      <c r="A262" s="27"/>
      <c r="B262" s="14" t="str">
        <f>CONCATENATE("     ","Training                                          ")</f>
        <v xml:space="preserve">     Training                                          </v>
      </c>
      <c r="C262" s="14"/>
      <c r="D262" s="1">
        <f>SUM(OSRRefD22_22x_0)</f>
        <v>114</v>
      </c>
      <c r="E262" s="1"/>
      <c r="F262" s="5">
        <f t="shared" ref="F262:F267" si="130">IF(D$12=0,0,D262/D$12)</f>
        <v>3.4239804114681371E-4</v>
      </c>
      <c r="G262" s="1"/>
      <c r="H262" s="1">
        <f>SUM(OSRRefH22_22x_0)</f>
        <v>3040.52</v>
      </c>
      <c r="I262" s="1"/>
      <c r="J262" s="5">
        <f t="shared" ref="J262:J267" si="131">IF(H$12=0,0,H262/H$12)</f>
        <v>4.8645248733575914E-3</v>
      </c>
      <c r="K262" s="1"/>
      <c r="L262" s="1">
        <f t="shared" ref="L262:L267" si="132">+D262-H262</f>
        <v>-2926.52</v>
      </c>
      <c r="M262" s="1"/>
      <c r="N262" s="5">
        <f t="shared" ref="N262:N267" si="133">IF(H262=0,0,L262/H262)</f>
        <v>-0.96250641337665921</v>
      </c>
      <c r="O262" s="14"/>
      <c r="P262" s="1">
        <f>SUM(OSRRefP22_22x_0)</f>
        <v>245.63</v>
      </c>
      <c r="Q262" s="1"/>
      <c r="R262" s="5">
        <f t="shared" ref="R262:R267" si="134">IF(P$12=0,0,P262/P$12)</f>
        <v>7.0378431182393809E-5</v>
      </c>
      <c r="S262" s="1"/>
      <c r="T262" s="1">
        <f>SUM(OSRRefT22_22x_0)</f>
        <v>5460.76</v>
      </c>
      <c r="U262" s="1"/>
      <c r="V262" s="5">
        <f t="shared" ref="V262:V267" si="135">IF(T$12=0,0,T262/T$12)</f>
        <v>9.1635469117962089E-4</v>
      </c>
      <c r="W262" s="1"/>
      <c r="X262" s="1">
        <f t="shared" ref="X262:X267" si="136">+P262-T262</f>
        <v>-5215.13</v>
      </c>
      <c r="Y262" s="1"/>
      <c r="Z262" s="5">
        <f t="shared" ref="Z262:Z267" si="137">IF(T262=0,0,X262/T262)</f>
        <v>-0.95501908159303828</v>
      </c>
    </row>
    <row r="263" spans="1:26" s="24" customFormat="1" hidden="1" outlineLevel="2" x14ac:dyDescent="0.25">
      <c r="A263" s="28"/>
      <c r="B263" s="11" t="str">
        <f>CONCATENATE("          ", "6376", " - ", "TRAINING")</f>
        <v xml:space="preserve">          6376 - TRAINING</v>
      </c>
      <c r="C263" s="11"/>
      <c r="D263" s="6">
        <v>114</v>
      </c>
      <c r="E263" s="2"/>
      <c r="F263" s="7">
        <f t="shared" si="130"/>
        <v>3.4239804114681371E-4</v>
      </c>
      <c r="G263" s="2"/>
      <c r="H263" s="6">
        <v>3040.52</v>
      </c>
      <c r="I263" s="2"/>
      <c r="J263" s="7">
        <f t="shared" si="131"/>
        <v>4.8645248733575914E-3</v>
      </c>
      <c r="K263" s="2"/>
      <c r="L263" s="6">
        <f t="shared" si="132"/>
        <v>-2926.52</v>
      </c>
      <c r="M263" s="2"/>
      <c r="N263" s="7">
        <f t="shared" si="133"/>
        <v>-0.96250641337665921</v>
      </c>
      <c r="O263" s="11"/>
      <c r="P263" s="6">
        <v>245.63</v>
      </c>
      <c r="Q263" s="2"/>
      <c r="R263" s="7">
        <f t="shared" si="134"/>
        <v>7.0378431182393809E-5</v>
      </c>
      <c r="S263" s="2"/>
      <c r="T263" s="6">
        <v>5460.76</v>
      </c>
      <c r="U263" s="2"/>
      <c r="V263" s="7">
        <f t="shared" si="135"/>
        <v>9.1635469117962089E-4</v>
      </c>
      <c r="W263" s="2"/>
      <c r="X263" s="6">
        <f t="shared" si="136"/>
        <v>-5215.13</v>
      </c>
      <c r="Y263" s="2"/>
      <c r="Z263" s="7">
        <f t="shared" si="137"/>
        <v>-0.95501908159303828</v>
      </c>
    </row>
    <row r="264" spans="1:26" s="29" customFormat="1" outlineLevel="1" collapsed="1" x14ac:dyDescent="0.25">
      <c r="A264" s="27"/>
      <c r="B264" s="14" t="str">
        <f>CONCATENATE("     ","Travel                                            ")</f>
        <v xml:space="preserve">     Travel                                            </v>
      </c>
      <c r="C264" s="14"/>
      <c r="D264" s="1">
        <f>SUM(OSRRefD22_23x_0)</f>
        <v>80.959999999999994</v>
      </c>
      <c r="E264" s="1"/>
      <c r="F264" s="5">
        <f t="shared" si="130"/>
        <v>2.4316267904601785E-4</v>
      </c>
      <c r="G264" s="1"/>
      <c r="H264" s="1">
        <f>SUM(OSRRefH22_23x_0)</f>
        <v>633.25</v>
      </c>
      <c r="I264" s="1"/>
      <c r="J264" s="5">
        <f t="shared" si="131"/>
        <v>1.013136034643316E-3</v>
      </c>
      <c r="K264" s="1"/>
      <c r="L264" s="1">
        <f t="shared" si="132"/>
        <v>-552.29</v>
      </c>
      <c r="M264" s="1"/>
      <c r="N264" s="5">
        <f t="shared" si="133"/>
        <v>-0.87215159889459137</v>
      </c>
      <c r="O264" s="14"/>
      <c r="P264" s="1">
        <f>SUM(OSRRefP22_23x_0)</f>
        <v>381.93</v>
      </c>
      <c r="Q264" s="1"/>
      <c r="R264" s="5">
        <f t="shared" si="134"/>
        <v>1.0943139771807869E-4</v>
      </c>
      <c r="S264" s="1"/>
      <c r="T264" s="1">
        <f>SUM(OSRRefT22_23x_0)</f>
        <v>1247.1099999999999</v>
      </c>
      <c r="U264" s="1"/>
      <c r="V264" s="5">
        <f t="shared" si="135"/>
        <v>2.0927400195522544E-4</v>
      </c>
      <c r="W264" s="1"/>
      <c r="X264" s="1">
        <f t="shared" si="136"/>
        <v>-865.17999999999984</v>
      </c>
      <c r="Y264" s="1"/>
      <c r="Z264" s="5">
        <f t="shared" si="137"/>
        <v>-0.69374794524941663</v>
      </c>
    </row>
    <row r="265" spans="1:26" s="24" customFormat="1" hidden="1" outlineLevel="2" x14ac:dyDescent="0.25">
      <c r="A265" s="28"/>
      <c r="B265" s="11" t="str">
        <f>CONCATENATE("          ", "6292", " - ", "TRAVEL/CONFERENCE")</f>
        <v xml:space="preserve">          6292 - TRAVEL/CONFERENCE</v>
      </c>
      <c r="C265" s="11"/>
      <c r="D265" s="6"/>
      <c r="E265" s="2"/>
      <c r="F265" s="7">
        <f t="shared" si="130"/>
        <v>0</v>
      </c>
      <c r="G265" s="2"/>
      <c r="H265" s="6">
        <v>298.88</v>
      </c>
      <c r="I265" s="2"/>
      <c r="J265" s="7">
        <f t="shared" si="131"/>
        <v>4.781778097658022E-4</v>
      </c>
      <c r="K265" s="2"/>
      <c r="L265" s="6">
        <f t="shared" si="132"/>
        <v>-298.88</v>
      </c>
      <c r="M265" s="2"/>
      <c r="N265" s="7">
        <f t="shared" si="133"/>
        <v>-1</v>
      </c>
      <c r="O265" s="11"/>
      <c r="P265" s="6">
        <v>0.16</v>
      </c>
      <c r="Q265" s="2"/>
      <c r="R265" s="7">
        <f t="shared" si="134"/>
        <v>4.5843541054362296E-8</v>
      </c>
      <c r="S265" s="2"/>
      <c r="T265" s="6">
        <v>640.65</v>
      </c>
      <c r="U265" s="2"/>
      <c r="V265" s="7">
        <f t="shared" si="135"/>
        <v>1.0750566457859786E-4</v>
      </c>
      <c r="W265" s="2"/>
      <c r="X265" s="6">
        <f t="shared" si="136"/>
        <v>-640.49</v>
      </c>
      <c r="Y265" s="2"/>
      <c r="Z265" s="7">
        <f t="shared" si="137"/>
        <v>-0.99975025364863812</v>
      </c>
    </row>
    <row r="266" spans="1:26" s="24" customFormat="1" hidden="1" outlineLevel="2" x14ac:dyDescent="0.25">
      <c r="A266" s="28"/>
      <c r="B266" s="11" t="str">
        <f>CONCATENATE("          ", "6294", " - ", "TRAVEL OPERATIONAL")</f>
        <v xml:space="preserve">          6294 - TRAVEL OPERATIONAL</v>
      </c>
      <c r="C266" s="11"/>
      <c r="D266" s="6">
        <v>80.959999999999994</v>
      </c>
      <c r="E266" s="2"/>
      <c r="F266" s="7">
        <f t="shared" si="130"/>
        <v>2.4316267904601785E-4</v>
      </c>
      <c r="G266" s="2"/>
      <c r="H266" s="6">
        <v>334.37</v>
      </c>
      <c r="I266" s="2"/>
      <c r="J266" s="7">
        <f t="shared" si="131"/>
        <v>5.3495822487751362E-4</v>
      </c>
      <c r="K266" s="2"/>
      <c r="L266" s="6">
        <f t="shared" si="132"/>
        <v>-253.41000000000003</v>
      </c>
      <c r="M266" s="2"/>
      <c r="N266" s="7">
        <f t="shared" si="133"/>
        <v>-0.75787301492358772</v>
      </c>
      <c r="O266" s="11"/>
      <c r="P266" s="6">
        <v>321.88</v>
      </c>
      <c r="Q266" s="2"/>
      <c r="R266" s="7">
        <f t="shared" si="134"/>
        <v>9.2225743716113344E-5</v>
      </c>
      <c r="S266" s="2"/>
      <c r="T266" s="6">
        <v>436.47</v>
      </c>
      <c r="U266" s="2"/>
      <c r="V266" s="7">
        <f t="shared" si="135"/>
        <v>7.3242796251651624E-5</v>
      </c>
      <c r="W266" s="2"/>
      <c r="X266" s="6">
        <f t="shared" si="136"/>
        <v>-114.59000000000003</v>
      </c>
      <c r="Y266" s="2"/>
      <c r="Z266" s="7">
        <f t="shared" si="137"/>
        <v>-0.26253808967397535</v>
      </c>
    </row>
    <row r="267" spans="1:26" s="24" customFormat="1" hidden="1" outlineLevel="2" x14ac:dyDescent="0.25">
      <c r="A267" s="28"/>
      <c r="B267" s="11" t="str">
        <f>CONCATENATE("          ", "6298", " - ", "VEHICLE MILEAGE")</f>
        <v xml:space="preserve">          6298 - VEHICLE MILEAGE</v>
      </c>
      <c r="C267" s="11"/>
      <c r="D267" s="6"/>
      <c r="E267" s="2"/>
      <c r="F267" s="7">
        <f t="shared" si="130"/>
        <v>0</v>
      </c>
      <c r="G267" s="2"/>
      <c r="H267" s="6"/>
      <c r="I267" s="2"/>
      <c r="J267" s="7">
        <f t="shared" si="131"/>
        <v>0</v>
      </c>
      <c r="K267" s="2"/>
      <c r="L267" s="6">
        <f t="shared" si="132"/>
        <v>0</v>
      </c>
      <c r="M267" s="2"/>
      <c r="N267" s="7">
        <f t="shared" si="133"/>
        <v>0</v>
      </c>
      <c r="O267" s="11"/>
      <c r="P267" s="6">
        <v>59.89</v>
      </c>
      <c r="Q267" s="2"/>
      <c r="R267" s="7">
        <f t="shared" si="134"/>
        <v>1.7159810460910985E-5</v>
      </c>
      <c r="S267" s="2"/>
      <c r="T267" s="6">
        <v>169.99</v>
      </c>
      <c r="U267" s="2"/>
      <c r="V267" s="7">
        <f t="shared" si="135"/>
        <v>2.8525541124975966E-5</v>
      </c>
      <c r="W267" s="2"/>
      <c r="X267" s="6">
        <f t="shared" si="136"/>
        <v>-110.10000000000001</v>
      </c>
      <c r="Y267" s="2"/>
      <c r="Z267" s="7">
        <f t="shared" si="137"/>
        <v>-0.64768515795046766</v>
      </c>
    </row>
    <row r="268" spans="1:26" s="29" customFormat="1" outlineLevel="1" collapsed="1" x14ac:dyDescent="0.25">
      <c r="A268" s="27"/>
      <c r="B268" s="14" t="str">
        <f>CONCATENATE("     ","Utilities                                         ")</f>
        <v xml:space="preserve">     Utilities                                         </v>
      </c>
      <c r="C268" s="14"/>
      <c r="D268" s="1">
        <f>SUM(OSRRefD22_24x_0)</f>
        <v>5953.05</v>
      </c>
      <c r="E268" s="1"/>
      <c r="F268" s="5">
        <f t="shared" ref="F268:F269" si="138">IF(D$12=0,0,D268/D$12)</f>
        <v>1.787993560393894E-2</v>
      </c>
      <c r="G268" s="1"/>
      <c r="H268" s="1">
        <f>SUM(OSRRefH22_24x_0)</f>
        <v>5636.86</v>
      </c>
      <c r="I268" s="1"/>
      <c r="J268" s="5">
        <f t="shared" ref="J268:J269" si="139">IF(H$12=0,0,H268/H$12)</f>
        <v>9.0184066138800176E-3</v>
      </c>
      <c r="K268" s="1"/>
      <c r="L268" s="1">
        <f t="shared" ref="L268:L269" si="140">+D268-H268</f>
        <v>316.19000000000051</v>
      </c>
      <c r="M268" s="1"/>
      <c r="N268" s="5">
        <f t="shared" ref="N268:N269" si="141">IF(H268=0,0,L268/H268)</f>
        <v>5.6093285978363931E-2</v>
      </c>
      <c r="O268" s="14"/>
      <c r="P268" s="1">
        <f>SUM(OSRRefP22_24x_0)</f>
        <v>24435.43</v>
      </c>
      <c r="Q268" s="1"/>
      <c r="R268" s="5">
        <f t="shared" ref="R268:R269" si="142">IF(P$12=0,0,P268/P$12)</f>
        <v>7.0012914899124749E-3</v>
      </c>
      <c r="S268" s="1"/>
      <c r="T268" s="1">
        <f>SUM(OSRRefT22_24x_0)</f>
        <v>16974.66</v>
      </c>
      <c r="U268" s="1"/>
      <c r="V268" s="5">
        <f t="shared" ref="V268:V269" si="143">IF(T$12=0,0,T268/T$12)</f>
        <v>2.8484696859373171E-3</v>
      </c>
      <c r="W268" s="1"/>
      <c r="X268" s="1">
        <f t="shared" ref="X268:X269" si="144">+P268-T268</f>
        <v>7460.77</v>
      </c>
      <c r="Y268" s="1"/>
      <c r="Z268" s="5">
        <f t="shared" ref="Z268:Z269" si="145">IF(T268=0,0,X268/T268)</f>
        <v>0.43952397279238586</v>
      </c>
    </row>
    <row r="269" spans="1:26" s="24" customFormat="1" hidden="1" outlineLevel="2" x14ac:dyDescent="0.25">
      <c r="A269" s="28"/>
      <c r="B269" s="11" t="str">
        <f>CONCATENATE("          ", "6274", " - ", "UTILITIES")</f>
        <v xml:space="preserve">          6274 - UTILITIES</v>
      </c>
      <c r="C269" s="11"/>
      <c r="D269" s="6">
        <v>5953.05</v>
      </c>
      <c r="E269" s="2"/>
      <c r="F269" s="7">
        <f t="shared" si="138"/>
        <v>1.787993560393894E-2</v>
      </c>
      <c r="G269" s="2"/>
      <c r="H269" s="6">
        <v>5636.86</v>
      </c>
      <c r="I269" s="2"/>
      <c r="J269" s="7">
        <f t="shared" si="139"/>
        <v>9.0184066138800176E-3</v>
      </c>
      <c r="K269" s="2"/>
      <c r="L269" s="6">
        <f t="shared" si="140"/>
        <v>316.19000000000051</v>
      </c>
      <c r="M269" s="2"/>
      <c r="N269" s="7">
        <f t="shared" si="141"/>
        <v>5.6093285978363931E-2</v>
      </c>
      <c r="O269" s="11"/>
      <c r="P269" s="6">
        <v>24435.43</v>
      </c>
      <c r="Q269" s="2"/>
      <c r="R269" s="7">
        <f t="shared" si="142"/>
        <v>7.0012914899124749E-3</v>
      </c>
      <c r="S269" s="2"/>
      <c r="T269" s="6">
        <v>16974.66</v>
      </c>
      <c r="U269" s="2"/>
      <c r="V269" s="7">
        <f t="shared" si="143"/>
        <v>2.8484696859373171E-3</v>
      </c>
      <c r="W269" s="2"/>
      <c r="X269" s="6">
        <f t="shared" si="144"/>
        <v>7460.77</v>
      </c>
      <c r="Y269" s="2"/>
      <c r="Z269" s="7">
        <f t="shared" si="145"/>
        <v>0.43952397279238586</v>
      </c>
    </row>
    <row r="270" spans="1:26" s="57" customFormat="1" x14ac:dyDescent="0.25">
      <c r="A270" s="37"/>
      <c r="B270" s="37"/>
      <c r="C270" s="37"/>
      <c r="D270" s="1"/>
      <c r="E270" s="1"/>
      <c r="F270" s="5"/>
      <c r="G270" s="1"/>
      <c r="H270" s="1"/>
      <c r="I270" s="1"/>
      <c r="J270" s="5"/>
      <c r="K270" s="1"/>
      <c r="L270" s="1"/>
      <c r="M270" s="1"/>
      <c r="N270" s="5"/>
      <c r="O270" s="37"/>
      <c r="P270" s="1"/>
      <c r="Q270" s="1"/>
      <c r="R270" s="5"/>
      <c r="S270" s="1"/>
      <c r="T270" s="1"/>
      <c r="U270" s="1"/>
      <c r="V270" s="5"/>
      <c r="W270" s="1"/>
      <c r="X270" s="1"/>
      <c r="Y270" s="1"/>
      <c r="Z270" s="5"/>
    </row>
    <row r="271" spans="1:26" s="23" customFormat="1" collapsed="1" x14ac:dyDescent="0.25">
      <c r="A271" s="10"/>
      <c r="B271" s="26" t="s">
        <v>0</v>
      </c>
      <c r="C271" s="10"/>
      <c r="D271" s="4">
        <f>SUM(OSRRefD25x_0)</f>
        <v>31945.740000000005</v>
      </c>
      <c r="E271" s="4"/>
      <c r="F271" s="12">
        <f t="shared" ref="F271:F281" si="146">IF(D$12=0,0,D271/D$12)</f>
        <v>9.5948761394608895E-2</v>
      </c>
      <c r="G271" s="4"/>
      <c r="H271" s="4">
        <f>SUM(OSRRefH25x_0)</f>
        <v>138596.53</v>
      </c>
      <c r="I271" s="4"/>
      <c r="J271" s="12">
        <f t="shared" ref="J271:J281" si="147">IF(H$12=0,0,H271/H$12)</f>
        <v>0.22174044819506256</v>
      </c>
      <c r="K271" s="4"/>
      <c r="L271" s="4">
        <f t="shared" ref="L271:L281" si="148">+D271-H271</f>
        <v>-106650.79</v>
      </c>
      <c r="M271" s="4"/>
      <c r="N271" s="12">
        <f t="shared" ref="N271:N281" si="149">IF(H271=0,0,L271/H271)</f>
        <v>-0.76950548473327574</v>
      </c>
      <c r="O271" s="10"/>
      <c r="P271" s="4">
        <f>SUM(OSRRefP25x_0)</f>
        <v>453118.66000000003</v>
      </c>
      <c r="Q271" s="4"/>
      <c r="R271" s="12">
        <f t="shared" ref="R271:R281" si="150">IF(P$12=0,0,P271/P$12)</f>
        <v>0.12982852432629768</v>
      </c>
      <c r="S271" s="4"/>
      <c r="T271" s="4">
        <f>SUM(OSRRefT25x_0)</f>
        <v>385285.94</v>
      </c>
      <c r="U271" s="4"/>
      <c r="V271" s="12">
        <f t="shared" ref="V271:V281" si="151">IF(T$12=0,0,T271/T$12)</f>
        <v>6.4653743904612163E-2</v>
      </c>
      <c r="W271" s="4"/>
      <c r="X271" s="4">
        <f t="shared" ref="X271:X281" si="152">+P271-T271</f>
        <v>67832.72000000003</v>
      </c>
      <c r="Y271" s="4"/>
      <c r="Z271" s="12">
        <f t="shared" ref="Z271:Z281" si="153">IF(T271=0,0,X271/T271)</f>
        <v>0.1760581245191559</v>
      </c>
    </row>
    <row r="272" spans="1:26" s="24" customFormat="1" hidden="1" outlineLevel="1" x14ac:dyDescent="0.25">
      <c r="A272" s="44"/>
      <c r="B272" s="11" t="str">
        <f>CONCATENATE("          ", "4098", " - ", "TAXABLE SALES-GRAD RENTALS")</f>
        <v xml:space="preserve">          4098 - TAXABLE SALES-GRAD RENTALS</v>
      </c>
      <c r="C272" s="11"/>
      <c r="D272" s="2">
        <f>0</f>
        <v>0</v>
      </c>
      <c r="E272" s="2"/>
      <c r="F272" s="19">
        <f t="shared" si="146"/>
        <v>0</v>
      </c>
      <c r="G272" s="2"/>
      <c r="H272" s="2">
        <f>0</f>
        <v>0</v>
      </c>
      <c r="I272" s="2"/>
      <c r="J272" s="19">
        <f t="shared" si="147"/>
        <v>0</v>
      </c>
      <c r="K272" s="2"/>
      <c r="L272" s="2">
        <f t="shared" si="148"/>
        <v>0</v>
      </c>
      <c r="M272" s="2"/>
      <c r="N272" s="19">
        <f t="shared" si="149"/>
        <v>0</v>
      </c>
      <c r="O272" s="11"/>
      <c r="P272" s="2">
        <f>0</f>
        <v>0</v>
      </c>
      <c r="Q272" s="2"/>
      <c r="R272" s="19">
        <f t="shared" si="150"/>
        <v>0</v>
      </c>
      <c r="S272" s="2"/>
      <c r="T272" s="2">
        <f>--1626.85</f>
        <v>1626.85</v>
      </c>
      <c r="U272" s="2"/>
      <c r="V272" s="19">
        <f t="shared" si="151"/>
        <v>2.7299709735376874E-4</v>
      </c>
      <c r="W272" s="2"/>
      <c r="X272" s="2">
        <f t="shared" si="152"/>
        <v>-1626.85</v>
      </c>
      <c r="Y272" s="2"/>
      <c r="Z272" s="19">
        <f t="shared" si="153"/>
        <v>-1</v>
      </c>
    </row>
    <row r="273" spans="1:26" s="24" customFormat="1" hidden="1" outlineLevel="1" x14ac:dyDescent="0.25">
      <c r="A273" s="44"/>
      <c r="B273" s="11" t="str">
        <f>CONCATENATE("          ", "4187", " - ", "NON-TAXABLE SALES-COMPUTER REP")</f>
        <v xml:space="preserve">          4187 - NON-TAXABLE SALES-COMPUTER REP</v>
      </c>
      <c r="C273" s="11"/>
      <c r="D273" s="2">
        <f>--792.83</f>
        <v>792.83</v>
      </c>
      <c r="E273" s="2"/>
      <c r="F273" s="19">
        <f t="shared" si="146"/>
        <v>2.381258236512529E-3</v>
      </c>
      <c r="G273" s="2"/>
      <c r="H273" s="2">
        <f>--4407.89</f>
        <v>4407.8900000000003</v>
      </c>
      <c r="I273" s="2"/>
      <c r="J273" s="19">
        <f t="shared" si="147"/>
        <v>7.0521787536422043E-3</v>
      </c>
      <c r="K273" s="2"/>
      <c r="L273" s="2">
        <f t="shared" si="148"/>
        <v>-3615.0600000000004</v>
      </c>
      <c r="M273" s="2"/>
      <c r="N273" s="19">
        <f t="shared" si="149"/>
        <v>-0.82013389626329158</v>
      </c>
      <c r="O273" s="11"/>
      <c r="P273" s="2">
        <f>--937.96</f>
        <v>937.96</v>
      </c>
      <c r="Q273" s="2"/>
      <c r="R273" s="19">
        <f t="shared" si="150"/>
        <v>2.6874629854593536E-4</v>
      </c>
      <c r="S273" s="2"/>
      <c r="T273" s="2">
        <f>--11782.69</f>
        <v>11782.69</v>
      </c>
      <c r="U273" s="2"/>
      <c r="V273" s="19">
        <f t="shared" si="151"/>
        <v>1.9772198844511036E-3</v>
      </c>
      <c r="W273" s="2"/>
      <c r="X273" s="2">
        <f t="shared" si="152"/>
        <v>-10844.73</v>
      </c>
      <c r="Y273" s="2"/>
      <c r="Z273" s="19">
        <f t="shared" si="153"/>
        <v>-0.92039508804865433</v>
      </c>
    </row>
    <row r="274" spans="1:26" s="24" customFormat="1" hidden="1" outlineLevel="1" x14ac:dyDescent="0.25">
      <c r="A274" s="44"/>
      <c r="B274" s="11" t="str">
        <f>CONCATENATE("          ", "4197", " - ", "NON-TAXABLE SALES-RETURNED CHE")</f>
        <v xml:space="preserve">          4197 - NON-TAXABLE SALES-RETURNED CHE</v>
      </c>
      <c r="C274" s="11"/>
      <c r="D274" s="2">
        <f t="shared" ref="D274:D276" si="154">0</f>
        <v>0</v>
      </c>
      <c r="E274" s="2"/>
      <c r="F274" s="19">
        <f t="shared" si="146"/>
        <v>0</v>
      </c>
      <c r="G274" s="2"/>
      <c r="H274" s="2">
        <f t="shared" ref="H274:H275" si="155">0</f>
        <v>0</v>
      </c>
      <c r="I274" s="2"/>
      <c r="J274" s="19">
        <f t="shared" si="147"/>
        <v>0</v>
      </c>
      <c r="K274" s="2"/>
      <c r="L274" s="2">
        <f t="shared" si="148"/>
        <v>0</v>
      </c>
      <c r="M274" s="2"/>
      <c r="N274" s="19">
        <f t="shared" si="149"/>
        <v>0</v>
      </c>
      <c r="O274" s="11"/>
      <c r="P274" s="2">
        <f t="shared" ref="P274:P276" si="156">0</f>
        <v>0</v>
      </c>
      <c r="Q274" s="2"/>
      <c r="R274" s="19">
        <f t="shared" si="150"/>
        <v>0</v>
      </c>
      <c r="S274" s="2"/>
      <c r="T274" s="2">
        <f>--30</f>
        <v>30</v>
      </c>
      <c r="U274" s="2"/>
      <c r="V274" s="19">
        <f t="shared" si="151"/>
        <v>5.0342151523576621E-6</v>
      </c>
      <c r="W274" s="2"/>
      <c r="X274" s="2">
        <f t="shared" si="152"/>
        <v>-30</v>
      </c>
      <c r="Y274" s="2"/>
      <c r="Z274" s="19">
        <f t="shared" si="153"/>
        <v>-1</v>
      </c>
    </row>
    <row r="275" spans="1:26" s="24" customFormat="1" hidden="1" outlineLevel="1" x14ac:dyDescent="0.25">
      <c r="A275" s="44"/>
      <c r="B275" s="11" t="str">
        <f>CONCATENATE("          ", "4198", " - ", "NON-TAXABLE SALES-GRAD RENTALS")</f>
        <v xml:space="preserve">          4198 - NON-TAXABLE SALES-GRAD RENTALS</v>
      </c>
      <c r="C275" s="11"/>
      <c r="D275" s="2">
        <f t="shared" si="154"/>
        <v>0</v>
      </c>
      <c r="E275" s="2"/>
      <c r="F275" s="19">
        <f t="shared" si="146"/>
        <v>0</v>
      </c>
      <c r="G275" s="2"/>
      <c r="H275" s="2">
        <f t="shared" si="155"/>
        <v>0</v>
      </c>
      <c r="I275" s="2"/>
      <c r="J275" s="19">
        <f t="shared" si="147"/>
        <v>0</v>
      </c>
      <c r="K275" s="2"/>
      <c r="L275" s="2">
        <f t="shared" si="148"/>
        <v>0</v>
      </c>
      <c r="M275" s="2"/>
      <c r="N275" s="19">
        <f t="shared" si="149"/>
        <v>0</v>
      </c>
      <c r="O275" s="11"/>
      <c r="P275" s="2">
        <f t="shared" si="156"/>
        <v>0</v>
      </c>
      <c r="Q275" s="2"/>
      <c r="R275" s="19">
        <f t="shared" si="150"/>
        <v>0</v>
      </c>
      <c r="S275" s="2"/>
      <c r="T275" s="2">
        <f>--495</f>
        <v>495</v>
      </c>
      <c r="U275" s="2"/>
      <c r="V275" s="19">
        <f t="shared" si="151"/>
        <v>8.3064550013901424E-5</v>
      </c>
      <c r="W275" s="2"/>
      <c r="X275" s="2">
        <f t="shared" si="152"/>
        <v>-495</v>
      </c>
      <c r="Y275" s="2"/>
      <c r="Z275" s="19">
        <f t="shared" si="153"/>
        <v>-1</v>
      </c>
    </row>
    <row r="276" spans="1:26" s="24" customFormat="1" hidden="1" outlineLevel="1" x14ac:dyDescent="0.25">
      <c r="A276" s="44"/>
      <c r="B276" s="11" t="str">
        <f>CONCATENATE("          ", "4387", " - ", "SALES RETURN NON TAXABLE-COMPU")</f>
        <v xml:space="preserve">          4387 - SALES RETURN NON TAXABLE-COMPU</v>
      </c>
      <c r="C276" s="11"/>
      <c r="D276" s="2">
        <f t="shared" si="154"/>
        <v>0</v>
      </c>
      <c r="E276" s="2"/>
      <c r="F276" s="19">
        <f t="shared" si="146"/>
        <v>0</v>
      </c>
      <c r="G276" s="2"/>
      <c r="H276" s="2">
        <f>-350.05</f>
        <v>-350.05</v>
      </c>
      <c r="I276" s="2"/>
      <c r="J276" s="19">
        <f t="shared" si="147"/>
        <v>-5.60044641021544E-4</v>
      </c>
      <c r="K276" s="2"/>
      <c r="L276" s="2">
        <f t="shared" si="148"/>
        <v>350.05</v>
      </c>
      <c r="M276" s="2"/>
      <c r="N276" s="19">
        <f t="shared" si="149"/>
        <v>-1</v>
      </c>
      <c r="O276" s="11"/>
      <c r="P276" s="2">
        <f t="shared" si="156"/>
        <v>0</v>
      </c>
      <c r="Q276" s="2"/>
      <c r="R276" s="19">
        <f t="shared" si="150"/>
        <v>0</v>
      </c>
      <c r="S276" s="2"/>
      <c r="T276" s="2">
        <f>-6790.75</f>
        <v>-6790.75</v>
      </c>
      <c r="U276" s="2"/>
      <c r="V276" s="19">
        <f t="shared" si="151"/>
        <v>-1.139536551529093E-3</v>
      </c>
      <c r="W276" s="2"/>
      <c r="X276" s="2">
        <f t="shared" si="152"/>
        <v>6790.75</v>
      </c>
      <c r="Y276" s="2"/>
      <c r="Z276" s="19">
        <f t="shared" si="153"/>
        <v>-1</v>
      </c>
    </row>
    <row r="277" spans="1:26" s="24" customFormat="1" hidden="1" outlineLevel="1" x14ac:dyDescent="0.25">
      <c r="A277" s="44"/>
      <c r="B277" s="11" t="str">
        <f>CONCATENATE("          ", "9150", " - ", "MISC. INCOME")</f>
        <v xml:space="preserve">          9150 - MISC. INCOME</v>
      </c>
      <c r="C277" s="11"/>
      <c r="D277" s="2">
        <f>--30890.83</f>
        <v>30890.83</v>
      </c>
      <c r="E277" s="2"/>
      <c r="F277" s="19">
        <f t="shared" si="146"/>
        <v>9.2780348082449365E-2</v>
      </c>
      <c r="G277" s="2"/>
      <c r="H277" s="2">
        <f>--69348.3</f>
        <v>69348.3</v>
      </c>
      <c r="I277" s="2"/>
      <c r="J277" s="19">
        <f t="shared" si="147"/>
        <v>0.11095027504343477</v>
      </c>
      <c r="K277" s="2"/>
      <c r="L277" s="2">
        <f t="shared" si="148"/>
        <v>-38457.47</v>
      </c>
      <c r="M277" s="2"/>
      <c r="N277" s="19">
        <f t="shared" si="149"/>
        <v>-0.55455533877542784</v>
      </c>
      <c r="O277" s="11"/>
      <c r="P277" s="2">
        <f>--141880.39</f>
        <v>141880.39000000001</v>
      </c>
      <c r="Q277" s="2"/>
      <c r="R277" s="19">
        <f t="shared" si="150"/>
        <v>4.0651871773587089E-2</v>
      </c>
      <c r="S277" s="2"/>
      <c r="T277" s="2">
        <f>--207947.23</f>
        <v>207947.23</v>
      </c>
      <c r="U277" s="2"/>
      <c r="V277" s="19">
        <f t="shared" si="151"/>
        <v>3.4895036538560124E-2</v>
      </c>
      <c r="W277" s="2"/>
      <c r="X277" s="2">
        <f t="shared" si="152"/>
        <v>-66066.84</v>
      </c>
      <c r="Y277" s="2"/>
      <c r="Z277" s="19">
        <f t="shared" si="153"/>
        <v>-0.31770964200869611</v>
      </c>
    </row>
    <row r="278" spans="1:26" s="24" customFormat="1" hidden="1" outlineLevel="1" x14ac:dyDescent="0.25">
      <c r="A278" s="44"/>
      <c r="B278" s="11" t="str">
        <f>CONCATENATE("          ", "9151", " - ", "MISC. INCOME")</f>
        <v xml:space="preserve">          9151 - MISC. INCOME</v>
      </c>
      <c r="C278" s="11"/>
      <c r="D278" s="2">
        <f>0</f>
        <v>0</v>
      </c>
      <c r="E278" s="2"/>
      <c r="F278" s="19">
        <f t="shared" si="146"/>
        <v>0</v>
      </c>
      <c r="G278" s="2"/>
      <c r="H278" s="2">
        <f>--4030.76</f>
        <v>4030.76</v>
      </c>
      <c r="I278" s="2"/>
      <c r="J278" s="19">
        <f t="shared" si="147"/>
        <v>6.4488088480045671E-3</v>
      </c>
      <c r="K278" s="2"/>
      <c r="L278" s="2">
        <f t="shared" si="148"/>
        <v>-4030.76</v>
      </c>
      <c r="M278" s="2"/>
      <c r="N278" s="19">
        <f t="shared" si="149"/>
        <v>-1</v>
      </c>
      <c r="O278" s="11"/>
      <c r="P278" s="2">
        <f>--147285.39</f>
        <v>147285.39000000001</v>
      </c>
      <c r="Q278" s="2"/>
      <c r="R278" s="19">
        <f t="shared" si="150"/>
        <v>4.2200523894829763E-2</v>
      </c>
      <c r="S278" s="2"/>
      <c r="T278" s="2">
        <f>--87224.27</f>
        <v>87224.27</v>
      </c>
      <c r="U278" s="2"/>
      <c r="V278" s="19">
        <f t="shared" si="151"/>
        <v>1.4636858056244529E-2</v>
      </c>
      <c r="W278" s="2"/>
      <c r="X278" s="2">
        <f t="shared" si="152"/>
        <v>60061.12000000001</v>
      </c>
      <c r="Y278" s="2"/>
      <c r="Z278" s="19">
        <f t="shared" si="153"/>
        <v>0.68858266168349713</v>
      </c>
    </row>
    <row r="279" spans="1:26" s="24" customFormat="1" hidden="1" outlineLevel="1" x14ac:dyDescent="0.25">
      <c r="A279" s="44"/>
      <c r="B279" s="11" t="str">
        <f>CONCATENATE("          ", "9152", " - ", "MISC. INCOME")</f>
        <v xml:space="preserve">          9152 - MISC. INCOME</v>
      </c>
      <c r="C279" s="11"/>
      <c r="D279" s="2">
        <f>--262.08</f>
        <v>262.08</v>
      </c>
      <c r="E279" s="2"/>
      <c r="F279" s="19">
        <f t="shared" si="146"/>
        <v>7.8715507564699062E-4</v>
      </c>
      <c r="G279" s="2"/>
      <c r="H279" s="2">
        <f>--53.08</f>
        <v>53.08</v>
      </c>
      <c r="I279" s="2"/>
      <c r="J279" s="19">
        <f t="shared" si="147"/>
        <v>8.4922638324306686E-5</v>
      </c>
      <c r="K279" s="2"/>
      <c r="L279" s="2">
        <f t="shared" si="148"/>
        <v>209</v>
      </c>
      <c r="M279" s="2"/>
      <c r="N279" s="19">
        <f t="shared" si="149"/>
        <v>3.9374529012810853</v>
      </c>
      <c r="O279" s="11"/>
      <c r="P279" s="2">
        <f>--2351.02</f>
        <v>2351.02</v>
      </c>
      <c r="Q279" s="2"/>
      <c r="R279" s="19">
        <f t="shared" si="150"/>
        <v>6.7361926181016771E-4</v>
      </c>
      <c r="S279" s="2"/>
      <c r="T279" s="2">
        <f>--694.1</f>
        <v>694.1</v>
      </c>
      <c r="U279" s="2"/>
      <c r="V279" s="19">
        <f t="shared" si="151"/>
        <v>1.1647495790838178E-4</v>
      </c>
      <c r="W279" s="2"/>
      <c r="X279" s="2">
        <f t="shared" si="152"/>
        <v>1656.92</v>
      </c>
      <c r="Y279" s="2"/>
      <c r="Z279" s="19">
        <f t="shared" si="153"/>
        <v>2.3871488258176057</v>
      </c>
    </row>
    <row r="280" spans="1:26" s="24" customFormat="1" hidden="1" outlineLevel="1" x14ac:dyDescent="0.25">
      <c r="A280" s="44"/>
      <c r="B280" s="11" t="str">
        <f>CONCATENATE("          ", "9160", " - ", "MISC. INCOME")</f>
        <v xml:space="preserve">          9160 - MISC. INCOME</v>
      </c>
      <c r="C280" s="11"/>
      <c r="D280" s="2">
        <f t="shared" ref="D280:D281" si="157">0</f>
        <v>0</v>
      </c>
      <c r="E280" s="2"/>
      <c r="F280" s="19">
        <f t="shared" si="146"/>
        <v>0</v>
      </c>
      <c r="G280" s="2"/>
      <c r="H280" s="2">
        <f>0</f>
        <v>0</v>
      </c>
      <c r="I280" s="2"/>
      <c r="J280" s="19">
        <f t="shared" si="147"/>
        <v>0</v>
      </c>
      <c r="K280" s="2"/>
      <c r="L280" s="2">
        <f t="shared" si="148"/>
        <v>0</v>
      </c>
      <c r="M280" s="2"/>
      <c r="N280" s="19">
        <f t="shared" si="149"/>
        <v>0</v>
      </c>
      <c r="O280" s="11"/>
      <c r="P280" s="2">
        <f>0</f>
        <v>0</v>
      </c>
      <c r="Q280" s="2"/>
      <c r="R280" s="19">
        <f t="shared" si="150"/>
        <v>0</v>
      </c>
      <c r="S280" s="2"/>
      <c r="T280" s="2">
        <f>--21170</f>
        <v>21170</v>
      </c>
      <c r="U280" s="2"/>
      <c r="V280" s="19">
        <f t="shared" si="151"/>
        <v>3.5524778258470566E-3</v>
      </c>
      <c r="W280" s="2"/>
      <c r="X280" s="2">
        <f t="shared" si="152"/>
        <v>-21170</v>
      </c>
      <c r="Y280" s="2"/>
      <c r="Z280" s="19">
        <f t="shared" si="153"/>
        <v>-1</v>
      </c>
    </row>
    <row r="281" spans="1:26" s="24" customFormat="1" hidden="1" outlineLevel="1" x14ac:dyDescent="0.25">
      <c r="A281" s="44"/>
      <c r="B281" s="11" t="str">
        <f>CONCATENATE("          ", "9163", " - ", "MISC. INCOME")</f>
        <v xml:space="preserve">          9163 - MISC. INCOME</v>
      </c>
      <c r="C281" s="11"/>
      <c r="D281" s="2">
        <f t="shared" si="157"/>
        <v>0</v>
      </c>
      <c r="E281" s="2"/>
      <c r="F281" s="19">
        <f t="shared" si="146"/>
        <v>0</v>
      </c>
      <c r="G281" s="2"/>
      <c r="H281" s="2">
        <f>--61106.55</f>
        <v>61106.55</v>
      </c>
      <c r="I281" s="2"/>
      <c r="J281" s="19">
        <f t="shared" si="147"/>
        <v>9.7764307552678273E-2</v>
      </c>
      <c r="K281" s="2"/>
      <c r="L281" s="2">
        <f t="shared" si="148"/>
        <v>-61106.55</v>
      </c>
      <c r="M281" s="2"/>
      <c r="N281" s="19">
        <f t="shared" si="149"/>
        <v>-1</v>
      </c>
      <c r="O281" s="11"/>
      <c r="P281" s="2">
        <f>--160663.9</f>
        <v>160663.9</v>
      </c>
      <c r="Q281" s="2"/>
      <c r="R281" s="19">
        <f t="shared" si="150"/>
        <v>4.6033763097524737E-2</v>
      </c>
      <c r="S281" s="2"/>
      <c r="T281" s="2">
        <f>--61106.55</f>
        <v>61106.55</v>
      </c>
      <c r="U281" s="2"/>
      <c r="V281" s="19">
        <f t="shared" si="151"/>
        <v>1.0254117330610036E-2</v>
      </c>
      <c r="W281" s="2"/>
      <c r="X281" s="2">
        <f t="shared" si="152"/>
        <v>99557.349999999991</v>
      </c>
      <c r="Y281" s="2"/>
      <c r="Z281" s="19">
        <f t="shared" si="153"/>
        <v>1.6292418734161884</v>
      </c>
    </row>
    <row r="282" spans="1:26" x14ac:dyDescent="0.25">
      <c r="A282" s="9"/>
      <c r="B282" s="10"/>
      <c r="C282" s="10"/>
      <c r="D282" s="3"/>
      <c r="E282" s="3"/>
      <c r="F282" s="8"/>
      <c r="G282" s="3"/>
      <c r="H282" s="3"/>
      <c r="I282" s="3"/>
      <c r="J282" s="8"/>
      <c r="K282" s="3"/>
      <c r="L282" s="3"/>
      <c r="M282" s="3"/>
      <c r="N282" s="8"/>
      <c r="O282" s="10"/>
      <c r="P282" s="3"/>
      <c r="Q282" s="3"/>
      <c r="R282" s="8"/>
      <c r="S282" s="3"/>
      <c r="T282" s="3"/>
      <c r="U282" s="3"/>
      <c r="V282" s="8"/>
      <c r="W282" s="3"/>
      <c r="X282" s="3"/>
      <c r="Y282" s="3"/>
      <c r="Z282" s="8"/>
    </row>
    <row r="283" spans="1:26" s="23" customFormat="1" x14ac:dyDescent="0.25">
      <c r="A283" s="10"/>
      <c r="B283" s="25" t="s">
        <v>3</v>
      </c>
      <c r="C283" s="25"/>
      <c r="D283" s="20">
        <f>+D180-D182+D271</f>
        <v>-213918.01000000018</v>
      </c>
      <c r="E283" s="13"/>
      <c r="F283" s="21">
        <f>IF(D$12=0,0,D283/D$12)</f>
        <v>-0.64250094377214528</v>
      </c>
      <c r="G283" s="13"/>
      <c r="H283" s="20">
        <f>+H180-H182+H271</f>
        <v>6168.8200000005018</v>
      </c>
      <c r="I283" s="13"/>
      <c r="J283" s="21">
        <f>IF(H$12=0,0,H283/H$12)</f>
        <v>9.86948887995087E-3</v>
      </c>
      <c r="K283" s="15"/>
      <c r="L283" s="20">
        <f>+D283-H283</f>
        <v>-220086.83000000069</v>
      </c>
      <c r="M283" s="15"/>
      <c r="N283" s="21">
        <f>IF(H283=0,0,L283/H283)</f>
        <v>-35.677298089421122</v>
      </c>
      <c r="O283" s="26"/>
      <c r="P283" s="20">
        <f>+P180-P182+P271</f>
        <v>144399.59999999998</v>
      </c>
      <c r="Q283" s="13"/>
      <c r="R283" s="21">
        <f>IF(P$12=0,0,P283/P$12)</f>
        <v>4.1373681192709323E-2</v>
      </c>
      <c r="S283" s="13"/>
      <c r="T283" s="20">
        <f>+T180-T182+T271</f>
        <v>686490.03</v>
      </c>
      <c r="U283" s="13"/>
      <c r="V283" s="21">
        <f>IF(T$12=0,0,T283/T$12)</f>
        <v>0.11519795036561553</v>
      </c>
      <c r="W283" s="15"/>
      <c r="X283" s="20">
        <f>+P283-T283</f>
        <v>-542090.43000000005</v>
      </c>
      <c r="Y283" s="15"/>
      <c r="Z283" s="21">
        <f>IF(T283=0,0,X283/T283)</f>
        <v>-0.78965521174429876</v>
      </c>
    </row>
    <row r="284" spans="1:26" x14ac:dyDescent="0.25">
      <c r="A284" s="9"/>
      <c r="B284" s="10"/>
      <c r="C284" s="9"/>
      <c r="D284" s="3"/>
      <c r="E284" s="3"/>
      <c r="F284" s="8"/>
      <c r="G284" s="3"/>
      <c r="H284" s="3"/>
      <c r="I284" s="3"/>
      <c r="J284" s="8"/>
      <c r="K284" s="3"/>
      <c r="L284" s="3"/>
      <c r="M284" s="3"/>
      <c r="N284" s="8"/>
      <c r="P284" s="3"/>
      <c r="Q284" s="3"/>
      <c r="R284" s="8"/>
      <c r="S284" s="3"/>
      <c r="T284" s="3"/>
      <c r="U284" s="3"/>
      <c r="V284" s="8"/>
      <c r="W284" s="3"/>
      <c r="X284" s="3"/>
      <c r="Y284" s="3"/>
      <c r="Z284" s="8"/>
    </row>
    <row r="285" spans="1:26" s="23" customFormat="1" x14ac:dyDescent="0.25">
      <c r="A285" s="51"/>
      <c r="B285" s="10" t="s">
        <v>13</v>
      </c>
      <c r="C285" s="10"/>
      <c r="D285" s="4">
        <v>171153.26</v>
      </c>
      <c r="E285" s="4"/>
      <c r="F285" s="12">
        <f>IF(D$12=0,0,D285/D$12)</f>
        <v>0.51405737684115183</v>
      </c>
      <c r="G285" s="4"/>
      <c r="H285" s="4">
        <v>26908.63</v>
      </c>
      <c r="I285" s="4"/>
      <c r="J285" s="12">
        <f>IF(H$12=0,0,H285/H$12)</f>
        <v>4.3051089926386371E-2</v>
      </c>
      <c r="K285" s="4"/>
      <c r="L285" s="4">
        <f>+D285-H285</f>
        <v>144244.63</v>
      </c>
      <c r="M285" s="4"/>
      <c r="N285" s="12">
        <f>IF(H285=0,0,L285/H285)</f>
        <v>5.3605341483382842</v>
      </c>
      <c r="O285" s="10"/>
      <c r="P285" s="4">
        <v>756037.71000000008</v>
      </c>
      <c r="Q285" s="4"/>
      <c r="R285" s="12">
        <f>IF(P$12=0,0,P285/P$12)</f>
        <v>0.21662153623144412</v>
      </c>
      <c r="S285" s="4"/>
      <c r="T285" s="4">
        <v>599870.38</v>
      </c>
      <c r="U285" s="4"/>
      <c r="V285" s="12">
        <f>IF(T$12=0,0,T285/T$12)</f>
        <v>0.10066255188155163</v>
      </c>
      <c r="W285" s="4"/>
      <c r="X285" s="4">
        <f>+P285-T285</f>
        <v>156167.33000000007</v>
      </c>
      <c r="Y285" s="4"/>
      <c r="Z285" s="12">
        <f>IF(T285=0,0,X285/T285)</f>
        <v>0.26033512439804091</v>
      </c>
    </row>
    <row r="286" spans="1:26" x14ac:dyDescent="0.25">
      <c r="A286" s="9"/>
      <c r="B286" s="10"/>
      <c r="C286" s="10"/>
      <c r="D286" s="3"/>
      <c r="E286" s="3"/>
      <c r="F286" s="8"/>
      <c r="G286" s="3"/>
      <c r="H286" s="3"/>
      <c r="I286" s="3"/>
      <c r="J286" s="8"/>
      <c r="K286" s="3"/>
      <c r="L286" s="3"/>
      <c r="M286" s="3"/>
      <c r="N286" s="8"/>
      <c r="O286" s="10"/>
      <c r="P286" s="3"/>
      <c r="Q286" s="3"/>
      <c r="R286" s="8"/>
      <c r="S286" s="3"/>
      <c r="T286" s="3"/>
      <c r="U286" s="3"/>
      <c r="V286" s="8"/>
      <c r="W286" s="3"/>
      <c r="X286" s="3"/>
      <c r="Y286" s="3"/>
      <c r="Z286" s="8"/>
    </row>
    <row r="287" spans="1:26" s="23" customFormat="1" ht="15.75" thickBot="1" x14ac:dyDescent="0.3">
      <c r="A287" s="10"/>
      <c r="B287" s="25" t="s">
        <v>4</v>
      </c>
      <c r="C287" s="25"/>
      <c r="D287" s="30">
        <f>+D283-D285</f>
        <v>-385071.27000000019</v>
      </c>
      <c r="E287" s="13"/>
      <c r="F287" s="33">
        <f>IF(D$12=0,0,D287/D$12)</f>
        <v>-1.156558320613297</v>
      </c>
      <c r="G287" s="13"/>
      <c r="H287" s="30">
        <f>+H283-H285</f>
        <v>-20739.809999999499</v>
      </c>
      <c r="I287" s="13"/>
      <c r="J287" s="33">
        <f>IF(H$12=0,0,H287/H$12)</f>
        <v>-3.3181601046435499E-2</v>
      </c>
      <c r="K287" s="15"/>
      <c r="L287" s="30">
        <f>D287-H287</f>
        <v>-364331.46000000072</v>
      </c>
      <c r="M287" s="15"/>
      <c r="N287" s="33">
        <f>IF(H287=0,0,L287/H287)</f>
        <v>17.566769415920856</v>
      </c>
      <c r="O287" s="26"/>
      <c r="P287" s="30">
        <f>+P283-P285</f>
        <v>-611638.1100000001</v>
      </c>
      <c r="Q287" s="13"/>
      <c r="R287" s="33">
        <f>IF(P$12=0,0,P287/P$12)</f>
        <v>-0.17524785503873477</v>
      </c>
      <c r="S287" s="13"/>
      <c r="T287" s="30">
        <f>+T283-T285</f>
        <v>86619.650000000023</v>
      </c>
      <c r="U287" s="13"/>
      <c r="V287" s="33">
        <f>IF(T$12=0,0,T287/T$12)</f>
        <v>1.4535398484063915E-2</v>
      </c>
      <c r="W287" s="15"/>
      <c r="X287" s="30">
        <f>P287-T287</f>
        <v>-698257.76000000013</v>
      </c>
      <c r="Y287" s="15"/>
      <c r="Z287" s="33">
        <f>IF(T287=0,0,X287/T287)</f>
        <v>-8.0611935051688608</v>
      </c>
    </row>
    <row r="288" spans="1:26" ht="15.75" thickTop="1" x14ac:dyDescent="0.25">
      <c r="A288" s="9"/>
      <c r="B288" s="9"/>
      <c r="C288" s="9"/>
      <c r="D288" s="3"/>
      <c r="E288" s="3"/>
      <c r="F288" s="8"/>
      <c r="G288" s="3"/>
      <c r="H288" s="3"/>
      <c r="I288" s="3"/>
      <c r="J288" s="8"/>
      <c r="K288" s="3"/>
      <c r="L288" s="3"/>
      <c r="M288" s="3"/>
      <c r="N288" s="8"/>
      <c r="P288" s="3"/>
      <c r="Q288" s="3"/>
      <c r="R288" s="8"/>
      <c r="S288" s="3"/>
      <c r="T288" s="3"/>
      <c r="U288" s="3"/>
      <c r="V288" s="8"/>
      <c r="W288" s="3"/>
      <c r="X288" s="3"/>
      <c r="Y288" s="3"/>
      <c r="Z288" s="8"/>
    </row>
    <row r="289" spans="1:26" x14ac:dyDescent="0.25">
      <c r="A289" s="9"/>
      <c r="B289" s="9"/>
      <c r="C289" s="9"/>
      <c r="D289" s="3"/>
      <c r="E289" s="3"/>
      <c r="F289" s="8"/>
      <c r="G289" s="3"/>
      <c r="H289" s="3"/>
      <c r="I289" s="3"/>
      <c r="J289" s="8"/>
      <c r="K289" s="3"/>
      <c r="L289" s="3"/>
      <c r="M289" s="3"/>
      <c r="N289" s="8"/>
      <c r="P289" s="3"/>
      <c r="Q289" s="3"/>
      <c r="R289" s="8"/>
      <c r="S289" s="3"/>
      <c r="T289" s="3"/>
      <c r="U289" s="3"/>
      <c r="V289" s="8"/>
      <c r="W289" s="3"/>
      <c r="X289" s="3"/>
      <c r="Y289" s="3"/>
      <c r="Z289" s="8"/>
    </row>
    <row r="290" spans="1:26" s="23" customFormat="1" ht="15.75" thickBot="1" x14ac:dyDescent="0.3">
      <c r="A290" s="10"/>
      <c r="B290" s="25" t="s">
        <v>5</v>
      </c>
      <c r="C290" s="25"/>
      <c r="D290" s="34">
        <f>SUM(D287:D289)</f>
        <v>-385071.27000000019</v>
      </c>
      <c r="E290" s="13"/>
      <c r="F290" s="35">
        <f>IF(D$12=0,0,D290/D$12)</f>
        <v>-1.156558320613297</v>
      </c>
      <c r="G290" s="13"/>
      <c r="H290" s="34">
        <f>SUM(H287:H289)</f>
        <v>-20739.809999999499</v>
      </c>
      <c r="I290" s="13"/>
      <c r="J290" s="35">
        <f>IF(H$12=0,0,H290/H$12)</f>
        <v>-3.3181601046435499E-2</v>
      </c>
      <c r="K290" s="15"/>
      <c r="L290" s="34">
        <f>+D290-H290</f>
        <v>-364331.46000000072</v>
      </c>
      <c r="M290" s="15"/>
      <c r="N290" s="35">
        <f>IF(H290=0,0,L290/H290)</f>
        <v>17.566769415920856</v>
      </c>
      <c r="O290" s="26"/>
      <c r="P290" s="34">
        <f>SUM(P287:P289)</f>
        <v>-611638.1100000001</v>
      </c>
      <c r="Q290" s="13"/>
      <c r="R290" s="35">
        <f>IF(P$12=0,0,P290/P$12)</f>
        <v>-0.17524785503873477</v>
      </c>
      <c r="S290" s="13"/>
      <c r="T290" s="34">
        <f>SUM(T287:T289)</f>
        <v>86619.650000000023</v>
      </c>
      <c r="U290" s="13"/>
      <c r="V290" s="35">
        <f>IF(T$12=0,0,T290/T$12)</f>
        <v>1.4535398484063915E-2</v>
      </c>
      <c r="W290" s="15"/>
      <c r="X290" s="34">
        <f>+P290-T290</f>
        <v>-698257.76000000013</v>
      </c>
      <c r="Y290" s="15"/>
      <c r="Z290" s="35">
        <f>IF(T290=0,0,X290/T290)</f>
        <v>-8.0611935051688608</v>
      </c>
    </row>
    <row r="291" spans="1:26" ht="15.75" thickTop="1" x14ac:dyDescent="0.25">
      <c r="A291" s="9"/>
      <c r="C291" s="9"/>
      <c r="D291" s="18"/>
      <c r="E291" s="18"/>
      <c r="G291" s="18"/>
      <c r="H291" s="18"/>
      <c r="I291" s="18"/>
      <c r="J291" s="43"/>
      <c r="K291" s="18"/>
      <c r="L291" s="18"/>
      <c r="M291" s="18"/>
      <c r="P291" s="18"/>
      <c r="Q291" s="18"/>
      <c r="R291" s="43"/>
      <c r="S291" s="18"/>
      <c r="T291" s="18"/>
      <c r="U291" s="18"/>
      <c r="V291" s="43"/>
      <c r="W291" s="18"/>
      <c r="X291" s="18"/>
    </row>
    <row r="292" spans="1:26" x14ac:dyDescent="0.25">
      <c r="A292" s="9"/>
      <c r="B292" s="56">
        <v>44151.571877743052</v>
      </c>
      <c r="D292" s="18"/>
      <c r="E292" s="18"/>
      <c r="G292" s="18"/>
      <c r="H292" s="18"/>
      <c r="I292" s="18"/>
      <c r="J292" s="43"/>
      <c r="K292" s="18"/>
      <c r="L292" s="18"/>
      <c r="M292" s="18"/>
      <c r="P292" s="18"/>
      <c r="Q292" s="18"/>
      <c r="R292" s="43"/>
      <c r="S292" s="18"/>
      <c r="T292" s="18"/>
      <c r="U292" s="18"/>
      <c r="V292" s="43"/>
      <c r="W292" s="18"/>
      <c r="X292" s="18"/>
    </row>
    <row r="293" spans="1:26" x14ac:dyDescent="0.25">
      <c r="A293" s="9"/>
      <c r="B293" s="62" t="s">
        <v>313</v>
      </c>
      <c r="D293" s="18"/>
      <c r="E293" s="18"/>
      <c r="G293" s="18"/>
      <c r="H293" s="18"/>
      <c r="I293" s="18"/>
      <c r="J293" s="43"/>
      <c r="K293" s="18"/>
      <c r="L293" s="18"/>
      <c r="M293" s="18"/>
      <c r="P293" s="18"/>
      <c r="Q293" s="18"/>
      <c r="R293" s="43"/>
      <c r="S293" s="18"/>
      <c r="T293" s="18"/>
      <c r="U293" s="18"/>
      <c r="V293" s="43"/>
      <c r="W293" s="18"/>
      <c r="X293" s="18"/>
    </row>
    <row r="294" spans="1:26" x14ac:dyDescent="0.25">
      <c r="A294" s="9"/>
      <c r="B294" s="54"/>
      <c r="D294" s="18"/>
      <c r="E294" s="18"/>
      <c r="G294" s="18"/>
      <c r="H294" s="18"/>
      <c r="I294" s="18"/>
      <c r="J294" s="43"/>
      <c r="K294" s="18"/>
      <c r="L294" s="18"/>
      <c r="M294" s="18"/>
      <c r="P294" s="18"/>
      <c r="Q294" s="18"/>
      <c r="R294" s="43"/>
      <c r="S294" s="18"/>
      <c r="T294" s="18"/>
      <c r="U294" s="18"/>
      <c r="V294" s="43"/>
      <c r="W294" s="18"/>
      <c r="X294" s="18"/>
    </row>
    <row r="295" spans="1:26" x14ac:dyDescent="0.25">
      <c r="D295" s="18"/>
      <c r="E295" s="18"/>
      <c r="G295" s="18"/>
      <c r="H295" s="18"/>
      <c r="I295" s="18"/>
      <c r="J295" s="43"/>
      <c r="K295" s="18"/>
      <c r="L295" s="18"/>
      <c r="M295" s="18"/>
      <c r="P295" s="18"/>
      <c r="Q295" s="18"/>
      <c r="R295" s="43"/>
      <c r="S295" s="18"/>
      <c r="T295" s="18"/>
      <c r="U295" s="18"/>
      <c r="V295" s="43"/>
      <c r="W295" s="18"/>
      <c r="X295" s="18"/>
    </row>
  </sheetData>
  <pageMargins left="0.25" right="0.25" top="0.75" bottom="0.75" header="0.3" footer="0.3"/>
  <pageSetup scale="55" fitToWidth="2" orientation="landscape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1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",RIGHT(202104,2),", ",2021)</f>
        <v>Period 04,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44135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","301", " - ", "Bookstore Operations")</f>
        <v>Department 301 - Bookstore Operations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61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50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50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2"/>
      <c r="F10" s="31" t="s">
        <v>14</v>
      </c>
      <c r="G10" s="32"/>
      <c r="H10" s="49" t="s">
        <v>306</v>
      </c>
      <c r="I10" s="32"/>
      <c r="J10" s="31" t="s">
        <v>14</v>
      </c>
      <c r="K10" s="10"/>
      <c r="L10" s="42" t="s">
        <v>11</v>
      </c>
      <c r="M10" s="10"/>
      <c r="N10" s="31" t="s">
        <v>15</v>
      </c>
      <c r="O10" s="10"/>
      <c r="P10" s="59" t="s">
        <v>10</v>
      </c>
      <c r="Q10" s="32"/>
      <c r="R10" s="31" t="s">
        <v>14</v>
      </c>
      <c r="S10" s="32"/>
      <c r="T10" s="49" t="s">
        <v>306</v>
      </c>
      <c r="U10" s="32"/>
      <c r="V10" s="31" t="s">
        <v>14</v>
      </c>
      <c r="W10" s="10"/>
      <c r="X10" s="42" t="s">
        <v>11</v>
      </c>
      <c r="Y10" s="10"/>
      <c r="Z10" s="31" t="s">
        <v>15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6</v>
      </c>
      <c r="C16" s="25"/>
      <c r="D16" s="20">
        <f>D12-D14</f>
        <v>0</v>
      </c>
      <c r="E16" s="13"/>
      <c r="F16" s="21">
        <f>IF(D$12=0,0,D16/D$12)</f>
        <v>0</v>
      </c>
      <c r="G16" s="13"/>
      <c r="H16" s="20">
        <f>H12-H14</f>
        <v>0</v>
      </c>
      <c r="I16" s="13"/>
      <c r="J16" s="21">
        <f>IF(H$12=0,0,H16/H$12)</f>
        <v>0</v>
      </c>
      <c r="K16" s="15"/>
      <c r="L16" s="20">
        <f>+D16-H16</f>
        <v>0</v>
      </c>
      <c r="M16" s="15"/>
      <c r="N16" s="21">
        <f>IF(H16=0,0,L16/H16)</f>
        <v>0</v>
      </c>
      <c r="O16" s="26"/>
      <c r="P16" s="20">
        <f>P12-P14</f>
        <v>0</v>
      </c>
      <c r="Q16" s="13"/>
      <c r="R16" s="21">
        <f>IF(P$12=0,0,P16/P$12)</f>
        <v>0</v>
      </c>
      <c r="S16" s="13"/>
      <c r="T16" s="20">
        <f>T12-T14</f>
        <v>0</v>
      </c>
      <c r="U16" s="13"/>
      <c r="V16" s="21">
        <f>IF(T$12=0,0,T16/T$12)</f>
        <v>0</v>
      </c>
      <c r="W16" s="15"/>
      <c r="X16" s="20">
        <f>+P16-T16</f>
        <v>0</v>
      </c>
      <c r="Y16" s="15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9</v>
      </c>
      <c r="C18" s="10"/>
      <c r="D18" s="22">
        <f>SUM(OSRRefD22x_0)</f>
        <v>118485.46999999999</v>
      </c>
      <c r="E18" s="22"/>
      <c r="F18" s="36">
        <f t="shared" ref="F18:F28" si="0">IF(D$12=0,0,D18/D$12)</f>
        <v>0</v>
      </c>
      <c r="G18" s="22"/>
      <c r="H18" s="22">
        <f>SUM(OSRRefH22x_0)</f>
        <v>134428.11000000002</v>
      </c>
      <c r="I18" s="22"/>
      <c r="J18" s="36">
        <f t="shared" ref="J18:J28" si="1">IF(H$12=0,0,H18/H$12)</f>
        <v>0</v>
      </c>
      <c r="K18" s="4"/>
      <c r="L18" s="22">
        <f t="shared" ref="L18:L28" si="2">+D18-H18</f>
        <v>-15942.640000000029</v>
      </c>
      <c r="M18" s="4"/>
      <c r="N18" s="36">
        <f t="shared" ref="N18:N28" si="3">IF(H18=0,0,L18/H18)</f>
        <v>-0.1185960287621393</v>
      </c>
      <c r="O18" s="10"/>
      <c r="P18" s="22">
        <f>SUM(OSRRefP22x_0)</f>
        <v>535090.51</v>
      </c>
      <c r="Q18" s="22"/>
      <c r="R18" s="36">
        <f t="shared" ref="R18:R28" si="4">IF(P$12=0,0,P18/P$12)</f>
        <v>0</v>
      </c>
      <c r="S18" s="22"/>
      <c r="T18" s="22">
        <f>SUM(OSRRefT22x_0)</f>
        <v>560007.17000000004</v>
      </c>
      <c r="U18" s="22"/>
      <c r="V18" s="36">
        <f t="shared" ref="V18:V28" si="5">IF(T$12=0,0,T18/T$12)</f>
        <v>0</v>
      </c>
      <c r="W18" s="4"/>
      <c r="X18" s="22">
        <f t="shared" ref="X18:X28" si="6">+P18-T18</f>
        <v>-24916.660000000033</v>
      </c>
      <c r="Y18" s="4"/>
      <c r="Z18" s="36">
        <f t="shared" ref="Z18:Z28" si="7">IF(T18=0,0,X18/T18)</f>
        <v>-4.4493466039015231E-2</v>
      </c>
    </row>
    <row r="19" spans="1:26" s="29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9035.86</v>
      </c>
      <c r="E19" s="1"/>
      <c r="F19" s="5">
        <f t="shared" si="0"/>
        <v>0</v>
      </c>
      <c r="G19" s="1"/>
      <c r="H19" s="1">
        <f>SUM(OSRRefH22_0x_0)</f>
        <v>17675.87</v>
      </c>
      <c r="I19" s="1"/>
      <c r="J19" s="5">
        <f t="shared" si="1"/>
        <v>0</v>
      </c>
      <c r="K19" s="1"/>
      <c r="L19" s="1">
        <f t="shared" si="2"/>
        <v>-8640.0099999999984</v>
      </c>
      <c r="M19" s="1"/>
      <c r="N19" s="5">
        <f t="shared" si="3"/>
        <v>-0.48880253136054969</v>
      </c>
      <c r="O19" s="14"/>
      <c r="P19" s="1">
        <f>SUM(OSRRefP22_0x_0)</f>
        <v>34805.030000000006</v>
      </c>
      <c r="Q19" s="1"/>
      <c r="R19" s="5">
        <f t="shared" si="4"/>
        <v>0</v>
      </c>
      <c r="S19" s="1"/>
      <c r="T19" s="1">
        <f>SUM(OSRRefT22_0x_0)</f>
        <v>62105.83</v>
      </c>
      <c r="U19" s="1"/>
      <c r="V19" s="5">
        <f t="shared" si="5"/>
        <v>0</v>
      </c>
      <c r="W19" s="1"/>
      <c r="X19" s="1">
        <f t="shared" si="6"/>
        <v>-27300.799999999996</v>
      </c>
      <c r="Y19" s="1"/>
      <c r="Z19" s="5">
        <f t="shared" si="7"/>
        <v>-0.4395851403966422</v>
      </c>
    </row>
    <row r="20" spans="1:26" s="24" customFormat="1" hidden="1" outlineLevel="2" x14ac:dyDescent="0.25">
      <c r="A20" s="28"/>
      <c r="B20" s="11" t="str">
        <f>CONCATENATE("          ", "6111", " - ", "F.I.C.A.")</f>
        <v xml:space="preserve">          6111 - F.I.C.A.</v>
      </c>
      <c r="C20" s="11"/>
      <c r="D20" s="6">
        <v>3527.98</v>
      </c>
      <c r="E20" s="2"/>
      <c r="F20" s="7">
        <f t="shared" si="0"/>
        <v>0</v>
      </c>
      <c r="G20" s="2"/>
      <c r="H20" s="6">
        <v>5518.7</v>
      </c>
      <c r="I20" s="2"/>
      <c r="J20" s="7">
        <f t="shared" si="1"/>
        <v>0</v>
      </c>
      <c r="K20" s="2"/>
      <c r="L20" s="6">
        <f t="shared" si="2"/>
        <v>-1990.7199999999998</v>
      </c>
      <c r="M20" s="2"/>
      <c r="N20" s="7">
        <f t="shared" si="3"/>
        <v>-0.36072263395364845</v>
      </c>
      <c r="O20" s="11"/>
      <c r="P20" s="6">
        <v>11844.1</v>
      </c>
      <c r="Q20" s="2"/>
      <c r="R20" s="7">
        <f t="shared" si="4"/>
        <v>0</v>
      </c>
      <c r="S20" s="2"/>
      <c r="T20" s="6">
        <v>14538.22</v>
      </c>
      <c r="U20" s="2"/>
      <c r="V20" s="7">
        <f t="shared" si="5"/>
        <v>0</v>
      </c>
      <c r="W20" s="2"/>
      <c r="X20" s="6">
        <f t="shared" si="6"/>
        <v>-2694.119999999999</v>
      </c>
      <c r="Y20" s="2"/>
      <c r="Z20" s="7">
        <f t="shared" si="7"/>
        <v>-0.1853129200135917</v>
      </c>
    </row>
    <row r="21" spans="1:26" s="24" customFormat="1" hidden="1" outlineLevel="2" x14ac:dyDescent="0.25">
      <c r="A21" s="28"/>
      <c r="B21" s="11" t="str">
        <f>CONCATENATE("          ", "6112", " - ", "COMPENSATION INSURANCE")</f>
        <v xml:space="preserve">          6112 - COMPENSATION INSURANCE</v>
      </c>
      <c r="C21" s="11"/>
      <c r="D21" s="6">
        <v>508.93</v>
      </c>
      <c r="E21" s="2"/>
      <c r="F21" s="7">
        <f t="shared" si="0"/>
        <v>0</v>
      </c>
      <c r="G21" s="2"/>
      <c r="H21" s="6">
        <v>-12.72</v>
      </c>
      <c r="I21" s="2"/>
      <c r="J21" s="7">
        <f t="shared" si="1"/>
        <v>0</v>
      </c>
      <c r="K21" s="2"/>
      <c r="L21" s="6">
        <f t="shared" si="2"/>
        <v>521.65</v>
      </c>
      <c r="M21" s="2"/>
      <c r="N21" s="7">
        <f t="shared" si="3"/>
        <v>-41.010220125786162</v>
      </c>
      <c r="O21" s="11"/>
      <c r="P21" s="6">
        <v>2946.79</v>
      </c>
      <c r="Q21" s="2"/>
      <c r="R21" s="7">
        <f t="shared" si="4"/>
        <v>0</v>
      </c>
      <c r="S21" s="2"/>
      <c r="T21" s="6">
        <v>2222.29</v>
      </c>
      <c r="U21" s="2"/>
      <c r="V21" s="7">
        <f t="shared" si="5"/>
        <v>0</v>
      </c>
      <c r="W21" s="2"/>
      <c r="X21" s="6">
        <f t="shared" si="6"/>
        <v>724.5</v>
      </c>
      <c r="Y21" s="2"/>
      <c r="Z21" s="7">
        <f t="shared" si="7"/>
        <v>0.32601505654077551</v>
      </c>
    </row>
    <row r="22" spans="1:26" s="24" customFormat="1" hidden="1" outlineLevel="2" x14ac:dyDescent="0.25">
      <c r="A22" s="28"/>
      <c r="B22" s="11" t="str">
        <f>CONCATENATE("          ", "6113", " - ", "GROUP INSURANCE")</f>
        <v xml:space="preserve">          6113 - GROUP INSURANCE</v>
      </c>
      <c r="C22" s="11"/>
      <c r="D22" s="6">
        <v>1588.12</v>
      </c>
      <c r="E22" s="2"/>
      <c r="F22" s="7">
        <f t="shared" si="0"/>
        <v>0</v>
      </c>
      <c r="G22" s="2"/>
      <c r="H22" s="6">
        <v>4075.74</v>
      </c>
      <c r="I22" s="2"/>
      <c r="J22" s="7">
        <f t="shared" si="1"/>
        <v>0</v>
      </c>
      <c r="K22" s="2"/>
      <c r="L22" s="6">
        <f t="shared" si="2"/>
        <v>-2487.62</v>
      </c>
      <c r="M22" s="2"/>
      <c r="N22" s="7">
        <f t="shared" si="3"/>
        <v>-0.6103480594934908</v>
      </c>
      <c r="O22" s="11"/>
      <c r="P22" s="6">
        <v>6535.66</v>
      </c>
      <c r="Q22" s="2"/>
      <c r="R22" s="7">
        <f t="shared" si="4"/>
        <v>0</v>
      </c>
      <c r="S22" s="2"/>
      <c r="T22" s="6">
        <v>21105.15</v>
      </c>
      <c r="U22" s="2"/>
      <c r="V22" s="7">
        <f t="shared" si="5"/>
        <v>0</v>
      </c>
      <c r="W22" s="2"/>
      <c r="X22" s="6">
        <f t="shared" si="6"/>
        <v>-14569.490000000002</v>
      </c>
      <c r="Y22" s="2"/>
      <c r="Z22" s="7">
        <f t="shared" si="7"/>
        <v>-0.69032866385692593</v>
      </c>
    </row>
    <row r="23" spans="1:26" s="24" customFormat="1" hidden="1" outlineLevel="2" x14ac:dyDescent="0.25">
      <c r="A23" s="28"/>
      <c r="B23" s="11" t="str">
        <f>CONCATENATE("          ", "6114", " - ", "STATE UNEMPLOYMENT INSURANCE")</f>
        <v xml:space="preserve">          6114 - STATE UNEMPLOYMENT INSURANCE</v>
      </c>
      <c r="C23" s="11"/>
      <c r="D23" s="6">
        <v>80.37</v>
      </c>
      <c r="E23" s="2"/>
      <c r="F23" s="7">
        <f t="shared" si="0"/>
        <v>0</v>
      </c>
      <c r="G23" s="2"/>
      <c r="H23" s="6">
        <v>193.32</v>
      </c>
      <c r="I23" s="2"/>
      <c r="J23" s="7">
        <f t="shared" si="1"/>
        <v>0</v>
      </c>
      <c r="K23" s="2"/>
      <c r="L23" s="6">
        <f t="shared" si="2"/>
        <v>-112.94999999999999</v>
      </c>
      <c r="M23" s="2"/>
      <c r="N23" s="7">
        <f t="shared" si="3"/>
        <v>-0.58426443202979517</v>
      </c>
      <c r="O23" s="11"/>
      <c r="P23" s="6">
        <v>455.06</v>
      </c>
      <c r="Q23" s="2"/>
      <c r="R23" s="7">
        <f t="shared" si="4"/>
        <v>0</v>
      </c>
      <c r="S23" s="2"/>
      <c r="T23" s="6">
        <v>624.91999999999996</v>
      </c>
      <c r="U23" s="2"/>
      <c r="V23" s="7">
        <f t="shared" si="5"/>
        <v>0</v>
      </c>
      <c r="W23" s="2"/>
      <c r="X23" s="6">
        <f t="shared" si="6"/>
        <v>-169.85999999999996</v>
      </c>
      <c r="Y23" s="2"/>
      <c r="Z23" s="7">
        <f t="shared" si="7"/>
        <v>-0.27181079178134798</v>
      </c>
    </row>
    <row r="24" spans="1:26" s="24" customFormat="1" hidden="1" outlineLevel="2" x14ac:dyDescent="0.25">
      <c r="A24" s="28"/>
      <c r="B24" s="11" t="str">
        <f>CONCATENATE("          ", "6115", " - ", "P.E.R.S.")</f>
        <v xml:space="preserve">          6115 - P.E.R.S.</v>
      </c>
      <c r="C24" s="11"/>
      <c r="D24" s="6">
        <v>983.12</v>
      </c>
      <c r="E24" s="2"/>
      <c r="F24" s="7">
        <f t="shared" si="0"/>
        <v>0</v>
      </c>
      <c r="G24" s="2"/>
      <c r="H24" s="6">
        <v>3953.22</v>
      </c>
      <c r="I24" s="2"/>
      <c r="J24" s="7">
        <f t="shared" si="1"/>
        <v>0</v>
      </c>
      <c r="K24" s="2"/>
      <c r="L24" s="6">
        <f t="shared" si="2"/>
        <v>-2970.1</v>
      </c>
      <c r="M24" s="2"/>
      <c r="N24" s="7">
        <f t="shared" si="3"/>
        <v>-0.75131158903374973</v>
      </c>
      <c r="O24" s="11"/>
      <c r="P24" s="6">
        <v>4685.72</v>
      </c>
      <c r="Q24" s="2"/>
      <c r="R24" s="7">
        <f t="shared" si="4"/>
        <v>0</v>
      </c>
      <c r="S24" s="2"/>
      <c r="T24" s="6">
        <v>9257.86</v>
      </c>
      <c r="U24" s="2"/>
      <c r="V24" s="7">
        <f t="shared" si="5"/>
        <v>0</v>
      </c>
      <c r="W24" s="2"/>
      <c r="X24" s="6">
        <f t="shared" si="6"/>
        <v>-4572.1400000000003</v>
      </c>
      <c r="Y24" s="2"/>
      <c r="Z24" s="7">
        <f t="shared" si="7"/>
        <v>-0.49386575299259222</v>
      </c>
    </row>
    <row r="25" spans="1:26" s="24" customFormat="1" hidden="1" outlineLevel="2" x14ac:dyDescent="0.25">
      <c r="A25" s="28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/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>
        <v>401.9</v>
      </c>
      <c r="Q25" s="2"/>
      <c r="R25" s="7">
        <f t="shared" si="4"/>
        <v>0</v>
      </c>
      <c r="S25" s="2"/>
      <c r="T25" s="6"/>
      <c r="U25" s="2"/>
      <c r="V25" s="7">
        <f t="shared" si="5"/>
        <v>0</v>
      </c>
      <c r="W25" s="2"/>
      <c r="X25" s="6">
        <f t="shared" si="6"/>
        <v>401.9</v>
      </c>
      <c r="Y25" s="2"/>
      <c r="Z25" s="7">
        <f t="shared" si="7"/>
        <v>0</v>
      </c>
    </row>
    <row r="26" spans="1:26" s="24" customFormat="1" hidden="1" outlineLevel="2" x14ac:dyDescent="0.25">
      <c r="A26" s="28"/>
      <c r="B26" s="11" t="str">
        <f>CONCATENATE("          ", "6118", " - ", "VACATION")</f>
        <v xml:space="preserve">          6118 - VACATION</v>
      </c>
      <c r="C26" s="11"/>
      <c r="D26" s="6">
        <v>1208.8800000000001</v>
      </c>
      <c r="E26" s="2"/>
      <c r="F26" s="7">
        <f t="shared" si="0"/>
        <v>0</v>
      </c>
      <c r="G26" s="2"/>
      <c r="H26" s="6">
        <v>2316.9299999999998</v>
      </c>
      <c r="I26" s="2"/>
      <c r="J26" s="7">
        <f t="shared" si="1"/>
        <v>0</v>
      </c>
      <c r="K26" s="2"/>
      <c r="L26" s="6">
        <f t="shared" si="2"/>
        <v>-1108.0499999999997</v>
      </c>
      <c r="M26" s="2"/>
      <c r="N26" s="7">
        <f t="shared" si="3"/>
        <v>-0.47824060286672443</v>
      </c>
      <c r="O26" s="11"/>
      <c r="P26" s="6">
        <v>4335.62</v>
      </c>
      <c r="Q26" s="2"/>
      <c r="R26" s="7">
        <f t="shared" si="4"/>
        <v>0</v>
      </c>
      <c r="S26" s="2"/>
      <c r="T26" s="6">
        <v>7922.05</v>
      </c>
      <c r="U26" s="2"/>
      <c r="V26" s="7">
        <f t="shared" si="5"/>
        <v>0</v>
      </c>
      <c r="W26" s="2"/>
      <c r="X26" s="6">
        <f t="shared" si="6"/>
        <v>-3586.4300000000003</v>
      </c>
      <c r="Y26" s="2"/>
      <c r="Z26" s="7">
        <f t="shared" si="7"/>
        <v>-0.45271489071641813</v>
      </c>
    </row>
    <row r="27" spans="1:26" s="24" customFormat="1" hidden="1" outlineLevel="2" x14ac:dyDescent="0.25">
      <c r="A27" s="28"/>
      <c r="B27" s="11" t="str">
        <f>CONCATENATE("          ", "6119", " - ", "SICK LEAVE")</f>
        <v xml:space="preserve">          6119 - SICK LEAVE</v>
      </c>
      <c r="C27" s="11"/>
      <c r="D27" s="6">
        <v>924.44</v>
      </c>
      <c r="E27" s="2"/>
      <c r="F27" s="7">
        <f t="shared" si="0"/>
        <v>0</v>
      </c>
      <c r="G27" s="2"/>
      <c r="H27" s="6">
        <v>1342.66</v>
      </c>
      <c r="I27" s="2"/>
      <c r="J27" s="7">
        <f t="shared" si="1"/>
        <v>0</v>
      </c>
      <c r="K27" s="2"/>
      <c r="L27" s="6">
        <f t="shared" si="2"/>
        <v>-418.22</v>
      </c>
      <c r="M27" s="2"/>
      <c r="N27" s="7">
        <f t="shared" si="3"/>
        <v>-0.31148615435031951</v>
      </c>
      <c r="O27" s="11"/>
      <c r="P27" s="6">
        <v>2915.35</v>
      </c>
      <c r="Q27" s="2"/>
      <c r="R27" s="7">
        <f t="shared" si="4"/>
        <v>0</v>
      </c>
      <c r="S27" s="2"/>
      <c r="T27" s="6">
        <v>4916.75</v>
      </c>
      <c r="U27" s="2"/>
      <c r="V27" s="7">
        <f t="shared" si="5"/>
        <v>0</v>
      </c>
      <c r="W27" s="2"/>
      <c r="X27" s="6">
        <f t="shared" si="6"/>
        <v>-2001.4</v>
      </c>
      <c r="Y27" s="2"/>
      <c r="Z27" s="7">
        <f t="shared" si="7"/>
        <v>-0.40705750749987291</v>
      </c>
    </row>
    <row r="28" spans="1:26" s="24" customFormat="1" hidden="1" outlineLevel="2" x14ac:dyDescent="0.25">
      <c r="A28" s="28"/>
      <c r="B28" s="11" t="str">
        <f>CONCATENATE("          ", "6156", " - ", "EMPLOYEE MEALS")</f>
        <v xml:space="preserve">          6156 - EMPLOYEE MEALS</v>
      </c>
      <c r="C28" s="11"/>
      <c r="D28" s="6">
        <v>214.02</v>
      </c>
      <c r="E28" s="2"/>
      <c r="F28" s="7">
        <f t="shared" si="0"/>
        <v>0</v>
      </c>
      <c r="G28" s="2"/>
      <c r="H28" s="6">
        <v>288.02</v>
      </c>
      <c r="I28" s="2"/>
      <c r="J28" s="7">
        <f t="shared" si="1"/>
        <v>0</v>
      </c>
      <c r="K28" s="2"/>
      <c r="L28" s="6">
        <f t="shared" si="2"/>
        <v>-73.999999999999972</v>
      </c>
      <c r="M28" s="2"/>
      <c r="N28" s="7">
        <f t="shared" si="3"/>
        <v>-0.25692660231928333</v>
      </c>
      <c r="O28" s="11"/>
      <c r="P28" s="6">
        <v>684.83</v>
      </c>
      <c r="Q28" s="2"/>
      <c r="R28" s="7">
        <f t="shared" si="4"/>
        <v>0</v>
      </c>
      <c r="S28" s="2"/>
      <c r="T28" s="6">
        <v>1518.59</v>
      </c>
      <c r="U28" s="2"/>
      <c r="V28" s="7">
        <f t="shared" si="5"/>
        <v>0</v>
      </c>
      <c r="W28" s="2"/>
      <c r="X28" s="6">
        <f t="shared" si="6"/>
        <v>-833.75999999999988</v>
      </c>
      <c r="Y28" s="2"/>
      <c r="Z28" s="7">
        <f t="shared" si="7"/>
        <v>-0.54903561856722349</v>
      </c>
    </row>
    <row r="29" spans="1:26" s="29" customFormat="1" outlineLevel="1" collapsed="1" x14ac:dyDescent="0.25">
      <c r="A29" s="27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34017.49</v>
      </c>
      <c r="E29" s="1"/>
      <c r="F29" s="5">
        <f t="shared" ref="F29:F36" si="8">IF(D$12=0,0,D29/D$12)</f>
        <v>0</v>
      </c>
      <c r="G29" s="1"/>
      <c r="H29" s="1">
        <f>SUM(OSRRefH22_1x_0)</f>
        <v>46328.160000000003</v>
      </c>
      <c r="I29" s="1"/>
      <c r="J29" s="5">
        <f t="shared" ref="J29:J36" si="9">IF(H$12=0,0,H29/H$12)</f>
        <v>0</v>
      </c>
      <c r="K29" s="1"/>
      <c r="L29" s="1">
        <f t="shared" ref="L29:L36" si="10">+D29-H29</f>
        <v>-12310.670000000006</v>
      </c>
      <c r="M29" s="1"/>
      <c r="N29" s="5">
        <f t="shared" ref="N29:N36" si="11">IF(H29=0,0,L29/H29)</f>
        <v>-0.26572758339636204</v>
      </c>
      <c r="O29" s="14"/>
      <c r="P29" s="1">
        <f>SUM(OSRRefP22_1x_0)</f>
        <v>181629.62</v>
      </c>
      <c r="Q29" s="1"/>
      <c r="R29" s="5">
        <f t="shared" ref="R29:R36" si="12">IF(P$12=0,0,P29/P$12)</f>
        <v>0</v>
      </c>
      <c r="S29" s="1"/>
      <c r="T29" s="1">
        <f>SUM(OSRRefT22_1x_0)</f>
        <v>212318.2</v>
      </c>
      <c r="U29" s="1"/>
      <c r="V29" s="5">
        <f t="shared" ref="V29:V36" si="13">IF(T$12=0,0,T29/T$12)</f>
        <v>0</v>
      </c>
      <c r="W29" s="1"/>
      <c r="X29" s="1">
        <f t="shared" ref="X29:X36" si="14">+P29-T29</f>
        <v>-30688.580000000016</v>
      </c>
      <c r="Y29" s="1"/>
      <c r="Z29" s="5">
        <f t="shared" ref="Z29:Z36" si="15">IF(T29=0,0,X29/T29)</f>
        <v>-0.14454050571265212</v>
      </c>
    </row>
    <row r="30" spans="1:26" s="24" customFormat="1" hidden="1" outlineLevel="2" x14ac:dyDescent="0.25">
      <c r="A30" s="28"/>
      <c r="B30" s="11" t="str">
        <f>CONCATENATE("          ", "6001", " - ", "ADMINISTRATIVE SALARIES")</f>
        <v xml:space="preserve">          6001 - ADMINISTRATIVE SALARIES</v>
      </c>
      <c r="C30" s="11"/>
      <c r="D30" s="6">
        <v>4205.17</v>
      </c>
      <c r="E30" s="2"/>
      <c r="F30" s="7">
        <f t="shared" si="8"/>
        <v>0</v>
      </c>
      <c r="G30" s="2"/>
      <c r="H30" s="6">
        <v>12324.99</v>
      </c>
      <c r="I30" s="2"/>
      <c r="J30" s="7">
        <f t="shared" si="9"/>
        <v>0</v>
      </c>
      <c r="K30" s="2"/>
      <c r="L30" s="6">
        <f t="shared" si="10"/>
        <v>-8119.82</v>
      </c>
      <c r="M30" s="2"/>
      <c r="N30" s="7">
        <f t="shared" si="11"/>
        <v>-0.65880945948029168</v>
      </c>
      <c r="O30" s="11"/>
      <c r="P30" s="6">
        <v>17453.82</v>
      </c>
      <c r="Q30" s="2"/>
      <c r="R30" s="7">
        <f t="shared" si="12"/>
        <v>0</v>
      </c>
      <c r="S30" s="2"/>
      <c r="T30" s="6">
        <v>46083.689999999995</v>
      </c>
      <c r="U30" s="2"/>
      <c r="V30" s="7">
        <f t="shared" si="13"/>
        <v>0</v>
      </c>
      <c r="W30" s="2"/>
      <c r="X30" s="6">
        <f t="shared" si="14"/>
        <v>-28629.869999999995</v>
      </c>
      <c r="Y30" s="2"/>
      <c r="Z30" s="7">
        <f t="shared" si="15"/>
        <v>-0.62125819351705558</v>
      </c>
    </row>
    <row r="31" spans="1:26" s="24" customFormat="1" hidden="1" outlineLevel="2" x14ac:dyDescent="0.25">
      <c r="A31" s="28"/>
      <c r="B31" s="11" t="str">
        <f>CONCATENATE("          ", "6002", " - ", "STAFF SALARIES")</f>
        <v xml:space="preserve">          6002 - STAFF SALARIES</v>
      </c>
      <c r="C31" s="11"/>
      <c r="D31" s="6">
        <v>8985.19</v>
      </c>
      <c r="E31" s="2"/>
      <c r="F31" s="7">
        <f t="shared" si="8"/>
        <v>0</v>
      </c>
      <c r="G31" s="2"/>
      <c r="H31" s="6">
        <v>9380.98</v>
      </c>
      <c r="I31" s="2"/>
      <c r="J31" s="7">
        <f t="shared" si="9"/>
        <v>0</v>
      </c>
      <c r="K31" s="2"/>
      <c r="L31" s="6">
        <f t="shared" si="10"/>
        <v>-395.78999999999905</v>
      </c>
      <c r="M31" s="2"/>
      <c r="N31" s="7">
        <f t="shared" si="11"/>
        <v>-4.2190687966502334E-2</v>
      </c>
      <c r="O31" s="11"/>
      <c r="P31" s="6">
        <v>35774.369999999995</v>
      </c>
      <c r="Q31" s="2"/>
      <c r="R31" s="7">
        <f t="shared" si="12"/>
        <v>0</v>
      </c>
      <c r="S31" s="2"/>
      <c r="T31" s="6">
        <v>36247.97</v>
      </c>
      <c r="U31" s="2"/>
      <c r="V31" s="7">
        <f t="shared" si="13"/>
        <v>0</v>
      </c>
      <c r="W31" s="2"/>
      <c r="X31" s="6">
        <f t="shared" si="14"/>
        <v>-473.60000000000582</v>
      </c>
      <c r="Y31" s="2"/>
      <c r="Z31" s="7">
        <f t="shared" si="15"/>
        <v>-1.3065559257525478E-2</v>
      </c>
    </row>
    <row r="32" spans="1:26" s="24" customFormat="1" hidden="1" outlineLevel="2" x14ac:dyDescent="0.25">
      <c r="A32" s="28"/>
      <c r="B32" s="11" t="str">
        <f>CONCATENATE("          ", "6004", " - ", "STAFF HOURLY")</f>
        <v xml:space="preserve">          6004 - STAFF HOURLY</v>
      </c>
      <c r="C32" s="11"/>
      <c r="D32" s="6"/>
      <c r="E32" s="2"/>
      <c r="F32" s="7">
        <f t="shared" si="8"/>
        <v>0</v>
      </c>
      <c r="G32" s="2"/>
      <c r="H32" s="6"/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>
        <v>3465.6</v>
      </c>
      <c r="Q32" s="2"/>
      <c r="R32" s="7">
        <f t="shared" si="12"/>
        <v>0</v>
      </c>
      <c r="S32" s="2"/>
      <c r="T32" s="6">
        <v>-1647.01</v>
      </c>
      <c r="U32" s="2"/>
      <c r="V32" s="7">
        <f t="shared" si="13"/>
        <v>0</v>
      </c>
      <c r="W32" s="2"/>
      <c r="X32" s="6">
        <f t="shared" si="14"/>
        <v>5112.6099999999997</v>
      </c>
      <c r="Y32" s="2"/>
      <c r="Z32" s="7">
        <f t="shared" si="15"/>
        <v>-3.1041766595224072</v>
      </c>
    </row>
    <row r="33" spans="1:26" s="24" customFormat="1" hidden="1" outlineLevel="2" x14ac:dyDescent="0.25">
      <c r="A33" s="28"/>
      <c r="B33" s="11" t="str">
        <f>CONCATENATE("          ", "6005", " - ", "TEMPORARY WAGES-HOURLY")</f>
        <v xml:space="preserve">          6005 - TEMPORARY WAGES-HOURLY</v>
      </c>
      <c r="C33" s="11"/>
      <c r="D33" s="6">
        <v>9472.0499999999993</v>
      </c>
      <c r="E33" s="2"/>
      <c r="F33" s="7">
        <f t="shared" si="8"/>
        <v>0</v>
      </c>
      <c r="G33" s="2"/>
      <c r="H33" s="6">
        <v>8592.99</v>
      </c>
      <c r="I33" s="2"/>
      <c r="J33" s="7">
        <f t="shared" si="9"/>
        <v>0</v>
      </c>
      <c r="K33" s="2"/>
      <c r="L33" s="6">
        <f t="shared" si="10"/>
        <v>879.05999999999949</v>
      </c>
      <c r="M33" s="2"/>
      <c r="N33" s="7">
        <f t="shared" si="11"/>
        <v>0.10229966519220894</v>
      </c>
      <c r="O33" s="11"/>
      <c r="P33" s="6">
        <v>41086.57</v>
      </c>
      <c r="Q33" s="2"/>
      <c r="R33" s="7">
        <f t="shared" si="12"/>
        <v>0</v>
      </c>
      <c r="S33" s="2"/>
      <c r="T33" s="6">
        <v>32760.560000000001</v>
      </c>
      <c r="U33" s="2"/>
      <c r="V33" s="7">
        <f t="shared" si="13"/>
        <v>0</v>
      </c>
      <c r="W33" s="2"/>
      <c r="X33" s="6">
        <f t="shared" si="14"/>
        <v>8326.0099999999984</v>
      </c>
      <c r="Y33" s="2"/>
      <c r="Z33" s="7">
        <f t="shared" si="15"/>
        <v>0.25414736500230761</v>
      </c>
    </row>
    <row r="34" spans="1:26" s="24" customFormat="1" hidden="1" outlineLevel="2" x14ac:dyDescent="0.25">
      <c r="A34" s="28"/>
      <c r="B34" s="11" t="str">
        <f>CONCATENATE("          ", "6006", " - ", "TEMPORARY PART TIME")</f>
        <v xml:space="preserve">          6006 - TEMPORARY PART TIME</v>
      </c>
      <c r="C34" s="11"/>
      <c r="D34" s="6">
        <v>1802.76</v>
      </c>
      <c r="E34" s="2"/>
      <c r="F34" s="7">
        <f t="shared" si="8"/>
        <v>0</v>
      </c>
      <c r="G34" s="2"/>
      <c r="H34" s="6">
        <v>2659.25</v>
      </c>
      <c r="I34" s="2"/>
      <c r="J34" s="7">
        <f t="shared" si="9"/>
        <v>0</v>
      </c>
      <c r="K34" s="2"/>
      <c r="L34" s="6">
        <f t="shared" si="10"/>
        <v>-856.49</v>
      </c>
      <c r="M34" s="2"/>
      <c r="N34" s="7">
        <f t="shared" si="11"/>
        <v>-0.32207953370311176</v>
      </c>
      <c r="O34" s="11"/>
      <c r="P34" s="6">
        <v>7004.88</v>
      </c>
      <c r="Q34" s="2"/>
      <c r="R34" s="7">
        <f t="shared" si="12"/>
        <v>0</v>
      </c>
      <c r="S34" s="2"/>
      <c r="T34" s="6">
        <v>9495.26</v>
      </c>
      <c r="U34" s="2"/>
      <c r="V34" s="7">
        <f t="shared" si="13"/>
        <v>0</v>
      </c>
      <c r="W34" s="2"/>
      <c r="X34" s="6">
        <f t="shared" si="14"/>
        <v>-2490.38</v>
      </c>
      <c r="Y34" s="2"/>
      <c r="Z34" s="7">
        <f t="shared" si="15"/>
        <v>-0.26227612514033316</v>
      </c>
    </row>
    <row r="35" spans="1:26" s="24" customFormat="1" hidden="1" outlineLevel="2" x14ac:dyDescent="0.25">
      <c r="A35" s="28"/>
      <c r="B35" s="11" t="str">
        <f>CONCATENATE("          ", "6007", " - ", "STUDENT HOURLY")</f>
        <v xml:space="preserve">          6007 - STUDENT HOURLY</v>
      </c>
      <c r="C35" s="11"/>
      <c r="D35" s="6">
        <v>9552.32</v>
      </c>
      <c r="E35" s="2"/>
      <c r="F35" s="7">
        <f t="shared" si="8"/>
        <v>0</v>
      </c>
      <c r="G35" s="2"/>
      <c r="H35" s="6">
        <v>13369.95</v>
      </c>
      <c r="I35" s="2"/>
      <c r="J35" s="7">
        <f t="shared" si="9"/>
        <v>0</v>
      </c>
      <c r="K35" s="2"/>
      <c r="L35" s="6">
        <f t="shared" si="10"/>
        <v>-3817.630000000001</v>
      </c>
      <c r="M35" s="2"/>
      <c r="N35" s="7">
        <f t="shared" si="11"/>
        <v>-0.28553809101754313</v>
      </c>
      <c r="O35" s="11"/>
      <c r="P35" s="6">
        <v>76844.38</v>
      </c>
      <c r="Q35" s="2"/>
      <c r="R35" s="7">
        <f t="shared" si="12"/>
        <v>0</v>
      </c>
      <c r="S35" s="2"/>
      <c r="T35" s="6">
        <v>88825.73000000001</v>
      </c>
      <c r="U35" s="2"/>
      <c r="V35" s="7">
        <f t="shared" si="13"/>
        <v>0</v>
      </c>
      <c r="W35" s="2"/>
      <c r="X35" s="6">
        <f t="shared" si="14"/>
        <v>-11981.350000000006</v>
      </c>
      <c r="Y35" s="2"/>
      <c r="Z35" s="7">
        <f t="shared" si="15"/>
        <v>-0.13488602908188882</v>
      </c>
    </row>
    <row r="36" spans="1:26" s="24" customFormat="1" hidden="1" outlineLevel="2" x14ac:dyDescent="0.25">
      <c r="A36" s="28"/>
      <c r="B36" s="11" t="str">
        <f>CONCATENATE("          ", "6008", " - ", "STUDENT HOURLY-FICA EXEMPT")</f>
        <v xml:space="preserve">          6008 - STUDENT HOURLY-FICA EXEMPT</v>
      </c>
      <c r="C36" s="11"/>
      <c r="D36" s="6"/>
      <c r="E36" s="2"/>
      <c r="F36" s="7">
        <f t="shared" si="8"/>
        <v>0</v>
      </c>
      <c r="G36" s="2"/>
      <c r="H36" s="6"/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/>
      <c r="Q36" s="2"/>
      <c r="R36" s="7">
        <f t="shared" si="12"/>
        <v>0</v>
      </c>
      <c r="S36" s="2"/>
      <c r="T36" s="6">
        <v>552</v>
      </c>
      <c r="U36" s="2"/>
      <c r="V36" s="7">
        <f t="shared" si="13"/>
        <v>0</v>
      </c>
      <c r="W36" s="2"/>
      <c r="X36" s="6">
        <f t="shared" si="14"/>
        <v>-552</v>
      </c>
      <c r="Y36" s="2"/>
      <c r="Z36" s="7">
        <f t="shared" si="15"/>
        <v>-1</v>
      </c>
    </row>
    <row r="37" spans="1:26" s="29" customFormat="1" outlineLevel="1" collapsed="1" x14ac:dyDescent="0.25">
      <c r="A37" s="27"/>
      <c r="B37" s="14" t="str">
        <f>CONCATENATE("     ","Advertising/Promo                                 ")</f>
        <v xml:space="preserve">     Advertising/Promo                                 </v>
      </c>
      <c r="C37" s="14"/>
      <c r="D37" s="1">
        <f>SUM(OSRRefD22_2x_0)</f>
        <v>0</v>
      </c>
      <c r="E37" s="1"/>
      <c r="F37" s="5">
        <f t="shared" ref="F37:F41" si="16">IF(D$12=0,0,D37/D$12)</f>
        <v>0</v>
      </c>
      <c r="G37" s="1"/>
      <c r="H37" s="1">
        <f>SUM(OSRRefH22_2x_0)</f>
        <v>6536.5</v>
      </c>
      <c r="I37" s="1"/>
      <c r="J37" s="5">
        <f t="shared" ref="J37:J41" si="17">IF(H$12=0,0,H37/H$12)</f>
        <v>0</v>
      </c>
      <c r="K37" s="1"/>
      <c r="L37" s="1">
        <f t="shared" ref="L37:L41" si="18">+D37-H37</f>
        <v>-6536.5</v>
      </c>
      <c r="M37" s="1"/>
      <c r="N37" s="5">
        <f t="shared" ref="N37:N41" si="19">IF(H37=0,0,L37/H37)</f>
        <v>-1</v>
      </c>
      <c r="O37" s="14"/>
      <c r="P37" s="1">
        <f>SUM(OSRRefP22_2x_0)</f>
        <v>0</v>
      </c>
      <c r="Q37" s="1"/>
      <c r="R37" s="5">
        <f t="shared" ref="R37:R41" si="20">IF(P$12=0,0,P37/P$12)</f>
        <v>0</v>
      </c>
      <c r="S37" s="1"/>
      <c r="T37" s="1">
        <f>SUM(OSRRefT22_2x_0)</f>
        <v>7332.55</v>
      </c>
      <c r="U37" s="1"/>
      <c r="V37" s="5">
        <f t="shared" ref="V37:V41" si="21">IF(T$12=0,0,T37/T$12)</f>
        <v>0</v>
      </c>
      <c r="W37" s="1"/>
      <c r="X37" s="1">
        <f t="shared" ref="X37:X41" si="22">+P37-T37</f>
        <v>-7332.55</v>
      </c>
      <c r="Y37" s="1"/>
      <c r="Z37" s="5">
        <f t="shared" ref="Z37:Z41" si="23">IF(T37=0,0,X37/T37)</f>
        <v>-1</v>
      </c>
    </row>
    <row r="38" spans="1:26" s="24" customFormat="1" hidden="1" outlineLevel="2" x14ac:dyDescent="0.25">
      <c r="A38" s="28"/>
      <c r="B38" s="11" t="str">
        <f>CONCATENATE("          ", "6362", " - ", "ADVERTISING EXPENSE")</f>
        <v xml:space="preserve">          6362 - ADVERTISING EXPENSE</v>
      </c>
      <c r="C38" s="11"/>
      <c r="D38" s="6"/>
      <c r="E38" s="2"/>
      <c r="F38" s="7">
        <f t="shared" si="16"/>
        <v>0</v>
      </c>
      <c r="G38" s="2"/>
      <c r="H38" s="6">
        <v>6536.5</v>
      </c>
      <c r="I38" s="2"/>
      <c r="J38" s="7">
        <f t="shared" si="17"/>
        <v>0</v>
      </c>
      <c r="K38" s="2"/>
      <c r="L38" s="6">
        <f t="shared" si="18"/>
        <v>-6536.5</v>
      </c>
      <c r="M38" s="2"/>
      <c r="N38" s="7">
        <f t="shared" si="19"/>
        <v>-1</v>
      </c>
      <c r="O38" s="11"/>
      <c r="P38" s="6"/>
      <c r="Q38" s="2"/>
      <c r="R38" s="7">
        <f t="shared" si="20"/>
        <v>0</v>
      </c>
      <c r="S38" s="2"/>
      <c r="T38" s="6">
        <v>7332.55</v>
      </c>
      <c r="U38" s="2"/>
      <c r="V38" s="7">
        <f t="shared" si="21"/>
        <v>0</v>
      </c>
      <c r="W38" s="2"/>
      <c r="X38" s="6">
        <f t="shared" si="22"/>
        <v>-7332.55</v>
      </c>
      <c r="Y38" s="2"/>
      <c r="Z38" s="7">
        <f t="shared" si="23"/>
        <v>-1</v>
      </c>
    </row>
    <row r="39" spans="1:26" s="29" customFormat="1" outlineLevel="1" collapsed="1" x14ac:dyDescent="0.25">
      <c r="A39" s="27"/>
      <c r="B39" s="14" t="str">
        <f>CONCATENATE("     ","Bad Debts/Over/Short                              ")</f>
        <v xml:space="preserve">     Bad Debts/Over/Short                              </v>
      </c>
      <c r="C39" s="14"/>
      <c r="D39" s="1">
        <f>SUM(OSRRefD22_3x_0)</f>
        <v>-28.22</v>
      </c>
      <c r="E39" s="1"/>
      <c r="F39" s="5">
        <f t="shared" si="16"/>
        <v>0</v>
      </c>
      <c r="G39" s="1"/>
      <c r="H39" s="1">
        <f>SUM(OSRRefH22_3x_0)</f>
        <v>102.46</v>
      </c>
      <c r="I39" s="1"/>
      <c r="J39" s="5">
        <f t="shared" si="17"/>
        <v>0</v>
      </c>
      <c r="K39" s="1"/>
      <c r="L39" s="1">
        <f t="shared" si="18"/>
        <v>-130.68</v>
      </c>
      <c r="M39" s="1"/>
      <c r="N39" s="5">
        <f t="shared" si="19"/>
        <v>-1.2754245559242632</v>
      </c>
      <c r="O39" s="14"/>
      <c r="P39" s="1">
        <f>SUM(OSRRefP22_3x_0)</f>
        <v>49.99</v>
      </c>
      <c r="Q39" s="1"/>
      <c r="R39" s="5">
        <f t="shared" si="20"/>
        <v>0</v>
      </c>
      <c r="S39" s="1"/>
      <c r="T39" s="1">
        <f>SUM(OSRRefT22_3x_0)</f>
        <v>-53.120000000000005</v>
      </c>
      <c r="U39" s="1"/>
      <c r="V39" s="5">
        <f t="shared" si="21"/>
        <v>0</v>
      </c>
      <c r="W39" s="1"/>
      <c r="X39" s="1">
        <f t="shared" si="22"/>
        <v>103.11000000000001</v>
      </c>
      <c r="Y39" s="1"/>
      <c r="Z39" s="5">
        <f t="shared" si="23"/>
        <v>-1.9410768072289157</v>
      </c>
    </row>
    <row r="40" spans="1:26" s="24" customFormat="1" hidden="1" outlineLevel="2" x14ac:dyDescent="0.25">
      <c r="A40" s="28"/>
      <c r="B40" s="11" t="str">
        <f>CONCATENATE("          ", "6272", " - ", "CASH (OVER/SHORT)")</f>
        <v xml:space="preserve">          6272 - CASH (OVER/SHORT)</v>
      </c>
      <c r="C40" s="11"/>
      <c r="D40" s="6">
        <v>-28.22</v>
      </c>
      <c r="E40" s="2"/>
      <c r="F40" s="7">
        <f t="shared" si="16"/>
        <v>0</v>
      </c>
      <c r="G40" s="2"/>
      <c r="H40" s="6">
        <v>57.66</v>
      </c>
      <c r="I40" s="2"/>
      <c r="J40" s="7">
        <f t="shared" si="17"/>
        <v>0</v>
      </c>
      <c r="K40" s="2"/>
      <c r="L40" s="6">
        <f t="shared" si="18"/>
        <v>-85.88</v>
      </c>
      <c r="M40" s="2"/>
      <c r="N40" s="7">
        <f t="shared" si="19"/>
        <v>-1.4894207422823449</v>
      </c>
      <c r="O40" s="11"/>
      <c r="P40" s="6">
        <v>49.99</v>
      </c>
      <c r="Q40" s="2"/>
      <c r="R40" s="7">
        <f t="shared" si="20"/>
        <v>0</v>
      </c>
      <c r="S40" s="2"/>
      <c r="T40" s="6">
        <v>-97.92</v>
      </c>
      <c r="U40" s="2"/>
      <c r="V40" s="7">
        <f t="shared" si="21"/>
        <v>0</v>
      </c>
      <c r="W40" s="2"/>
      <c r="X40" s="6">
        <f t="shared" si="22"/>
        <v>147.91</v>
      </c>
      <c r="Y40" s="2"/>
      <c r="Z40" s="7">
        <f t="shared" si="23"/>
        <v>-1.5105187908496731</v>
      </c>
    </row>
    <row r="41" spans="1:26" s="24" customFormat="1" hidden="1" outlineLevel="2" x14ac:dyDescent="0.25">
      <c r="A41" s="28"/>
      <c r="B41" s="11" t="str">
        <f>CONCATENATE("          ", "6342", " - ", "BAD DEBT")</f>
        <v xml:space="preserve">          6342 - BAD DEBT</v>
      </c>
      <c r="C41" s="11"/>
      <c r="D41" s="6"/>
      <c r="E41" s="2"/>
      <c r="F41" s="7">
        <f t="shared" si="16"/>
        <v>0</v>
      </c>
      <c r="G41" s="2"/>
      <c r="H41" s="6">
        <v>44.8</v>
      </c>
      <c r="I41" s="2"/>
      <c r="J41" s="7">
        <f t="shared" si="17"/>
        <v>0</v>
      </c>
      <c r="K41" s="2"/>
      <c r="L41" s="6">
        <f t="shared" si="18"/>
        <v>-44.8</v>
      </c>
      <c r="M41" s="2"/>
      <c r="N41" s="7">
        <f t="shared" si="19"/>
        <v>-1</v>
      </c>
      <c r="O41" s="11"/>
      <c r="P41" s="6"/>
      <c r="Q41" s="2"/>
      <c r="R41" s="7">
        <f t="shared" si="20"/>
        <v>0</v>
      </c>
      <c r="S41" s="2"/>
      <c r="T41" s="6">
        <v>44.8</v>
      </c>
      <c r="U41" s="2"/>
      <c r="V41" s="7">
        <f t="shared" si="21"/>
        <v>0</v>
      </c>
      <c r="W41" s="2"/>
      <c r="X41" s="6">
        <f t="shared" si="22"/>
        <v>-44.8</v>
      </c>
      <c r="Y41" s="2"/>
      <c r="Z41" s="7">
        <f t="shared" si="23"/>
        <v>-1</v>
      </c>
    </row>
    <row r="42" spans="1:26" s="29" customFormat="1" outlineLevel="1" collapsed="1" x14ac:dyDescent="0.25">
      <c r="A42" s="27"/>
      <c r="B42" s="14" t="str">
        <f>CONCATENATE("     ","Bank/card Fees                                    ")</f>
        <v xml:space="preserve">     Bank/card Fees                                    </v>
      </c>
      <c r="C42" s="14"/>
      <c r="D42" s="1">
        <f>SUM(OSRRefD22_4x_0)</f>
        <v>4600.4799999999996</v>
      </c>
      <c r="E42" s="1"/>
      <c r="F42" s="5">
        <f t="shared" ref="F42:F46" si="24">IF(D$12=0,0,D42/D$12)</f>
        <v>0</v>
      </c>
      <c r="G42" s="1"/>
      <c r="H42" s="1">
        <f>SUM(OSRRefH22_4x_0)</f>
        <v>10525.5</v>
      </c>
      <c r="I42" s="1"/>
      <c r="J42" s="5">
        <f t="shared" ref="J42:J46" si="25">IF(H$12=0,0,H42/H$12)</f>
        <v>0</v>
      </c>
      <c r="K42" s="1"/>
      <c r="L42" s="1">
        <f t="shared" ref="L42:L46" si="26">+D42-H42</f>
        <v>-5925.02</v>
      </c>
      <c r="M42" s="1"/>
      <c r="N42" s="5">
        <f t="shared" ref="N42:N46" si="27">IF(H42=0,0,L42/H42)</f>
        <v>-0.56292052634079148</v>
      </c>
      <c r="O42" s="14"/>
      <c r="P42" s="1">
        <f>SUM(OSRRefP22_4x_0)</f>
        <v>37782.080000000002</v>
      </c>
      <c r="Q42" s="1"/>
      <c r="R42" s="5">
        <f t="shared" ref="R42:R46" si="28">IF(P$12=0,0,P42/P$12)</f>
        <v>0</v>
      </c>
      <c r="S42" s="1"/>
      <c r="T42" s="1">
        <f>SUM(OSRRefT22_4x_0)</f>
        <v>68759.78</v>
      </c>
      <c r="U42" s="1"/>
      <c r="V42" s="5">
        <f t="shared" ref="V42:V46" si="29">IF(T$12=0,0,T42/T$12)</f>
        <v>0</v>
      </c>
      <c r="W42" s="1"/>
      <c r="X42" s="1">
        <f t="shared" ref="X42:X46" si="30">+P42-T42</f>
        <v>-30977.699999999997</v>
      </c>
      <c r="Y42" s="1"/>
      <c r="Z42" s="5">
        <f t="shared" ref="Z42:Z46" si="31">IF(T42=0,0,X42/T42)</f>
        <v>-0.45052063866405617</v>
      </c>
    </row>
    <row r="43" spans="1:26" s="24" customFormat="1" hidden="1" outlineLevel="2" x14ac:dyDescent="0.25">
      <c r="A43" s="28"/>
      <c r="B43" s="11" t="str">
        <f>CONCATENATE("          ", "6381", " - ", "BANK/CREDIT CARD FEES")</f>
        <v xml:space="preserve">          6381 - BANK/CREDIT CARD FEES</v>
      </c>
      <c r="C43" s="11"/>
      <c r="D43" s="6">
        <v>4600.4799999999996</v>
      </c>
      <c r="E43" s="2"/>
      <c r="F43" s="7">
        <f t="shared" si="24"/>
        <v>0</v>
      </c>
      <c r="G43" s="2"/>
      <c r="H43" s="6">
        <v>10525.5</v>
      </c>
      <c r="I43" s="2"/>
      <c r="J43" s="7">
        <f t="shared" si="25"/>
        <v>0</v>
      </c>
      <c r="K43" s="2"/>
      <c r="L43" s="6">
        <f t="shared" si="26"/>
        <v>-5925.02</v>
      </c>
      <c r="M43" s="2"/>
      <c r="N43" s="7">
        <f t="shared" si="27"/>
        <v>-0.56292052634079148</v>
      </c>
      <c r="O43" s="11"/>
      <c r="P43" s="6">
        <v>37782.080000000002</v>
      </c>
      <c r="Q43" s="2"/>
      <c r="R43" s="7">
        <f t="shared" si="28"/>
        <v>0</v>
      </c>
      <c r="S43" s="2"/>
      <c r="T43" s="6">
        <v>68759.78</v>
      </c>
      <c r="U43" s="2"/>
      <c r="V43" s="7">
        <f t="shared" si="29"/>
        <v>0</v>
      </c>
      <c r="W43" s="2"/>
      <c r="X43" s="6">
        <f t="shared" si="30"/>
        <v>-30977.699999999997</v>
      </c>
      <c r="Y43" s="2"/>
      <c r="Z43" s="7">
        <f t="shared" si="31"/>
        <v>-0.45052063866405617</v>
      </c>
    </row>
    <row r="44" spans="1:26" s="29" customFormat="1" outlineLevel="1" collapsed="1" x14ac:dyDescent="0.25">
      <c r="A44" s="27"/>
      <c r="B44" s="14" t="str">
        <f>CONCATENATE("     ","Depreciation                                      ")</f>
        <v xml:space="preserve">     Depreciation                                      </v>
      </c>
      <c r="C44" s="14"/>
      <c r="D44" s="1">
        <f>SUM(OSRRefD22_5x_0)</f>
        <v>30565.98</v>
      </c>
      <c r="E44" s="1"/>
      <c r="F44" s="5">
        <f t="shared" si="24"/>
        <v>0</v>
      </c>
      <c r="G44" s="1"/>
      <c r="H44" s="1">
        <f>SUM(OSRRefH22_5x_0)</f>
        <v>29607.43</v>
      </c>
      <c r="I44" s="1"/>
      <c r="J44" s="5">
        <f t="shared" si="25"/>
        <v>0</v>
      </c>
      <c r="K44" s="1"/>
      <c r="L44" s="1">
        <f t="shared" si="26"/>
        <v>958.54999999999927</v>
      </c>
      <c r="M44" s="1"/>
      <c r="N44" s="5">
        <f t="shared" si="27"/>
        <v>3.2375319303296478E-2</v>
      </c>
      <c r="O44" s="14"/>
      <c r="P44" s="1">
        <f>SUM(OSRRefP22_5x_0)</f>
        <v>122559.37</v>
      </c>
      <c r="Q44" s="1"/>
      <c r="R44" s="5">
        <f t="shared" si="28"/>
        <v>0</v>
      </c>
      <c r="S44" s="1"/>
      <c r="T44" s="1">
        <f>SUM(OSRRefT22_5x_0)</f>
        <v>118429.72</v>
      </c>
      <c r="U44" s="1"/>
      <c r="V44" s="5">
        <f t="shared" si="29"/>
        <v>0</v>
      </c>
      <c r="W44" s="1"/>
      <c r="X44" s="1">
        <f t="shared" si="30"/>
        <v>4129.6499999999942</v>
      </c>
      <c r="Y44" s="1"/>
      <c r="Z44" s="5">
        <f t="shared" si="31"/>
        <v>3.4870047822455327E-2</v>
      </c>
    </row>
    <row r="45" spans="1:26" s="24" customFormat="1" hidden="1" outlineLevel="2" x14ac:dyDescent="0.25">
      <c r="A45" s="28"/>
      <c r="B45" s="11" t="str">
        <f>CONCATENATE("          ", "6321", " - ", "BUILDING DEPRECIATION")</f>
        <v xml:space="preserve">          6321 - BUILDING DEPRECIATION</v>
      </c>
      <c r="C45" s="11"/>
      <c r="D45" s="6">
        <v>16396.52</v>
      </c>
      <c r="E45" s="2"/>
      <c r="F45" s="7">
        <f t="shared" si="24"/>
        <v>0</v>
      </c>
      <c r="G45" s="2"/>
      <c r="H45" s="6">
        <v>16396.52</v>
      </c>
      <c r="I45" s="2"/>
      <c r="J45" s="7">
        <f t="shared" si="25"/>
        <v>0</v>
      </c>
      <c r="K45" s="2"/>
      <c r="L45" s="6">
        <f t="shared" si="26"/>
        <v>0</v>
      </c>
      <c r="M45" s="2"/>
      <c r="N45" s="7">
        <f t="shared" si="27"/>
        <v>0</v>
      </c>
      <c r="O45" s="11"/>
      <c r="P45" s="6">
        <v>65586.080000000002</v>
      </c>
      <c r="Q45" s="2"/>
      <c r="R45" s="7">
        <f t="shared" si="28"/>
        <v>0</v>
      </c>
      <c r="S45" s="2"/>
      <c r="T45" s="6">
        <v>65586.080000000002</v>
      </c>
      <c r="U45" s="2"/>
      <c r="V45" s="7">
        <f t="shared" si="29"/>
        <v>0</v>
      </c>
      <c r="W45" s="2"/>
      <c r="X45" s="6">
        <f t="shared" si="30"/>
        <v>0</v>
      </c>
      <c r="Y45" s="2"/>
      <c r="Z45" s="7">
        <f t="shared" si="31"/>
        <v>0</v>
      </c>
    </row>
    <row r="46" spans="1:26" s="24" customFormat="1" hidden="1" outlineLevel="2" x14ac:dyDescent="0.25">
      <c r="A46" s="28"/>
      <c r="B46" s="11" t="str">
        <f>CONCATENATE("          ", "6322", " - ", "EQUIPMENT DEPRECIATION EXPENSE")</f>
        <v xml:space="preserve">          6322 - EQUIPMENT DEPRECIATION EXPENSE</v>
      </c>
      <c r="C46" s="11"/>
      <c r="D46" s="6">
        <v>14169.46</v>
      </c>
      <c r="E46" s="2"/>
      <c r="F46" s="7">
        <f t="shared" si="24"/>
        <v>0</v>
      </c>
      <c r="G46" s="2"/>
      <c r="H46" s="6">
        <v>13210.91</v>
      </c>
      <c r="I46" s="2"/>
      <c r="J46" s="7">
        <f t="shared" si="25"/>
        <v>0</v>
      </c>
      <c r="K46" s="2"/>
      <c r="L46" s="6">
        <f t="shared" si="26"/>
        <v>958.54999999999927</v>
      </c>
      <c r="M46" s="2"/>
      <c r="N46" s="7">
        <f t="shared" si="27"/>
        <v>7.2557454407001426E-2</v>
      </c>
      <c r="O46" s="11"/>
      <c r="P46" s="6">
        <v>56973.29</v>
      </c>
      <c r="Q46" s="2"/>
      <c r="R46" s="7">
        <f t="shared" si="28"/>
        <v>0</v>
      </c>
      <c r="S46" s="2"/>
      <c r="T46" s="6">
        <v>52843.64</v>
      </c>
      <c r="U46" s="2"/>
      <c r="V46" s="7">
        <f t="shared" si="29"/>
        <v>0</v>
      </c>
      <c r="W46" s="2"/>
      <c r="X46" s="6">
        <f t="shared" si="30"/>
        <v>4129.6500000000015</v>
      </c>
      <c r="Y46" s="2"/>
      <c r="Z46" s="7">
        <f t="shared" si="31"/>
        <v>7.8148477281277398E-2</v>
      </c>
    </row>
    <row r="47" spans="1:26" s="29" customFormat="1" outlineLevel="1" collapsed="1" x14ac:dyDescent="0.25">
      <c r="A47" s="27"/>
      <c r="B47" s="14" t="str">
        <f>CONCATENATE("     ","Discounts and Markdowns                           ")</f>
        <v xml:space="preserve">     Discounts and Markdowns                           </v>
      </c>
      <c r="C47" s="14"/>
      <c r="D47" s="1">
        <f>SUM(OSRRefD22_6x_0)</f>
        <v>0</v>
      </c>
      <c r="E47" s="1"/>
      <c r="F47" s="5">
        <f t="shared" ref="F47:F49" si="32">IF(D$12=0,0,D47/D$12)</f>
        <v>0</v>
      </c>
      <c r="G47" s="1"/>
      <c r="H47" s="1">
        <f>SUM(OSRRefH22_6x_0)</f>
        <v>-283.99</v>
      </c>
      <c r="I47" s="1"/>
      <c r="J47" s="5">
        <f t="shared" ref="J47:J49" si="33">IF(H$12=0,0,H47/H$12)</f>
        <v>0</v>
      </c>
      <c r="K47" s="1"/>
      <c r="L47" s="1">
        <f t="shared" ref="L47:L49" si="34">+D47-H47</f>
        <v>283.99</v>
      </c>
      <c r="M47" s="1"/>
      <c r="N47" s="5">
        <f t="shared" ref="N47:N49" si="35">IF(H47=0,0,L47/H47)</f>
        <v>-1</v>
      </c>
      <c r="O47" s="14"/>
      <c r="P47" s="1">
        <f>SUM(OSRRefP22_6x_0)</f>
        <v>0</v>
      </c>
      <c r="Q47" s="1"/>
      <c r="R47" s="5">
        <f t="shared" ref="R47:R49" si="36">IF(P$12=0,0,P47/P$12)</f>
        <v>0</v>
      </c>
      <c r="S47" s="1"/>
      <c r="T47" s="1">
        <f>SUM(OSRRefT22_6x_0)</f>
        <v>-1157.6799999999998</v>
      </c>
      <c r="U47" s="1"/>
      <c r="V47" s="5">
        <f t="shared" ref="V47:V49" si="37">IF(T$12=0,0,T47/T$12)</f>
        <v>0</v>
      </c>
      <c r="W47" s="1"/>
      <c r="X47" s="1">
        <f t="shared" ref="X47:X49" si="38">+P47-T47</f>
        <v>1157.6799999999998</v>
      </c>
      <c r="Y47" s="1"/>
      <c r="Z47" s="5">
        <f t="shared" ref="Z47:Z49" si="39">IF(T47=0,0,X47/T47)</f>
        <v>-1</v>
      </c>
    </row>
    <row r="48" spans="1:26" s="24" customFormat="1" hidden="1" outlineLevel="2" x14ac:dyDescent="0.25">
      <c r="A48" s="28"/>
      <c r="B48" s="11" t="str">
        <f>CONCATENATE("          ", "6382", " - ", "DISCOUNTS/MARK DOWNS")</f>
        <v xml:space="preserve">          6382 - DISCOUNTS/MARK DOWNS</v>
      </c>
      <c r="C48" s="11"/>
      <c r="D48" s="6"/>
      <c r="E48" s="2"/>
      <c r="F48" s="7">
        <f t="shared" si="32"/>
        <v>0</v>
      </c>
      <c r="G48" s="2"/>
      <c r="H48" s="6">
        <v>140.9</v>
      </c>
      <c r="I48" s="2"/>
      <c r="J48" s="7">
        <f t="shared" si="33"/>
        <v>0</v>
      </c>
      <c r="K48" s="2"/>
      <c r="L48" s="6">
        <f t="shared" si="34"/>
        <v>-140.9</v>
      </c>
      <c r="M48" s="2"/>
      <c r="N48" s="7">
        <f t="shared" si="35"/>
        <v>-1</v>
      </c>
      <c r="O48" s="11"/>
      <c r="P48" s="6"/>
      <c r="Q48" s="2"/>
      <c r="R48" s="7">
        <f t="shared" si="36"/>
        <v>0</v>
      </c>
      <c r="S48" s="2"/>
      <c r="T48" s="6">
        <v>330.4</v>
      </c>
      <c r="U48" s="2"/>
      <c r="V48" s="7">
        <f t="shared" si="37"/>
        <v>0</v>
      </c>
      <c r="W48" s="2"/>
      <c r="X48" s="6">
        <f t="shared" si="38"/>
        <v>-330.4</v>
      </c>
      <c r="Y48" s="2"/>
      <c r="Z48" s="7">
        <f t="shared" si="39"/>
        <v>-1</v>
      </c>
    </row>
    <row r="49" spans="1:26" s="24" customFormat="1" hidden="1" outlineLevel="2" x14ac:dyDescent="0.25">
      <c r="A49" s="28"/>
      <c r="B49" s="11" t="str">
        <f>CONCATENATE("          ", "9175", " - ", "EARNED DISCOUNTS")</f>
        <v xml:space="preserve">          9175 - EARNED DISCOUNTS</v>
      </c>
      <c r="C49" s="11"/>
      <c r="D49" s="6"/>
      <c r="E49" s="2"/>
      <c r="F49" s="7">
        <f t="shared" si="32"/>
        <v>0</v>
      </c>
      <c r="G49" s="2"/>
      <c r="H49" s="6">
        <v>-424.89</v>
      </c>
      <c r="I49" s="2"/>
      <c r="J49" s="7">
        <f t="shared" si="33"/>
        <v>0</v>
      </c>
      <c r="K49" s="2"/>
      <c r="L49" s="6">
        <f t="shared" si="34"/>
        <v>424.89</v>
      </c>
      <c r="M49" s="2"/>
      <c r="N49" s="7">
        <f t="shared" si="35"/>
        <v>-1</v>
      </c>
      <c r="O49" s="11"/>
      <c r="P49" s="6"/>
      <c r="Q49" s="2"/>
      <c r="R49" s="7">
        <f t="shared" si="36"/>
        <v>0</v>
      </c>
      <c r="S49" s="2"/>
      <c r="T49" s="6">
        <v>-1488.08</v>
      </c>
      <c r="U49" s="2"/>
      <c r="V49" s="7">
        <f t="shared" si="37"/>
        <v>0</v>
      </c>
      <c r="W49" s="2"/>
      <c r="X49" s="6">
        <f t="shared" si="38"/>
        <v>1488.08</v>
      </c>
      <c r="Y49" s="2"/>
      <c r="Z49" s="7">
        <f t="shared" si="39"/>
        <v>-1</v>
      </c>
    </row>
    <row r="50" spans="1:26" s="29" customFormat="1" outlineLevel="1" collapsed="1" x14ac:dyDescent="0.25">
      <c r="A50" s="27"/>
      <c r="B50" s="14" t="str">
        <f>CONCATENATE("     ","Donations                                         ")</f>
        <v xml:space="preserve">     Donations                                         </v>
      </c>
      <c r="C50" s="14"/>
      <c r="D50" s="1">
        <f>SUM(OSRRefD22_7x_0)</f>
        <v>0</v>
      </c>
      <c r="E50" s="1"/>
      <c r="F50" s="5">
        <f t="shared" ref="F50:F70" si="40">IF(D$12=0,0,D50/D$12)</f>
        <v>0</v>
      </c>
      <c r="G50" s="1"/>
      <c r="H50" s="1">
        <f>SUM(OSRRefH22_7x_0)</f>
        <v>1006.14</v>
      </c>
      <c r="I50" s="1"/>
      <c r="J50" s="5">
        <f t="shared" ref="J50:J70" si="41">IF(H$12=0,0,H50/H$12)</f>
        <v>0</v>
      </c>
      <c r="K50" s="1"/>
      <c r="L50" s="1">
        <f t="shared" ref="L50:L70" si="42">+D50-H50</f>
        <v>-1006.14</v>
      </c>
      <c r="M50" s="1"/>
      <c r="N50" s="5">
        <f t="shared" ref="N50:N70" si="43">IF(H50=0,0,L50/H50)</f>
        <v>-1</v>
      </c>
      <c r="O50" s="14"/>
      <c r="P50" s="1">
        <f>SUM(OSRRefP22_7x_0)</f>
        <v>0</v>
      </c>
      <c r="Q50" s="1"/>
      <c r="R50" s="5">
        <f t="shared" ref="R50:R70" si="44">IF(P$12=0,0,P50/P$12)</f>
        <v>0</v>
      </c>
      <c r="S50" s="1"/>
      <c r="T50" s="1">
        <f>SUM(OSRRefT22_7x_0)</f>
        <v>6231.48</v>
      </c>
      <c r="U50" s="1"/>
      <c r="V50" s="5">
        <f t="shared" ref="V50:V70" si="45">IF(T$12=0,0,T50/T$12)</f>
        <v>0</v>
      </c>
      <c r="W50" s="1"/>
      <c r="X50" s="1">
        <f t="shared" ref="X50:X70" si="46">+P50-T50</f>
        <v>-6231.48</v>
      </c>
      <c r="Y50" s="1"/>
      <c r="Z50" s="5">
        <f t="shared" ref="Z50:Z70" si="47">IF(T50=0,0,X50/T50)</f>
        <v>-1</v>
      </c>
    </row>
    <row r="51" spans="1:26" s="24" customFormat="1" hidden="1" outlineLevel="2" x14ac:dyDescent="0.25">
      <c r="A51" s="28"/>
      <c r="B51" s="11" t="str">
        <f>CONCATENATE("          ", "6399", " - ", "DONATION-ON CAMPUS")</f>
        <v xml:space="preserve">          6399 - DONATION-ON CAMPUS</v>
      </c>
      <c r="C51" s="11"/>
      <c r="D51" s="6"/>
      <c r="E51" s="2"/>
      <c r="F51" s="7">
        <f t="shared" si="40"/>
        <v>0</v>
      </c>
      <c r="G51" s="2"/>
      <c r="H51" s="6">
        <v>1006.14</v>
      </c>
      <c r="I51" s="2"/>
      <c r="J51" s="7">
        <f t="shared" si="41"/>
        <v>0</v>
      </c>
      <c r="K51" s="2"/>
      <c r="L51" s="6">
        <f t="shared" si="42"/>
        <v>-1006.14</v>
      </c>
      <c r="M51" s="2"/>
      <c r="N51" s="7">
        <f t="shared" si="43"/>
        <v>-1</v>
      </c>
      <c r="O51" s="11"/>
      <c r="P51" s="6"/>
      <c r="Q51" s="2"/>
      <c r="R51" s="7">
        <f t="shared" si="44"/>
        <v>0</v>
      </c>
      <c r="S51" s="2"/>
      <c r="T51" s="6">
        <v>6231.48</v>
      </c>
      <c r="U51" s="2"/>
      <c r="V51" s="7">
        <f t="shared" si="45"/>
        <v>0</v>
      </c>
      <c r="W51" s="2"/>
      <c r="X51" s="6">
        <f t="shared" si="46"/>
        <v>-6231.48</v>
      </c>
      <c r="Y51" s="2"/>
      <c r="Z51" s="7">
        <f t="shared" si="47"/>
        <v>-1</v>
      </c>
    </row>
    <row r="52" spans="1:26" s="29" customFormat="1" outlineLevel="1" collapsed="1" x14ac:dyDescent="0.25">
      <c r="A52" s="27"/>
      <c r="B52" s="14" t="str">
        <f>CONCATENATE("     ","Employees' Appreciation                           ")</f>
        <v xml:space="preserve">     Employees' Appreciation                           </v>
      </c>
      <c r="C52" s="14"/>
      <c r="D52" s="1">
        <f>SUM(OSRRefD22_8x_0)</f>
        <v>0</v>
      </c>
      <c r="E52" s="1"/>
      <c r="F52" s="5">
        <f t="shared" si="40"/>
        <v>0</v>
      </c>
      <c r="G52" s="1"/>
      <c r="H52" s="1">
        <f>SUM(OSRRefH22_8x_0)</f>
        <v>0</v>
      </c>
      <c r="I52" s="1"/>
      <c r="J52" s="5">
        <f t="shared" si="41"/>
        <v>0</v>
      </c>
      <c r="K52" s="1"/>
      <c r="L52" s="1">
        <f t="shared" si="42"/>
        <v>0</v>
      </c>
      <c r="M52" s="1"/>
      <c r="N52" s="5">
        <f t="shared" si="43"/>
        <v>0</v>
      </c>
      <c r="O52" s="14"/>
      <c r="P52" s="1">
        <f>SUM(OSRRefP22_8x_0)</f>
        <v>0</v>
      </c>
      <c r="Q52" s="1"/>
      <c r="R52" s="5">
        <f t="shared" si="44"/>
        <v>0</v>
      </c>
      <c r="S52" s="1"/>
      <c r="T52" s="1">
        <f>SUM(OSRRefT22_8x_0)</f>
        <v>451.22</v>
      </c>
      <c r="U52" s="1"/>
      <c r="V52" s="5">
        <f t="shared" si="45"/>
        <v>0</v>
      </c>
      <c r="W52" s="1"/>
      <c r="X52" s="1">
        <f t="shared" si="46"/>
        <v>-451.22</v>
      </c>
      <c r="Y52" s="1"/>
      <c r="Z52" s="5">
        <f t="shared" si="47"/>
        <v>-1</v>
      </c>
    </row>
    <row r="53" spans="1:26" s="24" customFormat="1" hidden="1" outlineLevel="2" x14ac:dyDescent="0.25">
      <c r="A53" s="28"/>
      <c r="B53" s="11" t="str">
        <f>CONCATENATE("          ", "6277", " - ", "EMPLOYEE APPRECIATION")</f>
        <v xml:space="preserve">          6277 - EMPLOYEE APPRECIATION</v>
      </c>
      <c r="C53" s="11"/>
      <c r="D53" s="6"/>
      <c r="E53" s="2"/>
      <c r="F53" s="7">
        <f t="shared" si="40"/>
        <v>0</v>
      </c>
      <c r="G53" s="2"/>
      <c r="H53" s="6"/>
      <c r="I53" s="2"/>
      <c r="J53" s="7">
        <f t="shared" si="41"/>
        <v>0</v>
      </c>
      <c r="K53" s="2"/>
      <c r="L53" s="6">
        <f t="shared" si="42"/>
        <v>0</v>
      </c>
      <c r="M53" s="2"/>
      <c r="N53" s="7">
        <f t="shared" si="43"/>
        <v>0</v>
      </c>
      <c r="O53" s="11"/>
      <c r="P53" s="6"/>
      <c r="Q53" s="2"/>
      <c r="R53" s="7">
        <f t="shared" si="44"/>
        <v>0</v>
      </c>
      <c r="S53" s="2"/>
      <c r="T53" s="6">
        <v>451.22</v>
      </c>
      <c r="U53" s="2"/>
      <c r="V53" s="7">
        <f t="shared" si="45"/>
        <v>0</v>
      </c>
      <c r="W53" s="2"/>
      <c r="X53" s="6">
        <f t="shared" si="46"/>
        <v>-451.22</v>
      </c>
      <c r="Y53" s="2"/>
      <c r="Z53" s="7">
        <f t="shared" si="47"/>
        <v>-1</v>
      </c>
    </row>
    <row r="54" spans="1:26" s="29" customFormat="1" outlineLevel="1" collapsed="1" x14ac:dyDescent="0.25">
      <c r="A54" s="27"/>
      <c r="B54" s="14" t="str">
        <f>CONCATENATE("     ","Equipment Rental                                  ")</f>
        <v xml:space="preserve">     Equipment Rental                                  </v>
      </c>
      <c r="C54" s="14"/>
      <c r="D54" s="1">
        <f>SUM(OSRRefD22_9x_0)</f>
        <v>91.26</v>
      </c>
      <c r="E54" s="1"/>
      <c r="F54" s="5">
        <f t="shared" si="40"/>
        <v>0</v>
      </c>
      <c r="G54" s="1"/>
      <c r="H54" s="1">
        <f>SUM(OSRRefH22_9x_0)</f>
        <v>0</v>
      </c>
      <c r="I54" s="1"/>
      <c r="J54" s="5">
        <f t="shared" si="41"/>
        <v>0</v>
      </c>
      <c r="K54" s="1"/>
      <c r="L54" s="1">
        <f t="shared" si="42"/>
        <v>91.26</v>
      </c>
      <c r="M54" s="1"/>
      <c r="N54" s="5">
        <f t="shared" si="43"/>
        <v>0</v>
      </c>
      <c r="O54" s="14"/>
      <c r="P54" s="1">
        <f>SUM(OSRRefP22_9x_0)</f>
        <v>688.93</v>
      </c>
      <c r="Q54" s="1"/>
      <c r="R54" s="5">
        <f t="shared" si="44"/>
        <v>0</v>
      </c>
      <c r="S54" s="1"/>
      <c r="T54" s="1">
        <f>SUM(OSRRefT22_9x_0)</f>
        <v>0</v>
      </c>
      <c r="U54" s="1"/>
      <c r="V54" s="5">
        <f t="shared" si="45"/>
        <v>0</v>
      </c>
      <c r="W54" s="1"/>
      <c r="X54" s="1">
        <f t="shared" si="46"/>
        <v>688.93</v>
      </c>
      <c r="Y54" s="1"/>
      <c r="Z54" s="5">
        <f t="shared" si="47"/>
        <v>0</v>
      </c>
    </row>
    <row r="55" spans="1:26" s="24" customFormat="1" hidden="1" outlineLevel="2" x14ac:dyDescent="0.25">
      <c r="A55" s="28"/>
      <c r="B55" s="11" t="str">
        <f>CONCATENATE("          ", "6351", " - ", "EQUIPMENT RENTAL")</f>
        <v xml:space="preserve">          6351 - EQUIPMENT RENTAL</v>
      </c>
      <c r="C55" s="11"/>
      <c r="D55" s="6">
        <v>91.26</v>
      </c>
      <c r="E55" s="2"/>
      <c r="F55" s="7">
        <f t="shared" si="40"/>
        <v>0</v>
      </c>
      <c r="G55" s="2"/>
      <c r="H55" s="6"/>
      <c r="I55" s="2"/>
      <c r="J55" s="7">
        <f t="shared" si="41"/>
        <v>0</v>
      </c>
      <c r="K55" s="2"/>
      <c r="L55" s="6">
        <f t="shared" si="42"/>
        <v>91.26</v>
      </c>
      <c r="M55" s="2"/>
      <c r="N55" s="7">
        <f t="shared" si="43"/>
        <v>0</v>
      </c>
      <c r="O55" s="11"/>
      <c r="P55" s="6">
        <v>688.93</v>
      </c>
      <c r="Q55" s="2"/>
      <c r="R55" s="7">
        <f t="shared" si="44"/>
        <v>0</v>
      </c>
      <c r="S55" s="2"/>
      <c r="T55" s="6"/>
      <c r="U55" s="2"/>
      <c r="V55" s="7">
        <f t="shared" si="45"/>
        <v>0</v>
      </c>
      <c r="W55" s="2"/>
      <c r="X55" s="6">
        <f t="shared" si="46"/>
        <v>688.93</v>
      </c>
      <c r="Y55" s="2"/>
      <c r="Z55" s="7">
        <f t="shared" si="47"/>
        <v>0</v>
      </c>
    </row>
    <row r="56" spans="1:26" s="29" customFormat="1" outlineLevel="1" collapsed="1" x14ac:dyDescent="0.25">
      <c r="A56" s="27"/>
      <c r="B56" s="14" t="str">
        <f>CONCATENATE("     ","Freight out/Postage                               ")</f>
        <v xml:space="preserve">     Freight out/Postage                               </v>
      </c>
      <c r="C56" s="14"/>
      <c r="D56" s="1">
        <f>SUM(OSRRefD22_10x_0)</f>
        <v>15.95</v>
      </c>
      <c r="E56" s="1"/>
      <c r="F56" s="5">
        <f t="shared" si="40"/>
        <v>0</v>
      </c>
      <c r="G56" s="1"/>
      <c r="H56" s="1">
        <f>SUM(OSRRefH22_10x_0)</f>
        <v>14.39</v>
      </c>
      <c r="I56" s="1"/>
      <c r="J56" s="5">
        <f t="shared" si="41"/>
        <v>0</v>
      </c>
      <c r="K56" s="1"/>
      <c r="L56" s="1">
        <f t="shared" si="42"/>
        <v>1.5599999999999987</v>
      </c>
      <c r="M56" s="1"/>
      <c r="N56" s="5">
        <f t="shared" si="43"/>
        <v>0.10840861709520491</v>
      </c>
      <c r="O56" s="14"/>
      <c r="P56" s="1">
        <f>SUM(OSRRefP22_10x_0)</f>
        <v>647.85</v>
      </c>
      <c r="Q56" s="1"/>
      <c r="R56" s="5">
        <f t="shared" si="44"/>
        <v>0</v>
      </c>
      <c r="S56" s="1"/>
      <c r="T56" s="1">
        <f>SUM(OSRRefT22_10x_0)</f>
        <v>14.39</v>
      </c>
      <c r="U56" s="1"/>
      <c r="V56" s="5">
        <f t="shared" si="45"/>
        <v>0</v>
      </c>
      <c r="W56" s="1"/>
      <c r="X56" s="1">
        <f t="shared" si="46"/>
        <v>633.46</v>
      </c>
      <c r="Y56" s="1"/>
      <c r="Z56" s="5">
        <f t="shared" si="47"/>
        <v>44.020847810979845</v>
      </c>
    </row>
    <row r="57" spans="1:26" s="24" customFormat="1" hidden="1" outlineLevel="2" x14ac:dyDescent="0.25">
      <c r="A57" s="28"/>
      <c r="B57" s="11" t="str">
        <f>CONCATENATE("          ", "6307", " - ", "POSTAGE")</f>
        <v xml:space="preserve">          6307 - POSTAGE</v>
      </c>
      <c r="C57" s="11"/>
      <c r="D57" s="6">
        <v>15.95</v>
      </c>
      <c r="E57" s="2"/>
      <c r="F57" s="7">
        <f t="shared" si="40"/>
        <v>0</v>
      </c>
      <c r="G57" s="2"/>
      <c r="H57" s="6">
        <v>14.39</v>
      </c>
      <c r="I57" s="2"/>
      <c r="J57" s="7">
        <f t="shared" si="41"/>
        <v>0</v>
      </c>
      <c r="K57" s="2"/>
      <c r="L57" s="6">
        <f t="shared" si="42"/>
        <v>1.5599999999999987</v>
      </c>
      <c r="M57" s="2"/>
      <c r="N57" s="7">
        <f t="shared" si="43"/>
        <v>0.10840861709520491</v>
      </c>
      <c r="O57" s="11"/>
      <c r="P57" s="6">
        <v>647.85</v>
      </c>
      <c r="Q57" s="2"/>
      <c r="R57" s="7">
        <f t="shared" si="44"/>
        <v>0</v>
      </c>
      <c r="S57" s="2"/>
      <c r="T57" s="6">
        <v>14.39</v>
      </c>
      <c r="U57" s="2"/>
      <c r="V57" s="7">
        <f t="shared" si="45"/>
        <v>0</v>
      </c>
      <c r="W57" s="2"/>
      <c r="X57" s="6">
        <f t="shared" si="46"/>
        <v>633.46</v>
      </c>
      <c r="Y57" s="2"/>
      <c r="Z57" s="7">
        <f t="shared" si="47"/>
        <v>44.020847810979845</v>
      </c>
    </row>
    <row r="58" spans="1:26" s="29" customFormat="1" outlineLevel="1" collapsed="1" x14ac:dyDescent="0.25">
      <c r="A58" s="27"/>
      <c r="B58" s="14" t="str">
        <f>CONCATENATE("     ","General                                           ")</f>
        <v xml:space="preserve">     General                                           </v>
      </c>
      <c r="C58" s="14"/>
      <c r="D58" s="1">
        <f>SUM(OSRRefD22_11x_0)</f>
        <v>0</v>
      </c>
      <c r="E58" s="1"/>
      <c r="F58" s="5">
        <f t="shared" si="40"/>
        <v>0</v>
      </c>
      <c r="G58" s="1"/>
      <c r="H58" s="1">
        <f>SUM(OSRRefH22_11x_0)</f>
        <v>0</v>
      </c>
      <c r="I58" s="1"/>
      <c r="J58" s="5">
        <f t="shared" si="41"/>
        <v>0</v>
      </c>
      <c r="K58" s="1"/>
      <c r="L58" s="1">
        <f t="shared" si="42"/>
        <v>0</v>
      </c>
      <c r="M58" s="1"/>
      <c r="N58" s="5">
        <f t="shared" si="43"/>
        <v>0</v>
      </c>
      <c r="O58" s="14"/>
      <c r="P58" s="1">
        <f>SUM(OSRRefP22_11x_0)</f>
        <v>867.81</v>
      </c>
      <c r="Q58" s="1"/>
      <c r="R58" s="5">
        <f t="shared" si="44"/>
        <v>0</v>
      </c>
      <c r="S58" s="1"/>
      <c r="T58" s="1">
        <f>SUM(OSRRefT22_11x_0)</f>
        <v>-14984.3</v>
      </c>
      <c r="U58" s="1"/>
      <c r="V58" s="5">
        <f t="shared" si="45"/>
        <v>0</v>
      </c>
      <c r="W58" s="1"/>
      <c r="X58" s="1">
        <f t="shared" si="46"/>
        <v>15852.109999999999</v>
      </c>
      <c r="Y58" s="1"/>
      <c r="Z58" s="5">
        <f t="shared" si="47"/>
        <v>-1.05791461729944</v>
      </c>
    </row>
    <row r="59" spans="1:26" s="24" customFormat="1" hidden="1" outlineLevel="2" x14ac:dyDescent="0.25">
      <c r="A59" s="28"/>
      <c r="B59" s="11" t="str">
        <f>CONCATENATE("          ", "6279", " - ", "GENERAL EXPENSE")</f>
        <v xml:space="preserve">          6279 - GENERAL EXPENSE</v>
      </c>
      <c r="C59" s="11"/>
      <c r="D59" s="6"/>
      <c r="E59" s="2"/>
      <c r="F59" s="7">
        <f t="shared" si="40"/>
        <v>0</v>
      </c>
      <c r="G59" s="2"/>
      <c r="H59" s="6"/>
      <c r="I59" s="2"/>
      <c r="J59" s="7">
        <f t="shared" si="41"/>
        <v>0</v>
      </c>
      <c r="K59" s="2"/>
      <c r="L59" s="6">
        <f t="shared" si="42"/>
        <v>0</v>
      </c>
      <c r="M59" s="2"/>
      <c r="N59" s="7">
        <f t="shared" si="43"/>
        <v>0</v>
      </c>
      <c r="O59" s="11"/>
      <c r="P59" s="6">
        <v>867.81</v>
      </c>
      <c r="Q59" s="2"/>
      <c r="R59" s="7">
        <f t="shared" si="44"/>
        <v>0</v>
      </c>
      <c r="S59" s="2"/>
      <c r="T59" s="6">
        <v>-14984.3</v>
      </c>
      <c r="U59" s="2"/>
      <c r="V59" s="7">
        <f t="shared" si="45"/>
        <v>0</v>
      </c>
      <c r="W59" s="2"/>
      <c r="X59" s="6">
        <f t="shared" si="46"/>
        <v>15852.109999999999</v>
      </c>
      <c r="Y59" s="2"/>
      <c r="Z59" s="7">
        <f t="shared" si="47"/>
        <v>-1.05791461729944</v>
      </c>
    </row>
    <row r="60" spans="1:26" s="29" customFormat="1" outlineLevel="1" collapsed="1" x14ac:dyDescent="0.25">
      <c r="A60" s="27"/>
      <c r="B60" s="14" t="str">
        <f>CONCATENATE("     ","Insurance                                         ")</f>
        <v xml:space="preserve">     Insurance                                         </v>
      </c>
      <c r="C60" s="14"/>
      <c r="D60" s="1">
        <f>SUM(OSRRefD22_12x_0)</f>
        <v>3883.56</v>
      </c>
      <c r="E60" s="1"/>
      <c r="F60" s="5">
        <f t="shared" si="40"/>
        <v>0</v>
      </c>
      <c r="G60" s="1"/>
      <c r="H60" s="1">
        <f>SUM(OSRRefH22_12x_0)</f>
        <v>3883.56</v>
      </c>
      <c r="I60" s="1"/>
      <c r="J60" s="5">
        <f t="shared" si="41"/>
        <v>0</v>
      </c>
      <c r="K60" s="1"/>
      <c r="L60" s="1">
        <f t="shared" si="42"/>
        <v>0</v>
      </c>
      <c r="M60" s="1"/>
      <c r="N60" s="5">
        <f t="shared" si="43"/>
        <v>0</v>
      </c>
      <c r="O60" s="14"/>
      <c r="P60" s="1">
        <f>SUM(OSRRefP22_12x_0)</f>
        <v>15534.24</v>
      </c>
      <c r="Q60" s="1"/>
      <c r="R60" s="5">
        <f t="shared" si="44"/>
        <v>0</v>
      </c>
      <c r="S60" s="1"/>
      <c r="T60" s="1">
        <f>SUM(OSRRefT22_12x_0)</f>
        <v>15534.24</v>
      </c>
      <c r="U60" s="1"/>
      <c r="V60" s="5">
        <f t="shared" si="45"/>
        <v>0</v>
      </c>
      <c r="W60" s="1"/>
      <c r="X60" s="1">
        <f t="shared" si="46"/>
        <v>0</v>
      </c>
      <c r="Y60" s="1"/>
      <c r="Z60" s="5">
        <f t="shared" si="47"/>
        <v>0</v>
      </c>
    </row>
    <row r="61" spans="1:26" s="24" customFormat="1" hidden="1" outlineLevel="2" x14ac:dyDescent="0.25">
      <c r="A61" s="28"/>
      <c r="B61" s="11" t="str">
        <f>CONCATENATE("          ", "6314", " - ", "LIABILITY INSURANCE")</f>
        <v xml:space="preserve">          6314 - LIABILITY INSURANCE</v>
      </c>
      <c r="C61" s="11"/>
      <c r="D61" s="6">
        <v>3883.56</v>
      </c>
      <c r="E61" s="2"/>
      <c r="F61" s="7">
        <f t="shared" si="40"/>
        <v>0</v>
      </c>
      <c r="G61" s="2"/>
      <c r="H61" s="6">
        <v>3883.56</v>
      </c>
      <c r="I61" s="2"/>
      <c r="J61" s="7">
        <f t="shared" si="41"/>
        <v>0</v>
      </c>
      <c r="K61" s="2"/>
      <c r="L61" s="6">
        <f t="shared" si="42"/>
        <v>0</v>
      </c>
      <c r="M61" s="2"/>
      <c r="N61" s="7">
        <f t="shared" si="43"/>
        <v>0</v>
      </c>
      <c r="O61" s="11"/>
      <c r="P61" s="6">
        <v>15534.24</v>
      </c>
      <c r="Q61" s="2"/>
      <c r="R61" s="7">
        <f t="shared" si="44"/>
        <v>0</v>
      </c>
      <c r="S61" s="2"/>
      <c r="T61" s="6">
        <v>15534.24</v>
      </c>
      <c r="U61" s="2"/>
      <c r="V61" s="7">
        <f t="shared" si="45"/>
        <v>0</v>
      </c>
      <c r="W61" s="2"/>
      <c r="X61" s="6">
        <f t="shared" si="46"/>
        <v>0</v>
      </c>
      <c r="Y61" s="2"/>
      <c r="Z61" s="7">
        <f t="shared" si="47"/>
        <v>0</v>
      </c>
    </row>
    <row r="62" spans="1:26" s="29" customFormat="1" outlineLevel="1" collapsed="1" x14ac:dyDescent="0.25">
      <c r="A62" s="27"/>
      <c r="B62" s="14" t="str">
        <f>CONCATENATE("     ","Professional Services                             ")</f>
        <v xml:space="preserve">     Professional Services                             </v>
      </c>
      <c r="C62" s="14"/>
      <c r="D62" s="1">
        <f>SUM(OSRRefD22_13x_0)</f>
        <v>0</v>
      </c>
      <c r="E62" s="1"/>
      <c r="F62" s="5">
        <f t="shared" si="40"/>
        <v>0</v>
      </c>
      <c r="G62" s="1"/>
      <c r="H62" s="1">
        <f>SUM(OSRRefH22_13x_0)</f>
        <v>0</v>
      </c>
      <c r="I62" s="1"/>
      <c r="J62" s="5">
        <f t="shared" si="41"/>
        <v>0</v>
      </c>
      <c r="K62" s="1"/>
      <c r="L62" s="1">
        <f t="shared" si="42"/>
        <v>0</v>
      </c>
      <c r="M62" s="1"/>
      <c r="N62" s="5">
        <f t="shared" si="43"/>
        <v>0</v>
      </c>
      <c r="O62" s="14"/>
      <c r="P62" s="1">
        <f>SUM(OSRRefP22_13x_0)</f>
        <v>0</v>
      </c>
      <c r="Q62" s="1"/>
      <c r="R62" s="5">
        <f t="shared" si="44"/>
        <v>0</v>
      </c>
      <c r="S62" s="1"/>
      <c r="T62" s="1">
        <f>SUM(OSRRefT22_13x_0)</f>
        <v>4658.41</v>
      </c>
      <c r="U62" s="1"/>
      <c r="V62" s="5">
        <f t="shared" si="45"/>
        <v>0</v>
      </c>
      <c r="W62" s="1"/>
      <c r="X62" s="1">
        <f t="shared" si="46"/>
        <v>-4658.41</v>
      </c>
      <c r="Y62" s="1"/>
      <c r="Z62" s="5">
        <f t="shared" si="47"/>
        <v>-1</v>
      </c>
    </row>
    <row r="63" spans="1:26" s="24" customFormat="1" hidden="1" outlineLevel="2" x14ac:dyDescent="0.25">
      <c r="A63" s="28"/>
      <c r="B63" s="11" t="str">
        <f>CONCATENATE("          ", "6336", " - ", "PROFESSIONAL SERVICES")</f>
        <v xml:space="preserve">          6336 - PROFESSIONAL SERVICES</v>
      </c>
      <c r="C63" s="11"/>
      <c r="D63" s="6"/>
      <c r="E63" s="2"/>
      <c r="F63" s="7">
        <f t="shared" si="40"/>
        <v>0</v>
      </c>
      <c r="G63" s="2"/>
      <c r="H63" s="6"/>
      <c r="I63" s="2"/>
      <c r="J63" s="7">
        <f t="shared" si="41"/>
        <v>0</v>
      </c>
      <c r="K63" s="2"/>
      <c r="L63" s="6">
        <f t="shared" si="42"/>
        <v>0</v>
      </c>
      <c r="M63" s="2"/>
      <c r="N63" s="7">
        <f t="shared" si="43"/>
        <v>0</v>
      </c>
      <c r="O63" s="11"/>
      <c r="P63" s="6"/>
      <c r="Q63" s="2"/>
      <c r="R63" s="7">
        <f t="shared" si="44"/>
        <v>0</v>
      </c>
      <c r="S63" s="2"/>
      <c r="T63" s="6">
        <v>4658.41</v>
      </c>
      <c r="U63" s="2"/>
      <c r="V63" s="7">
        <f t="shared" si="45"/>
        <v>0</v>
      </c>
      <c r="W63" s="2"/>
      <c r="X63" s="6">
        <f t="shared" si="46"/>
        <v>-4658.41</v>
      </c>
      <c r="Y63" s="2"/>
      <c r="Z63" s="7">
        <f t="shared" si="47"/>
        <v>-1</v>
      </c>
    </row>
    <row r="64" spans="1:26" s="29" customFormat="1" outlineLevel="1" collapsed="1" x14ac:dyDescent="0.25">
      <c r="A64" s="27"/>
      <c r="B64" s="14" t="str">
        <f>CONCATENATE("     ","Rent                                              ")</f>
        <v xml:space="preserve">     Rent                                              </v>
      </c>
      <c r="C64" s="14"/>
      <c r="D64" s="1">
        <f>SUM(OSRRefD22_14x_0)</f>
        <v>-800</v>
      </c>
      <c r="E64" s="1"/>
      <c r="F64" s="5">
        <f t="shared" si="40"/>
        <v>0</v>
      </c>
      <c r="G64" s="1"/>
      <c r="H64" s="1">
        <f>SUM(OSRRefH22_14x_0)</f>
        <v>-800</v>
      </c>
      <c r="I64" s="1"/>
      <c r="J64" s="5">
        <f t="shared" si="41"/>
        <v>0</v>
      </c>
      <c r="K64" s="1"/>
      <c r="L64" s="1">
        <f t="shared" si="42"/>
        <v>0</v>
      </c>
      <c r="M64" s="1"/>
      <c r="N64" s="5">
        <f t="shared" si="43"/>
        <v>0</v>
      </c>
      <c r="O64" s="14"/>
      <c r="P64" s="1">
        <f>SUM(OSRRefP22_14x_0)</f>
        <v>-3200</v>
      </c>
      <c r="Q64" s="1"/>
      <c r="R64" s="5">
        <f t="shared" si="44"/>
        <v>0</v>
      </c>
      <c r="S64" s="1"/>
      <c r="T64" s="1">
        <f>SUM(OSRRefT22_14x_0)</f>
        <v>-3200</v>
      </c>
      <c r="U64" s="1"/>
      <c r="V64" s="5">
        <f t="shared" si="45"/>
        <v>0</v>
      </c>
      <c r="W64" s="1"/>
      <c r="X64" s="1">
        <f t="shared" si="46"/>
        <v>0</v>
      </c>
      <c r="Y64" s="1"/>
      <c r="Z64" s="5">
        <f t="shared" si="47"/>
        <v>0</v>
      </c>
    </row>
    <row r="65" spans="1:26" s="24" customFormat="1" hidden="1" outlineLevel="2" x14ac:dyDescent="0.25">
      <c r="A65" s="28"/>
      <c r="B65" s="11" t="str">
        <f>CONCATENATE("          ", "6273", " - ", "RENT")</f>
        <v xml:space="preserve">          6273 - RENT</v>
      </c>
      <c r="C65" s="11"/>
      <c r="D65" s="6">
        <v>-800</v>
      </c>
      <c r="E65" s="2"/>
      <c r="F65" s="7">
        <f t="shared" si="40"/>
        <v>0</v>
      </c>
      <c r="G65" s="2"/>
      <c r="H65" s="6">
        <v>-800</v>
      </c>
      <c r="I65" s="2"/>
      <c r="J65" s="7">
        <f t="shared" si="41"/>
        <v>0</v>
      </c>
      <c r="K65" s="2"/>
      <c r="L65" s="6">
        <f t="shared" si="42"/>
        <v>0</v>
      </c>
      <c r="M65" s="2"/>
      <c r="N65" s="7">
        <f t="shared" si="43"/>
        <v>0</v>
      </c>
      <c r="O65" s="11"/>
      <c r="P65" s="6">
        <v>-3200</v>
      </c>
      <c r="Q65" s="2"/>
      <c r="R65" s="7">
        <f t="shared" si="44"/>
        <v>0</v>
      </c>
      <c r="S65" s="2"/>
      <c r="T65" s="6">
        <v>-3200</v>
      </c>
      <c r="U65" s="2"/>
      <c r="V65" s="7">
        <f t="shared" si="45"/>
        <v>0</v>
      </c>
      <c r="W65" s="2"/>
      <c r="X65" s="6">
        <f t="shared" si="46"/>
        <v>0</v>
      </c>
      <c r="Y65" s="2"/>
      <c r="Z65" s="7">
        <f t="shared" si="47"/>
        <v>0</v>
      </c>
    </row>
    <row r="66" spans="1:26" s="29" customFormat="1" outlineLevel="1" collapsed="1" x14ac:dyDescent="0.25">
      <c r="A66" s="27"/>
      <c r="B66" s="14" t="str">
        <f>CONCATENATE("     ","Repair and Maintenance                            ")</f>
        <v xml:space="preserve">     Repair and Maintenance                            </v>
      </c>
      <c r="C66" s="14"/>
      <c r="D66" s="1">
        <f>SUM(OSRRefD22_15x_0)</f>
        <v>6258.34</v>
      </c>
      <c r="E66" s="1"/>
      <c r="F66" s="5">
        <f t="shared" si="40"/>
        <v>0</v>
      </c>
      <c r="G66" s="1"/>
      <c r="H66" s="1">
        <f>SUM(OSRRefH22_15x_0)</f>
        <v>6605.9800000000005</v>
      </c>
      <c r="I66" s="1"/>
      <c r="J66" s="5">
        <f t="shared" si="41"/>
        <v>0</v>
      </c>
      <c r="K66" s="1"/>
      <c r="L66" s="1">
        <f t="shared" si="42"/>
        <v>-347.64000000000033</v>
      </c>
      <c r="M66" s="1"/>
      <c r="N66" s="5">
        <f t="shared" si="43"/>
        <v>-5.2625045791843197E-2</v>
      </c>
      <c r="O66" s="14"/>
      <c r="P66" s="1">
        <f>SUM(OSRRefP22_15x_0)</f>
        <v>73524.22</v>
      </c>
      <c r="Q66" s="1"/>
      <c r="R66" s="5">
        <f t="shared" si="44"/>
        <v>0</v>
      </c>
      <c r="S66" s="1"/>
      <c r="T66" s="1">
        <f>SUM(OSRRefT22_15x_0)</f>
        <v>36418.400000000001</v>
      </c>
      <c r="U66" s="1"/>
      <c r="V66" s="5">
        <f t="shared" si="45"/>
        <v>0</v>
      </c>
      <c r="W66" s="1"/>
      <c r="X66" s="1">
        <f t="shared" si="46"/>
        <v>37105.82</v>
      </c>
      <c r="Y66" s="1"/>
      <c r="Z66" s="5">
        <f t="shared" si="47"/>
        <v>1.0188756233112932</v>
      </c>
    </row>
    <row r="67" spans="1:26" s="24" customFormat="1" hidden="1" outlineLevel="2" x14ac:dyDescent="0.25">
      <c r="A67" s="28"/>
      <c r="B67" s="11" t="str">
        <f>CONCATENATE("          ", "6371", " - ", "COMPUTER SOFTWARE MAINTENANCE")</f>
        <v xml:space="preserve">          6371 - COMPUTER SOFTWARE MAINTENANCE</v>
      </c>
      <c r="C67" s="11"/>
      <c r="D67" s="6"/>
      <c r="E67" s="2"/>
      <c r="F67" s="7">
        <f t="shared" si="40"/>
        <v>0</v>
      </c>
      <c r="G67" s="2"/>
      <c r="H67" s="6">
        <v>601</v>
      </c>
      <c r="I67" s="2"/>
      <c r="J67" s="7">
        <f t="shared" si="41"/>
        <v>0</v>
      </c>
      <c r="K67" s="2"/>
      <c r="L67" s="6">
        <f t="shared" si="42"/>
        <v>-601</v>
      </c>
      <c r="M67" s="2"/>
      <c r="N67" s="7">
        <f t="shared" si="43"/>
        <v>-1</v>
      </c>
      <c r="O67" s="11"/>
      <c r="P67" s="6">
        <v>58428.780000000006</v>
      </c>
      <c r="Q67" s="2"/>
      <c r="R67" s="7">
        <f t="shared" si="44"/>
        <v>0</v>
      </c>
      <c r="S67" s="2"/>
      <c r="T67" s="6">
        <v>12751.4</v>
      </c>
      <c r="U67" s="2"/>
      <c r="V67" s="7">
        <f t="shared" si="45"/>
        <v>0</v>
      </c>
      <c r="W67" s="2"/>
      <c r="X67" s="6">
        <f t="shared" si="46"/>
        <v>45677.380000000005</v>
      </c>
      <c r="Y67" s="2"/>
      <c r="Z67" s="7">
        <f t="shared" si="47"/>
        <v>3.5821462741346055</v>
      </c>
    </row>
    <row r="68" spans="1:26" s="24" customFormat="1" hidden="1" outlineLevel="2" x14ac:dyDescent="0.25">
      <c r="A68" s="28"/>
      <c r="B68" s="11" t="str">
        <f>CONCATENATE("          ", "6372", " - ", "COMPUTER HARDWARE MAINTENANCE")</f>
        <v xml:space="preserve">          6372 - COMPUTER HARDWARE MAINTENANCE</v>
      </c>
      <c r="C68" s="11"/>
      <c r="D68" s="6">
        <v>8.11</v>
      </c>
      <c r="E68" s="2"/>
      <c r="F68" s="7">
        <f t="shared" si="40"/>
        <v>0</v>
      </c>
      <c r="G68" s="2"/>
      <c r="H68" s="6"/>
      <c r="I68" s="2"/>
      <c r="J68" s="7">
        <f t="shared" si="41"/>
        <v>0</v>
      </c>
      <c r="K68" s="2"/>
      <c r="L68" s="6">
        <f t="shared" si="42"/>
        <v>8.11</v>
      </c>
      <c r="M68" s="2"/>
      <c r="N68" s="7">
        <f t="shared" si="43"/>
        <v>0</v>
      </c>
      <c r="O68" s="11"/>
      <c r="P68" s="6">
        <v>0</v>
      </c>
      <c r="Q68" s="2"/>
      <c r="R68" s="7">
        <f t="shared" si="44"/>
        <v>0</v>
      </c>
      <c r="S68" s="2"/>
      <c r="T68" s="6"/>
      <c r="U68" s="2"/>
      <c r="V68" s="7">
        <f t="shared" si="45"/>
        <v>0</v>
      </c>
      <c r="W68" s="2"/>
      <c r="X68" s="6">
        <f t="shared" si="46"/>
        <v>0</v>
      </c>
      <c r="Y68" s="2"/>
      <c r="Z68" s="7">
        <f t="shared" si="47"/>
        <v>0</v>
      </c>
    </row>
    <row r="69" spans="1:26" s="24" customFormat="1" hidden="1" outlineLevel="2" x14ac:dyDescent="0.25">
      <c r="A69" s="28"/>
      <c r="B69" s="11" t="str">
        <f>CONCATENATE("          ", "6373", " - ", "MAINTENANCE CONTRACTS")</f>
        <v xml:space="preserve">          6373 - MAINTENANCE CONTRACTS</v>
      </c>
      <c r="C69" s="11"/>
      <c r="D69" s="6">
        <v>110.6</v>
      </c>
      <c r="E69" s="2"/>
      <c r="F69" s="7">
        <f t="shared" si="40"/>
        <v>0</v>
      </c>
      <c r="G69" s="2"/>
      <c r="H69" s="6">
        <v>1598.05</v>
      </c>
      <c r="I69" s="2"/>
      <c r="J69" s="7">
        <f t="shared" si="41"/>
        <v>0</v>
      </c>
      <c r="K69" s="2"/>
      <c r="L69" s="6">
        <f t="shared" si="42"/>
        <v>-1487.45</v>
      </c>
      <c r="M69" s="2"/>
      <c r="N69" s="7">
        <f t="shared" si="43"/>
        <v>-0.93079065110603554</v>
      </c>
      <c r="O69" s="11"/>
      <c r="P69" s="6">
        <v>6198.37</v>
      </c>
      <c r="Q69" s="2"/>
      <c r="R69" s="7">
        <f t="shared" si="44"/>
        <v>0</v>
      </c>
      <c r="S69" s="2"/>
      <c r="T69" s="6">
        <v>2114.0500000000002</v>
      </c>
      <c r="U69" s="2"/>
      <c r="V69" s="7">
        <f t="shared" si="45"/>
        <v>0</v>
      </c>
      <c r="W69" s="2"/>
      <c r="X69" s="6">
        <f t="shared" si="46"/>
        <v>4084.3199999999997</v>
      </c>
      <c r="Y69" s="2"/>
      <c r="Z69" s="7">
        <f t="shared" si="47"/>
        <v>1.9319883635675597</v>
      </c>
    </row>
    <row r="70" spans="1:26" s="24" customFormat="1" hidden="1" outlineLevel="2" x14ac:dyDescent="0.25">
      <c r="A70" s="28"/>
      <c r="B70" s="11" t="str">
        <f>CONCATENATE("          ", "6375", " - ", "OUTSIDE REPAIRS &amp; MAINTENANCE")</f>
        <v xml:space="preserve">          6375 - OUTSIDE REPAIRS &amp; MAINTENANCE</v>
      </c>
      <c r="C70" s="11"/>
      <c r="D70" s="6">
        <v>6139.63</v>
      </c>
      <c r="E70" s="2"/>
      <c r="F70" s="7">
        <f t="shared" si="40"/>
        <v>0</v>
      </c>
      <c r="G70" s="2"/>
      <c r="H70" s="6">
        <v>4406.93</v>
      </c>
      <c r="I70" s="2"/>
      <c r="J70" s="7">
        <f t="shared" si="41"/>
        <v>0</v>
      </c>
      <c r="K70" s="2"/>
      <c r="L70" s="6">
        <f t="shared" si="42"/>
        <v>1732.6999999999998</v>
      </c>
      <c r="M70" s="2"/>
      <c r="N70" s="7">
        <f t="shared" si="43"/>
        <v>0.39317620202726156</v>
      </c>
      <c r="O70" s="11"/>
      <c r="P70" s="6">
        <v>8897.07</v>
      </c>
      <c r="Q70" s="2"/>
      <c r="R70" s="7">
        <f t="shared" si="44"/>
        <v>0</v>
      </c>
      <c r="S70" s="2"/>
      <c r="T70" s="6">
        <v>21552.95</v>
      </c>
      <c r="U70" s="2"/>
      <c r="V70" s="7">
        <f t="shared" si="45"/>
        <v>0</v>
      </c>
      <c r="W70" s="2"/>
      <c r="X70" s="6">
        <f t="shared" si="46"/>
        <v>-12655.880000000001</v>
      </c>
      <c r="Y70" s="2"/>
      <c r="Z70" s="7">
        <f t="shared" si="47"/>
        <v>-0.58719943209630243</v>
      </c>
    </row>
    <row r="71" spans="1:26" s="29" customFormat="1" outlineLevel="1" collapsed="1" x14ac:dyDescent="0.25">
      <c r="A71" s="27"/>
      <c r="B71" s="14" t="str">
        <f>CONCATENATE("     ","Services                                          ")</f>
        <v xml:space="preserve">     Services                                          </v>
      </c>
      <c r="C71" s="14"/>
      <c r="D71" s="1">
        <f>SUM(OSRRefD22_16x_0)</f>
        <v>3871.5600000000004</v>
      </c>
      <c r="E71" s="1"/>
      <c r="F71" s="5">
        <f t="shared" ref="F71:F74" si="48">IF(D$12=0,0,D71/D$12)</f>
        <v>0</v>
      </c>
      <c r="G71" s="1"/>
      <c r="H71" s="1">
        <f>SUM(OSRRefH22_16x_0)</f>
        <v>4058.93</v>
      </c>
      <c r="I71" s="1"/>
      <c r="J71" s="5">
        <f t="shared" ref="J71:J74" si="49">IF(H$12=0,0,H71/H$12)</f>
        <v>0</v>
      </c>
      <c r="K71" s="1"/>
      <c r="L71" s="1">
        <f t="shared" ref="L71:L74" si="50">+D71-H71</f>
        <v>-187.36999999999944</v>
      </c>
      <c r="M71" s="1"/>
      <c r="N71" s="5">
        <f t="shared" ref="N71:N74" si="51">IF(H71=0,0,L71/H71)</f>
        <v>-4.6162412261359385E-2</v>
      </c>
      <c r="O71" s="14"/>
      <c r="P71" s="1">
        <f>SUM(OSRRefP22_16x_0)</f>
        <v>12828.86</v>
      </c>
      <c r="Q71" s="1"/>
      <c r="R71" s="5">
        <f t="shared" ref="R71:R74" si="52">IF(P$12=0,0,P71/P$12)</f>
        <v>0</v>
      </c>
      <c r="S71" s="1"/>
      <c r="T71" s="1">
        <f>SUM(OSRRefT22_16x_0)</f>
        <v>15866.05</v>
      </c>
      <c r="U71" s="1"/>
      <c r="V71" s="5">
        <f t="shared" ref="V71:V74" si="53">IF(T$12=0,0,T71/T$12)</f>
        <v>0</v>
      </c>
      <c r="W71" s="1"/>
      <c r="X71" s="1">
        <f t="shared" ref="X71:X74" si="54">+P71-T71</f>
        <v>-3037.1899999999987</v>
      </c>
      <c r="Y71" s="1"/>
      <c r="Z71" s="5">
        <f t="shared" ref="Z71:Z74" si="55">IF(T71=0,0,X71/T71)</f>
        <v>-0.19142697772917638</v>
      </c>
    </row>
    <row r="72" spans="1:26" s="24" customFormat="1" hidden="1" outlineLevel="2" x14ac:dyDescent="0.25">
      <c r="A72" s="28"/>
      <c r="B72" s="11" t="str">
        <f>CONCATENATE("          ", "6282", " - ", "JANITORIAL/EXTERMINATOR EXPENS")</f>
        <v xml:space="preserve">          6282 - JANITORIAL/EXTERMINATOR EXPENS</v>
      </c>
      <c r="C72" s="11"/>
      <c r="D72" s="6">
        <v>4330.68</v>
      </c>
      <c r="E72" s="2"/>
      <c r="F72" s="7">
        <f t="shared" si="48"/>
        <v>0</v>
      </c>
      <c r="G72" s="2"/>
      <c r="H72" s="6">
        <v>222.5</v>
      </c>
      <c r="I72" s="2"/>
      <c r="J72" s="7">
        <f t="shared" si="49"/>
        <v>0</v>
      </c>
      <c r="K72" s="2"/>
      <c r="L72" s="6">
        <f t="shared" si="50"/>
        <v>4108.18</v>
      </c>
      <c r="M72" s="2"/>
      <c r="N72" s="7">
        <f t="shared" si="51"/>
        <v>18.463730337078655</v>
      </c>
      <c r="O72" s="11"/>
      <c r="P72" s="6">
        <v>4941.62</v>
      </c>
      <c r="Q72" s="2"/>
      <c r="R72" s="7">
        <f t="shared" si="52"/>
        <v>0</v>
      </c>
      <c r="S72" s="2"/>
      <c r="T72" s="6">
        <v>890</v>
      </c>
      <c r="U72" s="2"/>
      <c r="V72" s="7">
        <f t="shared" si="53"/>
        <v>0</v>
      </c>
      <c r="W72" s="2"/>
      <c r="X72" s="6">
        <f t="shared" si="54"/>
        <v>4051.62</v>
      </c>
      <c r="Y72" s="2"/>
      <c r="Z72" s="7">
        <f t="shared" si="55"/>
        <v>4.5523820224719103</v>
      </c>
    </row>
    <row r="73" spans="1:26" s="24" customFormat="1" hidden="1" outlineLevel="2" x14ac:dyDescent="0.25">
      <c r="A73" s="28"/>
      <c r="B73" s="11" t="str">
        <f>CONCATENATE("          ", "6283", " - ", "PLANT SERVICE")</f>
        <v xml:space="preserve">          6283 - PLANT SERVICE</v>
      </c>
      <c r="C73" s="11"/>
      <c r="D73" s="6"/>
      <c r="E73" s="2"/>
      <c r="F73" s="7">
        <f t="shared" si="48"/>
        <v>0</v>
      </c>
      <c r="G73" s="2"/>
      <c r="H73" s="6"/>
      <c r="I73" s="2"/>
      <c r="J73" s="7">
        <f t="shared" si="49"/>
        <v>0</v>
      </c>
      <c r="K73" s="2"/>
      <c r="L73" s="6">
        <f t="shared" si="50"/>
        <v>0</v>
      </c>
      <c r="M73" s="2"/>
      <c r="N73" s="7">
        <f t="shared" si="51"/>
        <v>0</v>
      </c>
      <c r="O73" s="11"/>
      <c r="P73" s="6">
        <v>130</v>
      </c>
      <c r="Q73" s="2"/>
      <c r="R73" s="7">
        <f t="shared" si="52"/>
        <v>0</v>
      </c>
      <c r="S73" s="2"/>
      <c r="T73" s="6">
        <v>363.33</v>
      </c>
      <c r="U73" s="2"/>
      <c r="V73" s="7">
        <f t="shared" si="53"/>
        <v>0</v>
      </c>
      <c r="W73" s="2"/>
      <c r="X73" s="6">
        <f t="shared" si="54"/>
        <v>-233.32999999999998</v>
      </c>
      <c r="Y73" s="2"/>
      <c r="Z73" s="7">
        <f t="shared" si="55"/>
        <v>-0.6421985522802961</v>
      </c>
    </row>
    <row r="74" spans="1:26" s="24" customFormat="1" hidden="1" outlineLevel="2" x14ac:dyDescent="0.25">
      <c r="A74" s="28"/>
      <c r="B74" s="11" t="str">
        <f>CONCATENATE("          ", "6285", " - ", "JANITORIAL SERVICES")</f>
        <v xml:space="preserve">          6285 - JANITORIAL SERVICES</v>
      </c>
      <c r="C74" s="11"/>
      <c r="D74" s="6">
        <v>-459.12</v>
      </c>
      <c r="E74" s="2"/>
      <c r="F74" s="7">
        <f t="shared" si="48"/>
        <v>0</v>
      </c>
      <c r="G74" s="2"/>
      <c r="H74" s="6">
        <v>3836.43</v>
      </c>
      <c r="I74" s="2"/>
      <c r="J74" s="7">
        <f t="shared" si="49"/>
        <v>0</v>
      </c>
      <c r="K74" s="2"/>
      <c r="L74" s="6">
        <f t="shared" si="50"/>
        <v>-4295.55</v>
      </c>
      <c r="M74" s="2"/>
      <c r="N74" s="7">
        <f t="shared" si="51"/>
        <v>-1.1196737591980044</v>
      </c>
      <c r="O74" s="11"/>
      <c r="P74" s="6">
        <v>7757.24</v>
      </c>
      <c r="Q74" s="2"/>
      <c r="R74" s="7">
        <f t="shared" si="52"/>
        <v>0</v>
      </c>
      <c r="S74" s="2"/>
      <c r="T74" s="6">
        <v>14612.72</v>
      </c>
      <c r="U74" s="2"/>
      <c r="V74" s="7">
        <f t="shared" si="53"/>
        <v>0</v>
      </c>
      <c r="W74" s="2"/>
      <c r="X74" s="6">
        <f t="shared" si="54"/>
        <v>-6855.48</v>
      </c>
      <c r="Y74" s="2"/>
      <c r="Z74" s="7">
        <f t="shared" si="55"/>
        <v>-0.46914469037934076</v>
      </c>
    </row>
    <row r="75" spans="1:26" s="29" customFormat="1" outlineLevel="1" collapsed="1" x14ac:dyDescent="0.25">
      <c r="A75" s="27"/>
      <c r="B75" s="14" t="str">
        <f>CONCATENATE("     ","Subscriptions &amp; Dues                              ")</f>
        <v xml:space="preserve">     Subscriptions &amp; Dues                              </v>
      </c>
      <c r="C75" s="14"/>
      <c r="D75" s="1">
        <f>SUM(OSRRefD22_17x_0)</f>
        <v>0</v>
      </c>
      <c r="E75" s="1"/>
      <c r="F75" s="5">
        <f t="shared" ref="F75:F83" si="56">IF(D$12=0,0,D75/D$12)</f>
        <v>0</v>
      </c>
      <c r="G75" s="1"/>
      <c r="H75" s="1">
        <f>SUM(OSRRefH22_17x_0)</f>
        <v>0</v>
      </c>
      <c r="I75" s="1"/>
      <c r="J75" s="5">
        <f t="shared" ref="J75:J83" si="57">IF(H$12=0,0,H75/H$12)</f>
        <v>0</v>
      </c>
      <c r="K75" s="1"/>
      <c r="L75" s="1">
        <f t="shared" ref="L75:L83" si="58">+D75-H75</f>
        <v>0</v>
      </c>
      <c r="M75" s="1"/>
      <c r="N75" s="5">
        <f t="shared" ref="N75:N83" si="59">IF(H75=0,0,L75/H75)</f>
        <v>0</v>
      </c>
      <c r="O75" s="14"/>
      <c r="P75" s="1">
        <f>SUM(OSRRefP22_17x_0)</f>
        <v>0</v>
      </c>
      <c r="Q75" s="1"/>
      <c r="R75" s="5">
        <f t="shared" ref="R75:R83" si="60">IF(P$12=0,0,P75/P$12)</f>
        <v>0</v>
      </c>
      <c r="S75" s="1"/>
      <c r="T75" s="1">
        <f>SUM(OSRRefT22_17x_0)</f>
        <v>479.94</v>
      </c>
      <c r="U75" s="1"/>
      <c r="V75" s="5">
        <f t="shared" ref="V75:V83" si="61">IF(T$12=0,0,T75/T$12)</f>
        <v>0</v>
      </c>
      <c r="W75" s="1"/>
      <c r="X75" s="1">
        <f t="shared" ref="X75:X83" si="62">+P75-T75</f>
        <v>-479.94</v>
      </c>
      <c r="Y75" s="1"/>
      <c r="Z75" s="5">
        <f t="shared" ref="Z75:Z83" si="63">IF(T75=0,0,X75/T75)</f>
        <v>-1</v>
      </c>
    </row>
    <row r="76" spans="1:26" s="24" customFormat="1" hidden="1" outlineLevel="2" x14ac:dyDescent="0.25">
      <c r="A76" s="28"/>
      <c r="B76" s="11" t="str">
        <f>CONCATENATE("          ", "6275", " - ", "SUBSCRIPTIONS")</f>
        <v xml:space="preserve">          6275 - SUBSCRIPTIONS</v>
      </c>
      <c r="C76" s="11"/>
      <c r="D76" s="6"/>
      <c r="E76" s="2"/>
      <c r="F76" s="7">
        <f t="shared" si="56"/>
        <v>0</v>
      </c>
      <c r="G76" s="2"/>
      <c r="H76" s="6"/>
      <c r="I76" s="2"/>
      <c r="J76" s="7">
        <f t="shared" si="57"/>
        <v>0</v>
      </c>
      <c r="K76" s="2"/>
      <c r="L76" s="6">
        <f t="shared" si="58"/>
        <v>0</v>
      </c>
      <c r="M76" s="2"/>
      <c r="N76" s="7">
        <f t="shared" si="59"/>
        <v>0</v>
      </c>
      <c r="O76" s="11"/>
      <c r="P76" s="6"/>
      <c r="Q76" s="2"/>
      <c r="R76" s="7">
        <f t="shared" si="60"/>
        <v>0</v>
      </c>
      <c r="S76" s="2"/>
      <c r="T76" s="6">
        <v>479.94</v>
      </c>
      <c r="U76" s="2"/>
      <c r="V76" s="7">
        <f t="shared" si="61"/>
        <v>0</v>
      </c>
      <c r="W76" s="2"/>
      <c r="X76" s="6">
        <f t="shared" si="62"/>
        <v>-479.94</v>
      </c>
      <c r="Y76" s="2"/>
      <c r="Z76" s="7">
        <f t="shared" si="63"/>
        <v>-1</v>
      </c>
    </row>
    <row r="77" spans="1:26" s="29" customFormat="1" outlineLevel="1" collapsed="1" x14ac:dyDescent="0.25">
      <c r="A77" s="27"/>
      <c r="B77" s="14" t="str">
        <f>CONCATENATE("     ","Supplies                                          ")</f>
        <v xml:space="preserve">     Supplies                                          </v>
      </c>
      <c r="C77" s="14"/>
      <c r="D77" s="1">
        <f>SUM(OSRRefD22_18x_0)</f>
        <v>20355.759999999998</v>
      </c>
      <c r="E77" s="1"/>
      <c r="F77" s="5">
        <f t="shared" si="56"/>
        <v>0</v>
      </c>
      <c r="G77" s="1"/>
      <c r="H77" s="1">
        <f>SUM(OSRRefH22_18x_0)</f>
        <v>1139.5999999999999</v>
      </c>
      <c r="I77" s="1"/>
      <c r="J77" s="5">
        <f t="shared" si="57"/>
        <v>0</v>
      </c>
      <c r="K77" s="1"/>
      <c r="L77" s="1">
        <f t="shared" si="58"/>
        <v>19216.16</v>
      </c>
      <c r="M77" s="1"/>
      <c r="N77" s="5">
        <f t="shared" si="59"/>
        <v>16.862197262197263</v>
      </c>
      <c r="O77" s="14"/>
      <c r="P77" s="1">
        <f>SUM(OSRRefP22_18x_0)</f>
        <v>30190.86</v>
      </c>
      <c r="Q77" s="1"/>
      <c r="R77" s="5">
        <f t="shared" si="60"/>
        <v>0</v>
      </c>
      <c r="S77" s="1"/>
      <c r="T77" s="1">
        <f>SUM(OSRRefT22_18x_0)</f>
        <v>7801.079999999999</v>
      </c>
      <c r="U77" s="1"/>
      <c r="V77" s="5">
        <f t="shared" si="61"/>
        <v>0</v>
      </c>
      <c r="W77" s="1"/>
      <c r="X77" s="1">
        <f t="shared" si="62"/>
        <v>22389.780000000002</v>
      </c>
      <c r="Y77" s="1"/>
      <c r="Z77" s="5">
        <f t="shared" si="63"/>
        <v>2.870087218692797</v>
      </c>
    </row>
    <row r="78" spans="1:26" s="24" customFormat="1" hidden="1" outlineLevel="2" x14ac:dyDescent="0.25">
      <c r="A78" s="28"/>
      <c r="B78" s="11" t="str">
        <f>CONCATENATE("          ", "6234", " - ", "EXPENDABLE SUPPLIES &amp; EQUIPMEN")</f>
        <v xml:space="preserve">          6234 - EXPENDABLE SUPPLIES &amp; EQUIPMEN</v>
      </c>
      <c r="C78" s="11"/>
      <c r="D78" s="6">
        <v>101.34</v>
      </c>
      <c r="E78" s="2"/>
      <c r="F78" s="7">
        <f t="shared" si="56"/>
        <v>0</v>
      </c>
      <c r="G78" s="2"/>
      <c r="H78" s="6"/>
      <c r="I78" s="2"/>
      <c r="J78" s="7">
        <f t="shared" si="57"/>
        <v>0</v>
      </c>
      <c r="K78" s="2"/>
      <c r="L78" s="6">
        <f t="shared" si="58"/>
        <v>101.34</v>
      </c>
      <c r="M78" s="2"/>
      <c r="N78" s="7">
        <f t="shared" si="59"/>
        <v>0</v>
      </c>
      <c r="O78" s="11"/>
      <c r="P78" s="6">
        <v>101.34</v>
      </c>
      <c r="Q78" s="2"/>
      <c r="R78" s="7">
        <f t="shared" si="60"/>
        <v>0</v>
      </c>
      <c r="S78" s="2"/>
      <c r="T78" s="6">
        <v>714.78</v>
      </c>
      <c r="U78" s="2"/>
      <c r="V78" s="7">
        <f t="shared" si="61"/>
        <v>0</v>
      </c>
      <c r="W78" s="2"/>
      <c r="X78" s="6">
        <f t="shared" si="62"/>
        <v>-613.43999999999994</v>
      </c>
      <c r="Y78" s="2"/>
      <c r="Z78" s="7">
        <f t="shared" si="63"/>
        <v>-0.85822211029967255</v>
      </c>
    </row>
    <row r="79" spans="1:26" s="24" customFormat="1" hidden="1" outlineLevel="2" x14ac:dyDescent="0.25">
      <c r="A79" s="28"/>
      <c r="B79" s="11" t="str">
        <f>CONCATENATE("          ", "6235", " - ", "COVID-19 EXPENSES")</f>
        <v xml:space="preserve">          6235 - COVID-19 EXPENSES</v>
      </c>
      <c r="C79" s="11"/>
      <c r="D79" s="6">
        <v>16805.12</v>
      </c>
      <c r="E79" s="2"/>
      <c r="F79" s="7">
        <f t="shared" si="56"/>
        <v>0</v>
      </c>
      <c r="G79" s="2"/>
      <c r="H79" s="6"/>
      <c r="I79" s="2"/>
      <c r="J79" s="7">
        <f t="shared" si="57"/>
        <v>0</v>
      </c>
      <c r="K79" s="2"/>
      <c r="L79" s="6">
        <f t="shared" si="58"/>
        <v>16805.12</v>
      </c>
      <c r="M79" s="2"/>
      <c r="N79" s="7">
        <f t="shared" si="59"/>
        <v>0</v>
      </c>
      <c r="O79" s="11"/>
      <c r="P79" s="6">
        <v>23917.5</v>
      </c>
      <c r="Q79" s="2"/>
      <c r="R79" s="7">
        <f t="shared" si="60"/>
        <v>0</v>
      </c>
      <c r="S79" s="2"/>
      <c r="T79" s="6"/>
      <c r="U79" s="2"/>
      <c r="V79" s="7">
        <f t="shared" si="61"/>
        <v>0</v>
      </c>
      <c r="W79" s="2"/>
      <c r="X79" s="6">
        <f t="shared" si="62"/>
        <v>23917.5</v>
      </c>
      <c r="Y79" s="2"/>
      <c r="Z79" s="7">
        <f t="shared" si="63"/>
        <v>0</v>
      </c>
    </row>
    <row r="80" spans="1:26" s="24" customFormat="1" hidden="1" outlineLevel="2" x14ac:dyDescent="0.25">
      <c r="A80" s="28"/>
      <c r="B80" s="11" t="str">
        <f>CONCATENATE("          ", "6237", " - ", "JANITORIAL SUPPLIES")</f>
        <v xml:space="preserve">          6237 - JANITORIAL SUPPLIES</v>
      </c>
      <c r="C80" s="11"/>
      <c r="D80" s="6">
        <v>1056.6199999999999</v>
      </c>
      <c r="E80" s="2"/>
      <c r="F80" s="7">
        <f t="shared" si="56"/>
        <v>0</v>
      </c>
      <c r="G80" s="2"/>
      <c r="H80" s="6">
        <v>219.55</v>
      </c>
      <c r="I80" s="2"/>
      <c r="J80" s="7">
        <f t="shared" si="57"/>
        <v>0</v>
      </c>
      <c r="K80" s="2"/>
      <c r="L80" s="6">
        <f t="shared" si="58"/>
        <v>837.06999999999994</v>
      </c>
      <c r="M80" s="2"/>
      <c r="N80" s="7">
        <f t="shared" si="59"/>
        <v>3.8126622637212475</v>
      </c>
      <c r="O80" s="11"/>
      <c r="P80" s="6">
        <v>1056.6199999999999</v>
      </c>
      <c r="Q80" s="2"/>
      <c r="R80" s="7">
        <f t="shared" si="60"/>
        <v>0</v>
      </c>
      <c r="S80" s="2"/>
      <c r="T80" s="6">
        <v>1878.5</v>
      </c>
      <c r="U80" s="2"/>
      <c r="V80" s="7">
        <f t="shared" si="61"/>
        <v>0</v>
      </c>
      <c r="W80" s="2"/>
      <c r="X80" s="6">
        <f t="shared" si="62"/>
        <v>-821.88000000000011</v>
      </c>
      <c r="Y80" s="2"/>
      <c r="Z80" s="7">
        <f t="shared" si="63"/>
        <v>-0.43751929731168493</v>
      </c>
    </row>
    <row r="81" spans="1:26" s="24" customFormat="1" hidden="1" outlineLevel="2" x14ac:dyDescent="0.25">
      <c r="A81" s="28"/>
      <c r="B81" s="11" t="str">
        <f>CONCATENATE("          ", "6241", " - ", "OFFICE EXPENSE")</f>
        <v xml:space="preserve">          6241 - OFFICE EXPENSE</v>
      </c>
      <c r="C81" s="11"/>
      <c r="D81" s="6">
        <v>157.15</v>
      </c>
      <c r="E81" s="2"/>
      <c r="F81" s="7">
        <f t="shared" si="56"/>
        <v>0</v>
      </c>
      <c r="G81" s="2"/>
      <c r="H81" s="6">
        <v>840.52</v>
      </c>
      <c r="I81" s="2"/>
      <c r="J81" s="7">
        <f t="shared" si="57"/>
        <v>0</v>
      </c>
      <c r="K81" s="2"/>
      <c r="L81" s="6">
        <f t="shared" si="58"/>
        <v>-683.37</v>
      </c>
      <c r="M81" s="2"/>
      <c r="N81" s="7">
        <f t="shared" si="59"/>
        <v>-0.81303240850901826</v>
      </c>
      <c r="O81" s="11"/>
      <c r="P81" s="6">
        <v>2221.9499999999998</v>
      </c>
      <c r="Q81" s="2"/>
      <c r="R81" s="7">
        <f t="shared" si="60"/>
        <v>0</v>
      </c>
      <c r="S81" s="2"/>
      <c r="T81" s="6">
        <v>5091.46</v>
      </c>
      <c r="U81" s="2"/>
      <c r="V81" s="7">
        <f t="shared" si="61"/>
        <v>0</v>
      </c>
      <c r="W81" s="2"/>
      <c r="X81" s="6">
        <f t="shared" si="62"/>
        <v>-2869.51</v>
      </c>
      <c r="Y81" s="2"/>
      <c r="Z81" s="7">
        <f t="shared" si="63"/>
        <v>-0.56359276121191171</v>
      </c>
    </row>
    <row r="82" spans="1:26" s="24" customFormat="1" hidden="1" outlineLevel="2" x14ac:dyDescent="0.25">
      <c r="A82" s="28"/>
      <c r="B82" s="11" t="str">
        <f>CONCATENATE("          ", "6245", " - ", "PRINTING")</f>
        <v xml:space="preserve">          6245 - PRINTING</v>
      </c>
      <c r="C82" s="11"/>
      <c r="D82" s="6"/>
      <c r="E82" s="2"/>
      <c r="F82" s="7">
        <f t="shared" si="56"/>
        <v>0</v>
      </c>
      <c r="G82" s="2"/>
      <c r="H82" s="6"/>
      <c r="I82" s="2"/>
      <c r="J82" s="7">
        <f t="shared" si="57"/>
        <v>0</v>
      </c>
      <c r="K82" s="2"/>
      <c r="L82" s="6">
        <f t="shared" si="58"/>
        <v>0</v>
      </c>
      <c r="M82" s="2"/>
      <c r="N82" s="7">
        <f t="shared" si="59"/>
        <v>0</v>
      </c>
      <c r="O82" s="11"/>
      <c r="P82" s="6">
        <v>68.66</v>
      </c>
      <c r="Q82" s="2"/>
      <c r="R82" s="7">
        <f t="shared" si="60"/>
        <v>0</v>
      </c>
      <c r="S82" s="2"/>
      <c r="T82" s="6">
        <v>19.73</v>
      </c>
      <c r="U82" s="2"/>
      <c r="V82" s="7">
        <f t="shared" si="61"/>
        <v>0</v>
      </c>
      <c r="W82" s="2"/>
      <c r="X82" s="6">
        <f t="shared" si="62"/>
        <v>48.929999999999993</v>
      </c>
      <c r="Y82" s="2"/>
      <c r="Z82" s="7">
        <f t="shared" si="63"/>
        <v>2.4799797263051189</v>
      </c>
    </row>
    <row r="83" spans="1:26" s="24" customFormat="1" hidden="1" outlineLevel="2" x14ac:dyDescent="0.25">
      <c r="A83" s="28"/>
      <c r="B83" s="11" t="str">
        <f>CONCATENATE("          ", "6247", " - ", "STORE SUPPLIES")</f>
        <v xml:space="preserve">          6247 - STORE SUPPLIES</v>
      </c>
      <c r="C83" s="11"/>
      <c r="D83" s="6">
        <v>2235.5300000000002</v>
      </c>
      <c r="E83" s="2"/>
      <c r="F83" s="7">
        <f t="shared" si="56"/>
        <v>0</v>
      </c>
      <c r="G83" s="2"/>
      <c r="H83" s="6">
        <v>79.53</v>
      </c>
      <c r="I83" s="2"/>
      <c r="J83" s="7">
        <f t="shared" si="57"/>
        <v>0</v>
      </c>
      <c r="K83" s="2"/>
      <c r="L83" s="6">
        <f t="shared" si="58"/>
        <v>2156</v>
      </c>
      <c r="M83" s="2"/>
      <c r="N83" s="7">
        <f t="shared" si="59"/>
        <v>27.109266943291839</v>
      </c>
      <c r="O83" s="11"/>
      <c r="P83" s="6">
        <v>2824.79</v>
      </c>
      <c r="Q83" s="2"/>
      <c r="R83" s="7">
        <f t="shared" si="60"/>
        <v>0</v>
      </c>
      <c r="S83" s="2"/>
      <c r="T83" s="6">
        <v>96.61</v>
      </c>
      <c r="U83" s="2"/>
      <c r="V83" s="7">
        <f t="shared" si="61"/>
        <v>0</v>
      </c>
      <c r="W83" s="2"/>
      <c r="X83" s="6">
        <f t="shared" si="62"/>
        <v>2728.18</v>
      </c>
      <c r="Y83" s="2"/>
      <c r="Z83" s="7">
        <f t="shared" si="63"/>
        <v>28.239105682641547</v>
      </c>
    </row>
    <row r="84" spans="1:26" s="29" customFormat="1" outlineLevel="1" collapsed="1" x14ac:dyDescent="0.25">
      <c r="A84" s="27"/>
      <c r="B84" s="14" t="str">
        <f>CONCATENATE("     ","Telephone/Data Lines                              ")</f>
        <v xml:space="preserve">     Telephone/Data Lines                              </v>
      </c>
      <c r="C84" s="14"/>
      <c r="D84" s="1">
        <f>SUM(OSRRefD22_19x_0)</f>
        <v>680.45</v>
      </c>
      <c r="E84" s="1"/>
      <c r="F84" s="5">
        <f t="shared" ref="F84:F90" si="64">IF(D$12=0,0,D84/D$12)</f>
        <v>0</v>
      </c>
      <c r="G84" s="1"/>
      <c r="H84" s="1">
        <f>SUM(OSRRefH22_19x_0)</f>
        <v>528.71</v>
      </c>
      <c r="I84" s="1"/>
      <c r="J84" s="5">
        <f t="shared" ref="J84:J90" si="65">IF(H$12=0,0,H84/H$12)</f>
        <v>0</v>
      </c>
      <c r="K84" s="1"/>
      <c r="L84" s="1">
        <f t="shared" ref="L84:L90" si="66">+D84-H84</f>
        <v>151.74</v>
      </c>
      <c r="M84" s="1"/>
      <c r="N84" s="5">
        <f t="shared" ref="N84:N90" si="67">IF(H84=0,0,L84/H84)</f>
        <v>0.28700043502108907</v>
      </c>
      <c r="O84" s="14"/>
      <c r="P84" s="1">
        <f>SUM(OSRRefP22_19x_0)</f>
        <v>2654.13</v>
      </c>
      <c r="Q84" s="1"/>
      <c r="R84" s="5">
        <f t="shared" ref="R84:R90" si="68">IF(P$12=0,0,P84/P$12)</f>
        <v>0</v>
      </c>
      <c r="S84" s="1"/>
      <c r="T84" s="1">
        <f>SUM(OSRRefT22_19x_0)</f>
        <v>2132.79</v>
      </c>
      <c r="U84" s="1"/>
      <c r="V84" s="5">
        <f t="shared" ref="V84:V90" si="69">IF(T$12=0,0,T84/T$12)</f>
        <v>0</v>
      </c>
      <c r="W84" s="1"/>
      <c r="X84" s="1">
        <f t="shared" ref="X84:X90" si="70">+P84-T84</f>
        <v>521.34000000000015</v>
      </c>
      <c r="Y84" s="1"/>
      <c r="Z84" s="5">
        <f t="shared" ref="Z84:Z90" si="71">IF(T84=0,0,X84/T84)</f>
        <v>0.24444038090951298</v>
      </c>
    </row>
    <row r="85" spans="1:26" s="24" customFormat="1" hidden="1" outlineLevel="2" x14ac:dyDescent="0.25">
      <c r="A85" s="28"/>
      <c r="B85" s="11" t="str">
        <f>CONCATENATE("          ", "6309", " - ", "TELEPHONE")</f>
        <v xml:space="preserve">          6309 - TELEPHONE</v>
      </c>
      <c r="C85" s="11"/>
      <c r="D85" s="6">
        <v>680.45</v>
      </c>
      <c r="E85" s="2"/>
      <c r="F85" s="7">
        <f t="shared" si="64"/>
        <v>0</v>
      </c>
      <c r="G85" s="2"/>
      <c r="H85" s="6">
        <v>528.71</v>
      </c>
      <c r="I85" s="2"/>
      <c r="J85" s="7">
        <f t="shared" si="65"/>
        <v>0</v>
      </c>
      <c r="K85" s="2"/>
      <c r="L85" s="6">
        <f t="shared" si="66"/>
        <v>151.74</v>
      </c>
      <c r="M85" s="2"/>
      <c r="N85" s="7">
        <f t="shared" si="67"/>
        <v>0.28700043502108907</v>
      </c>
      <c r="O85" s="11"/>
      <c r="P85" s="6">
        <v>2654.13</v>
      </c>
      <c r="Q85" s="2"/>
      <c r="R85" s="7">
        <f t="shared" si="68"/>
        <v>0</v>
      </c>
      <c r="S85" s="2"/>
      <c r="T85" s="6">
        <v>2132.79</v>
      </c>
      <c r="U85" s="2"/>
      <c r="V85" s="7">
        <f t="shared" si="69"/>
        <v>0</v>
      </c>
      <c r="W85" s="2"/>
      <c r="X85" s="6">
        <f t="shared" si="70"/>
        <v>521.34000000000015</v>
      </c>
      <c r="Y85" s="2"/>
      <c r="Z85" s="7">
        <f t="shared" si="71"/>
        <v>0.24444038090951298</v>
      </c>
    </row>
    <row r="86" spans="1:26" s="29" customFormat="1" outlineLevel="1" collapsed="1" x14ac:dyDescent="0.25">
      <c r="A86" s="27"/>
      <c r="B86" s="14" t="str">
        <f>CONCATENATE("     ","Training                                          ")</f>
        <v xml:space="preserve">     Training                                          </v>
      </c>
      <c r="C86" s="14"/>
      <c r="D86" s="1">
        <f>SUM(OSRRefD22_20x_0)</f>
        <v>0</v>
      </c>
      <c r="E86" s="1"/>
      <c r="F86" s="5">
        <f t="shared" si="64"/>
        <v>0</v>
      </c>
      <c r="G86" s="1"/>
      <c r="H86" s="1">
        <f>SUM(OSRRefH22_20x_0)</f>
        <v>1797.96</v>
      </c>
      <c r="I86" s="1"/>
      <c r="J86" s="5">
        <f t="shared" si="65"/>
        <v>0</v>
      </c>
      <c r="K86" s="1"/>
      <c r="L86" s="1">
        <f t="shared" si="66"/>
        <v>-1797.96</v>
      </c>
      <c r="M86" s="1"/>
      <c r="N86" s="5">
        <f t="shared" si="67"/>
        <v>-1</v>
      </c>
      <c r="O86" s="14"/>
      <c r="P86" s="1">
        <f>SUM(OSRRefP22_20x_0)</f>
        <v>131.63</v>
      </c>
      <c r="Q86" s="1"/>
      <c r="R86" s="5">
        <f t="shared" si="68"/>
        <v>0</v>
      </c>
      <c r="S86" s="1"/>
      <c r="T86" s="1">
        <f>SUM(OSRRefT22_20x_0)</f>
        <v>3469.52</v>
      </c>
      <c r="U86" s="1"/>
      <c r="V86" s="5">
        <f t="shared" si="69"/>
        <v>0</v>
      </c>
      <c r="W86" s="1"/>
      <c r="X86" s="1">
        <f t="shared" si="70"/>
        <v>-3337.89</v>
      </c>
      <c r="Y86" s="1"/>
      <c r="Z86" s="5">
        <f t="shared" si="71"/>
        <v>-0.96206103437939539</v>
      </c>
    </row>
    <row r="87" spans="1:26" s="24" customFormat="1" hidden="1" outlineLevel="2" x14ac:dyDescent="0.25">
      <c r="A87" s="28"/>
      <c r="B87" s="11" t="str">
        <f>CONCATENATE("          ", "6376", " - ", "TRAINING")</f>
        <v xml:space="preserve">          6376 - TRAINING</v>
      </c>
      <c r="C87" s="11"/>
      <c r="D87" s="6"/>
      <c r="E87" s="2"/>
      <c r="F87" s="7">
        <f t="shared" si="64"/>
        <v>0</v>
      </c>
      <c r="G87" s="2"/>
      <c r="H87" s="6">
        <v>1797.96</v>
      </c>
      <c r="I87" s="2"/>
      <c r="J87" s="7">
        <f t="shared" si="65"/>
        <v>0</v>
      </c>
      <c r="K87" s="2"/>
      <c r="L87" s="6">
        <f t="shared" si="66"/>
        <v>-1797.96</v>
      </c>
      <c r="M87" s="2"/>
      <c r="N87" s="7">
        <f t="shared" si="67"/>
        <v>-1</v>
      </c>
      <c r="O87" s="11"/>
      <c r="P87" s="6">
        <v>131.63</v>
      </c>
      <c r="Q87" s="2"/>
      <c r="R87" s="7">
        <f t="shared" si="68"/>
        <v>0</v>
      </c>
      <c r="S87" s="2"/>
      <c r="T87" s="6">
        <v>3469.52</v>
      </c>
      <c r="U87" s="2"/>
      <c r="V87" s="7">
        <f t="shared" si="69"/>
        <v>0</v>
      </c>
      <c r="W87" s="2"/>
      <c r="X87" s="6">
        <f t="shared" si="70"/>
        <v>-3337.89</v>
      </c>
      <c r="Y87" s="2"/>
      <c r="Z87" s="7">
        <f t="shared" si="71"/>
        <v>-0.96206103437939539</v>
      </c>
    </row>
    <row r="88" spans="1:26" s="29" customFormat="1" outlineLevel="1" collapsed="1" x14ac:dyDescent="0.25">
      <c r="A88" s="27"/>
      <c r="B88" s="14" t="str">
        <f>CONCATENATE("     ","Travel                                            ")</f>
        <v xml:space="preserve">     Travel                                            </v>
      </c>
      <c r="C88" s="14"/>
      <c r="D88" s="1">
        <f>SUM(OSRRefD22_21x_0)</f>
        <v>0</v>
      </c>
      <c r="E88" s="1"/>
      <c r="F88" s="5">
        <f t="shared" si="64"/>
        <v>0</v>
      </c>
      <c r="G88" s="1"/>
      <c r="H88" s="1">
        <f>SUM(OSRRefH22_21x_0)</f>
        <v>107.91</v>
      </c>
      <c r="I88" s="1"/>
      <c r="J88" s="5">
        <f t="shared" si="65"/>
        <v>0</v>
      </c>
      <c r="K88" s="1"/>
      <c r="L88" s="1">
        <f t="shared" si="66"/>
        <v>-107.91</v>
      </c>
      <c r="M88" s="1"/>
      <c r="N88" s="5">
        <f t="shared" si="67"/>
        <v>-1</v>
      </c>
      <c r="O88" s="14"/>
      <c r="P88" s="1">
        <f>SUM(OSRRefP22_21x_0)</f>
        <v>59.89</v>
      </c>
      <c r="Q88" s="1"/>
      <c r="R88" s="5">
        <f t="shared" si="68"/>
        <v>0</v>
      </c>
      <c r="S88" s="1"/>
      <c r="T88" s="1">
        <f>SUM(OSRRefT22_21x_0)</f>
        <v>619.67000000000007</v>
      </c>
      <c r="U88" s="1"/>
      <c r="V88" s="5">
        <f t="shared" si="69"/>
        <v>0</v>
      </c>
      <c r="W88" s="1"/>
      <c r="X88" s="1">
        <f t="shared" si="70"/>
        <v>-559.78000000000009</v>
      </c>
      <c r="Y88" s="1"/>
      <c r="Z88" s="5">
        <f t="shared" si="71"/>
        <v>-0.90335178401407201</v>
      </c>
    </row>
    <row r="89" spans="1:26" s="24" customFormat="1" hidden="1" outlineLevel="2" x14ac:dyDescent="0.25">
      <c r="A89" s="28"/>
      <c r="B89" s="11" t="str">
        <f>CONCATENATE("          ", "6292", " - ", "TRAVEL/CONFERENCE")</f>
        <v xml:space="preserve">          6292 - TRAVEL/CONFERENCE</v>
      </c>
      <c r="C89" s="11"/>
      <c r="D89" s="6"/>
      <c r="E89" s="2"/>
      <c r="F89" s="7">
        <f t="shared" si="64"/>
        <v>0</v>
      </c>
      <c r="G89" s="2"/>
      <c r="H89" s="6">
        <v>107.91</v>
      </c>
      <c r="I89" s="2"/>
      <c r="J89" s="7">
        <f t="shared" si="65"/>
        <v>0</v>
      </c>
      <c r="K89" s="2"/>
      <c r="L89" s="6">
        <f t="shared" si="66"/>
        <v>-107.91</v>
      </c>
      <c r="M89" s="2"/>
      <c r="N89" s="7">
        <f t="shared" si="67"/>
        <v>-1</v>
      </c>
      <c r="O89" s="11"/>
      <c r="P89" s="6"/>
      <c r="Q89" s="2"/>
      <c r="R89" s="7">
        <f t="shared" si="68"/>
        <v>0</v>
      </c>
      <c r="S89" s="2"/>
      <c r="T89" s="6">
        <v>449.68</v>
      </c>
      <c r="U89" s="2"/>
      <c r="V89" s="7">
        <f t="shared" si="69"/>
        <v>0</v>
      </c>
      <c r="W89" s="2"/>
      <c r="X89" s="6">
        <f t="shared" si="70"/>
        <v>-449.68</v>
      </c>
      <c r="Y89" s="2"/>
      <c r="Z89" s="7">
        <f t="shared" si="71"/>
        <v>-1</v>
      </c>
    </row>
    <row r="90" spans="1:26" s="24" customFormat="1" hidden="1" outlineLevel="2" x14ac:dyDescent="0.25">
      <c r="A90" s="28"/>
      <c r="B90" s="11" t="str">
        <f>CONCATENATE("          ", "6298", " - ", "VEHICLE MILEAGE")</f>
        <v xml:space="preserve">          6298 - VEHICLE MILEAGE</v>
      </c>
      <c r="C90" s="11"/>
      <c r="D90" s="6"/>
      <c r="E90" s="2"/>
      <c r="F90" s="7">
        <f t="shared" si="64"/>
        <v>0</v>
      </c>
      <c r="G90" s="2"/>
      <c r="H90" s="6"/>
      <c r="I90" s="2"/>
      <c r="J90" s="7">
        <f t="shared" si="65"/>
        <v>0</v>
      </c>
      <c r="K90" s="2"/>
      <c r="L90" s="6">
        <f t="shared" si="66"/>
        <v>0</v>
      </c>
      <c r="M90" s="2"/>
      <c r="N90" s="7">
        <f t="shared" si="67"/>
        <v>0</v>
      </c>
      <c r="O90" s="11"/>
      <c r="P90" s="6">
        <v>59.89</v>
      </c>
      <c r="Q90" s="2"/>
      <c r="R90" s="7">
        <f t="shared" si="68"/>
        <v>0</v>
      </c>
      <c r="S90" s="2"/>
      <c r="T90" s="6">
        <v>169.99</v>
      </c>
      <c r="U90" s="2"/>
      <c r="V90" s="7">
        <f t="shared" si="69"/>
        <v>0</v>
      </c>
      <c r="W90" s="2"/>
      <c r="X90" s="6">
        <f t="shared" si="70"/>
        <v>-110.10000000000001</v>
      </c>
      <c r="Y90" s="2"/>
      <c r="Z90" s="7">
        <f t="shared" si="71"/>
        <v>-0.64768515795046766</v>
      </c>
    </row>
    <row r="91" spans="1:26" s="29" customFormat="1" outlineLevel="1" collapsed="1" x14ac:dyDescent="0.25">
      <c r="A91" s="27"/>
      <c r="B91" s="14" t="str">
        <f>CONCATENATE("     ","Utilities                                         ")</f>
        <v xml:space="preserve">     Utilities                                         </v>
      </c>
      <c r="C91" s="14"/>
      <c r="D91" s="1">
        <f>SUM(OSRRefD22_22x_0)</f>
        <v>5937</v>
      </c>
      <c r="E91" s="1"/>
      <c r="F91" s="5">
        <f t="shared" ref="F91:F92" si="72">IF(D$12=0,0,D91/D$12)</f>
        <v>0</v>
      </c>
      <c r="G91" s="1"/>
      <c r="H91" s="1">
        <f>SUM(OSRRefH22_22x_0)</f>
        <v>5593</v>
      </c>
      <c r="I91" s="1"/>
      <c r="J91" s="5">
        <f t="shared" ref="J91:J92" si="73">IF(H$12=0,0,H91/H$12)</f>
        <v>0</v>
      </c>
      <c r="K91" s="1"/>
      <c r="L91" s="1">
        <f t="shared" ref="L91:L92" si="74">+D91-H91</f>
        <v>344</v>
      </c>
      <c r="M91" s="1"/>
      <c r="N91" s="5">
        <f t="shared" ref="N91:N92" si="75">IF(H91=0,0,L91/H91)</f>
        <v>6.1505453245127836E-2</v>
      </c>
      <c r="O91" s="14"/>
      <c r="P91" s="1">
        <f>SUM(OSRRefP22_22x_0)</f>
        <v>24336</v>
      </c>
      <c r="Q91" s="1"/>
      <c r="R91" s="5">
        <f t="shared" ref="R91:R92" si="76">IF(P$12=0,0,P91/P$12)</f>
        <v>0</v>
      </c>
      <c r="S91" s="1"/>
      <c r="T91" s="1">
        <f>SUM(OSRRefT22_22x_0)</f>
        <v>16779</v>
      </c>
      <c r="U91" s="1"/>
      <c r="V91" s="5">
        <f t="shared" ref="V91:V92" si="77">IF(T$12=0,0,T91/T$12)</f>
        <v>0</v>
      </c>
      <c r="W91" s="1"/>
      <c r="X91" s="1">
        <f t="shared" ref="X91:X92" si="78">+P91-T91</f>
        <v>7557</v>
      </c>
      <c r="Y91" s="1"/>
      <c r="Z91" s="5">
        <f t="shared" ref="Z91:Z92" si="79">IF(T91=0,0,X91/T91)</f>
        <v>0.45038440908278204</v>
      </c>
    </row>
    <row r="92" spans="1:26" s="24" customFormat="1" hidden="1" outlineLevel="2" x14ac:dyDescent="0.25">
      <c r="A92" s="28"/>
      <c r="B92" s="11" t="str">
        <f>CONCATENATE("          ", "6274", " - ", "UTILITIES")</f>
        <v xml:space="preserve">          6274 - UTILITIES</v>
      </c>
      <c r="C92" s="11"/>
      <c r="D92" s="6">
        <v>5937</v>
      </c>
      <c r="E92" s="2"/>
      <c r="F92" s="7">
        <f t="shared" si="72"/>
        <v>0</v>
      </c>
      <c r="G92" s="2"/>
      <c r="H92" s="6">
        <v>5593</v>
      </c>
      <c r="I92" s="2"/>
      <c r="J92" s="7">
        <f t="shared" si="73"/>
        <v>0</v>
      </c>
      <c r="K92" s="2"/>
      <c r="L92" s="6">
        <f t="shared" si="74"/>
        <v>344</v>
      </c>
      <c r="M92" s="2"/>
      <c r="N92" s="7">
        <f t="shared" si="75"/>
        <v>6.1505453245127836E-2</v>
      </c>
      <c r="O92" s="11"/>
      <c r="P92" s="6">
        <v>24336</v>
      </c>
      <c r="Q92" s="2"/>
      <c r="R92" s="7">
        <f t="shared" si="76"/>
        <v>0</v>
      </c>
      <c r="S92" s="2"/>
      <c r="T92" s="6">
        <v>16779</v>
      </c>
      <c r="U92" s="2"/>
      <c r="V92" s="7">
        <f t="shared" si="77"/>
        <v>0</v>
      </c>
      <c r="W92" s="2"/>
      <c r="X92" s="6">
        <f t="shared" si="78"/>
        <v>7557</v>
      </c>
      <c r="Y92" s="2"/>
      <c r="Z92" s="7">
        <f t="shared" si="79"/>
        <v>0.45038440908278204</v>
      </c>
    </row>
    <row r="93" spans="1:26" s="57" customFormat="1" x14ac:dyDescent="0.25">
      <c r="A93" s="37"/>
      <c r="B93" s="37"/>
      <c r="C93" s="37"/>
      <c r="D93" s="1"/>
      <c r="E93" s="1"/>
      <c r="F93" s="5"/>
      <c r="G93" s="1"/>
      <c r="H93" s="1"/>
      <c r="I93" s="1"/>
      <c r="J93" s="5"/>
      <c r="K93" s="1"/>
      <c r="L93" s="1"/>
      <c r="M93" s="1"/>
      <c r="N93" s="5"/>
      <c r="O93" s="37"/>
      <c r="P93" s="1"/>
      <c r="Q93" s="1"/>
      <c r="R93" s="5"/>
      <c r="S93" s="1"/>
      <c r="T93" s="1"/>
      <c r="U93" s="1"/>
      <c r="V93" s="5"/>
      <c r="W93" s="1"/>
      <c r="X93" s="1"/>
      <c r="Y93" s="1"/>
      <c r="Z93" s="5"/>
    </row>
    <row r="94" spans="1:26" s="23" customFormat="1" collapsed="1" x14ac:dyDescent="0.25">
      <c r="A94" s="10"/>
      <c r="B94" s="26" t="s">
        <v>0</v>
      </c>
      <c r="C94" s="10"/>
      <c r="D94" s="4">
        <f>SUM(OSRRefD25x_0)</f>
        <v>2561.17</v>
      </c>
      <c r="E94" s="4"/>
      <c r="F94" s="12">
        <f t="shared" ref="F94:F96" si="80">IF(D$12=0,0,D94/D$12)</f>
        <v>0</v>
      </c>
      <c r="G94" s="4"/>
      <c r="H94" s="4">
        <f>SUM(OSRRefH25x_0)</f>
        <v>15216.93</v>
      </c>
      <c r="I94" s="4"/>
      <c r="J94" s="12">
        <f t="shared" ref="J94:J96" si="81">IF(H$12=0,0,H94/H$12)</f>
        <v>0</v>
      </c>
      <c r="K94" s="4"/>
      <c r="L94" s="4">
        <f t="shared" ref="L94:L96" si="82">+D94-H94</f>
        <v>-12655.76</v>
      </c>
      <c r="M94" s="4"/>
      <c r="N94" s="12">
        <f t="shared" ref="N94:N96" si="83">IF(H94=0,0,L94/H94)</f>
        <v>-0.83168944064275774</v>
      </c>
      <c r="O94" s="10"/>
      <c r="P94" s="4">
        <f>SUM(OSRRefP25x_0)</f>
        <v>70711.72</v>
      </c>
      <c r="Q94" s="4"/>
      <c r="R94" s="12">
        <f t="shared" ref="R94:R96" si="84">IF(P$12=0,0,P94/P$12)</f>
        <v>0</v>
      </c>
      <c r="S94" s="4"/>
      <c r="T94" s="4">
        <f>SUM(OSRRefT25x_0)</f>
        <v>84851.23000000001</v>
      </c>
      <c r="U94" s="4"/>
      <c r="V94" s="12">
        <f t="shared" ref="V94:V96" si="85">IF(T$12=0,0,T94/T$12)</f>
        <v>0</v>
      </c>
      <c r="W94" s="4"/>
      <c r="X94" s="4">
        <f t="shared" ref="X94:X96" si="86">+P94-T94</f>
        <v>-14139.510000000009</v>
      </c>
      <c r="Y94" s="4"/>
      <c r="Z94" s="12">
        <f t="shared" ref="Z94:Z96" si="87">IF(T94=0,0,X94/T94)</f>
        <v>-0.16663883363859319</v>
      </c>
    </row>
    <row r="95" spans="1:26" s="24" customFormat="1" hidden="1" outlineLevel="1" x14ac:dyDescent="0.25">
      <c r="A95" s="44"/>
      <c r="B95" s="11" t="str">
        <f>CONCATENATE("          ", "9150", " - ", "MISC. INCOME")</f>
        <v xml:space="preserve">          9150 - MISC. INCOME</v>
      </c>
      <c r="C95" s="11"/>
      <c r="D95" s="2">
        <f>--2561.17</f>
        <v>2561.17</v>
      </c>
      <c r="E95" s="2"/>
      <c r="F95" s="19">
        <f t="shared" si="80"/>
        <v>0</v>
      </c>
      <c r="G95" s="2"/>
      <c r="H95" s="2">
        <f>--11186.17</f>
        <v>11186.17</v>
      </c>
      <c r="I95" s="2"/>
      <c r="J95" s="19">
        <f t="shared" si="81"/>
        <v>0</v>
      </c>
      <c r="K95" s="2"/>
      <c r="L95" s="2">
        <f t="shared" si="82"/>
        <v>-8625</v>
      </c>
      <c r="M95" s="2"/>
      <c r="N95" s="19">
        <f t="shared" si="83"/>
        <v>-0.77104138413773438</v>
      </c>
      <c r="O95" s="11"/>
      <c r="P95" s="2">
        <f>--70711.72</f>
        <v>70711.72</v>
      </c>
      <c r="Q95" s="2"/>
      <c r="R95" s="19">
        <f t="shared" si="84"/>
        <v>0</v>
      </c>
      <c r="S95" s="2"/>
      <c r="T95" s="2">
        <f>--85303.16</f>
        <v>85303.16</v>
      </c>
      <c r="U95" s="2"/>
      <c r="V95" s="19">
        <f t="shared" si="85"/>
        <v>0</v>
      </c>
      <c r="W95" s="2"/>
      <c r="X95" s="2">
        <f t="shared" si="86"/>
        <v>-14591.440000000002</v>
      </c>
      <c r="Y95" s="2"/>
      <c r="Z95" s="19">
        <f t="shared" si="87"/>
        <v>-0.17105392109741305</v>
      </c>
    </row>
    <row r="96" spans="1:26" s="24" customFormat="1" hidden="1" outlineLevel="1" x14ac:dyDescent="0.25">
      <c r="A96" s="44"/>
      <c r="B96" s="11" t="str">
        <f>CONCATENATE("          ", "9151", " - ", "MISC. INCOME")</f>
        <v xml:space="preserve">          9151 - MISC. INCOME</v>
      </c>
      <c r="C96" s="11"/>
      <c r="D96" s="2">
        <f>0</f>
        <v>0</v>
      </c>
      <c r="E96" s="2"/>
      <c r="F96" s="19">
        <f t="shared" si="80"/>
        <v>0</v>
      </c>
      <c r="G96" s="2"/>
      <c r="H96" s="2">
        <f>--4030.76</f>
        <v>4030.76</v>
      </c>
      <c r="I96" s="2"/>
      <c r="J96" s="19">
        <f t="shared" si="81"/>
        <v>0</v>
      </c>
      <c r="K96" s="2"/>
      <c r="L96" s="2">
        <f t="shared" si="82"/>
        <v>-4030.76</v>
      </c>
      <c r="M96" s="2"/>
      <c r="N96" s="19">
        <f t="shared" si="83"/>
        <v>-1</v>
      </c>
      <c r="O96" s="11"/>
      <c r="P96" s="2">
        <f>0</f>
        <v>0</v>
      </c>
      <c r="Q96" s="2"/>
      <c r="R96" s="19">
        <f t="shared" si="84"/>
        <v>0</v>
      </c>
      <c r="S96" s="2"/>
      <c r="T96" s="2">
        <f>-451.93</f>
        <v>-451.93</v>
      </c>
      <c r="U96" s="2"/>
      <c r="V96" s="19">
        <f t="shared" si="85"/>
        <v>0</v>
      </c>
      <c r="W96" s="2"/>
      <c r="X96" s="2">
        <f t="shared" si="86"/>
        <v>451.93</v>
      </c>
      <c r="Y96" s="2"/>
      <c r="Z96" s="19">
        <f t="shared" si="87"/>
        <v>-1</v>
      </c>
    </row>
    <row r="97" spans="1:26" x14ac:dyDescent="0.25">
      <c r="A97" s="9"/>
      <c r="B97" s="10"/>
      <c r="C97" s="10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O97" s="10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x14ac:dyDescent="0.25">
      <c r="A98" s="10"/>
      <c r="B98" s="25" t="s">
        <v>3</v>
      </c>
      <c r="C98" s="25"/>
      <c r="D98" s="20">
        <f>+D16-D18+D94</f>
        <v>-115924.29999999999</v>
      </c>
      <c r="E98" s="13"/>
      <c r="F98" s="21">
        <f>IF(D$12=0,0,D98/D$12)</f>
        <v>0</v>
      </c>
      <c r="G98" s="13"/>
      <c r="H98" s="20">
        <f>+H16-H18+H94</f>
        <v>-119211.18000000002</v>
      </c>
      <c r="I98" s="13"/>
      <c r="J98" s="21">
        <f>IF(H$12=0,0,H98/H$12)</f>
        <v>0</v>
      </c>
      <c r="K98" s="15"/>
      <c r="L98" s="20">
        <f>+D98-H98</f>
        <v>3286.8800000000338</v>
      </c>
      <c r="M98" s="15"/>
      <c r="N98" s="21">
        <f>IF(H98=0,0,L98/H98)</f>
        <v>-2.7571910621134975E-2</v>
      </c>
      <c r="O98" s="26"/>
      <c r="P98" s="20">
        <f>+P16-P18+P94</f>
        <v>-464378.79000000004</v>
      </c>
      <c r="Q98" s="13"/>
      <c r="R98" s="21">
        <f>IF(P$12=0,0,P98/P$12)</f>
        <v>0</v>
      </c>
      <c r="S98" s="13"/>
      <c r="T98" s="20">
        <f>+T16-T18+T94</f>
        <v>-475155.94000000006</v>
      </c>
      <c r="U98" s="13"/>
      <c r="V98" s="21">
        <f>IF(T$12=0,0,T98/T$12)</f>
        <v>0</v>
      </c>
      <c r="W98" s="15"/>
      <c r="X98" s="20">
        <f>+P98-T98</f>
        <v>10777.150000000023</v>
      </c>
      <c r="Y98" s="15"/>
      <c r="Z98" s="21">
        <f>IF(T98=0,0,X98/T98)</f>
        <v>-2.2681290693745765E-2</v>
      </c>
    </row>
    <row r="99" spans="1:26" x14ac:dyDescent="0.25">
      <c r="A99" s="9"/>
      <c r="B99" s="10"/>
      <c r="C99" s="9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x14ac:dyDescent="0.25">
      <c r="A100" s="51"/>
      <c r="B100" s="10" t="s">
        <v>13</v>
      </c>
      <c r="C100" s="10"/>
      <c r="D100" s="4"/>
      <c r="E100" s="4"/>
      <c r="F100" s="12">
        <f>IF(D$12=0,0,D100/D$12)</f>
        <v>0</v>
      </c>
      <c r="G100" s="4"/>
      <c r="H100" s="4"/>
      <c r="I100" s="4"/>
      <c r="J100" s="12">
        <f>IF(H$12=0,0,H100/H$12)</f>
        <v>0</v>
      </c>
      <c r="K100" s="4"/>
      <c r="L100" s="4">
        <f>+D100-H100</f>
        <v>0</v>
      </c>
      <c r="M100" s="4"/>
      <c r="N100" s="12">
        <f>IF(H100=0,0,L100/H100)</f>
        <v>0</v>
      </c>
      <c r="O100" s="10"/>
      <c r="P100" s="4"/>
      <c r="Q100" s="4"/>
      <c r="R100" s="12">
        <f>IF(P$12=0,0,P100/P$12)</f>
        <v>0</v>
      </c>
      <c r="S100" s="4"/>
      <c r="T100" s="4"/>
      <c r="U100" s="4"/>
      <c r="V100" s="12">
        <f>IF(T$12=0,0,T100/T$12)</f>
        <v>0</v>
      </c>
      <c r="W100" s="4"/>
      <c r="X100" s="4">
        <f>+P100-T100</f>
        <v>0</v>
      </c>
      <c r="Y100" s="4"/>
      <c r="Z100" s="12">
        <f>IF(T100=0,0,X100/T100)</f>
        <v>0</v>
      </c>
    </row>
    <row r="101" spans="1:26" x14ac:dyDescent="0.25">
      <c r="A101" s="9"/>
      <c r="B101" s="10"/>
      <c r="C101" s="10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O101" s="10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ht="15.75" thickBot="1" x14ac:dyDescent="0.3">
      <c r="A102" s="10"/>
      <c r="B102" s="25" t="s">
        <v>4</v>
      </c>
      <c r="C102" s="25"/>
      <c r="D102" s="30">
        <f>+D98-D100</f>
        <v>-115924.29999999999</v>
      </c>
      <c r="E102" s="13"/>
      <c r="F102" s="33">
        <f>IF(D$12=0,0,D102/D$12)</f>
        <v>0</v>
      </c>
      <c r="G102" s="13"/>
      <c r="H102" s="30">
        <f>+H98-H100</f>
        <v>-119211.18000000002</v>
      </c>
      <c r="I102" s="13"/>
      <c r="J102" s="33">
        <f>IF(H$12=0,0,H102/H$12)</f>
        <v>0</v>
      </c>
      <c r="K102" s="15"/>
      <c r="L102" s="30">
        <f>D102-H102</f>
        <v>3286.8800000000338</v>
      </c>
      <c r="M102" s="15"/>
      <c r="N102" s="33">
        <f>IF(H102=0,0,L102/H102)</f>
        <v>-2.7571910621134975E-2</v>
      </c>
      <c r="O102" s="26"/>
      <c r="P102" s="30">
        <f>+P98-P100</f>
        <v>-464378.79000000004</v>
      </c>
      <c r="Q102" s="13"/>
      <c r="R102" s="33">
        <f>IF(P$12=0,0,P102/P$12)</f>
        <v>0</v>
      </c>
      <c r="S102" s="13"/>
      <c r="T102" s="30">
        <f>+T98-T100</f>
        <v>-475155.94000000006</v>
      </c>
      <c r="U102" s="13"/>
      <c r="V102" s="33">
        <f>IF(T$12=0,0,T102/T$12)</f>
        <v>0</v>
      </c>
      <c r="W102" s="15"/>
      <c r="X102" s="30">
        <f>P102-T102</f>
        <v>10777.150000000023</v>
      </c>
      <c r="Y102" s="15"/>
      <c r="Z102" s="33">
        <f>IF(T102=0,0,X102/T102)</f>
        <v>-2.2681290693745765E-2</v>
      </c>
    </row>
    <row r="103" spans="1:26" ht="15.75" thickTop="1" x14ac:dyDescent="0.25">
      <c r="A103" s="9"/>
      <c r="B103" s="9"/>
      <c r="C103" s="9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x14ac:dyDescent="0.25">
      <c r="A104" s="9"/>
      <c r="B104" s="9"/>
      <c r="C104" s="9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s="23" customFormat="1" ht="15.75" thickBot="1" x14ac:dyDescent="0.3">
      <c r="A105" s="10"/>
      <c r="B105" s="25" t="s">
        <v>5</v>
      </c>
      <c r="C105" s="25"/>
      <c r="D105" s="34">
        <f>SUM(D102:D104)</f>
        <v>-115924.29999999999</v>
      </c>
      <c r="E105" s="13"/>
      <c r="F105" s="35">
        <f>IF(D$12=0,0,D105/D$12)</f>
        <v>0</v>
      </c>
      <c r="G105" s="13"/>
      <c r="H105" s="34">
        <f>SUM(H102:H104)</f>
        <v>-119211.18000000002</v>
      </c>
      <c r="I105" s="13"/>
      <c r="J105" s="35">
        <f>IF(H$12=0,0,H105/H$12)</f>
        <v>0</v>
      </c>
      <c r="K105" s="15"/>
      <c r="L105" s="34">
        <f>+D105-H105</f>
        <v>3286.8800000000338</v>
      </c>
      <c r="M105" s="15"/>
      <c r="N105" s="35">
        <f>IF(H105=0,0,L105/H105)</f>
        <v>-2.7571910621134975E-2</v>
      </c>
      <c r="O105" s="26"/>
      <c r="P105" s="34">
        <f>SUM(P102:P104)</f>
        <v>-464378.79000000004</v>
      </c>
      <c r="Q105" s="13"/>
      <c r="R105" s="35">
        <f>IF(P$12=0,0,P105/P$12)</f>
        <v>0</v>
      </c>
      <c r="S105" s="13"/>
      <c r="T105" s="34">
        <f>SUM(T102:T104)</f>
        <v>-475155.94000000006</v>
      </c>
      <c r="U105" s="13"/>
      <c r="V105" s="35">
        <f>IF(T$12=0,0,T105/T$12)</f>
        <v>0</v>
      </c>
      <c r="W105" s="15"/>
      <c r="X105" s="34">
        <f>+P105-T105</f>
        <v>10777.150000000023</v>
      </c>
      <c r="Y105" s="15"/>
      <c r="Z105" s="35">
        <f>IF(T105=0,0,X105/T105)</f>
        <v>-2.2681290693745765E-2</v>
      </c>
    </row>
    <row r="106" spans="1:26" ht="15.75" thickTop="1" x14ac:dyDescent="0.25">
      <c r="A106" s="9"/>
      <c r="C106" s="9"/>
      <c r="D106" s="18"/>
      <c r="E106" s="18"/>
      <c r="G106" s="18"/>
      <c r="H106" s="18"/>
      <c r="I106" s="18"/>
      <c r="J106" s="43"/>
      <c r="K106" s="18"/>
      <c r="L106" s="18"/>
      <c r="M106" s="18"/>
      <c r="P106" s="18"/>
      <c r="Q106" s="18"/>
      <c r="R106" s="43"/>
      <c r="S106" s="18"/>
      <c r="T106" s="18"/>
      <c r="U106" s="18"/>
      <c r="V106" s="43"/>
      <c r="W106" s="18"/>
      <c r="X106" s="18"/>
    </row>
    <row r="107" spans="1:26" x14ac:dyDescent="0.25">
      <c r="A107" s="9"/>
      <c r="B107" s="56">
        <v>44151.572266631942</v>
      </c>
      <c r="D107" s="18"/>
      <c r="E107" s="18"/>
      <c r="G107" s="18"/>
      <c r="H107" s="18"/>
      <c r="I107" s="18"/>
      <c r="J107" s="43"/>
      <c r="K107" s="18"/>
      <c r="L107" s="18"/>
      <c r="M107" s="18"/>
      <c r="P107" s="18"/>
      <c r="Q107" s="18"/>
      <c r="R107" s="43"/>
      <c r="S107" s="18"/>
      <c r="T107" s="18"/>
      <c r="U107" s="18"/>
      <c r="V107" s="43"/>
      <c r="W107" s="18"/>
      <c r="X107" s="18"/>
    </row>
    <row r="108" spans="1:26" x14ac:dyDescent="0.25">
      <c r="A108" s="9"/>
      <c r="B108" s="62" t="s">
        <v>313</v>
      </c>
      <c r="D108" s="18"/>
      <c r="E108" s="18"/>
      <c r="G108" s="18"/>
      <c r="H108" s="18"/>
      <c r="I108" s="18"/>
      <c r="J108" s="43"/>
      <c r="K108" s="18"/>
      <c r="L108" s="18"/>
      <c r="M108" s="18"/>
      <c r="P108" s="18"/>
      <c r="Q108" s="18"/>
      <c r="R108" s="43"/>
      <c r="S108" s="18"/>
      <c r="T108" s="18"/>
      <c r="U108" s="18"/>
      <c r="V108" s="43"/>
      <c r="W108" s="18"/>
      <c r="X108" s="18"/>
    </row>
    <row r="109" spans="1:26" x14ac:dyDescent="0.25">
      <c r="A109" s="9"/>
      <c r="B109" s="54"/>
      <c r="D109" s="18"/>
      <c r="E109" s="18"/>
      <c r="G109" s="18"/>
      <c r="H109" s="18"/>
      <c r="I109" s="18"/>
      <c r="J109" s="43"/>
      <c r="K109" s="18"/>
      <c r="L109" s="18"/>
      <c r="M109" s="18"/>
      <c r="P109" s="18"/>
      <c r="Q109" s="18"/>
      <c r="R109" s="43"/>
      <c r="S109" s="18"/>
      <c r="T109" s="18"/>
      <c r="U109" s="18"/>
      <c r="V109" s="43"/>
      <c r="W109" s="18"/>
      <c r="X109" s="18"/>
    </row>
    <row r="110" spans="1:26" x14ac:dyDescent="0.25">
      <c r="D110" s="18"/>
      <c r="E110" s="18"/>
      <c r="G110" s="18"/>
      <c r="H110" s="18"/>
      <c r="I110" s="18"/>
      <c r="J110" s="43"/>
      <c r="K110" s="18"/>
      <c r="L110" s="18"/>
      <c r="M110" s="18"/>
      <c r="P110" s="18"/>
      <c r="Q110" s="18"/>
      <c r="R110" s="43"/>
      <c r="S110" s="18"/>
      <c r="T110" s="18"/>
      <c r="U110" s="18"/>
      <c r="V110" s="43"/>
      <c r="W110" s="18"/>
      <c r="X110" s="18"/>
    </row>
  </sheetData>
  <pageMargins left="0.25" right="0.25" top="0.75" bottom="0.75" header="0.3" footer="0.3"/>
  <pageSetup scale="55" fitToWidth="2" orientation="landscape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7"/>
  <sheetViews>
    <sheetView zoomScale="80" workbookViewId="0">
      <pane xSplit="3" ySplit="10" topLeftCell="D16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",RIGHT(202104,2),", ",2021)</f>
        <v>Period 04,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44135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","306", " - ", "Warehouse")</f>
        <v>Department 306 - Warehouse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61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50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50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2"/>
      <c r="F10" s="31" t="s">
        <v>14</v>
      </c>
      <c r="G10" s="32"/>
      <c r="H10" s="49" t="s">
        <v>306</v>
      </c>
      <c r="I10" s="32"/>
      <c r="J10" s="31" t="s">
        <v>14</v>
      </c>
      <c r="K10" s="10"/>
      <c r="L10" s="42" t="s">
        <v>11</v>
      </c>
      <c r="M10" s="10"/>
      <c r="N10" s="31" t="s">
        <v>15</v>
      </c>
      <c r="O10" s="10"/>
      <c r="P10" s="59" t="s">
        <v>10</v>
      </c>
      <c r="Q10" s="32"/>
      <c r="R10" s="31" t="s">
        <v>14</v>
      </c>
      <c r="S10" s="32"/>
      <c r="T10" s="49" t="s">
        <v>306</v>
      </c>
      <c r="U10" s="32"/>
      <c r="V10" s="31" t="s">
        <v>14</v>
      </c>
      <c r="W10" s="10"/>
      <c r="X10" s="42" t="s">
        <v>11</v>
      </c>
      <c r="Y10" s="10"/>
      <c r="Z10" s="31" t="s">
        <v>15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6</v>
      </c>
      <c r="C16" s="25"/>
      <c r="D16" s="20">
        <f>D12-D14</f>
        <v>0</v>
      </c>
      <c r="E16" s="13"/>
      <c r="F16" s="21">
        <f>IF(D$12=0,0,D16/D$12)</f>
        <v>0</v>
      </c>
      <c r="G16" s="13"/>
      <c r="H16" s="20">
        <f>H12-H14</f>
        <v>0</v>
      </c>
      <c r="I16" s="13"/>
      <c r="J16" s="21">
        <f>IF(H$12=0,0,H16/H$12)</f>
        <v>0</v>
      </c>
      <c r="K16" s="15"/>
      <c r="L16" s="20">
        <f>+D16-H16</f>
        <v>0</v>
      </c>
      <c r="M16" s="15"/>
      <c r="N16" s="21">
        <f>IF(H16=0,0,L16/H16)</f>
        <v>0</v>
      </c>
      <c r="O16" s="26"/>
      <c r="P16" s="20">
        <f>P12-P14</f>
        <v>0</v>
      </c>
      <c r="Q16" s="13"/>
      <c r="R16" s="21">
        <f>IF(P$12=0,0,P16/P$12)</f>
        <v>0</v>
      </c>
      <c r="S16" s="13"/>
      <c r="T16" s="20">
        <f>T12-T14</f>
        <v>0</v>
      </c>
      <c r="U16" s="13"/>
      <c r="V16" s="21">
        <f>IF(T$12=0,0,T16/T$12)</f>
        <v>0</v>
      </c>
      <c r="W16" s="15"/>
      <c r="X16" s="20">
        <f>+P16-T16</f>
        <v>0</v>
      </c>
      <c r="Y16" s="15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9</v>
      </c>
      <c r="C18" s="10"/>
      <c r="D18" s="22">
        <f>SUM(OSRRefD22x_0)</f>
        <v>0</v>
      </c>
      <c r="E18" s="22"/>
      <c r="F18" s="36">
        <f t="shared" ref="F18:F28" si="0">IF(D$12=0,0,D18/D$12)</f>
        <v>0</v>
      </c>
      <c r="G18" s="22"/>
      <c r="H18" s="22">
        <f>SUM(OSRRefH22x_0)</f>
        <v>35902.289999999994</v>
      </c>
      <c r="I18" s="22"/>
      <c r="J18" s="36">
        <f t="shared" ref="J18:J28" si="1">IF(H$12=0,0,H18/H$12)</f>
        <v>0</v>
      </c>
      <c r="K18" s="4"/>
      <c r="L18" s="22">
        <f t="shared" ref="L18:L28" si="2">+D18-H18</f>
        <v>-35902.289999999994</v>
      </c>
      <c r="M18" s="4"/>
      <c r="N18" s="36">
        <f t="shared" ref="N18:N28" si="3">IF(H18=0,0,L18/H18)</f>
        <v>-1</v>
      </c>
      <c r="O18" s="10"/>
      <c r="P18" s="22">
        <f>SUM(OSRRefP22x_0)</f>
        <v>0.23</v>
      </c>
      <c r="Q18" s="22"/>
      <c r="R18" s="36">
        <f t="shared" ref="R18:R28" si="4">IF(P$12=0,0,P18/P$12)</f>
        <v>0</v>
      </c>
      <c r="S18" s="22"/>
      <c r="T18" s="22">
        <f>SUM(OSRRefT22x_0)</f>
        <v>185765.77999999997</v>
      </c>
      <c r="U18" s="22"/>
      <c r="V18" s="36">
        <f t="shared" ref="V18:V28" si="5">IF(T$12=0,0,T18/T$12)</f>
        <v>0</v>
      </c>
      <c r="W18" s="4"/>
      <c r="X18" s="22">
        <f t="shared" ref="X18:X28" si="6">+P18-T18</f>
        <v>-185765.54999999996</v>
      </c>
      <c r="Y18" s="4"/>
      <c r="Z18" s="36">
        <f t="shared" ref="Z18:Z28" si="7">IF(T18=0,0,X18/T18)</f>
        <v>-0.99999876188176307</v>
      </c>
    </row>
    <row r="19" spans="1:26" s="29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6095.32</v>
      </c>
      <c r="I19" s="1"/>
      <c r="J19" s="5">
        <f t="shared" si="1"/>
        <v>0</v>
      </c>
      <c r="K19" s="1"/>
      <c r="L19" s="1">
        <f t="shared" si="2"/>
        <v>-6095.32</v>
      </c>
      <c r="M19" s="1"/>
      <c r="N19" s="5">
        <f t="shared" si="3"/>
        <v>-1</v>
      </c>
      <c r="O19" s="14"/>
      <c r="P19" s="1">
        <f>SUM(OSRRefP22_0x_0)</f>
        <v>0</v>
      </c>
      <c r="Q19" s="1"/>
      <c r="R19" s="5">
        <f t="shared" si="4"/>
        <v>0</v>
      </c>
      <c r="S19" s="1"/>
      <c r="T19" s="1">
        <f>SUM(OSRRefT22_0x_0)</f>
        <v>27423.230000000003</v>
      </c>
      <c r="U19" s="1"/>
      <c r="V19" s="5">
        <f t="shared" si="5"/>
        <v>0</v>
      </c>
      <c r="W19" s="1"/>
      <c r="X19" s="1">
        <f t="shared" si="6"/>
        <v>-27423.230000000003</v>
      </c>
      <c r="Y19" s="1"/>
      <c r="Z19" s="5">
        <f t="shared" si="7"/>
        <v>-1</v>
      </c>
    </row>
    <row r="20" spans="1:26" s="24" customFormat="1" hidden="1" outlineLevel="2" x14ac:dyDescent="0.25">
      <c r="A20" s="28"/>
      <c r="B20" s="11" t="str">
        <f>CONCATENATE("          ", "6111", " - ", "F.I.C.A.")</f>
        <v xml:space="preserve">          6111 - F.I.C.A.</v>
      </c>
      <c r="C20" s="11"/>
      <c r="D20" s="6"/>
      <c r="E20" s="2"/>
      <c r="F20" s="7">
        <f t="shared" si="0"/>
        <v>0</v>
      </c>
      <c r="G20" s="2"/>
      <c r="H20" s="6">
        <v>1744.8</v>
      </c>
      <c r="I20" s="2"/>
      <c r="J20" s="7">
        <f t="shared" si="1"/>
        <v>0</v>
      </c>
      <c r="K20" s="2"/>
      <c r="L20" s="6">
        <f t="shared" si="2"/>
        <v>-1744.8</v>
      </c>
      <c r="M20" s="2"/>
      <c r="N20" s="7">
        <f t="shared" si="3"/>
        <v>-1</v>
      </c>
      <c r="O20" s="11"/>
      <c r="P20" s="6">
        <v>401.9</v>
      </c>
      <c r="Q20" s="2"/>
      <c r="R20" s="7">
        <f t="shared" si="4"/>
        <v>0</v>
      </c>
      <c r="S20" s="2"/>
      <c r="T20" s="6">
        <v>8535.43</v>
      </c>
      <c r="U20" s="2"/>
      <c r="V20" s="7">
        <f t="shared" si="5"/>
        <v>0</v>
      </c>
      <c r="W20" s="2"/>
      <c r="X20" s="6">
        <f t="shared" si="6"/>
        <v>-8133.5300000000007</v>
      </c>
      <c r="Y20" s="2"/>
      <c r="Z20" s="7">
        <f t="shared" si="7"/>
        <v>-0.95291391294873251</v>
      </c>
    </row>
    <row r="21" spans="1:26" s="24" customFormat="1" hidden="1" outlineLevel="2" x14ac:dyDescent="0.25">
      <c r="A21" s="28"/>
      <c r="B21" s="11" t="str">
        <f>CONCATENATE("          ", "6112", " - ", "COMPENSATION INSURANCE")</f>
        <v xml:space="preserve">          6112 - COMPENSATION INSURANCE</v>
      </c>
      <c r="C21" s="11"/>
      <c r="D21" s="6"/>
      <c r="E21" s="2"/>
      <c r="F21" s="7">
        <f t="shared" si="0"/>
        <v>0</v>
      </c>
      <c r="G21" s="2"/>
      <c r="H21" s="6">
        <v>-141.36000000000001</v>
      </c>
      <c r="I21" s="2"/>
      <c r="J21" s="7">
        <f t="shared" si="1"/>
        <v>0</v>
      </c>
      <c r="K21" s="2"/>
      <c r="L21" s="6">
        <f t="shared" si="2"/>
        <v>141.36000000000001</v>
      </c>
      <c r="M21" s="2"/>
      <c r="N21" s="7">
        <f t="shared" si="3"/>
        <v>-1</v>
      </c>
      <c r="O21" s="11"/>
      <c r="P21" s="6"/>
      <c r="Q21" s="2"/>
      <c r="R21" s="7">
        <f t="shared" si="4"/>
        <v>0</v>
      </c>
      <c r="S21" s="2"/>
      <c r="T21" s="6">
        <v>2222.96</v>
      </c>
      <c r="U21" s="2"/>
      <c r="V21" s="7">
        <f t="shared" si="5"/>
        <v>0</v>
      </c>
      <c r="W21" s="2"/>
      <c r="X21" s="6">
        <f t="shared" si="6"/>
        <v>-2222.96</v>
      </c>
      <c r="Y21" s="2"/>
      <c r="Z21" s="7">
        <f t="shared" si="7"/>
        <v>-1</v>
      </c>
    </row>
    <row r="22" spans="1:26" s="24" customFormat="1" hidden="1" outlineLevel="2" x14ac:dyDescent="0.25">
      <c r="A22" s="28"/>
      <c r="B22" s="11" t="str">
        <f>CONCATENATE("          ", "6113", " - ", "GROUP INSURANCE")</f>
        <v xml:space="preserve">          6113 - GROUP INSURANCE</v>
      </c>
      <c r="C22" s="11"/>
      <c r="D22" s="6"/>
      <c r="E22" s="2"/>
      <c r="F22" s="7">
        <f t="shared" si="0"/>
        <v>0</v>
      </c>
      <c r="G22" s="2"/>
      <c r="H22" s="6">
        <v>1949.27</v>
      </c>
      <c r="I22" s="2"/>
      <c r="J22" s="7">
        <f t="shared" si="1"/>
        <v>0</v>
      </c>
      <c r="K22" s="2"/>
      <c r="L22" s="6">
        <f t="shared" si="2"/>
        <v>-1949.27</v>
      </c>
      <c r="M22" s="2"/>
      <c r="N22" s="7">
        <f t="shared" si="3"/>
        <v>-1</v>
      </c>
      <c r="O22" s="11"/>
      <c r="P22" s="6"/>
      <c r="Q22" s="2"/>
      <c r="R22" s="7">
        <f t="shared" si="4"/>
        <v>0</v>
      </c>
      <c r="S22" s="2"/>
      <c r="T22" s="6">
        <v>7797.08</v>
      </c>
      <c r="U22" s="2"/>
      <c r="V22" s="7">
        <f t="shared" si="5"/>
        <v>0</v>
      </c>
      <c r="W22" s="2"/>
      <c r="X22" s="6">
        <f t="shared" si="6"/>
        <v>-7797.08</v>
      </c>
      <c r="Y22" s="2"/>
      <c r="Z22" s="7">
        <f t="shared" si="7"/>
        <v>-1</v>
      </c>
    </row>
    <row r="23" spans="1:26" s="24" customFormat="1" hidden="1" outlineLevel="2" x14ac:dyDescent="0.25">
      <c r="A23" s="28"/>
      <c r="B23" s="11" t="str">
        <f>CONCATENATE("          ", "6114", " - ", "STATE UNEMPLOYMENT INSURANCE")</f>
        <v xml:space="preserve">          6114 - STATE UNEMPLOYMENT INSURANCE</v>
      </c>
      <c r="C23" s="11"/>
      <c r="D23" s="6"/>
      <c r="E23" s="2"/>
      <c r="F23" s="7">
        <f t="shared" si="0"/>
        <v>0</v>
      </c>
      <c r="G23" s="2"/>
      <c r="H23" s="6">
        <v>84.31</v>
      </c>
      <c r="I23" s="2"/>
      <c r="J23" s="7">
        <f t="shared" si="1"/>
        <v>0</v>
      </c>
      <c r="K23" s="2"/>
      <c r="L23" s="6">
        <f t="shared" si="2"/>
        <v>-84.31</v>
      </c>
      <c r="M23" s="2"/>
      <c r="N23" s="7">
        <f t="shared" si="3"/>
        <v>-1</v>
      </c>
      <c r="O23" s="11"/>
      <c r="P23" s="6"/>
      <c r="Q23" s="2"/>
      <c r="R23" s="7">
        <f t="shared" si="4"/>
        <v>0</v>
      </c>
      <c r="S23" s="2"/>
      <c r="T23" s="6">
        <v>400.06</v>
      </c>
      <c r="U23" s="2"/>
      <c r="V23" s="7">
        <f t="shared" si="5"/>
        <v>0</v>
      </c>
      <c r="W23" s="2"/>
      <c r="X23" s="6">
        <f t="shared" si="6"/>
        <v>-400.06</v>
      </c>
      <c r="Y23" s="2"/>
      <c r="Z23" s="7">
        <f t="shared" si="7"/>
        <v>-1</v>
      </c>
    </row>
    <row r="24" spans="1:26" s="24" customFormat="1" hidden="1" outlineLevel="2" x14ac:dyDescent="0.25">
      <c r="A24" s="28"/>
      <c r="B24" s="11" t="str">
        <f>CONCATENATE("          ", "6115", " - ", "P.E.R.S.")</f>
        <v xml:space="preserve">          6115 - P.E.R.S.</v>
      </c>
      <c r="C24" s="11"/>
      <c r="D24" s="6"/>
      <c r="E24" s="2"/>
      <c r="F24" s="7">
        <f t="shared" si="0"/>
        <v>0</v>
      </c>
      <c r="G24" s="2"/>
      <c r="H24" s="6">
        <v>971.92</v>
      </c>
      <c r="I24" s="2"/>
      <c r="J24" s="7">
        <f t="shared" si="1"/>
        <v>0</v>
      </c>
      <c r="K24" s="2"/>
      <c r="L24" s="6">
        <f t="shared" si="2"/>
        <v>-971.92</v>
      </c>
      <c r="M24" s="2"/>
      <c r="N24" s="7">
        <f t="shared" si="3"/>
        <v>-1</v>
      </c>
      <c r="O24" s="11"/>
      <c r="P24" s="6"/>
      <c r="Q24" s="2"/>
      <c r="R24" s="7">
        <f t="shared" si="4"/>
        <v>0</v>
      </c>
      <c r="S24" s="2"/>
      <c r="T24" s="6">
        <v>3045.82</v>
      </c>
      <c r="U24" s="2"/>
      <c r="V24" s="7">
        <f t="shared" si="5"/>
        <v>0</v>
      </c>
      <c r="W24" s="2"/>
      <c r="X24" s="6">
        <f t="shared" si="6"/>
        <v>-3045.82</v>
      </c>
      <c r="Y24" s="2"/>
      <c r="Z24" s="7">
        <f t="shared" si="7"/>
        <v>-1</v>
      </c>
    </row>
    <row r="25" spans="1:26" s="24" customFormat="1" hidden="1" outlineLevel="2" x14ac:dyDescent="0.25">
      <c r="A25" s="28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/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>
        <v>-401.9</v>
      </c>
      <c r="Q25" s="2"/>
      <c r="R25" s="7">
        <f t="shared" si="4"/>
        <v>0</v>
      </c>
      <c r="S25" s="2"/>
      <c r="T25" s="6"/>
      <c r="U25" s="2"/>
      <c r="V25" s="7">
        <f t="shared" si="5"/>
        <v>0</v>
      </c>
      <c r="W25" s="2"/>
      <c r="X25" s="6">
        <f t="shared" si="6"/>
        <v>-401.9</v>
      </c>
      <c r="Y25" s="2"/>
      <c r="Z25" s="7">
        <f t="shared" si="7"/>
        <v>0</v>
      </c>
    </row>
    <row r="26" spans="1:26" s="24" customFormat="1" hidden="1" outlineLevel="2" x14ac:dyDescent="0.25">
      <c r="A26" s="28"/>
      <c r="B26" s="11" t="str">
        <f>CONCATENATE("          ", "6118", " - ", "VACATION")</f>
        <v xml:space="preserve">          6118 - VACATION</v>
      </c>
      <c r="C26" s="11"/>
      <c r="D26" s="6"/>
      <c r="E26" s="2"/>
      <c r="F26" s="7">
        <f t="shared" si="0"/>
        <v>0</v>
      </c>
      <c r="G26" s="2"/>
      <c r="H26" s="6">
        <v>575.33000000000004</v>
      </c>
      <c r="I26" s="2"/>
      <c r="J26" s="7">
        <f t="shared" si="1"/>
        <v>0</v>
      </c>
      <c r="K26" s="2"/>
      <c r="L26" s="6">
        <f t="shared" si="2"/>
        <v>-575.33000000000004</v>
      </c>
      <c r="M26" s="2"/>
      <c r="N26" s="7">
        <f t="shared" si="3"/>
        <v>-1</v>
      </c>
      <c r="O26" s="11"/>
      <c r="P26" s="6"/>
      <c r="Q26" s="2"/>
      <c r="R26" s="7">
        <f t="shared" si="4"/>
        <v>0</v>
      </c>
      <c r="S26" s="2"/>
      <c r="T26" s="6">
        <v>1619.98</v>
      </c>
      <c r="U26" s="2"/>
      <c r="V26" s="7">
        <f t="shared" si="5"/>
        <v>0</v>
      </c>
      <c r="W26" s="2"/>
      <c r="X26" s="6">
        <f t="shared" si="6"/>
        <v>-1619.98</v>
      </c>
      <c r="Y26" s="2"/>
      <c r="Z26" s="7">
        <f t="shared" si="7"/>
        <v>-1</v>
      </c>
    </row>
    <row r="27" spans="1:26" s="24" customFormat="1" hidden="1" outlineLevel="2" x14ac:dyDescent="0.25">
      <c r="A27" s="28"/>
      <c r="B27" s="11" t="str">
        <f>CONCATENATE("          ", "6119", " - ", "SICK LEAVE")</f>
        <v xml:space="preserve">          6119 - SICK LEAVE</v>
      </c>
      <c r="C27" s="11"/>
      <c r="D27" s="6"/>
      <c r="E27" s="2"/>
      <c r="F27" s="7">
        <f t="shared" si="0"/>
        <v>0</v>
      </c>
      <c r="G27" s="2"/>
      <c r="H27" s="6">
        <v>561.66</v>
      </c>
      <c r="I27" s="2"/>
      <c r="J27" s="7">
        <f t="shared" si="1"/>
        <v>0</v>
      </c>
      <c r="K27" s="2"/>
      <c r="L27" s="6">
        <f t="shared" si="2"/>
        <v>-561.66</v>
      </c>
      <c r="M27" s="2"/>
      <c r="N27" s="7">
        <f t="shared" si="3"/>
        <v>-1</v>
      </c>
      <c r="O27" s="11"/>
      <c r="P27" s="6"/>
      <c r="Q27" s="2"/>
      <c r="R27" s="7">
        <f t="shared" si="4"/>
        <v>0</v>
      </c>
      <c r="S27" s="2"/>
      <c r="T27" s="6">
        <v>2563.61</v>
      </c>
      <c r="U27" s="2"/>
      <c r="V27" s="7">
        <f t="shared" si="5"/>
        <v>0</v>
      </c>
      <c r="W27" s="2"/>
      <c r="X27" s="6">
        <f t="shared" si="6"/>
        <v>-2563.61</v>
      </c>
      <c r="Y27" s="2"/>
      <c r="Z27" s="7">
        <f t="shared" si="7"/>
        <v>-1</v>
      </c>
    </row>
    <row r="28" spans="1:26" s="24" customFormat="1" hidden="1" outlineLevel="2" x14ac:dyDescent="0.25">
      <c r="A28" s="28"/>
      <c r="B28" s="11" t="str">
        <f>CONCATENATE("          ", "6156", " - ", "EMPLOYEE MEALS")</f>
        <v xml:space="preserve">          6156 - EMPLOYEE MEALS</v>
      </c>
      <c r="C28" s="11"/>
      <c r="D28" s="6"/>
      <c r="E28" s="2"/>
      <c r="F28" s="7">
        <f t="shared" si="0"/>
        <v>0</v>
      </c>
      <c r="G28" s="2"/>
      <c r="H28" s="6">
        <v>349.39</v>
      </c>
      <c r="I28" s="2"/>
      <c r="J28" s="7">
        <f t="shared" si="1"/>
        <v>0</v>
      </c>
      <c r="K28" s="2"/>
      <c r="L28" s="6">
        <f t="shared" si="2"/>
        <v>-349.39</v>
      </c>
      <c r="M28" s="2"/>
      <c r="N28" s="7">
        <f t="shared" si="3"/>
        <v>-1</v>
      </c>
      <c r="O28" s="11"/>
      <c r="P28" s="6"/>
      <c r="Q28" s="2"/>
      <c r="R28" s="7">
        <f t="shared" si="4"/>
        <v>0</v>
      </c>
      <c r="S28" s="2"/>
      <c r="T28" s="6">
        <v>1238.29</v>
      </c>
      <c r="U28" s="2"/>
      <c r="V28" s="7">
        <f t="shared" si="5"/>
        <v>0</v>
      </c>
      <c r="W28" s="2"/>
      <c r="X28" s="6">
        <f t="shared" si="6"/>
        <v>-1238.29</v>
      </c>
      <c r="Y28" s="2"/>
      <c r="Z28" s="7">
        <f t="shared" si="7"/>
        <v>-1</v>
      </c>
    </row>
    <row r="29" spans="1:26" s="29" customFormat="1" outlineLevel="1" collapsed="1" x14ac:dyDescent="0.25">
      <c r="A29" s="27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0</v>
      </c>
      <c r="E29" s="1"/>
      <c r="F29" s="5">
        <f t="shared" ref="F29:F35" si="8">IF(D$12=0,0,D29/D$12)</f>
        <v>0</v>
      </c>
      <c r="G29" s="1"/>
      <c r="H29" s="1">
        <f>SUM(OSRRefH22_1x_0)</f>
        <v>28708.29</v>
      </c>
      <c r="I29" s="1"/>
      <c r="J29" s="5">
        <f t="shared" ref="J29:J35" si="9">IF(H$12=0,0,H29/H$12)</f>
        <v>0</v>
      </c>
      <c r="K29" s="1"/>
      <c r="L29" s="1">
        <f t="shared" ref="L29:L35" si="10">+D29-H29</f>
        <v>-28708.29</v>
      </c>
      <c r="M29" s="1"/>
      <c r="N29" s="5">
        <f t="shared" ref="N29:N35" si="11">IF(H29=0,0,L29/H29)</f>
        <v>-1</v>
      </c>
      <c r="O29" s="14"/>
      <c r="P29" s="1">
        <f>SUM(OSRRefP22_1x_0)</f>
        <v>0.23</v>
      </c>
      <c r="Q29" s="1"/>
      <c r="R29" s="5">
        <f t="shared" ref="R29:R35" si="12">IF(P$12=0,0,P29/P$12)</f>
        <v>0</v>
      </c>
      <c r="S29" s="1"/>
      <c r="T29" s="1">
        <f>SUM(OSRRefT22_1x_0)</f>
        <v>156351.97999999998</v>
      </c>
      <c r="U29" s="1"/>
      <c r="V29" s="5">
        <f t="shared" ref="V29:V35" si="13">IF(T$12=0,0,T29/T$12)</f>
        <v>0</v>
      </c>
      <c r="W29" s="1"/>
      <c r="X29" s="1">
        <f t="shared" ref="X29:X35" si="14">+P29-T29</f>
        <v>-156351.74999999997</v>
      </c>
      <c r="Y29" s="1"/>
      <c r="Z29" s="5">
        <f t="shared" ref="Z29:Z35" si="15">IF(T29=0,0,X29/T29)</f>
        <v>-0.99999852896010644</v>
      </c>
    </row>
    <row r="30" spans="1:26" s="24" customFormat="1" hidden="1" outlineLevel="2" x14ac:dyDescent="0.25">
      <c r="A30" s="28"/>
      <c r="B30" s="11" t="str">
        <f>CONCATENATE("          ", "6002", " - ", "STAFF SALARIES")</f>
        <v xml:space="preserve">          6002 - STAFF SALARIES</v>
      </c>
      <c r="C30" s="11"/>
      <c r="D30" s="6"/>
      <c r="E30" s="2"/>
      <c r="F30" s="7">
        <f t="shared" si="8"/>
        <v>0</v>
      </c>
      <c r="G30" s="2"/>
      <c r="H30" s="6">
        <v>9549.8700000000008</v>
      </c>
      <c r="I30" s="2"/>
      <c r="J30" s="7">
        <f t="shared" si="9"/>
        <v>0</v>
      </c>
      <c r="K30" s="2"/>
      <c r="L30" s="6">
        <f t="shared" si="10"/>
        <v>-9549.8700000000008</v>
      </c>
      <c r="M30" s="2"/>
      <c r="N30" s="7">
        <f t="shared" si="11"/>
        <v>-1</v>
      </c>
      <c r="O30" s="11"/>
      <c r="P30" s="6"/>
      <c r="Q30" s="2"/>
      <c r="R30" s="7">
        <f t="shared" si="12"/>
        <v>0</v>
      </c>
      <c r="S30" s="2"/>
      <c r="T30" s="6">
        <v>35164.39</v>
      </c>
      <c r="U30" s="2"/>
      <c r="V30" s="7">
        <f t="shared" si="13"/>
        <v>0</v>
      </c>
      <c r="W30" s="2"/>
      <c r="X30" s="6">
        <f t="shared" si="14"/>
        <v>-35164.39</v>
      </c>
      <c r="Y30" s="2"/>
      <c r="Z30" s="7">
        <f t="shared" si="15"/>
        <v>-1</v>
      </c>
    </row>
    <row r="31" spans="1:26" s="24" customFormat="1" hidden="1" outlineLevel="2" x14ac:dyDescent="0.25">
      <c r="A31" s="28"/>
      <c r="B31" s="11" t="str">
        <f>CONCATENATE("          ", "6004", " - ", "STAFF HOURLY")</f>
        <v xml:space="preserve">          6004 - STAFF HOURLY</v>
      </c>
      <c r="C31" s="11"/>
      <c r="D31" s="6"/>
      <c r="E31" s="2"/>
      <c r="F31" s="7">
        <f t="shared" si="8"/>
        <v>0</v>
      </c>
      <c r="G31" s="2"/>
      <c r="H31" s="6"/>
      <c r="I31" s="2"/>
      <c r="J31" s="7">
        <f t="shared" si="9"/>
        <v>0</v>
      </c>
      <c r="K31" s="2"/>
      <c r="L31" s="6">
        <f t="shared" si="10"/>
        <v>0</v>
      </c>
      <c r="M31" s="2"/>
      <c r="N31" s="7">
        <f t="shared" si="11"/>
        <v>0</v>
      </c>
      <c r="O31" s="11"/>
      <c r="P31" s="6">
        <v>0.23</v>
      </c>
      <c r="Q31" s="2"/>
      <c r="R31" s="7">
        <f t="shared" si="12"/>
        <v>0</v>
      </c>
      <c r="S31" s="2"/>
      <c r="T31" s="6"/>
      <c r="U31" s="2"/>
      <c r="V31" s="7">
        <f t="shared" si="13"/>
        <v>0</v>
      </c>
      <c r="W31" s="2"/>
      <c r="X31" s="6">
        <f t="shared" si="14"/>
        <v>0.23</v>
      </c>
      <c r="Y31" s="2"/>
      <c r="Z31" s="7">
        <f t="shared" si="15"/>
        <v>0</v>
      </c>
    </row>
    <row r="32" spans="1:26" s="24" customFormat="1" hidden="1" outlineLevel="2" x14ac:dyDescent="0.25">
      <c r="A32" s="28"/>
      <c r="B32" s="11" t="str">
        <f>CONCATENATE("          ", "6005", " - ", "TEMPORARY WAGES-HOURLY")</f>
        <v xml:space="preserve">          6005 - TEMPORARY WAGES-HOURLY</v>
      </c>
      <c r="C32" s="11"/>
      <c r="D32" s="6"/>
      <c r="E32" s="2"/>
      <c r="F32" s="7">
        <f t="shared" si="8"/>
        <v>0</v>
      </c>
      <c r="G32" s="2"/>
      <c r="H32" s="6">
        <v>1562.78</v>
      </c>
      <c r="I32" s="2"/>
      <c r="J32" s="7">
        <f t="shared" si="9"/>
        <v>0</v>
      </c>
      <c r="K32" s="2"/>
      <c r="L32" s="6">
        <f t="shared" si="10"/>
        <v>-1562.78</v>
      </c>
      <c r="M32" s="2"/>
      <c r="N32" s="7">
        <f t="shared" si="11"/>
        <v>-1</v>
      </c>
      <c r="O32" s="11"/>
      <c r="P32" s="6"/>
      <c r="Q32" s="2"/>
      <c r="R32" s="7">
        <f t="shared" si="12"/>
        <v>0</v>
      </c>
      <c r="S32" s="2"/>
      <c r="T32" s="6">
        <v>9082.4599999999991</v>
      </c>
      <c r="U32" s="2"/>
      <c r="V32" s="7">
        <f t="shared" si="13"/>
        <v>0</v>
      </c>
      <c r="W32" s="2"/>
      <c r="X32" s="6">
        <f t="shared" si="14"/>
        <v>-9082.4599999999991</v>
      </c>
      <c r="Y32" s="2"/>
      <c r="Z32" s="7">
        <f t="shared" si="15"/>
        <v>-1</v>
      </c>
    </row>
    <row r="33" spans="1:26" s="24" customFormat="1" hidden="1" outlineLevel="2" x14ac:dyDescent="0.25">
      <c r="A33" s="28"/>
      <c r="B33" s="11" t="str">
        <f>CONCATENATE("          ", "6006", " - ", "TEMPORARY PART TIME")</f>
        <v xml:space="preserve">          6006 - TEMPORARY PART TIME</v>
      </c>
      <c r="C33" s="11"/>
      <c r="D33" s="6"/>
      <c r="E33" s="2"/>
      <c r="F33" s="7">
        <f t="shared" si="8"/>
        <v>0</v>
      </c>
      <c r="G33" s="2"/>
      <c r="H33" s="6">
        <v>1595.87</v>
      </c>
      <c r="I33" s="2"/>
      <c r="J33" s="7">
        <f t="shared" si="9"/>
        <v>0</v>
      </c>
      <c r="K33" s="2"/>
      <c r="L33" s="6">
        <f t="shared" si="10"/>
        <v>-1595.87</v>
      </c>
      <c r="M33" s="2"/>
      <c r="N33" s="7">
        <f t="shared" si="11"/>
        <v>-1</v>
      </c>
      <c r="O33" s="11"/>
      <c r="P33" s="6"/>
      <c r="Q33" s="2"/>
      <c r="R33" s="7">
        <f t="shared" si="12"/>
        <v>0</v>
      </c>
      <c r="S33" s="2"/>
      <c r="T33" s="6">
        <v>8893.3700000000008</v>
      </c>
      <c r="U33" s="2"/>
      <c r="V33" s="7">
        <f t="shared" si="13"/>
        <v>0</v>
      </c>
      <c r="W33" s="2"/>
      <c r="X33" s="6">
        <f t="shared" si="14"/>
        <v>-8893.3700000000008</v>
      </c>
      <c r="Y33" s="2"/>
      <c r="Z33" s="7">
        <f t="shared" si="15"/>
        <v>-1</v>
      </c>
    </row>
    <row r="34" spans="1:26" s="24" customFormat="1" hidden="1" outlineLevel="2" x14ac:dyDescent="0.25">
      <c r="A34" s="28"/>
      <c r="B34" s="11" t="str">
        <f>CONCATENATE("          ", "6007", " - ", "STUDENT HOURLY")</f>
        <v xml:space="preserve">          6007 - STUDENT HOURLY</v>
      </c>
      <c r="C34" s="11"/>
      <c r="D34" s="6"/>
      <c r="E34" s="2"/>
      <c r="F34" s="7">
        <f t="shared" si="8"/>
        <v>0</v>
      </c>
      <c r="G34" s="2"/>
      <c r="H34" s="6">
        <v>14892.769999999999</v>
      </c>
      <c r="I34" s="2"/>
      <c r="J34" s="7">
        <f t="shared" si="9"/>
        <v>0</v>
      </c>
      <c r="K34" s="2"/>
      <c r="L34" s="6">
        <f t="shared" si="10"/>
        <v>-14892.769999999999</v>
      </c>
      <c r="M34" s="2"/>
      <c r="N34" s="7">
        <f t="shared" si="11"/>
        <v>-1</v>
      </c>
      <c r="O34" s="11"/>
      <c r="P34" s="6"/>
      <c r="Q34" s="2"/>
      <c r="R34" s="7">
        <f t="shared" si="12"/>
        <v>0</v>
      </c>
      <c r="S34" s="2"/>
      <c r="T34" s="6">
        <v>99227.76</v>
      </c>
      <c r="U34" s="2"/>
      <c r="V34" s="7">
        <f t="shared" si="13"/>
        <v>0</v>
      </c>
      <c r="W34" s="2"/>
      <c r="X34" s="6">
        <f t="shared" si="14"/>
        <v>-99227.76</v>
      </c>
      <c r="Y34" s="2"/>
      <c r="Z34" s="7">
        <f t="shared" si="15"/>
        <v>-1</v>
      </c>
    </row>
    <row r="35" spans="1:26" s="24" customFormat="1" hidden="1" outlineLevel="2" x14ac:dyDescent="0.25">
      <c r="A35" s="28"/>
      <c r="B35" s="11" t="str">
        <f>CONCATENATE("          ", "6008", " - ", "STUDENT HOURLY-FICA EXEMPT")</f>
        <v xml:space="preserve">          6008 - STUDENT HOURLY-FICA EXEMPT</v>
      </c>
      <c r="C35" s="11"/>
      <c r="D35" s="6"/>
      <c r="E35" s="2"/>
      <c r="F35" s="7">
        <f t="shared" si="8"/>
        <v>0</v>
      </c>
      <c r="G35" s="2"/>
      <c r="H35" s="6">
        <v>1107</v>
      </c>
      <c r="I35" s="2"/>
      <c r="J35" s="7">
        <f t="shared" si="9"/>
        <v>0</v>
      </c>
      <c r="K35" s="2"/>
      <c r="L35" s="6">
        <f t="shared" si="10"/>
        <v>-1107</v>
      </c>
      <c r="M35" s="2"/>
      <c r="N35" s="7">
        <f t="shared" si="11"/>
        <v>-1</v>
      </c>
      <c r="O35" s="11"/>
      <c r="P35" s="6"/>
      <c r="Q35" s="2"/>
      <c r="R35" s="7">
        <f t="shared" si="12"/>
        <v>0</v>
      </c>
      <c r="S35" s="2"/>
      <c r="T35" s="6">
        <v>3984</v>
      </c>
      <c r="U35" s="2"/>
      <c r="V35" s="7">
        <f t="shared" si="13"/>
        <v>0</v>
      </c>
      <c r="W35" s="2"/>
      <c r="X35" s="6">
        <f t="shared" si="14"/>
        <v>-3984</v>
      </c>
      <c r="Y35" s="2"/>
      <c r="Z35" s="7">
        <f t="shared" si="15"/>
        <v>-1</v>
      </c>
    </row>
    <row r="36" spans="1:26" s="29" customFormat="1" outlineLevel="1" collapsed="1" x14ac:dyDescent="0.25">
      <c r="A36" s="27"/>
      <c r="B36" s="14" t="str">
        <f>CONCATENATE("     ","Advertising/Promo                                 ")</f>
        <v xml:space="preserve">     Advertising/Promo                                 </v>
      </c>
      <c r="C36" s="14"/>
      <c r="D36" s="1">
        <f>SUM(OSRRefD22_2x_0)</f>
        <v>0</v>
      </c>
      <c r="E36" s="1"/>
      <c r="F36" s="5">
        <f t="shared" ref="F36:F44" si="16">IF(D$12=0,0,D36/D$12)</f>
        <v>0</v>
      </c>
      <c r="G36" s="1"/>
      <c r="H36" s="1">
        <f>SUM(OSRRefH22_2x_0)</f>
        <v>12</v>
      </c>
      <c r="I36" s="1"/>
      <c r="J36" s="5">
        <f t="shared" ref="J36:J44" si="17">IF(H$12=0,0,H36/H$12)</f>
        <v>0</v>
      </c>
      <c r="K36" s="1"/>
      <c r="L36" s="1">
        <f t="shared" ref="L36:L44" si="18">+D36-H36</f>
        <v>-12</v>
      </c>
      <c r="M36" s="1"/>
      <c r="N36" s="5">
        <f t="shared" ref="N36:N44" si="19">IF(H36=0,0,L36/H36)</f>
        <v>-1</v>
      </c>
      <c r="O36" s="14"/>
      <c r="P36" s="1">
        <f>SUM(OSRRefP22_2x_0)</f>
        <v>0</v>
      </c>
      <c r="Q36" s="1"/>
      <c r="R36" s="5">
        <f t="shared" ref="R36:R44" si="20">IF(P$12=0,0,P36/P$12)</f>
        <v>0</v>
      </c>
      <c r="S36" s="1"/>
      <c r="T36" s="1">
        <f>SUM(OSRRefT22_2x_0)</f>
        <v>150</v>
      </c>
      <c r="U36" s="1"/>
      <c r="V36" s="5">
        <f t="shared" ref="V36:V44" si="21">IF(T$12=0,0,T36/T$12)</f>
        <v>0</v>
      </c>
      <c r="W36" s="1"/>
      <c r="X36" s="1">
        <f t="shared" ref="X36:X44" si="22">+P36-T36</f>
        <v>-150</v>
      </c>
      <c r="Y36" s="1"/>
      <c r="Z36" s="5">
        <f t="shared" ref="Z36:Z44" si="23">IF(T36=0,0,X36/T36)</f>
        <v>-1</v>
      </c>
    </row>
    <row r="37" spans="1:26" s="24" customFormat="1" hidden="1" outlineLevel="2" x14ac:dyDescent="0.25">
      <c r="A37" s="28"/>
      <c r="B37" s="11" t="str">
        <f>CONCATENATE("          ", "6362", " - ", "ADVERTISING EXPENSE")</f>
        <v xml:space="preserve">          6362 - ADVERTISING EXPENSE</v>
      </c>
      <c r="C37" s="11"/>
      <c r="D37" s="6"/>
      <c r="E37" s="2"/>
      <c r="F37" s="7">
        <f t="shared" si="16"/>
        <v>0</v>
      </c>
      <c r="G37" s="2"/>
      <c r="H37" s="6">
        <v>12</v>
      </c>
      <c r="I37" s="2"/>
      <c r="J37" s="7">
        <f t="shared" si="17"/>
        <v>0</v>
      </c>
      <c r="K37" s="2"/>
      <c r="L37" s="6">
        <f t="shared" si="18"/>
        <v>-12</v>
      </c>
      <c r="M37" s="2"/>
      <c r="N37" s="7">
        <f t="shared" si="19"/>
        <v>-1</v>
      </c>
      <c r="O37" s="11"/>
      <c r="P37" s="6"/>
      <c r="Q37" s="2"/>
      <c r="R37" s="7">
        <f t="shared" si="20"/>
        <v>0</v>
      </c>
      <c r="S37" s="2"/>
      <c r="T37" s="6">
        <v>150</v>
      </c>
      <c r="U37" s="2"/>
      <c r="V37" s="7">
        <f t="shared" si="21"/>
        <v>0</v>
      </c>
      <c r="W37" s="2"/>
      <c r="X37" s="6">
        <f t="shared" si="22"/>
        <v>-150</v>
      </c>
      <c r="Y37" s="2"/>
      <c r="Z37" s="7">
        <f t="shared" si="23"/>
        <v>-1</v>
      </c>
    </row>
    <row r="38" spans="1:26" s="29" customFormat="1" outlineLevel="1" collapsed="1" x14ac:dyDescent="0.25">
      <c r="A38" s="27"/>
      <c r="B38" s="14" t="str">
        <f>CONCATENATE("     ","Equipment Rental                                  ")</f>
        <v xml:space="preserve">     Equipment Rental                                  </v>
      </c>
      <c r="C38" s="14"/>
      <c r="D38" s="1">
        <f>SUM(OSRRefD22_3x_0)</f>
        <v>0</v>
      </c>
      <c r="E38" s="1"/>
      <c r="F38" s="5">
        <f t="shared" si="16"/>
        <v>0</v>
      </c>
      <c r="G38" s="1"/>
      <c r="H38" s="1">
        <f>SUM(OSRRefH22_3x_0)</f>
        <v>182.52</v>
      </c>
      <c r="I38" s="1"/>
      <c r="J38" s="5">
        <f t="shared" si="17"/>
        <v>0</v>
      </c>
      <c r="K38" s="1"/>
      <c r="L38" s="1">
        <f t="shared" si="18"/>
        <v>-182.52</v>
      </c>
      <c r="M38" s="1"/>
      <c r="N38" s="5">
        <f t="shared" si="19"/>
        <v>-1</v>
      </c>
      <c r="O38" s="14"/>
      <c r="P38" s="1">
        <f>SUM(OSRRefP22_3x_0)</f>
        <v>0</v>
      </c>
      <c r="Q38" s="1"/>
      <c r="R38" s="5">
        <f t="shared" si="20"/>
        <v>0</v>
      </c>
      <c r="S38" s="1"/>
      <c r="T38" s="1">
        <f>SUM(OSRRefT22_3x_0)</f>
        <v>182.52</v>
      </c>
      <c r="U38" s="1"/>
      <c r="V38" s="5">
        <f t="shared" si="21"/>
        <v>0</v>
      </c>
      <c r="W38" s="1"/>
      <c r="X38" s="1">
        <f t="shared" si="22"/>
        <v>-182.52</v>
      </c>
      <c r="Y38" s="1"/>
      <c r="Z38" s="5">
        <f t="shared" si="23"/>
        <v>-1</v>
      </c>
    </row>
    <row r="39" spans="1:26" s="24" customFormat="1" hidden="1" outlineLevel="2" x14ac:dyDescent="0.25">
      <c r="A39" s="28"/>
      <c r="B39" s="11" t="str">
        <f>CONCATENATE("          ", "6351", " - ", "EQUIPMENT RENTAL")</f>
        <v xml:space="preserve">          6351 - EQUIPMENT RENTAL</v>
      </c>
      <c r="C39" s="11"/>
      <c r="D39" s="6"/>
      <c r="E39" s="2"/>
      <c r="F39" s="7">
        <f t="shared" si="16"/>
        <v>0</v>
      </c>
      <c r="G39" s="2"/>
      <c r="H39" s="6">
        <v>182.52</v>
      </c>
      <c r="I39" s="2"/>
      <c r="J39" s="7">
        <f t="shared" si="17"/>
        <v>0</v>
      </c>
      <c r="K39" s="2"/>
      <c r="L39" s="6">
        <f t="shared" si="18"/>
        <v>-182.52</v>
      </c>
      <c r="M39" s="2"/>
      <c r="N39" s="7">
        <f t="shared" si="19"/>
        <v>-1</v>
      </c>
      <c r="O39" s="11"/>
      <c r="P39" s="6"/>
      <c r="Q39" s="2"/>
      <c r="R39" s="7">
        <f t="shared" si="20"/>
        <v>0</v>
      </c>
      <c r="S39" s="2"/>
      <c r="T39" s="6">
        <v>182.52</v>
      </c>
      <c r="U39" s="2"/>
      <c r="V39" s="7">
        <f t="shared" si="21"/>
        <v>0</v>
      </c>
      <c r="W39" s="2"/>
      <c r="X39" s="6">
        <f t="shared" si="22"/>
        <v>-182.52</v>
      </c>
      <c r="Y39" s="2"/>
      <c r="Z39" s="7">
        <f t="shared" si="23"/>
        <v>-1</v>
      </c>
    </row>
    <row r="40" spans="1:26" s="29" customFormat="1" outlineLevel="1" collapsed="1" x14ac:dyDescent="0.25">
      <c r="A40" s="27"/>
      <c r="B40" s="14" t="str">
        <f>CONCATENATE("     ","General                                           ")</f>
        <v xml:space="preserve">     General                                           </v>
      </c>
      <c r="C40" s="14"/>
      <c r="D40" s="1">
        <f>SUM(OSRRefD22_4x_0)</f>
        <v>0</v>
      </c>
      <c r="E40" s="1"/>
      <c r="F40" s="5">
        <f t="shared" si="16"/>
        <v>0</v>
      </c>
      <c r="G40" s="1"/>
      <c r="H40" s="1">
        <f>SUM(OSRRefH22_4x_0)</f>
        <v>89.45</v>
      </c>
      <c r="I40" s="1"/>
      <c r="J40" s="5">
        <f t="shared" si="17"/>
        <v>0</v>
      </c>
      <c r="K40" s="1"/>
      <c r="L40" s="1">
        <f t="shared" si="18"/>
        <v>-89.45</v>
      </c>
      <c r="M40" s="1"/>
      <c r="N40" s="5">
        <f t="shared" si="19"/>
        <v>-1</v>
      </c>
      <c r="O40" s="14"/>
      <c r="P40" s="1">
        <f>SUM(OSRRefP22_4x_0)</f>
        <v>0</v>
      </c>
      <c r="Q40" s="1"/>
      <c r="R40" s="5">
        <f t="shared" si="20"/>
        <v>0</v>
      </c>
      <c r="S40" s="1"/>
      <c r="T40" s="1">
        <f>SUM(OSRRefT22_4x_0)</f>
        <v>89.45</v>
      </c>
      <c r="U40" s="1"/>
      <c r="V40" s="5">
        <f t="shared" si="21"/>
        <v>0</v>
      </c>
      <c r="W40" s="1"/>
      <c r="X40" s="1">
        <f t="shared" si="22"/>
        <v>-89.45</v>
      </c>
      <c r="Y40" s="1"/>
      <c r="Z40" s="5">
        <f t="shared" si="23"/>
        <v>-1</v>
      </c>
    </row>
    <row r="41" spans="1:26" s="24" customFormat="1" hidden="1" outlineLevel="2" x14ac:dyDescent="0.25">
      <c r="A41" s="28"/>
      <c r="B41" s="11" t="str">
        <f>CONCATENATE("          ", "6279", " - ", "GENERAL EXPENSE")</f>
        <v xml:space="preserve">          6279 - GENERAL EXPENSE</v>
      </c>
      <c r="C41" s="11"/>
      <c r="D41" s="6"/>
      <c r="E41" s="2"/>
      <c r="F41" s="7">
        <f t="shared" si="16"/>
        <v>0</v>
      </c>
      <c r="G41" s="2"/>
      <c r="H41" s="6">
        <v>89.45</v>
      </c>
      <c r="I41" s="2"/>
      <c r="J41" s="7">
        <f t="shared" si="17"/>
        <v>0</v>
      </c>
      <c r="K41" s="2"/>
      <c r="L41" s="6">
        <f t="shared" si="18"/>
        <v>-89.45</v>
      </c>
      <c r="M41" s="2"/>
      <c r="N41" s="7">
        <f t="shared" si="19"/>
        <v>-1</v>
      </c>
      <c r="O41" s="11"/>
      <c r="P41" s="6"/>
      <c r="Q41" s="2"/>
      <c r="R41" s="7">
        <f t="shared" si="20"/>
        <v>0</v>
      </c>
      <c r="S41" s="2"/>
      <c r="T41" s="6">
        <v>89.45</v>
      </c>
      <c r="U41" s="2"/>
      <c r="V41" s="7">
        <f t="shared" si="21"/>
        <v>0</v>
      </c>
      <c r="W41" s="2"/>
      <c r="X41" s="6">
        <f t="shared" si="22"/>
        <v>-89.45</v>
      </c>
      <c r="Y41" s="2"/>
      <c r="Z41" s="7">
        <f t="shared" si="23"/>
        <v>-1</v>
      </c>
    </row>
    <row r="42" spans="1:26" s="29" customFormat="1" outlineLevel="1" collapsed="1" x14ac:dyDescent="0.25">
      <c r="A42" s="27"/>
      <c r="B42" s="14" t="str">
        <f>CONCATENATE("     ","Repair and Maintenance                            ")</f>
        <v xml:space="preserve">     Repair and Maintenance                            </v>
      </c>
      <c r="C42" s="14"/>
      <c r="D42" s="1">
        <f>SUM(OSRRefD22_5x_0)</f>
        <v>0</v>
      </c>
      <c r="E42" s="1"/>
      <c r="F42" s="5">
        <f t="shared" si="16"/>
        <v>0</v>
      </c>
      <c r="G42" s="1"/>
      <c r="H42" s="1">
        <f>SUM(OSRRefH22_5x_0)</f>
        <v>192.73000000000002</v>
      </c>
      <c r="I42" s="1"/>
      <c r="J42" s="5">
        <f t="shared" si="17"/>
        <v>0</v>
      </c>
      <c r="K42" s="1"/>
      <c r="L42" s="1">
        <f t="shared" si="18"/>
        <v>-192.73000000000002</v>
      </c>
      <c r="M42" s="1"/>
      <c r="N42" s="5">
        <f t="shared" si="19"/>
        <v>-1</v>
      </c>
      <c r="O42" s="14"/>
      <c r="P42" s="1">
        <f>SUM(OSRRefP22_5x_0)</f>
        <v>0</v>
      </c>
      <c r="Q42" s="1"/>
      <c r="R42" s="5">
        <f t="shared" si="20"/>
        <v>0</v>
      </c>
      <c r="S42" s="1"/>
      <c r="T42" s="1">
        <f>SUM(OSRRefT22_5x_0)</f>
        <v>207.29000000000002</v>
      </c>
      <c r="U42" s="1"/>
      <c r="V42" s="5">
        <f t="shared" si="21"/>
        <v>0</v>
      </c>
      <c r="W42" s="1"/>
      <c r="X42" s="1">
        <f t="shared" si="22"/>
        <v>-207.29000000000002</v>
      </c>
      <c r="Y42" s="1"/>
      <c r="Z42" s="5">
        <f t="shared" si="23"/>
        <v>-1</v>
      </c>
    </row>
    <row r="43" spans="1:26" s="24" customFormat="1" hidden="1" outlineLevel="2" x14ac:dyDescent="0.25">
      <c r="A43" s="28"/>
      <c r="B43" s="11" t="str">
        <f>CONCATENATE("          ", "6373", " - ", "MAINTENANCE CONTRACTS")</f>
        <v xml:space="preserve">          6373 - MAINTENANCE CONTRACTS</v>
      </c>
      <c r="C43" s="11"/>
      <c r="D43" s="6"/>
      <c r="E43" s="2"/>
      <c r="F43" s="7">
        <f t="shared" si="16"/>
        <v>0</v>
      </c>
      <c r="G43" s="2"/>
      <c r="H43" s="6">
        <v>0.4</v>
      </c>
      <c r="I43" s="2"/>
      <c r="J43" s="7">
        <f t="shared" si="17"/>
        <v>0</v>
      </c>
      <c r="K43" s="2"/>
      <c r="L43" s="6">
        <f t="shared" si="18"/>
        <v>-0.4</v>
      </c>
      <c r="M43" s="2"/>
      <c r="N43" s="7">
        <f t="shared" si="19"/>
        <v>-1</v>
      </c>
      <c r="O43" s="11"/>
      <c r="P43" s="6"/>
      <c r="Q43" s="2"/>
      <c r="R43" s="7">
        <f t="shared" si="20"/>
        <v>0</v>
      </c>
      <c r="S43" s="2"/>
      <c r="T43" s="6">
        <v>14.96</v>
      </c>
      <c r="U43" s="2"/>
      <c r="V43" s="7">
        <f t="shared" si="21"/>
        <v>0</v>
      </c>
      <c r="W43" s="2"/>
      <c r="X43" s="6">
        <f t="shared" si="22"/>
        <v>-14.96</v>
      </c>
      <c r="Y43" s="2"/>
      <c r="Z43" s="7">
        <f t="shared" si="23"/>
        <v>-1</v>
      </c>
    </row>
    <row r="44" spans="1:26" s="24" customFormat="1" hidden="1" outlineLevel="2" x14ac:dyDescent="0.25">
      <c r="A44" s="28"/>
      <c r="B44" s="11" t="str">
        <f>CONCATENATE("          ", "6375", " - ", "OUTSIDE REPAIRS &amp; MAINTENANCE")</f>
        <v xml:space="preserve">          6375 - OUTSIDE REPAIRS &amp; MAINTENANCE</v>
      </c>
      <c r="C44" s="11"/>
      <c r="D44" s="6"/>
      <c r="E44" s="2"/>
      <c r="F44" s="7">
        <f t="shared" si="16"/>
        <v>0</v>
      </c>
      <c r="G44" s="2"/>
      <c r="H44" s="6">
        <v>192.33</v>
      </c>
      <c r="I44" s="2"/>
      <c r="J44" s="7">
        <f t="shared" si="17"/>
        <v>0</v>
      </c>
      <c r="K44" s="2"/>
      <c r="L44" s="6">
        <f t="shared" si="18"/>
        <v>-192.33</v>
      </c>
      <c r="M44" s="2"/>
      <c r="N44" s="7">
        <f t="shared" si="19"/>
        <v>-1</v>
      </c>
      <c r="O44" s="11"/>
      <c r="P44" s="6"/>
      <c r="Q44" s="2"/>
      <c r="R44" s="7">
        <f t="shared" si="20"/>
        <v>0</v>
      </c>
      <c r="S44" s="2"/>
      <c r="T44" s="6">
        <v>192.33</v>
      </c>
      <c r="U44" s="2"/>
      <c r="V44" s="7">
        <f t="shared" si="21"/>
        <v>0</v>
      </c>
      <c r="W44" s="2"/>
      <c r="X44" s="6">
        <f t="shared" si="22"/>
        <v>-192.33</v>
      </c>
      <c r="Y44" s="2"/>
      <c r="Z44" s="7">
        <f t="shared" si="23"/>
        <v>-1</v>
      </c>
    </row>
    <row r="45" spans="1:26" s="29" customFormat="1" outlineLevel="1" collapsed="1" x14ac:dyDescent="0.25">
      <c r="A45" s="27"/>
      <c r="B45" s="14" t="str">
        <f>CONCATENATE("     ","Supplies                                          ")</f>
        <v xml:space="preserve">     Supplies                                          </v>
      </c>
      <c r="C45" s="14"/>
      <c r="D45" s="1">
        <f>SUM(OSRRefD22_6x_0)</f>
        <v>0</v>
      </c>
      <c r="E45" s="1"/>
      <c r="F45" s="5">
        <f t="shared" ref="F45:F47" si="24">IF(D$12=0,0,D45/D$12)</f>
        <v>0</v>
      </c>
      <c r="G45" s="1"/>
      <c r="H45" s="1">
        <f>SUM(OSRRefH22_6x_0)</f>
        <v>371.98</v>
      </c>
      <c r="I45" s="1"/>
      <c r="J45" s="5">
        <f t="shared" ref="J45:J47" si="25">IF(H$12=0,0,H45/H$12)</f>
        <v>0</v>
      </c>
      <c r="K45" s="1"/>
      <c r="L45" s="1">
        <f t="shared" ref="L45:L47" si="26">+D45-H45</f>
        <v>-371.98</v>
      </c>
      <c r="M45" s="1"/>
      <c r="N45" s="5">
        <f t="shared" ref="N45:N47" si="27">IF(H45=0,0,L45/H45)</f>
        <v>-1</v>
      </c>
      <c r="O45" s="14"/>
      <c r="P45" s="1">
        <f>SUM(OSRRefP22_6x_0)</f>
        <v>0</v>
      </c>
      <c r="Q45" s="1"/>
      <c r="R45" s="5">
        <f t="shared" ref="R45:R47" si="28">IF(P$12=0,0,P45/P$12)</f>
        <v>0</v>
      </c>
      <c r="S45" s="1"/>
      <c r="T45" s="1">
        <f>SUM(OSRRefT22_6x_0)</f>
        <v>668.46</v>
      </c>
      <c r="U45" s="1"/>
      <c r="V45" s="5">
        <f t="shared" ref="V45:V47" si="29">IF(T$12=0,0,T45/T$12)</f>
        <v>0</v>
      </c>
      <c r="W45" s="1"/>
      <c r="X45" s="1">
        <f t="shared" ref="X45:X47" si="30">+P45-T45</f>
        <v>-668.46</v>
      </c>
      <c r="Y45" s="1"/>
      <c r="Z45" s="5">
        <f t="shared" ref="Z45:Z47" si="31">IF(T45=0,0,X45/T45)</f>
        <v>-1</v>
      </c>
    </row>
    <row r="46" spans="1:26" s="24" customFormat="1" hidden="1" outlineLevel="2" x14ac:dyDescent="0.25">
      <c r="A46" s="28"/>
      <c r="B46" s="11" t="str">
        <f>CONCATENATE("          ", "6241", " - ", "OFFICE EXPENSE")</f>
        <v xml:space="preserve">          6241 - OFFICE EXPENSE</v>
      </c>
      <c r="C46" s="11"/>
      <c r="D46" s="6"/>
      <c r="E46" s="2"/>
      <c r="F46" s="7">
        <f t="shared" si="24"/>
        <v>0</v>
      </c>
      <c r="G46" s="2"/>
      <c r="H46" s="6">
        <v>77.489999999999995</v>
      </c>
      <c r="I46" s="2"/>
      <c r="J46" s="7">
        <f t="shared" si="25"/>
        <v>0</v>
      </c>
      <c r="K46" s="2"/>
      <c r="L46" s="6">
        <f t="shared" si="26"/>
        <v>-77.489999999999995</v>
      </c>
      <c r="M46" s="2"/>
      <c r="N46" s="7">
        <f t="shared" si="27"/>
        <v>-1</v>
      </c>
      <c r="O46" s="11"/>
      <c r="P46" s="6"/>
      <c r="Q46" s="2"/>
      <c r="R46" s="7">
        <f t="shared" si="28"/>
        <v>0</v>
      </c>
      <c r="S46" s="2"/>
      <c r="T46" s="6">
        <v>221.33</v>
      </c>
      <c r="U46" s="2"/>
      <c r="V46" s="7">
        <f t="shared" si="29"/>
        <v>0</v>
      </c>
      <c r="W46" s="2"/>
      <c r="X46" s="6">
        <f t="shared" si="30"/>
        <v>-221.33</v>
      </c>
      <c r="Y46" s="2"/>
      <c r="Z46" s="7">
        <f t="shared" si="31"/>
        <v>-1</v>
      </c>
    </row>
    <row r="47" spans="1:26" s="24" customFormat="1" hidden="1" outlineLevel="2" x14ac:dyDescent="0.25">
      <c r="A47" s="28"/>
      <c r="B47" s="11" t="str">
        <f>CONCATENATE("          ", "6247", " - ", "STORE SUPPLIES")</f>
        <v xml:space="preserve">          6247 - STORE SUPPLIES</v>
      </c>
      <c r="C47" s="11"/>
      <c r="D47" s="6"/>
      <c r="E47" s="2"/>
      <c r="F47" s="7">
        <f t="shared" si="24"/>
        <v>0</v>
      </c>
      <c r="G47" s="2"/>
      <c r="H47" s="6">
        <v>294.49</v>
      </c>
      <c r="I47" s="2"/>
      <c r="J47" s="7">
        <f t="shared" si="25"/>
        <v>0</v>
      </c>
      <c r="K47" s="2"/>
      <c r="L47" s="6">
        <f t="shared" si="26"/>
        <v>-294.49</v>
      </c>
      <c r="M47" s="2"/>
      <c r="N47" s="7">
        <f t="shared" si="27"/>
        <v>-1</v>
      </c>
      <c r="O47" s="11"/>
      <c r="P47" s="6"/>
      <c r="Q47" s="2"/>
      <c r="R47" s="7">
        <f t="shared" si="28"/>
        <v>0</v>
      </c>
      <c r="S47" s="2"/>
      <c r="T47" s="6">
        <v>447.13</v>
      </c>
      <c r="U47" s="2"/>
      <c r="V47" s="7">
        <f t="shared" si="29"/>
        <v>0</v>
      </c>
      <c r="W47" s="2"/>
      <c r="X47" s="6">
        <f t="shared" si="30"/>
        <v>-447.13</v>
      </c>
      <c r="Y47" s="2"/>
      <c r="Z47" s="7">
        <f t="shared" si="31"/>
        <v>-1</v>
      </c>
    </row>
    <row r="48" spans="1:26" s="29" customFormat="1" outlineLevel="1" collapsed="1" x14ac:dyDescent="0.25">
      <c r="A48" s="27"/>
      <c r="B48" s="14" t="str">
        <f>CONCATENATE("     ","Telephone/Data Lines                              ")</f>
        <v xml:space="preserve">     Telephone/Data Lines                              </v>
      </c>
      <c r="C48" s="14"/>
      <c r="D48" s="1">
        <f>SUM(OSRRefD22_7x_0)</f>
        <v>0</v>
      </c>
      <c r="E48" s="1"/>
      <c r="F48" s="5">
        <f t="shared" ref="F48:F51" si="32">IF(D$12=0,0,D48/D$12)</f>
        <v>0</v>
      </c>
      <c r="G48" s="1"/>
      <c r="H48" s="1">
        <f>SUM(OSRRefH22_7x_0)</f>
        <v>170</v>
      </c>
      <c r="I48" s="1"/>
      <c r="J48" s="5">
        <f t="shared" ref="J48:J51" si="33">IF(H$12=0,0,H48/H$12)</f>
        <v>0</v>
      </c>
      <c r="K48" s="1"/>
      <c r="L48" s="1">
        <f t="shared" ref="L48:L51" si="34">+D48-H48</f>
        <v>-170</v>
      </c>
      <c r="M48" s="1"/>
      <c r="N48" s="5">
        <f t="shared" ref="N48:N51" si="35">IF(H48=0,0,L48/H48)</f>
        <v>-1</v>
      </c>
      <c r="O48" s="14"/>
      <c r="P48" s="1">
        <f>SUM(OSRRefP22_7x_0)</f>
        <v>0</v>
      </c>
      <c r="Q48" s="1"/>
      <c r="R48" s="5">
        <f t="shared" ref="R48:R51" si="36">IF(P$12=0,0,P48/P$12)</f>
        <v>0</v>
      </c>
      <c r="S48" s="1"/>
      <c r="T48" s="1">
        <f>SUM(OSRRefT22_7x_0)</f>
        <v>612.85</v>
      </c>
      <c r="U48" s="1"/>
      <c r="V48" s="5">
        <f t="shared" ref="V48:V51" si="37">IF(T$12=0,0,T48/T$12)</f>
        <v>0</v>
      </c>
      <c r="W48" s="1"/>
      <c r="X48" s="1">
        <f t="shared" ref="X48:X51" si="38">+P48-T48</f>
        <v>-612.85</v>
      </c>
      <c r="Y48" s="1"/>
      <c r="Z48" s="5">
        <f t="shared" ref="Z48:Z51" si="39">IF(T48=0,0,X48/T48)</f>
        <v>-1</v>
      </c>
    </row>
    <row r="49" spans="1:26" s="24" customFormat="1" hidden="1" outlineLevel="2" x14ac:dyDescent="0.25">
      <c r="A49" s="28"/>
      <c r="B49" s="11" t="str">
        <f>CONCATENATE("          ", "6309", " - ", "TELEPHONE")</f>
        <v xml:space="preserve">          6309 - TELEPHONE</v>
      </c>
      <c r="C49" s="11"/>
      <c r="D49" s="6"/>
      <c r="E49" s="2"/>
      <c r="F49" s="7">
        <f t="shared" si="32"/>
        <v>0</v>
      </c>
      <c r="G49" s="2"/>
      <c r="H49" s="6">
        <v>170</v>
      </c>
      <c r="I49" s="2"/>
      <c r="J49" s="7">
        <f t="shared" si="33"/>
        <v>0</v>
      </c>
      <c r="K49" s="2"/>
      <c r="L49" s="6">
        <f t="shared" si="34"/>
        <v>-170</v>
      </c>
      <c r="M49" s="2"/>
      <c r="N49" s="7">
        <f t="shared" si="35"/>
        <v>-1</v>
      </c>
      <c r="O49" s="11"/>
      <c r="P49" s="6"/>
      <c r="Q49" s="2"/>
      <c r="R49" s="7">
        <f t="shared" si="36"/>
        <v>0</v>
      </c>
      <c r="S49" s="2"/>
      <c r="T49" s="6">
        <v>612.85</v>
      </c>
      <c r="U49" s="2"/>
      <c r="V49" s="7">
        <f t="shared" si="37"/>
        <v>0</v>
      </c>
      <c r="W49" s="2"/>
      <c r="X49" s="6">
        <f t="shared" si="38"/>
        <v>-612.85</v>
      </c>
      <c r="Y49" s="2"/>
      <c r="Z49" s="7">
        <f t="shared" si="39"/>
        <v>-1</v>
      </c>
    </row>
    <row r="50" spans="1:26" s="29" customFormat="1" outlineLevel="1" collapsed="1" x14ac:dyDescent="0.25">
      <c r="A50" s="27"/>
      <c r="B50" s="14" t="str">
        <f>CONCATENATE("     ","Training                                          ")</f>
        <v xml:space="preserve">     Training                                          </v>
      </c>
      <c r="C50" s="14"/>
      <c r="D50" s="1">
        <f>SUM(OSRRefD22_8x_0)</f>
        <v>0</v>
      </c>
      <c r="E50" s="1"/>
      <c r="F50" s="5">
        <f t="shared" si="32"/>
        <v>0</v>
      </c>
      <c r="G50" s="1"/>
      <c r="H50" s="1">
        <f>SUM(OSRRefH22_8x_0)</f>
        <v>80</v>
      </c>
      <c r="I50" s="1"/>
      <c r="J50" s="5">
        <f t="shared" si="33"/>
        <v>0</v>
      </c>
      <c r="K50" s="1"/>
      <c r="L50" s="1">
        <f t="shared" si="34"/>
        <v>-80</v>
      </c>
      <c r="M50" s="1"/>
      <c r="N50" s="5">
        <f t="shared" si="35"/>
        <v>-1</v>
      </c>
      <c r="O50" s="14"/>
      <c r="P50" s="1">
        <f>SUM(OSRRefP22_8x_0)</f>
        <v>0</v>
      </c>
      <c r="Q50" s="1"/>
      <c r="R50" s="5">
        <f t="shared" si="36"/>
        <v>0</v>
      </c>
      <c r="S50" s="1"/>
      <c r="T50" s="1">
        <f>SUM(OSRRefT22_8x_0)</f>
        <v>80</v>
      </c>
      <c r="U50" s="1"/>
      <c r="V50" s="5">
        <f t="shared" si="37"/>
        <v>0</v>
      </c>
      <c r="W50" s="1"/>
      <c r="X50" s="1">
        <f t="shared" si="38"/>
        <v>-80</v>
      </c>
      <c r="Y50" s="1"/>
      <c r="Z50" s="5">
        <f t="shared" si="39"/>
        <v>-1</v>
      </c>
    </row>
    <row r="51" spans="1:26" s="24" customFormat="1" hidden="1" outlineLevel="2" x14ac:dyDescent="0.25">
      <c r="A51" s="28"/>
      <c r="B51" s="11" t="str">
        <f>CONCATENATE("          ", "6376", " - ", "TRAINING")</f>
        <v xml:space="preserve">          6376 - TRAINING</v>
      </c>
      <c r="C51" s="11"/>
      <c r="D51" s="6"/>
      <c r="E51" s="2"/>
      <c r="F51" s="7">
        <f t="shared" si="32"/>
        <v>0</v>
      </c>
      <c r="G51" s="2"/>
      <c r="H51" s="6">
        <v>80</v>
      </c>
      <c r="I51" s="2"/>
      <c r="J51" s="7">
        <f t="shared" si="33"/>
        <v>0</v>
      </c>
      <c r="K51" s="2"/>
      <c r="L51" s="6">
        <f t="shared" si="34"/>
        <v>-80</v>
      </c>
      <c r="M51" s="2"/>
      <c r="N51" s="7">
        <f t="shared" si="35"/>
        <v>-1</v>
      </c>
      <c r="O51" s="11"/>
      <c r="P51" s="6"/>
      <c r="Q51" s="2"/>
      <c r="R51" s="7">
        <f t="shared" si="36"/>
        <v>0</v>
      </c>
      <c r="S51" s="2"/>
      <c r="T51" s="6">
        <v>80</v>
      </c>
      <c r="U51" s="2"/>
      <c r="V51" s="7">
        <f t="shared" si="37"/>
        <v>0</v>
      </c>
      <c r="W51" s="2"/>
      <c r="X51" s="6">
        <f t="shared" si="38"/>
        <v>-80</v>
      </c>
      <c r="Y51" s="2"/>
      <c r="Z51" s="7">
        <f t="shared" si="39"/>
        <v>-1</v>
      </c>
    </row>
    <row r="52" spans="1:26" s="57" customFormat="1" x14ac:dyDescent="0.25">
      <c r="A52" s="37"/>
      <c r="B52" s="37"/>
      <c r="C52" s="37"/>
      <c r="D52" s="1"/>
      <c r="E52" s="1"/>
      <c r="F52" s="5"/>
      <c r="G52" s="1"/>
      <c r="H52" s="1"/>
      <c r="I52" s="1"/>
      <c r="J52" s="5"/>
      <c r="K52" s="1"/>
      <c r="L52" s="1"/>
      <c r="M52" s="1"/>
      <c r="N52" s="5"/>
      <c r="O52" s="37"/>
      <c r="P52" s="1"/>
      <c r="Q52" s="1"/>
      <c r="R52" s="5"/>
      <c r="S52" s="1"/>
      <c r="T52" s="1"/>
      <c r="U52" s="1"/>
      <c r="V52" s="5"/>
      <c r="W52" s="1"/>
      <c r="X52" s="1"/>
      <c r="Y52" s="1"/>
      <c r="Z52" s="5"/>
    </row>
    <row r="53" spans="1:26" s="23" customFormat="1" x14ac:dyDescent="0.25">
      <c r="A53" s="10"/>
      <c r="B53" s="26" t="s">
        <v>0</v>
      </c>
      <c r="C53" s="10"/>
      <c r="D53" s="4">
        <f>SUM(0)</f>
        <v>0</v>
      </c>
      <c r="E53" s="4"/>
      <c r="F53" s="12">
        <f>IF(D$12=0,0,D53/D$12)</f>
        <v>0</v>
      </c>
      <c r="G53" s="4"/>
      <c r="H53" s="4">
        <f>SUM(0)</f>
        <v>0</v>
      </c>
      <c r="I53" s="4"/>
      <c r="J53" s="12">
        <f>IF(H$12=0,0,H53/H$12)</f>
        <v>0</v>
      </c>
      <c r="K53" s="4"/>
      <c r="L53" s="4">
        <f>+D53-H53</f>
        <v>0</v>
      </c>
      <c r="M53" s="4"/>
      <c r="N53" s="12">
        <f>IF(H53=0,0,L53/H53)</f>
        <v>0</v>
      </c>
      <c r="O53" s="10"/>
      <c r="P53" s="4">
        <f>SUM(0)</f>
        <v>0</v>
      </c>
      <c r="Q53" s="4"/>
      <c r="R53" s="12">
        <f>IF(P$12=0,0,P53/P$12)</f>
        <v>0</v>
      </c>
      <c r="S53" s="4"/>
      <c r="T53" s="4">
        <f>SUM(0)</f>
        <v>0</v>
      </c>
      <c r="U53" s="4"/>
      <c r="V53" s="12">
        <f>IF(T$12=0,0,T53/T$12)</f>
        <v>0</v>
      </c>
      <c r="W53" s="4"/>
      <c r="X53" s="4">
        <f>+P53-T53</f>
        <v>0</v>
      </c>
      <c r="Y53" s="4"/>
      <c r="Z53" s="12">
        <f>IF(T53=0,0,X53/T53)</f>
        <v>0</v>
      </c>
    </row>
    <row r="54" spans="1:26" x14ac:dyDescent="0.25">
      <c r="A54" s="9"/>
      <c r="B54" s="10"/>
      <c r="C54" s="10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O54" s="10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3" customFormat="1" x14ac:dyDescent="0.25">
      <c r="A55" s="10"/>
      <c r="B55" s="25" t="s">
        <v>3</v>
      </c>
      <c r="C55" s="25"/>
      <c r="D55" s="20">
        <f>+D16-D18+D53</f>
        <v>0</v>
      </c>
      <c r="E55" s="13"/>
      <c r="F55" s="21">
        <f>IF(D$12=0,0,D55/D$12)</f>
        <v>0</v>
      </c>
      <c r="G55" s="13"/>
      <c r="H55" s="20">
        <f>+H16-H18+H53</f>
        <v>-35902.289999999994</v>
      </c>
      <c r="I55" s="13"/>
      <c r="J55" s="21">
        <f>IF(H$12=0,0,H55/H$12)</f>
        <v>0</v>
      </c>
      <c r="K55" s="15"/>
      <c r="L55" s="20">
        <f>+D55-H55</f>
        <v>35902.289999999994</v>
      </c>
      <c r="M55" s="15"/>
      <c r="N55" s="21">
        <f>IF(H55=0,0,L55/H55)</f>
        <v>-1</v>
      </c>
      <c r="O55" s="26"/>
      <c r="P55" s="20">
        <f>+P16-P18+P53</f>
        <v>-0.23</v>
      </c>
      <c r="Q55" s="13"/>
      <c r="R55" s="21">
        <f>IF(P$12=0,0,P55/P$12)</f>
        <v>0</v>
      </c>
      <c r="S55" s="13"/>
      <c r="T55" s="20">
        <f>+T16-T18+T53</f>
        <v>-185765.77999999997</v>
      </c>
      <c r="U55" s="13"/>
      <c r="V55" s="21">
        <f>IF(T$12=0,0,T55/T$12)</f>
        <v>0</v>
      </c>
      <c r="W55" s="15"/>
      <c r="X55" s="20">
        <f>+P55-T55</f>
        <v>185765.54999999996</v>
      </c>
      <c r="Y55" s="15"/>
      <c r="Z55" s="21">
        <f>IF(T55=0,0,X55/T55)</f>
        <v>-0.99999876188176307</v>
      </c>
    </row>
    <row r="56" spans="1:26" x14ac:dyDescent="0.25">
      <c r="A56" s="9"/>
      <c r="B56" s="10"/>
      <c r="C56" s="9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3" customFormat="1" x14ac:dyDescent="0.25">
      <c r="A57" s="51"/>
      <c r="B57" s="10" t="s">
        <v>13</v>
      </c>
      <c r="C57" s="10"/>
      <c r="D57" s="4"/>
      <c r="E57" s="4"/>
      <c r="F57" s="12">
        <f>IF(D$12=0,0,D57/D$12)</f>
        <v>0</v>
      </c>
      <c r="G57" s="4"/>
      <c r="H57" s="4"/>
      <c r="I57" s="4"/>
      <c r="J57" s="12">
        <f>IF(H$12=0,0,H57/H$12)</f>
        <v>0</v>
      </c>
      <c r="K57" s="4"/>
      <c r="L57" s="4">
        <f>+D57-H57</f>
        <v>0</v>
      </c>
      <c r="M57" s="4"/>
      <c r="N57" s="12">
        <f>IF(H57=0,0,L57/H57)</f>
        <v>0</v>
      </c>
      <c r="O57" s="10"/>
      <c r="P57" s="4"/>
      <c r="Q57" s="4"/>
      <c r="R57" s="12">
        <f>IF(P$12=0,0,P57/P$12)</f>
        <v>0</v>
      </c>
      <c r="S57" s="4"/>
      <c r="T57" s="4"/>
      <c r="U57" s="4"/>
      <c r="V57" s="12">
        <f>IF(T$12=0,0,T57/T$12)</f>
        <v>0</v>
      </c>
      <c r="W57" s="4"/>
      <c r="X57" s="4">
        <f>+P57-T57</f>
        <v>0</v>
      </c>
      <c r="Y57" s="4"/>
      <c r="Z57" s="12">
        <f>IF(T57=0,0,X57/T57)</f>
        <v>0</v>
      </c>
    </row>
    <row r="58" spans="1:26" x14ac:dyDescent="0.25">
      <c r="A58" s="9"/>
      <c r="B58" s="10"/>
      <c r="C58" s="10"/>
      <c r="D58" s="3"/>
      <c r="E58" s="3"/>
      <c r="F58" s="8"/>
      <c r="G58" s="3"/>
      <c r="H58" s="3"/>
      <c r="I58" s="3"/>
      <c r="J58" s="8"/>
      <c r="K58" s="3"/>
      <c r="L58" s="3"/>
      <c r="M58" s="3"/>
      <c r="N58" s="8"/>
      <c r="O58" s="10"/>
      <c r="P58" s="3"/>
      <c r="Q58" s="3"/>
      <c r="R58" s="8"/>
      <c r="S58" s="3"/>
      <c r="T58" s="3"/>
      <c r="U58" s="3"/>
      <c r="V58" s="8"/>
      <c r="W58" s="3"/>
      <c r="X58" s="3"/>
      <c r="Y58" s="3"/>
      <c r="Z58" s="8"/>
    </row>
    <row r="59" spans="1:26" s="23" customFormat="1" ht="15.75" thickBot="1" x14ac:dyDescent="0.3">
      <c r="A59" s="10"/>
      <c r="B59" s="25" t="s">
        <v>4</v>
      </c>
      <c r="C59" s="25"/>
      <c r="D59" s="30">
        <f>+D55-D57</f>
        <v>0</v>
      </c>
      <c r="E59" s="13"/>
      <c r="F59" s="33">
        <f>IF(D$12=0,0,D59/D$12)</f>
        <v>0</v>
      </c>
      <c r="G59" s="13"/>
      <c r="H59" s="30">
        <f>+H55-H57</f>
        <v>-35902.289999999994</v>
      </c>
      <c r="I59" s="13"/>
      <c r="J59" s="33">
        <f>IF(H$12=0,0,H59/H$12)</f>
        <v>0</v>
      </c>
      <c r="K59" s="15"/>
      <c r="L59" s="30">
        <f>D59-H59</f>
        <v>35902.289999999994</v>
      </c>
      <c r="M59" s="15"/>
      <c r="N59" s="33">
        <f>IF(H59=0,0,L59/H59)</f>
        <v>-1</v>
      </c>
      <c r="O59" s="26"/>
      <c r="P59" s="30">
        <f>+P55-P57</f>
        <v>-0.23</v>
      </c>
      <c r="Q59" s="13"/>
      <c r="R59" s="33">
        <f>IF(P$12=0,0,P59/P$12)</f>
        <v>0</v>
      </c>
      <c r="S59" s="13"/>
      <c r="T59" s="30">
        <f>+T55-T57</f>
        <v>-185765.77999999997</v>
      </c>
      <c r="U59" s="13"/>
      <c r="V59" s="33">
        <f>IF(T$12=0,0,T59/T$12)</f>
        <v>0</v>
      </c>
      <c r="W59" s="15"/>
      <c r="X59" s="30">
        <f>P59-T59</f>
        <v>185765.54999999996</v>
      </c>
      <c r="Y59" s="15"/>
      <c r="Z59" s="33">
        <f>IF(T59=0,0,X59/T59)</f>
        <v>-0.99999876188176307</v>
      </c>
    </row>
    <row r="60" spans="1:26" ht="15.75" thickTop="1" x14ac:dyDescent="0.25">
      <c r="A60" s="9"/>
      <c r="B60" s="9"/>
      <c r="C60" s="9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x14ac:dyDescent="0.25">
      <c r="A61" s="9"/>
      <c r="B61" s="9"/>
      <c r="C61" s="9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ht="15.75" thickBot="1" x14ac:dyDescent="0.3">
      <c r="A62" s="10"/>
      <c r="B62" s="25" t="s">
        <v>5</v>
      </c>
      <c r="C62" s="25"/>
      <c r="D62" s="34">
        <f>SUM(D59:D61)</f>
        <v>0</v>
      </c>
      <c r="E62" s="13"/>
      <c r="F62" s="35">
        <f>IF(D$12=0,0,D62/D$12)</f>
        <v>0</v>
      </c>
      <c r="G62" s="13"/>
      <c r="H62" s="34">
        <f>SUM(H59:H61)</f>
        <v>-35902.289999999994</v>
      </c>
      <c r="I62" s="13"/>
      <c r="J62" s="35">
        <f>IF(H$12=0,0,H62/H$12)</f>
        <v>0</v>
      </c>
      <c r="K62" s="15"/>
      <c r="L62" s="34">
        <f>+D62-H62</f>
        <v>35902.289999999994</v>
      </c>
      <c r="M62" s="15"/>
      <c r="N62" s="35">
        <f>IF(H62=0,0,L62/H62)</f>
        <v>-1</v>
      </c>
      <c r="O62" s="26"/>
      <c r="P62" s="34">
        <f>SUM(P59:P61)</f>
        <v>-0.23</v>
      </c>
      <c r="Q62" s="13"/>
      <c r="R62" s="35">
        <f>IF(P$12=0,0,P62/P$12)</f>
        <v>0</v>
      </c>
      <c r="S62" s="13"/>
      <c r="T62" s="34">
        <f>SUM(T59:T61)</f>
        <v>-185765.77999999997</v>
      </c>
      <c r="U62" s="13"/>
      <c r="V62" s="35">
        <f>IF(T$12=0,0,T62/T$12)</f>
        <v>0</v>
      </c>
      <c r="W62" s="15"/>
      <c r="X62" s="34">
        <f>+P62-T62</f>
        <v>185765.54999999996</v>
      </c>
      <c r="Y62" s="15"/>
      <c r="Z62" s="35">
        <f>IF(T62=0,0,X62/T62)</f>
        <v>-0.99999876188176307</v>
      </c>
    </row>
    <row r="63" spans="1:26" ht="15.75" thickTop="1" x14ac:dyDescent="0.25">
      <c r="A63" s="9"/>
      <c r="C63" s="9"/>
      <c r="D63" s="18"/>
      <c r="E63" s="18"/>
      <c r="G63" s="18"/>
      <c r="H63" s="18"/>
      <c r="I63" s="18"/>
      <c r="J63" s="43"/>
      <c r="K63" s="18"/>
      <c r="L63" s="18"/>
      <c r="M63" s="18"/>
      <c r="P63" s="18"/>
      <c r="Q63" s="18"/>
      <c r="R63" s="43"/>
      <c r="S63" s="18"/>
      <c r="T63" s="18"/>
      <c r="U63" s="18"/>
      <c r="V63" s="43"/>
      <c r="W63" s="18"/>
      <c r="X63" s="18"/>
    </row>
    <row r="64" spans="1:26" x14ac:dyDescent="0.25">
      <c r="A64" s="9"/>
      <c r="B64" s="56">
        <v>44151.572335416669</v>
      </c>
      <c r="D64" s="18"/>
      <c r="E64" s="18"/>
      <c r="G64" s="18"/>
      <c r="H64" s="18"/>
      <c r="I64" s="18"/>
      <c r="J64" s="43"/>
      <c r="K64" s="18"/>
      <c r="L64" s="18"/>
      <c r="M64" s="18"/>
      <c r="P64" s="18"/>
      <c r="Q64" s="18"/>
      <c r="R64" s="43"/>
      <c r="S64" s="18"/>
      <c r="T64" s="18"/>
      <c r="U64" s="18"/>
      <c r="V64" s="43"/>
      <c r="W64" s="18"/>
      <c r="X64" s="18"/>
    </row>
    <row r="65" spans="1:24" x14ac:dyDescent="0.25">
      <c r="A65" s="9"/>
      <c r="B65" s="62" t="s">
        <v>313</v>
      </c>
      <c r="D65" s="18"/>
      <c r="E65" s="18"/>
      <c r="G65" s="18"/>
      <c r="H65" s="18"/>
      <c r="I65" s="18"/>
      <c r="J65" s="43"/>
      <c r="K65" s="18"/>
      <c r="L65" s="18"/>
      <c r="M65" s="18"/>
      <c r="P65" s="18"/>
      <c r="Q65" s="18"/>
      <c r="R65" s="43"/>
      <c r="S65" s="18"/>
      <c r="T65" s="18"/>
      <c r="U65" s="18"/>
      <c r="V65" s="43"/>
      <c r="W65" s="18"/>
      <c r="X65" s="18"/>
    </row>
    <row r="66" spans="1:24" x14ac:dyDescent="0.25">
      <c r="A66" s="9"/>
      <c r="B66" s="54"/>
      <c r="D66" s="18"/>
      <c r="E66" s="18"/>
      <c r="G66" s="18"/>
      <c r="H66" s="18"/>
      <c r="I66" s="18"/>
      <c r="J66" s="43"/>
      <c r="K66" s="18"/>
      <c r="L66" s="18"/>
      <c r="M66" s="18"/>
      <c r="P66" s="18"/>
      <c r="Q66" s="18"/>
      <c r="R66" s="43"/>
      <c r="S66" s="18"/>
      <c r="T66" s="18"/>
      <c r="U66" s="18"/>
      <c r="V66" s="43"/>
      <c r="W66" s="18"/>
      <c r="X66" s="18"/>
    </row>
    <row r="67" spans="1:24" x14ac:dyDescent="0.25">
      <c r="D67" s="18"/>
      <c r="E67" s="18"/>
      <c r="G67" s="18"/>
      <c r="H67" s="18"/>
      <c r="I67" s="18"/>
      <c r="J67" s="43"/>
      <c r="K67" s="18"/>
      <c r="L67" s="18"/>
      <c r="M67" s="18"/>
      <c r="P67" s="18"/>
      <c r="Q67" s="18"/>
      <c r="R67" s="43"/>
      <c r="S67" s="18"/>
      <c r="T67" s="18"/>
      <c r="U67" s="18"/>
      <c r="V67" s="43"/>
      <c r="W67" s="18"/>
      <c r="X67" s="18"/>
    </row>
  </sheetData>
  <pageMargins left="0.25" right="0.25" top="0.75" bottom="0.75" header="0.3" footer="0.3"/>
  <pageSetup scale="55" fitToWidth="2" orientation="landscape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32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",RIGHT(202104,2),", ",2021)</f>
        <v>Period 04,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44135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304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61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50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50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2"/>
      <c r="F10" s="31" t="s">
        <v>14</v>
      </c>
      <c r="G10" s="32"/>
      <c r="H10" s="49" t="s">
        <v>306</v>
      </c>
      <c r="I10" s="32"/>
      <c r="J10" s="31" t="s">
        <v>14</v>
      </c>
      <c r="K10" s="10"/>
      <c r="L10" s="42" t="s">
        <v>11</v>
      </c>
      <c r="M10" s="10"/>
      <c r="N10" s="31" t="s">
        <v>15</v>
      </c>
      <c r="O10" s="10"/>
      <c r="P10" s="59" t="s">
        <v>10</v>
      </c>
      <c r="Q10" s="32"/>
      <c r="R10" s="31" t="s">
        <v>14</v>
      </c>
      <c r="S10" s="32"/>
      <c r="T10" s="49" t="s">
        <v>306</v>
      </c>
      <c r="U10" s="32"/>
      <c r="V10" s="31" t="s">
        <v>14</v>
      </c>
      <c r="W10" s="10"/>
      <c r="X10" s="42" t="s">
        <v>11</v>
      </c>
      <c r="Y10" s="10"/>
      <c r="Z10" s="31" t="s">
        <v>15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17.899999999999999</v>
      </c>
      <c r="E12" s="4"/>
      <c r="F12" s="12"/>
      <c r="G12" s="4"/>
      <c r="H12" s="4">
        <f>SUM(OSRRefH13x_0)</f>
        <v>115804.00999999998</v>
      </c>
      <c r="I12" s="4"/>
      <c r="J12" s="12"/>
      <c r="K12" s="4"/>
      <c r="L12" s="4">
        <f t="shared" ref="L12:L46" si="0">+D12-H12</f>
        <v>-115786.10999999999</v>
      </c>
      <c r="M12" s="4"/>
      <c r="N12" s="12">
        <f t="shared" ref="N12:N46" si="1">IF(H12=0,0,L12/H12)</f>
        <v>-0.99984542849595626</v>
      </c>
      <c r="O12" s="10"/>
      <c r="P12" s="4">
        <f>SUM(OSRRefP13x_0)</f>
        <v>21311.919999999998</v>
      </c>
      <c r="Q12" s="4"/>
      <c r="R12" s="12"/>
      <c r="S12" s="4"/>
      <c r="T12" s="4">
        <f>SUM(OSRRefT13x_0)</f>
        <v>406532.96000000008</v>
      </c>
      <c r="U12" s="4"/>
      <c r="V12" s="12"/>
      <c r="W12" s="4"/>
      <c r="X12" s="4">
        <f t="shared" ref="X12:X46" si="2">+P12-T12</f>
        <v>-385221.0400000001</v>
      </c>
      <c r="Y12" s="4"/>
      <c r="Z12" s="12">
        <f t="shared" ref="Z12:Z46" si="3">IF(T12=0,0,X12/T12)</f>
        <v>-0.94757640315314173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-1.74</f>
        <v>-1.74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-1.74</v>
      </c>
      <c r="M13" s="2"/>
      <c r="N13" s="19">
        <f t="shared" si="1"/>
        <v>0</v>
      </c>
      <c r="O13" s="11"/>
      <c r="P13" s="2">
        <f>-1096.44</f>
        <v>-1096.44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-1096.44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"4017", " - ", "TAXABLE SALES-DORM/HOUSEWARES")</f>
        <v xml:space="preserve">          4017 - TAXABLE SALES-DORM/HOUSEWARES</v>
      </c>
      <c r="C14" s="11"/>
      <c r="D14" s="2">
        <f t="shared" ref="D14:D19" si="4">0</f>
        <v>0</v>
      </c>
      <c r="E14" s="2"/>
      <c r="F14" s="19"/>
      <c r="G14" s="2"/>
      <c r="H14" s="2">
        <f>--2.98</f>
        <v>2.98</v>
      </c>
      <c r="I14" s="2"/>
      <c r="J14" s="19"/>
      <c r="K14" s="2"/>
      <c r="L14" s="2">
        <f t="shared" si="0"/>
        <v>-2.98</v>
      </c>
      <c r="M14" s="2"/>
      <c r="N14" s="19">
        <f t="shared" si="1"/>
        <v>-1</v>
      </c>
      <c r="O14" s="11"/>
      <c r="P14" s="2">
        <f t="shared" ref="P14:P16" si="5">0</f>
        <v>0</v>
      </c>
      <c r="Q14" s="2"/>
      <c r="R14" s="19"/>
      <c r="S14" s="2"/>
      <c r="T14" s="2">
        <f>--225.67</f>
        <v>225.67</v>
      </c>
      <c r="U14" s="2"/>
      <c r="V14" s="19"/>
      <c r="W14" s="2"/>
      <c r="X14" s="2">
        <f t="shared" si="2"/>
        <v>-225.67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"4019", " - ", "TAXABLE SALES-BOOK RELATED")</f>
        <v xml:space="preserve">          4019 - TAXABLE SALES-BOOK RELATED</v>
      </c>
      <c r="C15" s="11"/>
      <c r="D15" s="2">
        <f t="shared" si="4"/>
        <v>0</v>
      </c>
      <c r="E15" s="2"/>
      <c r="F15" s="19"/>
      <c r="G15" s="2"/>
      <c r="H15" s="2">
        <f>--14.95</f>
        <v>14.95</v>
      </c>
      <c r="I15" s="2"/>
      <c r="J15" s="19"/>
      <c r="K15" s="2"/>
      <c r="L15" s="2">
        <f t="shared" si="0"/>
        <v>-14.95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--29.9</f>
        <v>29.9</v>
      </c>
      <c r="U15" s="2"/>
      <c r="V15" s="19"/>
      <c r="W15" s="2"/>
      <c r="X15" s="2">
        <f t="shared" si="2"/>
        <v>-29.9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"4025", " - ", "TAXABLE SALES-TEST FORMS")</f>
        <v xml:space="preserve">          4025 - TAXABLE SALES-TEST FORMS</v>
      </c>
      <c r="C16" s="11"/>
      <c r="D16" s="2">
        <f t="shared" si="4"/>
        <v>0</v>
      </c>
      <c r="E16" s="2"/>
      <c r="F16" s="19"/>
      <c r="G16" s="2"/>
      <c r="H16" s="2">
        <f>--10035.97</f>
        <v>10035.969999999999</v>
      </c>
      <c r="I16" s="2"/>
      <c r="J16" s="19"/>
      <c r="K16" s="2"/>
      <c r="L16" s="2">
        <f t="shared" si="0"/>
        <v>-10035.969999999999</v>
      </c>
      <c r="M16" s="2"/>
      <c r="N16" s="19">
        <f t="shared" si="1"/>
        <v>-1</v>
      </c>
      <c r="O16" s="11"/>
      <c r="P16" s="2">
        <f t="shared" si="5"/>
        <v>0</v>
      </c>
      <c r="Q16" s="2"/>
      <c r="R16" s="19"/>
      <c r="S16" s="2"/>
      <c r="T16" s="2">
        <f>--26332.04</f>
        <v>26332.04</v>
      </c>
      <c r="U16" s="2"/>
      <c r="V16" s="19"/>
      <c r="W16" s="2"/>
      <c r="X16" s="2">
        <f t="shared" si="2"/>
        <v>-26332.04</v>
      </c>
      <c r="Y16" s="2"/>
      <c r="Z16" s="19">
        <f t="shared" si="3"/>
        <v>-1</v>
      </c>
    </row>
    <row r="17" spans="1:26" s="24" customFormat="1" hidden="1" outlineLevel="1" x14ac:dyDescent="0.25">
      <c r="A17" s="44"/>
      <c r="B17" s="11" t="str">
        <f>CONCATENATE("          ", "4026", " - ", "TAXABLE SALES-WRITING INSTRUME")</f>
        <v xml:space="preserve">          4026 - TAXABLE SALES-WRITING INSTRUME</v>
      </c>
      <c r="C17" s="11"/>
      <c r="D17" s="2">
        <f t="shared" si="4"/>
        <v>0</v>
      </c>
      <c r="E17" s="2"/>
      <c r="F17" s="19"/>
      <c r="G17" s="2"/>
      <c r="H17" s="2">
        <f>--12548.68</f>
        <v>12548.68</v>
      </c>
      <c r="I17" s="2"/>
      <c r="J17" s="19"/>
      <c r="K17" s="2"/>
      <c r="L17" s="2">
        <f t="shared" si="0"/>
        <v>-12548.68</v>
      </c>
      <c r="M17" s="2"/>
      <c r="N17" s="19">
        <f t="shared" si="1"/>
        <v>-1</v>
      </c>
      <c r="O17" s="11"/>
      <c r="P17" s="2">
        <f>--17.51</f>
        <v>17.510000000000002</v>
      </c>
      <c r="Q17" s="2"/>
      <c r="R17" s="19"/>
      <c r="S17" s="2"/>
      <c r="T17" s="2">
        <f>--36964.26</f>
        <v>36964.26</v>
      </c>
      <c r="U17" s="2"/>
      <c r="V17" s="19"/>
      <c r="W17" s="2"/>
      <c r="X17" s="2">
        <f t="shared" si="2"/>
        <v>-36946.75</v>
      </c>
      <c r="Y17" s="2"/>
      <c r="Z17" s="19">
        <f t="shared" si="3"/>
        <v>-0.99952629918737712</v>
      </c>
    </row>
    <row r="18" spans="1:26" s="24" customFormat="1" hidden="1" outlineLevel="1" x14ac:dyDescent="0.25">
      <c r="A18" s="44"/>
      <c r="B18" s="11" t="str">
        <f>CONCATENATE("          ", "4027", " - ", "TAXABLE SALES-SCHOOL SUPPLIES")</f>
        <v xml:space="preserve">          4027 - TAXABLE SALES-SCHOOL SUPPLIES</v>
      </c>
      <c r="C18" s="11"/>
      <c r="D18" s="2">
        <f t="shared" si="4"/>
        <v>0</v>
      </c>
      <c r="E18" s="2"/>
      <c r="F18" s="19"/>
      <c r="G18" s="2"/>
      <c r="H18" s="2">
        <f>--20952.95</f>
        <v>20952.95</v>
      </c>
      <c r="I18" s="2"/>
      <c r="J18" s="19"/>
      <c r="K18" s="2"/>
      <c r="L18" s="2">
        <f t="shared" si="0"/>
        <v>-20952.95</v>
      </c>
      <c r="M18" s="2"/>
      <c r="N18" s="19">
        <f t="shared" si="1"/>
        <v>-1</v>
      </c>
      <c r="O18" s="11"/>
      <c r="P18" s="2">
        <f>--7990.32</f>
        <v>7990.32</v>
      </c>
      <c r="Q18" s="2"/>
      <c r="R18" s="19"/>
      <c r="S18" s="2"/>
      <c r="T18" s="2">
        <f>--144225.63</f>
        <v>144225.63</v>
      </c>
      <c r="U18" s="2"/>
      <c r="V18" s="19"/>
      <c r="W18" s="2"/>
      <c r="X18" s="2">
        <f t="shared" si="2"/>
        <v>-136235.31</v>
      </c>
      <c r="Y18" s="2"/>
      <c r="Z18" s="19">
        <f t="shared" si="3"/>
        <v>-0.94459847393282315</v>
      </c>
    </row>
    <row r="19" spans="1:26" s="24" customFormat="1" hidden="1" outlineLevel="1" x14ac:dyDescent="0.25">
      <c r="A19" s="44"/>
      <c r="B19" s="11" t="str">
        <f>CONCATENATE("          ", "4028", " - ", "TAXABLE SALES-ART/TECH")</f>
        <v xml:space="preserve">          4028 - TAXABLE SALES-ART/TECH</v>
      </c>
      <c r="C19" s="11"/>
      <c r="D19" s="2">
        <f t="shared" si="4"/>
        <v>0</v>
      </c>
      <c r="E19" s="2"/>
      <c r="F19" s="19"/>
      <c r="G19" s="2"/>
      <c r="H19" s="2">
        <f>--45836.99</f>
        <v>45836.99</v>
      </c>
      <c r="I19" s="2"/>
      <c r="J19" s="19"/>
      <c r="K19" s="2"/>
      <c r="L19" s="2">
        <f t="shared" si="0"/>
        <v>-45836.99</v>
      </c>
      <c r="M19" s="2"/>
      <c r="N19" s="19">
        <f t="shared" si="1"/>
        <v>-1</v>
      </c>
      <c r="O19" s="11"/>
      <c r="P19" s="2">
        <f>--12479.05</f>
        <v>12479.05</v>
      </c>
      <c r="Q19" s="2"/>
      <c r="R19" s="19"/>
      <c r="S19" s="2"/>
      <c r="T19" s="2">
        <f>--146564.67</f>
        <v>146564.67000000001</v>
      </c>
      <c r="U19" s="2"/>
      <c r="V19" s="19"/>
      <c r="W19" s="2"/>
      <c r="X19" s="2">
        <f t="shared" si="2"/>
        <v>-134085.62000000002</v>
      </c>
      <c r="Y19" s="2"/>
      <c r="Z19" s="19">
        <f t="shared" si="3"/>
        <v>-0.91485635658307018</v>
      </c>
    </row>
    <row r="20" spans="1:26" s="24" customFormat="1" hidden="1" outlineLevel="1" x14ac:dyDescent="0.25">
      <c r="A20" s="44"/>
      <c r="B20" s="11" t="str">
        <f>CONCATENATE("          ", "4031", " - ", "TAXABLE SALES-FOOD")</f>
        <v xml:space="preserve">          4031 - TAXABLE SALES-FOOD</v>
      </c>
      <c r="C20" s="11"/>
      <c r="D20" s="2">
        <f>--5.18</f>
        <v>5.18</v>
      </c>
      <c r="E20" s="2"/>
      <c r="F20" s="19"/>
      <c r="G20" s="2"/>
      <c r="H20" s="2">
        <f>--100.46</f>
        <v>100.46</v>
      </c>
      <c r="I20" s="2"/>
      <c r="J20" s="19"/>
      <c r="K20" s="2"/>
      <c r="L20" s="2">
        <f t="shared" si="0"/>
        <v>-95.28</v>
      </c>
      <c r="M20" s="2"/>
      <c r="N20" s="19">
        <f t="shared" si="1"/>
        <v>-0.94843718893091788</v>
      </c>
      <c r="O20" s="11"/>
      <c r="P20" s="2">
        <f>--374.55</f>
        <v>374.55</v>
      </c>
      <c r="Q20" s="2"/>
      <c r="R20" s="19"/>
      <c r="S20" s="2"/>
      <c r="T20" s="2">
        <f>--221.28</f>
        <v>221.28</v>
      </c>
      <c r="U20" s="2"/>
      <c r="V20" s="19"/>
      <c r="W20" s="2"/>
      <c r="X20" s="2">
        <f t="shared" si="2"/>
        <v>153.27000000000001</v>
      </c>
      <c r="Y20" s="2"/>
      <c r="Z20" s="19">
        <f t="shared" si="3"/>
        <v>0.69265184381778744</v>
      </c>
    </row>
    <row r="21" spans="1:26" s="24" customFormat="1" hidden="1" outlineLevel="1" x14ac:dyDescent="0.25">
      <c r="A21" s="44"/>
      <c r="B21" s="11" t="str">
        <f>CONCATENATE("          ", "4032", " - ", "TAXABLE SALES-JUICE")</f>
        <v xml:space="preserve">          4032 - TAXABLE SALES-JUICE</v>
      </c>
      <c r="C21" s="11"/>
      <c r="D21" s="2">
        <f t="shared" ref="D21:D33" si="6">0</f>
        <v>0</v>
      </c>
      <c r="E21" s="2"/>
      <c r="F21" s="19"/>
      <c r="G21" s="2"/>
      <c r="H21" s="2">
        <f>--32.07</f>
        <v>32.07</v>
      </c>
      <c r="I21" s="2"/>
      <c r="J21" s="19"/>
      <c r="K21" s="2"/>
      <c r="L21" s="2">
        <f t="shared" si="0"/>
        <v>-32.07</v>
      </c>
      <c r="M21" s="2"/>
      <c r="N21" s="19">
        <f t="shared" si="1"/>
        <v>-1</v>
      </c>
      <c r="O21" s="11"/>
      <c r="P21" s="2">
        <f t="shared" ref="P21:P25" si="7">0</f>
        <v>0</v>
      </c>
      <c r="Q21" s="2"/>
      <c r="R21" s="19"/>
      <c r="S21" s="2"/>
      <c r="T21" s="2">
        <f>--53.42</f>
        <v>53.42</v>
      </c>
      <c r="U21" s="2"/>
      <c r="V21" s="19"/>
      <c r="W21" s="2"/>
      <c r="X21" s="2">
        <f t="shared" si="2"/>
        <v>-53.42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"4033", " - ", "TAXABLE SALES-CANDY")</f>
        <v xml:space="preserve">          4033 - TAXABLE SALES-CANDY</v>
      </c>
      <c r="C22" s="11"/>
      <c r="D22" s="2">
        <f t="shared" si="6"/>
        <v>0</v>
      </c>
      <c r="E22" s="2"/>
      <c r="F22" s="19"/>
      <c r="G22" s="2"/>
      <c r="H22" s="2">
        <f>--44.43</f>
        <v>44.43</v>
      </c>
      <c r="I22" s="2"/>
      <c r="J22" s="19"/>
      <c r="K22" s="2"/>
      <c r="L22" s="2">
        <f t="shared" si="0"/>
        <v>-44.43</v>
      </c>
      <c r="M22" s="2"/>
      <c r="N22" s="19">
        <f t="shared" si="1"/>
        <v>-1</v>
      </c>
      <c r="O22" s="11"/>
      <c r="P22" s="2">
        <f t="shared" si="7"/>
        <v>0</v>
      </c>
      <c r="Q22" s="2"/>
      <c r="R22" s="19"/>
      <c r="S22" s="2"/>
      <c r="T22" s="2">
        <f>--85.4</f>
        <v>85.4</v>
      </c>
      <c r="U22" s="2"/>
      <c r="V22" s="19"/>
      <c r="W22" s="2"/>
      <c r="X22" s="2">
        <f t="shared" si="2"/>
        <v>-85.4</v>
      </c>
      <c r="Y22" s="2"/>
      <c r="Z22" s="19">
        <f t="shared" si="3"/>
        <v>-1</v>
      </c>
    </row>
    <row r="23" spans="1:26" s="24" customFormat="1" hidden="1" outlineLevel="1" x14ac:dyDescent="0.25">
      <c r="A23" s="44"/>
      <c r="B23" s="11" t="str">
        <f>CONCATENATE("          ", "4034", " - ", "TAXABLE SALES-SODA")</f>
        <v xml:space="preserve">          4034 - TAXABLE SALES-SODA</v>
      </c>
      <c r="C23" s="11"/>
      <c r="D23" s="2">
        <f t="shared" si="6"/>
        <v>0</v>
      </c>
      <c r="E23" s="2"/>
      <c r="F23" s="19"/>
      <c r="G23" s="2"/>
      <c r="H23" s="2">
        <f>--1854.69</f>
        <v>1854.69</v>
      </c>
      <c r="I23" s="2"/>
      <c r="J23" s="19"/>
      <c r="K23" s="2"/>
      <c r="L23" s="2">
        <f t="shared" si="0"/>
        <v>-1854.69</v>
      </c>
      <c r="M23" s="2"/>
      <c r="N23" s="19">
        <f t="shared" si="1"/>
        <v>-1</v>
      </c>
      <c r="O23" s="11"/>
      <c r="P23" s="2">
        <f t="shared" si="7"/>
        <v>0</v>
      </c>
      <c r="Q23" s="2"/>
      <c r="R23" s="19"/>
      <c r="S23" s="2"/>
      <c r="T23" s="2">
        <f>--3714.24</f>
        <v>3714.24</v>
      </c>
      <c r="U23" s="2"/>
      <c r="V23" s="19"/>
      <c r="W23" s="2"/>
      <c r="X23" s="2">
        <f t="shared" si="2"/>
        <v>-3714.24</v>
      </c>
      <c r="Y23" s="2"/>
      <c r="Z23" s="19">
        <f t="shared" si="3"/>
        <v>-1</v>
      </c>
    </row>
    <row r="24" spans="1:26" s="24" customFormat="1" hidden="1" outlineLevel="1" x14ac:dyDescent="0.25">
      <c r="A24" s="44"/>
      <c r="B24" s="11" t="str">
        <f>CONCATENATE("          ", "4035", " - ", "TAXABLE SALES-HEALTH &amp; BEAUTY")</f>
        <v xml:space="preserve">          4035 - TAXABLE SALES-HEALTH &amp; BEAUTY</v>
      </c>
      <c r="C24" s="11"/>
      <c r="D24" s="2">
        <f t="shared" si="6"/>
        <v>0</v>
      </c>
      <c r="E24" s="2"/>
      <c r="F24" s="19"/>
      <c r="G24" s="2"/>
      <c r="H24" s="2">
        <f>--425.93</f>
        <v>425.93</v>
      </c>
      <c r="I24" s="2"/>
      <c r="J24" s="19"/>
      <c r="K24" s="2"/>
      <c r="L24" s="2">
        <f t="shared" si="0"/>
        <v>-425.93</v>
      </c>
      <c r="M24" s="2"/>
      <c r="N24" s="19">
        <f t="shared" si="1"/>
        <v>-1</v>
      </c>
      <c r="O24" s="11"/>
      <c r="P24" s="2">
        <f t="shared" si="7"/>
        <v>0</v>
      </c>
      <c r="Q24" s="2"/>
      <c r="R24" s="19"/>
      <c r="S24" s="2"/>
      <c r="T24" s="2">
        <f>--864.36</f>
        <v>864.36</v>
      </c>
      <c r="U24" s="2"/>
      <c r="V24" s="19"/>
      <c r="W24" s="2"/>
      <c r="X24" s="2">
        <f t="shared" si="2"/>
        <v>-864.36</v>
      </c>
      <c r="Y24" s="2"/>
      <c r="Z24" s="19">
        <f t="shared" si="3"/>
        <v>-1</v>
      </c>
    </row>
    <row r="25" spans="1:26" s="24" customFormat="1" hidden="1" outlineLevel="1" x14ac:dyDescent="0.25">
      <c r="A25" s="44"/>
      <c r="B25" s="11" t="str">
        <f>CONCATENATE("          ", "4037", " - ", "TAXABLE SALES-WATER")</f>
        <v xml:space="preserve">          4037 - TAXABLE SALES-WATER</v>
      </c>
      <c r="C25" s="11"/>
      <c r="D25" s="2">
        <f t="shared" si="6"/>
        <v>0</v>
      </c>
      <c r="E25" s="2"/>
      <c r="F25" s="19"/>
      <c r="G25" s="2"/>
      <c r="H25" s="2">
        <f>--128.42</f>
        <v>128.41999999999999</v>
      </c>
      <c r="I25" s="2"/>
      <c r="J25" s="19"/>
      <c r="K25" s="2"/>
      <c r="L25" s="2">
        <f t="shared" si="0"/>
        <v>-128.41999999999999</v>
      </c>
      <c r="M25" s="2"/>
      <c r="N25" s="19">
        <f t="shared" si="1"/>
        <v>-1</v>
      </c>
      <c r="O25" s="11"/>
      <c r="P25" s="2">
        <f t="shared" si="7"/>
        <v>0</v>
      </c>
      <c r="Q25" s="2"/>
      <c r="R25" s="19"/>
      <c r="S25" s="2"/>
      <c r="T25" s="2">
        <f>--302.57</f>
        <v>302.57</v>
      </c>
      <c r="U25" s="2"/>
      <c r="V25" s="19"/>
      <c r="W25" s="2"/>
      <c r="X25" s="2">
        <f t="shared" si="2"/>
        <v>-302.57</v>
      </c>
      <c r="Y25" s="2"/>
      <c r="Z25" s="19">
        <f t="shared" si="3"/>
        <v>-1</v>
      </c>
    </row>
    <row r="26" spans="1:26" s="24" customFormat="1" hidden="1" outlineLevel="1" x14ac:dyDescent="0.25">
      <c r="A26" s="44"/>
      <c r="B26" s="11" t="str">
        <f>CONCATENATE("          ", "4081", " - ", "TAXABLE SALES-ELECTRONICS")</f>
        <v xml:space="preserve">          4081 - TAXABLE SALES-ELECTRONICS</v>
      </c>
      <c r="C26" s="11"/>
      <c r="D26" s="2">
        <f t="shared" si="6"/>
        <v>0</v>
      </c>
      <c r="E26" s="2"/>
      <c r="F26" s="19"/>
      <c r="G26" s="2"/>
      <c r="H26" s="2">
        <f>--873.49</f>
        <v>873.49</v>
      </c>
      <c r="I26" s="2"/>
      <c r="J26" s="19"/>
      <c r="K26" s="2"/>
      <c r="L26" s="2">
        <f t="shared" si="0"/>
        <v>-873.49</v>
      </c>
      <c r="M26" s="2"/>
      <c r="N26" s="19">
        <f t="shared" si="1"/>
        <v>-1</v>
      </c>
      <c r="O26" s="11"/>
      <c r="P26" s="2">
        <f>--71.95</f>
        <v>71.95</v>
      </c>
      <c r="Q26" s="2"/>
      <c r="R26" s="19"/>
      <c r="S26" s="2"/>
      <c r="T26" s="2">
        <f>--1792.91</f>
        <v>1792.91</v>
      </c>
      <c r="U26" s="2"/>
      <c r="V26" s="19"/>
      <c r="W26" s="2"/>
      <c r="X26" s="2">
        <f t="shared" si="2"/>
        <v>-1720.96</v>
      </c>
      <c r="Y26" s="2"/>
      <c r="Z26" s="19">
        <f t="shared" si="3"/>
        <v>-0.95986970902053081</v>
      </c>
    </row>
    <row r="27" spans="1:26" s="24" customFormat="1" hidden="1" outlineLevel="1" x14ac:dyDescent="0.25">
      <c r="A27" s="44"/>
      <c r="B27" s="11" t="str">
        <f>CONCATENATE("          ", "4082", " - ", "TAXABLE SALES-COMPUTER HARDWAR")</f>
        <v xml:space="preserve">          4082 - TAXABLE SALES-COMPUTER HARDWAR</v>
      </c>
      <c r="C27" s="11"/>
      <c r="D27" s="2">
        <f t="shared" si="6"/>
        <v>0</v>
      </c>
      <c r="E27" s="2"/>
      <c r="F27" s="19"/>
      <c r="G27" s="2"/>
      <c r="H27" s="2">
        <f>0</f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0</f>
        <v>0</v>
      </c>
      <c r="Q27" s="2"/>
      <c r="R27" s="19"/>
      <c r="S27" s="2"/>
      <c r="T27" s="2">
        <f>--162</f>
        <v>162</v>
      </c>
      <c r="U27" s="2"/>
      <c r="V27" s="19"/>
      <c r="W27" s="2"/>
      <c r="X27" s="2">
        <f t="shared" si="2"/>
        <v>-162</v>
      </c>
      <c r="Y27" s="2"/>
      <c r="Z27" s="19">
        <f t="shared" si="3"/>
        <v>-1</v>
      </c>
    </row>
    <row r="28" spans="1:26" s="24" customFormat="1" hidden="1" outlineLevel="1" x14ac:dyDescent="0.25">
      <c r="A28" s="44"/>
      <c r="B28" s="11" t="str">
        <f>CONCATENATE("          ", "4083", " - ", "TAXABLE SALES-COMPUTER EQUIPME")</f>
        <v xml:space="preserve">          4083 - TAXABLE SALES-COMPUTER EQUIPME</v>
      </c>
      <c r="C28" s="11"/>
      <c r="D28" s="2">
        <f t="shared" si="6"/>
        <v>0</v>
      </c>
      <c r="E28" s="2"/>
      <c r="F28" s="19"/>
      <c r="G28" s="2"/>
      <c r="H28" s="2">
        <f>--129.89</f>
        <v>129.88999999999999</v>
      </c>
      <c r="I28" s="2"/>
      <c r="J28" s="19"/>
      <c r="K28" s="2"/>
      <c r="L28" s="2">
        <f t="shared" si="0"/>
        <v>-129.88999999999999</v>
      </c>
      <c r="M28" s="2"/>
      <c r="N28" s="19">
        <f t="shared" si="1"/>
        <v>-1</v>
      </c>
      <c r="O28" s="11"/>
      <c r="P28" s="2">
        <f>--9.99</f>
        <v>9.99</v>
      </c>
      <c r="Q28" s="2"/>
      <c r="R28" s="19"/>
      <c r="S28" s="2"/>
      <c r="T28" s="2">
        <f>--429.69</f>
        <v>429.69</v>
      </c>
      <c r="U28" s="2"/>
      <c r="V28" s="19"/>
      <c r="W28" s="2"/>
      <c r="X28" s="2">
        <f t="shared" si="2"/>
        <v>-419.7</v>
      </c>
      <c r="Y28" s="2"/>
      <c r="Z28" s="19">
        <f t="shared" si="3"/>
        <v>-0.97675068072331217</v>
      </c>
    </row>
    <row r="29" spans="1:26" s="24" customFormat="1" hidden="1" outlineLevel="1" x14ac:dyDescent="0.25">
      <c r="A29" s="44"/>
      <c r="B29" s="11" t="str">
        <f>CONCATENATE("          ", "4086", " - ", "TAXABLE SALES-COMPUTER SUPPLIE")</f>
        <v xml:space="preserve">          4086 - TAXABLE SALES-COMPUTER SUPPLIE</v>
      </c>
      <c r="C29" s="11"/>
      <c r="D29" s="2">
        <f t="shared" si="6"/>
        <v>0</v>
      </c>
      <c r="E29" s="2"/>
      <c r="F29" s="19"/>
      <c r="G29" s="2"/>
      <c r="H29" s="2">
        <f>--80.97</f>
        <v>80.97</v>
      </c>
      <c r="I29" s="2"/>
      <c r="J29" s="19"/>
      <c r="K29" s="2"/>
      <c r="L29" s="2">
        <f t="shared" si="0"/>
        <v>-80.97</v>
      </c>
      <c r="M29" s="2"/>
      <c r="N29" s="19">
        <f t="shared" si="1"/>
        <v>-1</v>
      </c>
      <c r="O29" s="11"/>
      <c r="P29" s="2">
        <f t="shared" ref="P29:P33" si="8">0</f>
        <v>0</v>
      </c>
      <c r="Q29" s="2"/>
      <c r="R29" s="19"/>
      <c r="S29" s="2"/>
      <c r="T29" s="2">
        <f>--534.79</f>
        <v>534.79</v>
      </c>
      <c r="U29" s="2"/>
      <c r="V29" s="19"/>
      <c r="W29" s="2"/>
      <c r="X29" s="2">
        <f t="shared" si="2"/>
        <v>-534.79</v>
      </c>
      <c r="Y29" s="2"/>
      <c r="Z29" s="19">
        <f t="shared" si="3"/>
        <v>-1</v>
      </c>
    </row>
    <row r="30" spans="1:26" s="24" customFormat="1" hidden="1" outlineLevel="1" x14ac:dyDescent="0.25">
      <c r="A30" s="44"/>
      <c r="B30" s="11" t="str">
        <f>CONCATENATE("          ", "4125", " - ", "NON-TAXABLE SALES-TEST FORMS")</f>
        <v xml:space="preserve">          4125 - NON-TAXABLE SALES-TEST FORMS</v>
      </c>
      <c r="C30" s="11"/>
      <c r="D30" s="2">
        <f t="shared" si="6"/>
        <v>0</v>
      </c>
      <c r="E30" s="2"/>
      <c r="F30" s="19"/>
      <c r="G30" s="2"/>
      <c r="H30" s="2">
        <f>0</f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 t="shared" si="8"/>
        <v>0</v>
      </c>
      <c r="Q30" s="2"/>
      <c r="R30" s="19"/>
      <c r="S30" s="2"/>
      <c r="T30" s="2">
        <f>--124.18</f>
        <v>124.18</v>
      </c>
      <c r="U30" s="2"/>
      <c r="V30" s="19"/>
      <c r="W30" s="2"/>
      <c r="X30" s="2">
        <f t="shared" si="2"/>
        <v>-124.18</v>
      </c>
      <c r="Y30" s="2"/>
      <c r="Z30" s="19">
        <f t="shared" si="3"/>
        <v>-1</v>
      </c>
    </row>
    <row r="31" spans="1:26" s="24" customFormat="1" hidden="1" outlineLevel="1" x14ac:dyDescent="0.25">
      <c r="A31" s="44"/>
      <c r="B31" s="11" t="str">
        <f>CONCATENATE("          ", "4126", " - ", "NON-TAXABLE SALES-WRITING INST")</f>
        <v xml:space="preserve">          4126 - NON-TAXABLE SALES-WRITING INST</v>
      </c>
      <c r="C31" s="11"/>
      <c r="D31" s="2">
        <f t="shared" si="6"/>
        <v>0</v>
      </c>
      <c r="E31" s="2"/>
      <c r="F31" s="19"/>
      <c r="G31" s="2"/>
      <c r="H31" s="2">
        <f>--115.27</f>
        <v>115.27</v>
      </c>
      <c r="I31" s="2"/>
      <c r="J31" s="19"/>
      <c r="K31" s="2"/>
      <c r="L31" s="2">
        <f t="shared" si="0"/>
        <v>-115.27</v>
      </c>
      <c r="M31" s="2"/>
      <c r="N31" s="19">
        <f t="shared" si="1"/>
        <v>-1</v>
      </c>
      <c r="O31" s="11"/>
      <c r="P31" s="2">
        <f t="shared" si="8"/>
        <v>0</v>
      </c>
      <c r="Q31" s="2"/>
      <c r="R31" s="19"/>
      <c r="S31" s="2"/>
      <c r="T31" s="2">
        <f>--1458.53</f>
        <v>1458.53</v>
      </c>
      <c r="U31" s="2"/>
      <c r="V31" s="19"/>
      <c r="W31" s="2"/>
      <c r="X31" s="2">
        <f t="shared" si="2"/>
        <v>-1458.53</v>
      </c>
      <c r="Y31" s="2"/>
      <c r="Z31" s="19">
        <f t="shared" si="3"/>
        <v>-1</v>
      </c>
    </row>
    <row r="32" spans="1:26" s="24" customFormat="1" hidden="1" outlineLevel="1" x14ac:dyDescent="0.25">
      <c r="A32" s="44"/>
      <c r="B32" s="11" t="str">
        <f>CONCATENATE("          ", "4127", " - ", "NON-TAXABLE SALES-SCHOOL SUPPL")</f>
        <v xml:space="preserve">          4127 - NON-TAXABLE SALES-SCHOOL SUPPL</v>
      </c>
      <c r="C32" s="11"/>
      <c r="D32" s="2">
        <f t="shared" si="6"/>
        <v>0</v>
      </c>
      <c r="E32" s="2"/>
      <c r="F32" s="19"/>
      <c r="G32" s="2"/>
      <c r="H32" s="2">
        <f>--179.63</f>
        <v>179.63</v>
      </c>
      <c r="I32" s="2"/>
      <c r="J32" s="19"/>
      <c r="K32" s="2"/>
      <c r="L32" s="2">
        <f t="shared" si="0"/>
        <v>-179.63</v>
      </c>
      <c r="M32" s="2"/>
      <c r="N32" s="19">
        <f t="shared" si="1"/>
        <v>-1</v>
      </c>
      <c r="O32" s="11"/>
      <c r="P32" s="2">
        <f t="shared" si="8"/>
        <v>0</v>
      </c>
      <c r="Q32" s="2"/>
      <c r="R32" s="19"/>
      <c r="S32" s="2"/>
      <c r="T32" s="2">
        <f>--2597.12</f>
        <v>2597.12</v>
      </c>
      <c r="U32" s="2"/>
      <c r="V32" s="19"/>
      <c r="W32" s="2"/>
      <c r="X32" s="2">
        <f t="shared" si="2"/>
        <v>-2597.12</v>
      </c>
      <c r="Y32" s="2"/>
      <c r="Z32" s="19">
        <f t="shared" si="3"/>
        <v>-1</v>
      </c>
    </row>
    <row r="33" spans="1:26" s="24" customFormat="1" hidden="1" outlineLevel="1" x14ac:dyDescent="0.25">
      <c r="A33" s="44"/>
      <c r="B33" s="11" t="str">
        <f>CONCATENATE("          ", "4128", " - ", "NON-TAXABLE SALES-ART/TECH")</f>
        <v xml:space="preserve">          4128 - NON-TAXABLE SALES-ART/TECH</v>
      </c>
      <c r="C33" s="11"/>
      <c r="D33" s="2">
        <f t="shared" si="6"/>
        <v>0</v>
      </c>
      <c r="E33" s="2"/>
      <c r="F33" s="19"/>
      <c r="G33" s="2"/>
      <c r="H33" s="2">
        <f>--85.82</f>
        <v>85.82</v>
      </c>
      <c r="I33" s="2"/>
      <c r="J33" s="19"/>
      <c r="K33" s="2"/>
      <c r="L33" s="2">
        <f t="shared" si="0"/>
        <v>-85.82</v>
      </c>
      <c r="M33" s="2"/>
      <c r="N33" s="19">
        <f t="shared" si="1"/>
        <v>-1</v>
      </c>
      <c r="O33" s="11"/>
      <c r="P33" s="2">
        <f t="shared" si="8"/>
        <v>0</v>
      </c>
      <c r="Q33" s="2"/>
      <c r="R33" s="19"/>
      <c r="S33" s="2"/>
      <c r="T33" s="2">
        <f>--348.72</f>
        <v>348.72</v>
      </c>
      <c r="U33" s="2"/>
      <c r="V33" s="19"/>
      <c r="W33" s="2"/>
      <c r="X33" s="2">
        <f t="shared" si="2"/>
        <v>-348.72</v>
      </c>
      <c r="Y33" s="2"/>
      <c r="Z33" s="19">
        <f t="shared" si="3"/>
        <v>-1</v>
      </c>
    </row>
    <row r="34" spans="1:26" s="24" customFormat="1" hidden="1" outlineLevel="1" x14ac:dyDescent="0.25">
      <c r="A34" s="44"/>
      <c r="B34" s="11" t="str">
        <f>CONCATENATE("          ", "4131", " - ", "NON-TAXABLE SALES-FOOD")</f>
        <v xml:space="preserve">          4131 - NON-TAXABLE SALES-FOOD</v>
      </c>
      <c r="C34" s="11"/>
      <c r="D34" s="2">
        <f>--14.46</f>
        <v>14.46</v>
      </c>
      <c r="E34" s="2"/>
      <c r="F34" s="19"/>
      <c r="G34" s="2"/>
      <c r="H34" s="2">
        <f>--13457.13</f>
        <v>13457.13</v>
      </c>
      <c r="I34" s="2"/>
      <c r="J34" s="19"/>
      <c r="K34" s="2"/>
      <c r="L34" s="2">
        <f t="shared" si="0"/>
        <v>-13442.67</v>
      </c>
      <c r="M34" s="2"/>
      <c r="N34" s="19">
        <f t="shared" si="1"/>
        <v>-0.99892547668039178</v>
      </c>
      <c r="O34" s="11"/>
      <c r="P34" s="2">
        <f>--1847.16</f>
        <v>1847.16</v>
      </c>
      <c r="Q34" s="2"/>
      <c r="R34" s="19"/>
      <c r="S34" s="2"/>
      <c r="T34" s="2">
        <f>--26722.42</f>
        <v>26722.42</v>
      </c>
      <c r="U34" s="2"/>
      <c r="V34" s="19"/>
      <c r="W34" s="2"/>
      <c r="X34" s="2">
        <f t="shared" si="2"/>
        <v>-24875.26</v>
      </c>
      <c r="Y34" s="2"/>
      <c r="Z34" s="19">
        <f t="shared" si="3"/>
        <v>-0.93087602095917965</v>
      </c>
    </row>
    <row r="35" spans="1:26" s="24" customFormat="1" hidden="1" outlineLevel="1" x14ac:dyDescent="0.25">
      <c r="A35" s="44"/>
      <c r="B35" s="11" t="str">
        <f>CONCATENATE("          ", "4132", " - ", "NON-TAXABLE SALES-JUICE")</f>
        <v xml:space="preserve">          4132 - NON-TAXABLE SALES-JUICE</v>
      </c>
      <c r="C35" s="11"/>
      <c r="D35" s="2">
        <f t="shared" ref="D35:D46" si="9">0</f>
        <v>0</v>
      </c>
      <c r="E35" s="2"/>
      <c r="F35" s="19"/>
      <c r="G35" s="2"/>
      <c r="H35" s="2">
        <f>--3958.43</f>
        <v>3958.43</v>
      </c>
      <c r="I35" s="2"/>
      <c r="J35" s="19"/>
      <c r="K35" s="2"/>
      <c r="L35" s="2">
        <f t="shared" si="0"/>
        <v>-3958.43</v>
      </c>
      <c r="M35" s="2"/>
      <c r="N35" s="19">
        <f t="shared" si="1"/>
        <v>-1</v>
      </c>
      <c r="O35" s="11"/>
      <c r="P35" s="2">
        <f t="shared" ref="P35:P42" si="10">0</f>
        <v>0</v>
      </c>
      <c r="Q35" s="2"/>
      <c r="R35" s="19"/>
      <c r="S35" s="2"/>
      <c r="T35" s="2">
        <f>--7768.8</f>
        <v>7768.8</v>
      </c>
      <c r="U35" s="2"/>
      <c r="V35" s="19"/>
      <c r="W35" s="2"/>
      <c r="X35" s="2">
        <f t="shared" si="2"/>
        <v>-7768.8</v>
      </c>
      <c r="Y35" s="2"/>
      <c r="Z35" s="19">
        <f t="shared" si="3"/>
        <v>-1</v>
      </c>
    </row>
    <row r="36" spans="1:26" s="24" customFormat="1" hidden="1" outlineLevel="1" x14ac:dyDescent="0.25">
      <c r="A36" s="44"/>
      <c r="B36" s="11" t="str">
        <f>CONCATENATE("          ", "4133", " - ", "NON-TAXABLE SALES-CANDY")</f>
        <v xml:space="preserve">          4133 - NON-TAXABLE SALES-CANDY</v>
      </c>
      <c r="C36" s="11"/>
      <c r="D36" s="2">
        <f t="shared" si="9"/>
        <v>0</v>
      </c>
      <c r="E36" s="2"/>
      <c r="F36" s="19"/>
      <c r="G36" s="2"/>
      <c r="H36" s="2">
        <f>--3801.88</f>
        <v>3801.88</v>
      </c>
      <c r="I36" s="2"/>
      <c r="J36" s="19"/>
      <c r="K36" s="2"/>
      <c r="L36" s="2">
        <f t="shared" si="0"/>
        <v>-3801.88</v>
      </c>
      <c r="M36" s="2"/>
      <c r="N36" s="19">
        <f t="shared" si="1"/>
        <v>-1</v>
      </c>
      <c r="O36" s="11"/>
      <c r="P36" s="2">
        <f t="shared" si="10"/>
        <v>0</v>
      </c>
      <c r="Q36" s="2"/>
      <c r="R36" s="19"/>
      <c r="S36" s="2"/>
      <c r="T36" s="2">
        <f>--8466.86</f>
        <v>8466.86</v>
      </c>
      <c r="U36" s="2"/>
      <c r="V36" s="19"/>
      <c r="W36" s="2"/>
      <c r="X36" s="2">
        <f t="shared" si="2"/>
        <v>-8466.86</v>
      </c>
      <c r="Y36" s="2"/>
      <c r="Z36" s="19">
        <f t="shared" si="3"/>
        <v>-1</v>
      </c>
    </row>
    <row r="37" spans="1:26" s="24" customFormat="1" hidden="1" outlineLevel="1" x14ac:dyDescent="0.25">
      <c r="A37" s="44"/>
      <c r="B37" s="11" t="str">
        <f>CONCATENATE("          ", "4135", " - ", "NON-TAXABLE SALES")</f>
        <v xml:space="preserve">          4135 - NON-TAXABLE SALES</v>
      </c>
      <c r="C37" s="11"/>
      <c r="D37" s="2">
        <f t="shared" si="9"/>
        <v>0</v>
      </c>
      <c r="E37" s="2"/>
      <c r="F37" s="19"/>
      <c r="G37" s="2"/>
      <c r="H37" s="2">
        <f>--17.9</f>
        <v>17.899999999999999</v>
      </c>
      <c r="I37" s="2"/>
      <c r="J37" s="19"/>
      <c r="K37" s="2"/>
      <c r="L37" s="2">
        <f t="shared" si="0"/>
        <v>-17.899999999999999</v>
      </c>
      <c r="M37" s="2"/>
      <c r="N37" s="19">
        <f t="shared" si="1"/>
        <v>-1</v>
      </c>
      <c r="O37" s="11"/>
      <c r="P37" s="2">
        <f t="shared" si="10"/>
        <v>0</v>
      </c>
      <c r="Q37" s="2"/>
      <c r="R37" s="19"/>
      <c r="S37" s="2"/>
      <c r="T37" s="2">
        <f>--103.96</f>
        <v>103.96</v>
      </c>
      <c r="U37" s="2"/>
      <c r="V37" s="19"/>
      <c r="W37" s="2"/>
      <c r="X37" s="2">
        <f t="shared" si="2"/>
        <v>-103.96</v>
      </c>
      <c r="Y37" s="2"/>
      <c r="Z37" s="19">
        <f t="shared" si="3"/>
        <v>-1</v>
      </c>
    </row>
    <row r="38" spans="1:26" s="24" customFormat="1" hidden="1" outlineLevel="1" x14ac:dyDescent="0.25">
      <c r="A38" s="44"/>
      <c r="B38" s="11" t="str">
        <f>CONCATENATE("          ", "4137", " - ", "NON-TAXABLE SALES-WATER")</f>
        <v xml:space="preserve">          4137 - NON-TAXABLE SALES-WATER</v>
      </c>
      <c r="C38" s="11"/>
      <c r="D38" s="2">
        <f t="shared" si="9"/>
        <v>0</v>
      </c>
      <c r="E38" s="2"/>
      <c r="F38" s="19"/>
      <c r="G38" s="2"/>
      <c r="H38" s="2">
        <f>--2012.43</f>
        <v>2012.43</v>
      </c>
      <c r="I38" s="2"/>
      <c r="J38" s="19"/>
      <c r="K38" s="2"/>
      <c r="L38" s="2">
        <f t="shared" si="0"/>
        <v>-2012.43</v>
      </c>
      <c r="M38" s="2"/>
      <c r="N38" s="19">
        <f t="shared" si="1"/>
        <v>-1</v>
      </c>
      <c r="O38" s="11"/>
      <c r="P38" s="2">
        <f t="shared" si="10"/>
        <v>0</v>
      </c>
      <c r="Q38" s="2"/>
      <c r="R38" s="19"/>
      <c r="S38" s="2"/>
      <c r="T38" s="2">
        <f>--4179.8</f>
        <v>4179.8</v>
      </c>
      <c r="U38" s="2"/>
      <c r="V38" s="19"/>
      <c r="W38" s="2"/>
      <c r="X38" s="2">
        <f t="shared" si="2"/>
        <v>-4179.8</v>
      </c>
      <c r="Y38" s="2"/>
      <c r="Z38" s="19">
        <f t="shared" si="3"/>
        <v>-1</v>
      </c>
    </row>
    <row r="39" spans="1:26" s="24" customFormat="1" hidden="1" outlineLevel="1" x14ac:dyDescent="0.25">
      <c r="A39" s="44"/>
      <c r="B39" s="11" t="str">
        <f>CONCATENATE("          ", "4186", " - ", "NON-TAXABLE SALES-COMPUTER SUP")</f>
        <v xml:space="preserve">          4186 - NON-TAXABLE SALES-COMPUTER SUP</v>
      </c>
      <c r="C39" s="11"/>
      <c r="D39" s="2">
        <f t="shared" si="9"/>
        <v>0</v>
      </c>
      <c r="E39" s="2"/>
      <c r="F39" s="19"/>
      <c r="G39" s="2"/>
      <c r="H39" s="2">
        <f>--4.01</f>
        <v>4.01</v>
      </c>
      <c r="I39" s="2"/>
      <c r="J39" s="19"/>
      <c r="K39" s="2"/>
      <c r="L39" s="2">
        <f t="shared" si="0"/>
        <v>-4.01</v>
      </c>
      <c r="M39" s="2"/>
      <c r="N39" s="19">
        <f t="shared" si="1"/>
        <v>-1</v>
      </c>
      <c r="O39" s="11"/>
      <c r="P39" s="2">
        <f t="shared" si="10"/>
        <v>0</v>
      </c>
      <c r="Q39" s="2"/>
      <c r="R39" s="19"/>
      <c r="S39" s="2"/>
      <c r="T39" s="2">
        <f>-30.97</f>
        <v>-30.97</v>
      </c>
      <c r="U39" s="2"/>
      <c r="V39" s="19"/>
      <c r="W39" s="2"/>
      <c r="X39" s="2">
        <f t="shared" si="2"/>
        <v>30.97</v>
      </c>
      <c r="Y39" s="2"/>
      <c r="Z39" s="19">
        <f t="shared" si="3"/>
        <v>-1</v>
      </c>
    </row>
    <row r="40" spans="1:26" s="24" customFormat="1" hidden="1" outlineLevel="1" x14ac:dyDescent="0.25">
      <c r="A40" s="44"/>
      <c r="B40" s="11" t="str">
        <f>CONCATENATE("          ", "4217", " - ", "NON-TAXABLE SALES-DORM/HOUSEWA")</f>
        <v xml:space="preserve">          4217 - NON-TAXABLE SALES-DORM/HOUSEWA</v>
      </c>
      <c r="C40" s="11"/>
      <c r="D40" s="2">
        <f t="shared" si="9"/>
        <v>0</v>
      </c>
      <c r="E40" s="2"/>
      <c r="F40" s="19"/>
      <c r="G40" s="2"/>
      <c r="H40" s="2">
        <f>-2.98</f>
        <v>-2.98</v>
      </c>
      <c r="I40" s="2"/>
      <c r="J40" s="19"/>
      <c r="K40" s="2"/>
      <c r="L40" s="2">
        <f t="shared" si="0"/>
        <v>2.98</v>
      </c>
      <c r="M40" s="2"/>
      <c r="N40" s="19">
        <f t="shared" si="1"/>
        <v>-1</v>
      </c>
      <c r="O40" s="11"/>
      <c r="P40" s="2">
        <f t="shared" si="10"/>
        <v>0</v>
      </c>
      <c r="Q40" s="2"/>
      <c r="R40" s="19"/>
      <c r="S40" s="2"/>
      <c r="T40" s="2">
        <f>-2.98</f>
        <v>-2.98</v>
      </c>
      <c r="U40" s="2"/>
      <c r="V40" s="19"/>
      <c r="W40" s="2"/>
      <c r="X40" s="2">
        <f t="shared" si="2"/>
        <v>2.98</v>
      </c>
      <c r="Y40" s="2"/>
      <c r="Z40" s="19">
        <f t="shared" si="3"/>
        <v>-1</v>
      </c>
    </row>
    <row r="41" spans="1:26" s="24" customFormat="1" hidden="1" outlineLevel="1" x14ac:dyDescent="0.25">
      <c r="A41" s="44"/>
      <c r="B41" s="11" t="str">
        <f>CONCATENATE("          ", "4225", " - ", "SALES RETURN TAXABLE-TEST FORM")</f>
        <v xml:space="preserve">          4225 - SALES RETURN TAXABLE-TEST FORM</v>
      </c>
      <c r="C41" s="11"/>
      <c r="D41" s="2">
        <f t="shared" si="9"/>
        <v>0</v>
      </c>
      <c r="E41" s="2"/>
      <c r="F41" s="19"/>
      <c r="G41" s="2"/>
      <c r="H41" s="2">
        <f>-8.45</f>
        <v>-8.4499999999999993</v>
      </c>
      <c r="I41" s="2"/>
      <c r="J41" s="19"/>
      <c r="K41" s="2"/>
      <c r="L41" s="2">
        <f t="shared" si="0"/>
        <v>8.4499999999999993</v>
      </c>
      <c r="M41" s="2"/>
      <c r="N41" s="19">
        <f t="shared" si="1"/>
        <v>-1</v>
      </c>
      <c r="O41" s="11"/>
      <c r="P41" s="2">
        <f t="shared" si="10"/>
        <v>0</v>
      </c>
      <c r="Q41" s="2"/>
      <c r="R41" s="19"/>
      <c r="S41" s="2"/>
      <c r="T41" s="2">
        <f>-41.55</f>
        <v>-41.55</v>
      </c>
      <c r="U41" s="2"/>
      <c r="V41" s="19"/>
      <c r="W41" s="2"/>
      <c r="X41" s="2">
        <f t="shared" si="2"/>
        <v>41.55</v>
      </c>
      <c r="Y41" s="2"/>
      <c r="Z41" s="19">
        <f t="shared" si="3"/>
        <v>-1</v>
      </c>
    </row>
    <row r="42" spans="1:26" s="24" customFormat="1" hidden="1" outlineLevel="1" x14ac:dyDescent="0.25">
      <c r="A42" s="44"/>
      <c r="B42" s="11" t="str">
        <f>CONCATENATE("          ", "4226", " - ", "SALES RETURN TAXABLE-WRITING I")</f>
        <v xml:space="preserve">          4226 - SALES RETURN TAXABLE-WRITING I</v>
      </c>
      <c r="C42" s="11"/>
      <c r="D42" s="2">
        <f t="shared" si="9"/>
        <v>0</v>
      </c>
      <c r="E42" s="2"/>
      <c r="F42" s="19"/>
      <c r="G42" s="2"/>
      <c r="H42" s="2">
        <f>-32.1</f>
        <v>-32.1</v>
      </c>
      <c r="I42" s="2"/>
      <c r="J42" s="19"/>
      <c r="K42" s="2"/>
      <c r="L42" s="2">
        <f t="shared" si="0"/>
        <v>32.1</v>
      </c>
      <c r="M42" s="2"/>
      <c r="N42" s="19">
        <f t="shared" si="1"/>
        <v>-1</v>
      </c>
      <c r="O42" s="11"/>
      <c r="P42" s="2">
        <f t="shared" si="10"/>
        <v>0</v>
      </c>
      <c r="Q42" s="2"/>
      <c r="R42" s="19"/>
      <c r="S42" s="2"/>
      <c r="T42" s="2">
        <f>-341.17</f>
        <v>-341.17</v>
      </c>
      <c r="U42" s="2"/>
      <c r="V42" s="19"/>
      <c r="W42" s="2"/>
      <c r="X42" s="2">
        <f t="shared" si="2"/>
        <v>341.17</v>
      </c>
      <c r="Y42" s="2"/>
      <c r="Z42" s="19">
        <f t="shared" si="3"/>
        <v>-1</v>
      </c>
    </row>
    <row r="43" spans="1:26" s="24" customFormat="1" hidden="1" outlineLevel="1" x14ac:dyDescent="0.25">
      <c r="A43" s="44"/>
      <c r="B43" s="11" t="str">
        <f>CONCATENATE("          ", "4227", " - ", "SALES RETURN TAXABLE-SCHOOL SU")</f>
        <v xml:space="preserve">          4227 - SALES RETURN TAXABLE-SCHOOL SU</v>
      </c>
      <c r="C43" s="11"/>
      <c r="D43" s="2">
        <f t="shared" si="9"/>
        <v>0</v>
      </c>
      <c r="E43" s="2"/>
      <c r="F43" s="19"/>
      <c r="G43" s="2"/>
      <c r="H43" s="2">
        <f>-324.85</f>
        <v>-324.85000000000002</v>
      </c>
      <c r="I43" s="2"/>
      <c r="J43" s="19"/>
      <c r="K43" s="2"/>
      <c r="L43" s="2">
        <f t="shared" si="0"/>
        <v>324.85000000000002</v>
      </c>
      <c r="M43" s="2"/>
      <c r="N43" s="19">
        <f t="shared" si="1"/>
        <v>-1</v>
      </c>
      <c r="O43" s="11"/>
      <c r="P43" s="2">
        <f>-159.97</f>
        <v>-159.97</v>
      </c>
      <c r="Q43" s="2"/>
      <c r="R43" s="19"/>
      <c r="S43" s="2"/>
      <c r="T43" s="2">
        <f>-4826.48</f>
        <v>-4826.4799999999996</v>
      </c>
      <c r="U43" s="2"/>
      <c r="V43" s="19"/>
      <c r="W43" s="2"/>
      <c r="X43" s="2">
        <f t="shared" si="2"/>
        <v>4666.5099999999993</v>
      </c>
      <c r="Y43" s="2"/>
      <c r="Z43" s="19">
        <f t="shared" si="3"/>
        <v>-0.96685576237755044</v>
      </c>
    </row>
    <row r="44" spans="1:26" s="24" customFormat="1" hidden="1" outlineLevel="1" x14ac:dyDescent="0.25">
      <c r="A44" s="44"/>
      <c r="B44" s="11" t="str">
        <f>CONCATENATE("          ", "4228", " - ", "SALES RETURN TAXABLE-ART/TECH")</f>
        <v xml:space="preserve">          4228 - SALES RETURN TAXABLE-ART/TECH</v>
      </c>
      <c r="C44" s="11"/>
      <c r="D44" s="2">
        <f t="shared" si="9"/>
        <v>0</v>
      </c>
      <c r="E44" s="2"/>
      <c r="F44" s="19"/>
      <c r="G44" s="2"/>
      <c r="H44" s="2">
        <f>-502.99</f>
        <v>-502.99</v>
      </c>
      <c r="I44" s="2"/>
      <c r="J44" s="19"/>
      <c r="K44" s="2"/>
      <c r="L44" s="2">
        <f t="shared" si="0"/>
        <v>502.99</v>
      </c>
      <c r="M44" s="2"/>
      <c r="N44" s="19">
        <f t="shared" si="1"/>
        <v>-1</v>
      </c>
      <c r="O44" s="11"/>
      <c r="P44" s="2">
        <f>-222.2</f>
        <v>-222.2</v>
      </c>
      <c r="Q44" s="2"/>
      <c r="R44" s="19"/>
      <c r="S44" s="2"/>
      <c r="T44" s="2">
        <f>-2430.26</f>
        <v>-2430.2600000000002</v>
      </c>
      <c r="U44" s="2"/>
      <c r="V44" s="19"/>
      <c r="W44" s="2"/>
      <c r="X44" s="2">
        <f t="shared" si="2"/>
        <v>2208.0600000000004</v>
      </c>
      <c r="Y44" s="2"/>
      <c r="Z44" s="19">
        <f t="shared" si="3"/>
        <v>-0.908569453474114</v>
      </c>
    </row>
    <row r="45" spans="1:26" s="24" customFormat="1" hidden="1" outlineLevel="1" x14ac:dyDescent="0.25">
      <c r="A45" s="44"/>
      <c r="B45" s="11" t="str">
        <f>CONCATENATE("          ", "4281", " - ", "SALES RETURN TAXABLE-ELECTRONI")</f>
        <v xml:space="preserve">          4281 - SALES RETURN TAXABLE-ELECTRONI</v>
      </c>
      <c r="C45" s="11"/>
      <c r="D45" s="2">
        <f t="shared" si="9"/>
        <v>0</v>
      </c>
      <c r="E45" s="2"/>
      <c r="F45" s="19"/>
      <c r="G45" s="2"/>
      <c r="H45" s="2">
        <f>-19.99</f>
        <v>-19.989999999999998</v>
      </c>
      <c r="I45" s="2"/>
      <c r="J45" s="19"/>
      <c r="K45" s="2"/>
      <c r="L45" s="2">
        <f t="shared" si="0"/>
        <v>19.989999999999998</v>
      </c>
      <c r="M45" s="2"/>
      <c r="N45" s="19">
        <f t="shared" si="1"/>
        <v>-1</v>
      </c>
      <c r="O45" s="11"/>
      <c r="P45" s="2">
        <f t="shared" ref="P45:P46" si="11">0</f>
        <v>0</v>
      </c>
      <c r="Q45" s="2"/>
      <c r="R45" s="19"/>
      <c r="S45" s="2"/>
      <c r="T45" s="2">
        <f>-44.98</f>
        <v>-44.98</v>
      </c>
      <c r="U45" s="2"/>
      <c r="V45" s="19"/>
      <c r="W45" s="2"/>
      <c r="X45" s="2">
        <f t="shared" si="2"/>
        <v>44.98</v>
      </c>
      <c r="Y45" s="2"/>
      <c r="Z45" s="19">
        <f t="shared" si="3"/>
        <v>-1</v>
      </c>
    </row>
    <row r="46" spans="1:26" s="24" customFormat="1" hidden="1" outlineLevel="1" x14ac:dyDescent="0.25">
      <c r="A46" s="44"/>
      <c r="B46" s="11" t="str">
        <f>CONCATENATE("          ", "4327", " - ", "SALES RETURN NON TAXABLE-SCHOO")</f>
        <v xml:space="preserve">          4327 - SALES RETURN NON TAXABLE-SCHOO</v>
      </c>
      <c r="C46" s="11"/>
      <c r="D46" s="2">
        <f t="shared" si="9"/>
        <v>0</v>
      </c>
      <c r="E46" s="2"/>
      <c r="F46" s="19"/>
      <c r="G46" s="2"/>
      <c r="H46" s="2">
        <f>0</f>
        <v>0</v>
      </c>
      <c r="I46" s="2"/>
      <c r="J46" s="19"/>
      <c r="K46" s="2"/>
      <c r="L46" s="2">
        <f t="shared" si="0"/>
        <v>0</v>
      </c>
      <c r="M46" s="2"/>
      <c r="N46" s="19">
        <f t="shared" si="1"/>
        <v>0</v>
      </c>
      <c r="O46" s="11"/>
      <c r="P46" s="2">
        <f t="shared" si="11"/>
        <v>0</v>
      </c>
      <c r="Q46" s="2"/>
      <c r="R46" s="19"/>
      <c r="S46" s="2"/>
      <c r="T46" s="2">
        <f>-21.87</f>
        <v>-21.87</v>
      </c>
      <c r="U46" s="2"/>
      <c r="V46" s="19"/>
      <c r="W46" s="2"/>
      <c r="X46" s="2">
        <f t="shared" si="2"/>
        <v>21.87</v>
      </c>
      <c r="Y46" s="2"/>
      <c r="Z46" s="19">
        <f t="shared" si="3"/>
        <v>-1</v>
      </c>
    </row>
    <row r="47" spans="1:26" x14ac:dyDescent="0.25">
      <c r="A47" s="9"/>
      <c r="B47" s="10"/>
      <c r="C47" s="9"/>
      <c r="D47" s="3"/>
      <c r="E47" s="3"/>
      <c r="F47" s="8"/>
      <c r="G47" s="3"/>
      <c r="H47" s="3"/>
      <c r="I47" s="3"/>
      <c r="J47" s="8"/>
      <c r="K47" s="3"/>
      <c r="L47" s="3"/>
      <c r="M47" s="3"/>
      <c r="N47" s="8"/>
      <c r="P47" s="3"/>
      <c r="Q47" s="3"/>
      <c r="R47" s="8"/>
      <c r="S47" s="3"/>
      <c r="T47" s="3"/>
      <c r="U47" s="3"/>
      <c r="V47" s="8"/>
      <c r="W47" s="3"/>
      <c r="X47" s="3"/>
      <c r="Y47" s="3"/>
      <c r="Z47" s="8"/>
    </row>
    <row r="48" spans="1:26" s="23" customFormat="1" collapsed="1" x14ac:dyDescent="0.25">
      <c r="A48" s="10"/>
      <c r="B48" s="26" t="s">
        <v>8</v>
      </c>
      <c r="C48" s="10"/>
      <c r="D48" s="4">
        <f>SUM(OSRRefD16x_0)</f>
        <v>-4.3769432522822171E-12</v>
      </c>
      <c r="E48" s="4"/>
      <c r="F48" s="12">
        <f t="shared" ref="F48:F71" si="12">IF(D$12=0,0,D48/D$12)</f>
        <v>-2.4452196940124118E-13</v>
      </c>
      <c r="G48" s="4"/>
      <c r="H48" s="4">
        <f>SUM(OSRRefH16x_0)</f>
        <v>58401.819999999978</v>
      </c>
      <c r="I48" s="4"/>
      <c r="J48" s="12">
        <f t="shared" ref="J48:J71" si="13">IF(H$12=0,0,H48/H$12)</f>
        <v>0.5043160422510411</v>
      </c>
      <c r="K48" s="4"/>
      <c r="L48" s="4">
        <f t="shared" ref="L48:L71" si="14">+D48-H48</f>
        <v>-58401.819999999985</v>
      </c>
      <c r="M48" s="4"/>
      <c r="N48" s="12">
        <f t="shared" ref="N48:N71" si="15">IF(H48=0,0,L48/H48)</f>
        <v>-1.0000000000000002</v>
      </c>
      <c r="O48" s="10"/>
      <c r="P48" s="4">
        <f>SUM(OSRRefP16x_0)</f>
        <v>14183.049999999994</v>
      </c>
      <c r="Q48" s="4"/>
      <c r="R48" s="12">
        <f t="shared" ref="R48:R71" si="16">IF(P$12=0,0,P48/P$12)</f>
        <v>0.66549846283206748</v>
      </c>
      <c r="S48" s="4"/>
      <c r="T48" s="4">
        <f>SUM(OSRRefT16x_0)</f>
        <v>200353.72000000003</v>
      </c>
      <c r="U48" s="4"/>
      <c r="V48" s="12">
        <f t="shared" ref="V48:V71" si="17">IF(T$12=0,0,T48/T$12)</f>
        <v>0.49283511969115612</v>
      </c>
      <c r="W48" s="4"/>
      <c r="X48" s="4">
        <f t="shared" ref="X48:X71" si="18">+P48-T48</f>
        <v>-186170.67000000004</v>
      </c>
      <c r="Y48" s="4"/>
      <c r="Z48" s="12">
        <f t="shared" ref="Z48:Z71" si="19">IF(T48=0,0,X48/T48)</f>
        <v>-0.92920994928369693</v>
      </c>
    </row>
    <row r="49" spans="1:26" s="24" customFormat="1" hidden="1" outlineLevel="1" x14ac:dyDescent="0.25">
      <c r="A49" s="44"/>
      <c r="B49" s="11" t="str">
        <f>CONCATENATE("          ", "5014", " - ", "PURCHASES @ COST-REMAINDERS")</f>
        <v xml:space="preserve">          5014 - PURCHASES @ COST-REMAINDERS</v>
      </c>
      <c r="C49" s="11"/>
      <c r="D49" s="2"/>
      <c r="E49" s="2"/>
      <c r="F49" s="19">
        <f t="shared" si="12"/>
        <v>0</v>
      </c>
      <c r="G49" s="2"/>
      <c r="H49" s="2">
        <v>14.46</v>
      </c>
      <c r="I49" s="2"/>
      <c r="J49" s="19">
        <f t="shared" si="13"/>
        <v>1.2486614237279005E-4</v>
      </c>
      <c r="K49" s="2"/>
      <c r="L49" s="2">
        <f t="shared" si="14"/>
        <v>-14.46</v>
      </c>
      <c r="M49" s="2"/>
      <c r="N49" s="19">
        <f t="shared" si="15"/>
        <v>-1</v>
      </c>
      <c r="O49" s="11"/>
      <c r="P49" s="2"/>
      <c r="Q49" s="2"/>
      <c r="R49" s="19">
        <f t="shared" si="16"/>
        <v>0</v>
      </c>
      <c r="S49" s="2"/>
      <c r="T49" s="2">
        <v>14.46</v>
      </c>
      <c r="U49" s="2"/>
      <c r="V49" s="19">
        <f t="shared" si="17"/>
        <v>3.5569071693473509E-5</v>
      </c>
      <c r="W49" s="2"/>
      <c r="X49" s="2">
        <f t="shared" si="18"/>
        <v>-14.46</v>
      </c>
      <c r="Y49" s="2"/>
      <c r="Z49" s="19">
        <f t="shared" si="19"/>
        <v>-1</v>
      </c>
    </row>
    <row r="50" spans="1:26" s="24" customFormat="1" hidden="1" outlineLevel="1" x14ac:dyDescent="0.25">
      <c r="A50" s="44"/>
      <c r="B50" s="11" t="str">
        <f>CONCATENATE("          ", "5017", " - ", "PURCHASES @ COST-DORM/HOUSEWAR")</f>
        <v xml:space="preserve">          5017 - PURCHASES @ COST-DORM/HOUSEWAR</v>
      </c>
      <c r="C50" s="11"/>
      <c r="D50" s="2"/>
      <c r="E50" s="2"/>
      <c r="F50" s="19">
        <f t="shared" si="12"/>
        <v>0</v>
      </c>
      <c r="G50" s="2"/>
      <c r="H50" s="2"/>
      <c r="I50" s="2"/>
      <c r="J50" s="19">
        <f t="shared" si="13"/>
        <v>0</v>
      </c>
      <c r="K50" s="2"/>
      <c r="L50" s="2">
        <f t="shared" si="14"/>
        <v>0</v>
      </c>
      <c r="M50" s="2"/>
      <c r="N50" s="19">
        <f t="shared" si="15"/>
        <v>0</v>
      </c>
      <c r="O50" s="11"/>
      <c r="P50" s="2"/>
      <c r="Q50" s="2"/>
      <c r="R50" s="19">
        <f t="shared" si="16"/>
        <v>0</v>
      </c>
      <c r="S50" s="2"/>
      <c r="T50" s="2">
        <v>0</v>
      </c>
      <c r="U50" s="2"/>
      <c r="V50" s="19">
        <f t="shared" si="17"/>
        <v>0</v>
      </c>
      <c r="W50" s="2"/>
      <c r="X50" s="2">
        <f t="shared" si="18"/>
        <v>0</v>
      </c>
      <c r="Y50" s="2"/>
      <c r="Z50" s="19">
        <f t="shared" si="19"/>
        <v>0</v>
      </c>
    </row>
    <row r="51" spans="1:26" s="24" customFormat="1" hidden="1" outlineLevel="1" x14ac:dyDescent="0.25">
      <c r="A51" s="44"/>
      <c r="B51" s="11" t="str">
        <f>CONCATENATE("          ", "5025", " - ", "PURCHASES @ COST-TEST FORMS")</f>
        <v xml:space="preserve">          5025 - PURCHASES @ COST-TEST FORMS</v>
      </c>
      <c r="C51" s="11"/>
      <c r="D51" s="2"/>
      <c r="E51" s="2"/>
      <c r="F51" s="19">
        <f t="shared" si="12"/>
        <v>0</v>
      </c>
      <c r="G51" s="2"/>
      <c r="H51" s="2">
        <v>0</v>
      </c>
      <c r="I51" s="2"/>
      <c r="J51" s="19">
        <f t="shared" si="13"/>
        <v>0</v>
      </c>
      <c r="K51" s="2"/>
      <c r="L51" s="2">
        <f t="shared" si="14"/>
        <v>0</v>
      </c>
      <c r="M51" s="2"/>
      <c r="N51" s="19">
        <f t="shared" si="15"/>
        <v>0</v>
      </c>
      <c r="O51" s="11"/>
      <c r="P51" s="2"/>
      <c r="Q51" s="2"/>
      <c r="R51" s="19">
        <f t="shared" si="16"/>
        <v>0</v>
      </c>
      <c r="S51" s="2"/>
      <c r="T51" s="2">
        <v>3252.39</v>
      </c>
      <c r="U51" s="2"/>
      <c r="V51" s="19">
        <f t="shared" si="17"/>
        <v>8.0003107251131605E-3</v>
      </c>
      <c r="W51" s="2"/>
      <c r="X51" s="2">
        <f t="shared" si="18"/>
        <v>-3252.39</v>
      </c>
      <c r="Y51" s="2"/>
      <c r="Z51" s="19">
        <f t="shared" si="19"/>
        <v>-1</v>
      </c>
    </row>
    <row r="52" spans="1:26" s="24" customFormat="1" hidden="1" outlineLevel="1" x14ac:dyDescent="0.25">
      <c r="A52" s="44"/>
      <c r="B52" s="11" t="str">
        <f>CONCATENATE("          ", "5026", " - ", "PURCHASES @ COST-WRITING INSTR")</f>
        <v xml:space="preserve">          5026 - PURCHASES @ COST-WRITING INSTR</v>
      </c>
      <c r="C52" s="11"/>
      <c r="D52" s="2">
        <v>370.02</v>
      </c>
      <c r="E52" s="2"/>
      <c r="F52" s="19">
        <f t="shared" si="12"/>
        <v>20.67150837988827</v>
      </c>
      <c r="G52" s="2"/>
      <c r="H52" s="2">
        <v>10501.63</v>
      </c>
      <c r="I52" s="2"/>
      <c r="J52" s="19">
        <f t="shared" si="13"/>
        <v>9.0684510838614313E-2</v>
      </c>
      <c r="K52" s="2"/>
      <c r="L52" s="2">
        <f t="shared" si="14"/>
        <v>-10131.609999999999</v>
      </c>
      <c r="M52" s="2"/>
      <c r="N52" s="19">
        <f t="shared" si="15"/>
        <v>-0.9647654697413639</v>
      </c>
      <c r="O52" s="11"/>
      <c r="P52" s="2">
        <v>370.02</v>
      </c>
      <c r="Q52" s="2"/>
      <c r="R52" s="19">
        <f t="shared" si="16"/>
        <v>1.7362114722652863E-2</v>
      </c>
      <c r="S52" s="2"/>
      <c r="T52" s="2">
        <v>25353.94</v>
      </c>
      <c r="U52" s="2"/>
      <c r="V52" s="19">
        <f t="shared" si="17"/>
        <v>6.2366259306502463E-2</v>
      </c>
      <c r="W52" s="2"/>
      <c r="X52" s="2">
        <f t="shared" si="18"/>
        <v>-24983.919999999998</v>
      </c>
      <c r="Y52" s="2"/>
      <c r="Z52" s="19">
        <f t="shared" si="19"/>
        <v>-0.98540581858283172</v>
      </c>
    </row>
    <row r="53" spans="1:26" s="24" customFormat="1" hidden="1" outlineLevel="1" x14ac:dyDescent="0.25">
      <c r="A53" s="44"/>
      <c r="B53" s="11" t="str">
        <f>CONCATENATE("          ", "5027", " - ", "PURCHASES @ COST-SCHOOL SUPPLI")</f>
        <v xml:space="preserve">          5027 - PURCHASES @ COST-SCHOOL SUPPLI</v>
      </c>
      <c r="C53" s="11"/>
      <c r="D53" s="2">
        <v>895.47</v>
      </c>
      <c r="E53" s="2"/>
      <c r="F53" s="19">
        <f t="shared" si="12"/>
        <v>50.026256983240231</v>
      </c>
      <c r="G53" s="2"/>
      <c r="H53" s="2">
        <v>9821.16</v>
      </c>
      <c r="I53" s="2"/>
      <c r="J53" s="19">
        <f t="shared" si="13"/>
        <v>8.4808462159471007E-2</v>
      </c>
      <c r="K53" s="2"/>
      <c r="L53" s="2">
        <f t="shared" si="14"/>
        <v>-8925.69</v>
      </c>
      <c r="M53" s="2"/>
      <c r="N53" s="19">
        <f t="shared" si="15"/>
        <v>-0.90882237943379407</v>
      </c>
      <c r="O53" s="11"/>
      <c r="P53" s="2">
        <v>895.47</v>
      </c>
      <c r="Q53" s="2"/>
      <c r="R53" s="19">
        <f t="shared" si="16"/>
        <v>4.201733114613794E-2</v>
      </c>
      <c r="S53" s="2"/>
      <c r="T53" s="2">
        <v>71975.37999999999</v>
      </c>
      <c r="U53" s="2"/>
      <c r="V53" s="19">
        <f t="shared" si="17"/>
        <v>0.1770468500266251</v>
      </c>
      <c r="W53" s="2"/>
      <c r="X53" s="2">
        <f t="shared" si="18"/>
        <v>-71079.909999999989</v>
      </c>
      <c r="Y53" s="2"/>
      <c r="Z53" s="19">
        <f t="shared" si="19"/>
        <v>-0.9875586624203998</v>
      </c>
    </row>
    <row r="54" spans="1:26" s="24" customFormat="1" hidden="1" outlineLevel="1" x14ac:dyDescent="0.25">
      <c r="A54" s="44"/>
      <c r="B54" s="11" t="str">
        <f>CONCATENATE("          ", "5028", " - ", "PURCHASES @ COST-ART/TECH")</f>
        <v xml:space="preserve">          5028 - PURCHASES @ COST-ART/TECH</v>
      </c>
      <c r="C54" s="11"/>
      <c r="D54" s="2">
        <v>41425.96</v>
      </c>
      <c r="E54" s="2"/>
      <c r="F54" s="19">
        <f t="shared" si="12"/>
        <v>2314.2994413407823</v>
      </c>
      <c r="G54" s="2"/>
      <c r="H54" s="2">
        <v>19494.289999999997</v>
      </c>
      <c r="I54" s="2"/>
      <c r="J54" s="19">
        <f t="shared" si="13"/>
        <v>0.16833864388633865</v>
      </c>
      <c r="K54" s="2"/>
      <c r="L54" s="2">
        <f t="shared" si="14"/>
        <v>21931.670000000002</v>
      </c>
      <c r="M54" s="2"/>
      <c r="N54" s="19">
        <f t="shared" si="15"/>
        <v>1.1250304576365697</v>
      </c>
      <c r="O54" s="11"/>
      <c r="P54" s="2">
        <v>41425.96</v>
      </c>
      <c r="Q54" s="2"/>
      <c r="R54" s="19">
        <f t="shared" si="16"/>
        <v>1.9437929571807704</v>
      </c>
      <c r="S54" s="2"/>
      <c r="T54" s="2">
        <v>90339.069999999992</v>
      </c>
      <c r="U54" s="2"/>
      <c r="V54" s="19">
        <f t="shared" si="17"/>
        <v>0.22221831656650909</v>
      </c>
      <c r="W54" s="2"/>
      <c r="X54" s="2">
        <f t="shared" si="18"/>
        <v>-48913.109999999993</v>
      </c>
      <c r="Y54" s="2"/>
      <c r="Z54" s="19">
        <f t="shared" si="19"/>
        <v>-0.54143915805199228</v>
      </c>
    </row>
    <row r="55" spans="1:26" s="24" customFormat="1" hidden="1" outlineLevel="1" x14ac:dyDescent="0.25">
      <c r="A55" s="44"/>
      <c r="B55" s="11" t="str">
        <f>CONCATENATE("          ", "5031", " - ", "PURCHASES @ COST-FOOD")</f>
        <v xml:space="preserve">          5031 - PURCHASES @ COST-FOOD</v>
      </c>
      <c r="C55" s="11"/>
      <c r="D55" s="2">
        <v>47.26</v>
      </c>
      <c r="E55" s="2"/>
      <c r="F55" s="19">
        <f t="shared" si="12"/>
        <v>2.6402234636871511</v>
      </c>
      <c r="G55" s="2"/>
      <c r="H55" s="2">
        <v>7839.04</v>
      </c>
      <c r="I55" s="2"/>
      <c r="J55" s="19">
        <f t="shared" si="13"/>
        <v>6.7692301846887695E-2</v>
      </c>
      <c r="K55" s="2"/>
      <c r="L55" s="2">
        <f t="shared" si="14"/>
        <v>-7791.78</v>
      </c>
      <c r="M55" s="2"/>
      <c r="N55" s="19">
        <f t="shared" si="15"/>
        <v>-0.99397120055516996</v>
      </c>
      <c r="O55" s="11"/>
      <c r="P55" s="2">
        <v>2929.67</v>
      </c>
      <c r="Q55" s="2"/>
      <c r="R55" s="19">
        <f t="shared" si="16"/>
        <v>0.13746626301149781</v>
      </c>
      <c r="S55" s="2"/>
      <c r="T55" s="2">
        <v>15989.089999999998</v>
      </c>
      <c r="U55" s="2"/>
      <c r="V55" s="19">
        <f t="shared" si="17"/>
        <v>3.933036573467498E-2</v>
      </c>
      <c r="W55" s="2"/>
      <c r="X55" s="2">
        <f t="shared" si="18"/>
        <v>-13059.419999999998</v>
      </c>
      <c r="Y55" s="2"/>
      <c r="Z55" s="19">
        <f t="shared" si="19"/>
        <v>-0.81677068551118293</v>
      </c>
    </row>
    <row r="56" spans="1:26" s="24" customFormat="1" hidden="1" outlineLevel="1" x14ac:dyDescent="0.25">
      <c r="A56" s="44"/>
      <c r="B56" s="11" t="str">
        <f>CONCATENATE("          ", "5032", " - ", "PURCHASES @ COST-JUICE")</f>
        <v xml:space="preserve">          5032 - PURCHASES @ COST-JUICE</v>
      </c>
      <c r="C56" s="11"/>
      <c r="D56" s="2"/>
      <c r="E56" s="2"/>
      <c r="F56" s="19">
        <f t="shared" si="12"/>
        <v>0</v>
      </c>
      <c r="G56" s="2"/>
      <c r="H56" s="2">
        <v>2565.13</v>
      </c>
      <c r="I56" s="2"/>
      <c r="J56" s="19">
        <f t="shared" si="13"/>
        <v>2.2150614646245848E-2</v>
      </c>
      <c r="K56" s="2"/>
      <c r="L56" s="2">
        <f t="shared" si="14"/>
        <v>-2565.13</v>
      </c>
      <c r="M56" s="2"/>
      <c r="N56" s="19">
        <f t="shared" si="15"/>
        <v>-1</v>
      </c>
      <c r="O56" s="11"/>
      <c r="P56" s="2"/>
      <c r="Q56" s="2"/>
      <c r="R56" s="19">
        <f t="shared" si="16"/>
        <v>0</v>
      </c>
      <c r="S56" s="2"/>
      <c r="T56" s="2">
        <v>3384.28</v>
      </c>
      <c r="U56" s="2"/>
      <c r="V56" s="19">
        <f t="shared" si="17"/>
        <v>8.3247370643698849E-3</v>
      </c>
      <c r="W56" s="2"/>
      <c r="X56" s="2">
        <f t="shared" si="18"/>
        <v>-3384.28</v>
      </c>
      <c r="Y56" s="2"/>
      <c r="Z56" s="19">
        <f t="shared" si="19"/>
        <v>-1</v>
      </c>
    </row>
    <row r="57" spans="1:26" s="24" customFormat="1" hidden="1" outlineLevel="1" x14ac:dyDescent="0.25">
      <c r="A57" s="44"/>
      <c r="B57" s="11" t="str">
        <f>CONCATENATE("          ", "5033", " - ", "PURCHASES @ COST-CANDY")</f>
        <v xml:space="preserve">          5033 - PURCHASES @ COST-CANDY</v>
      </c>
      <c r="C57" s="11"/>
      <c r="D57" s="2"/>
      <c r="E57" s="2"/>
      <c r="F57" s="19">
        <f t="shared" si="12"/>
        <v>0</v>
      </c>
      <c r="G57" s="2"/>
      <c r="H57" s="2">
        <v>2102.09</v>
      </c>
      <c r="I57" s="2"/>
      <c r="J57" s="19">
        <f t="shared" si="13"/>
        <v>1.81521348008588E-2</v>
      </c>
      <c r="K57" s="2"/>
      <c r="L57" s="2">
        <f t="shared" si="14"/>
        <v>-2102.09</v>
      </c>
      <c r="M57" s="2"/>
      <c r="N57" s="19">
        <f t="shared" si="15"/>
        <v>-1</v>
      </c>
      <c r="O57" s="11"/>
      <c r="P57" s="2"/>
      <c r="Q57" s="2"/>
      <c r="R57" s="19">
        <f t="shared" si="16"/>
        <v>0</v>
      </c>
      <c r="S57" s="2"/>
      <c r="T57" s="2">
        <v>4455.2</v>
      </c>
      <c r="U57" s="2"/>
      <c r="V57" s="19">
        <f t="shared" si="17"/>
        <v>1.0959013015820413E-2</v>
      </c>
      <c r="W57" s="2"/>
      <c r="X57" s="2">
        <f t="shared" si="18"/>
        <v>-4455.2</v>
      </c>
      <c r="Y57" s="2"/>
      <c r="Z57" s="19">
        <f t="shared" si="19"/>
        <v>-1</v>
      </c>
    </row>
    <row r="58" spans="1:26" s="24" customFormat="1" hidden="1" outlineLevel="1" x14ac:dyDescent="0.25">
      <c r="A58" s="44"/>
      <c r="B58" s="11" t="str">
        <f>CONCATENATE("          ", "5034", " - ", "PURCHASES @ COST-SODA")</f>
        <v xml:space="preserve">          5034 - PURCHASES @ COST-SODA</v>
      </c>
      <c r="C58" s="11"/>
      <c r="D58" s="2"/>
      <c r="E58" s="2"/>
      <c r="F58" s="19">
        <f t="shared" si="12"/>
        <v>0</v>
      </c>
      <c r="G58" s="2"/>
      <c r="H58" s="2">
        <v>876</v>
      </c>
      <c r="I58" s="2"/>
      <c r="J58" s="19">
        <f t="shared" si="13"/>
        <v>7.5645048906337539E-3</v>
      </c>
      <c r="K58" s="2"/>
      <c r="L58" s="2">
        <f t="shared" si="14"/>
        <v>-876</v>
      </c>
      <c r="M58" s="2"/>
      <c r="N58" s="19">
        <f t="shared" si="15"/>
        <v>-1</v>
      </c>
      <c r="O58" s="11"/>
      <c r="P58" s="2"/>
      <c r="Q58" s="2"/>
      <c r="R58" s="19">
        <f t="shared" si="16"/>
        <v>0</v>
      </c>
      <c r="S58" s="2"/>
      <c r="T58" s="2">
        <v>1494.54</v>
      </c>
      <c r="U58" s="2"/>
      <c r="V58" s="19">
        <f t="shared" si="17"/>
        <v>3.6763070822105042E-3</v>
      </c>
      <c r="W58" s="2"/>
      <c r="X58" s="2">
        <f t="shared" si="18"/>
        <v>-1494.54</v>
      </c>
      <c r="Y58" s="2"/>
      <c r="Z58" s="19">
        <f t="shared" si="19"/>
        <v>-1</v>
      </c>
    </row>
    <row r="59" spans="1:26" s="24" customFormat="1" hidden="1" outlineLevel="1" x14ac:dyDescent="0.25">
      <c r="A59" s="44"/>
      <c r="B59" s="11" t="str">
        <f>CONCATENATE("          ", "5035", " - ", "PURCHASES @ COST-HEALTH &amp; BEAU")</f>
        <v xml:space="preserve">          5035 - PURCHASES @ COST-HEALTH &amp; BEAU</v>
      </c>
      <c r="C59" s="11"/>
      <c r="D59" s="2"/>
      <c r="E59" s="2"/>
      <c r="F59" s="19">
        <f t="shared" si="12"/>
        <v>0</v>
      </c>
      <c r="G59" s="2"/>
      <c r="H59" s="2">
        <v>291.13</v>
      </c>
      <c r="I59" s="2"/>
      <c r="J59" s="19">
        <f t="shared" si="13"/>
        <v>2.5139889369979506E-3</v>
      </c>
      <c r="K59" s="2"/>
      <c r="L59" s="2">
        <f t="shared" si="14"/>
        <v>-291.13</v>
      </c>
      <c r="M59" s="2"/>
      <c r="N59" s="19">
        <f t="shared" si="15"/>
        <v>-1</v>
      </c>
      <c r="O59" s="11"/>
      <c r="P59" s="2"/>
      <c r="Q59" s="2"/>
      <c r="R59" s="19">
        <f t="shared" si="16"/>
        <v>0</v>
      </c>
      <c r="S59" s="2"/>
      <c r="T59" s="2">
        <v>578.69000000000005</v>
      </c>
      <c r="U59" s="2"/>
      <c r="V59" s="19">
        <f t="shared" si="17"/>
        <v>1.4234762170329312E-3</v>
      </c>
      <c r="W59" s="2"/>
      <c r="X59" s="2">
        <f t="shared" si="18"/>
        <v>-578.69000000000005</v>
      </c>
      <c r="Y59" s="2"/>
      <c r="Z59" s="19">
        <f t="shared" si="19"/>
        <v>-1</v>
      </c>
    </row>
    <row r="60" spans="1:26" s="24" customFormat="1" hidden="1" outlineLevel="1" x14ac:dyDescent="0.25">
      <c r="A60" s="44"/>
      <c r="B60" s="11" t="str">
        <f>CONCATENATE("          ", "5037", " - ", "PURCHASES @ COST-WATER")</f>
        <v xml:space="preserve">          5037 - PURCHASES @ COST-WATER</v>
      </c>
      <c r="C60" s="11"/>
      <c r="D60" s="2"/>
      <c r="E60" s="2"/>
      <c r="F60" s="19">
        <f t="shared" si="12"/>
        <v>0</v>
      </c>
      <c r="G60" s="2"/>
      <c r="H60" s="2">
        <v>1463.27</v>
      </c>
      <c r="I60" s="2"/>
      <c r="J60" s="19">
        <f t="shared" si="13"/>
        <v>1.2635745515202801E-2</v>
      </c>
      <c r="K60" s="2"/>
      <c r="L60" s="2">
        <f t="shared" si="14"/>
        <v>-1463.27</v>
      </c>
      <c r="M60" s="2"/>
      <c r="N60" s="19">
        <f t="shared" si="15"/>
        <v>-1</v>
      </c>
      <c r="O60" s="11"/>
      <c r="P60" s="2"/>
      <c r="Q60" s="2"/>
      <c r="R60" s="19">
        <f t="shared" si="16"/>
        <v>0</v>
      </c>
      <c r="S60" s="2"/>
      <c r="T60" s="2">
        <v>2826.09</v>
      </c>
      <c r="U60" s="2"/>
      <c r="V60" s="19">
        <f t="shared" si="17"/>
        <v>6.9516872629466495E-3</v>
      </c>
      <c r="W60" s="2"/>
      <c r="X60" s="2">
        <f t="shared" si="18"/>
        <v>-2826.09</v>
      </c>
      <c r="Y60" s="2"/>
      <c r="Z60" s="19">
        <f t="shared" si="19"/>
        <v>-1</v>
      </c>
    </row>
    <row r="61" spans="1:26" s="24" customFormat="1" hidden="1" outlineLevel="1" x14ac:dyDescent="0.25">
      <c r="A61" s="44"/>
      <c r="B61" s="11" t="str">
        <f>CONCATENATE("          ", "5081", " - ", "PURCHASES @ COST-ELECTRONICS")</f>
        <v xml:space="preserve">          5081 - PURCHASES @ COST-ELECTRONICS</v>
      </c>
      <c r="C61" s="11"/>
      <c r="D61" s="2"/>
      <c r="E61" s="2"/>
      <c r="F61" s="19">
        <f t="shared" si="12"/>
        <v>0</v>
      </c>
      <c r="G61" s="2"/>
      <c r="H61" s="2">
        <v>490.99</v>
      </c>
      <c r="I61" s="2"/>
      <c r="J61" s="19">
        <f t="shared" si="13"/>
        <v>4.2398359089637749E-3</v>
      </c>
      <c r="K61" s="2"/>
      <c r="L61" s="2">
        <f t="shared" si="14"/>
        <v>-490.99</v>
      </c>
      <c r="M61" s="2"/>
      <c r="N61" s="19">
        <f t="shared" si="15"/>
        <v>-1</v>
      </c>
      <c r="O61" s="11"/>
      <c r="P61" s="2"/>
      <c r="Q61" s="2"/>
      <c r="R61" s="19">
        <f t="shared" si="16"/>
        <v>0</v>
      </c>
      <c r="S61" s="2"/>
      <c r="T61" s="2">
        <v>963.07</v>
      </c>
      <c r="U61" s="2"/>
      <c r="V61" s="19">
        <f t="shared" si="17"/>
        <v>2.3689838088404931E-3</v>
      </c>
      <c r="W61" s="2"/>
      <c r="X61" s="2">
        <f t="shared" si="18"/>
        <v>-963.07</v>
      </c>
      <c r="Y61" s="2"/>
      <c r="Z61" s="19">
        <f t="shared" si="19"/>
        <v>-1</v>
      </c>
    </row>
    <row r="62" spans="1:26" s="24" customFormat="1" hidden="1" outlineLevel="1" x14ac:dyDescent="0.25">
      <c r="A62" s="44"/>
      <c r="B62" s="11" t="str">
        <f>CONCATENATE("          ", "5082", " - ", "PURCHASES @ COST-COMPUTER HARD")</f>
        <v xml:space="preserve">          5082 - PURCHASES @ COST-COMPUTER HARD</v>
      </c>
      <c r="C62" s="11"/>
      <c r="D62" s="2"/>
      <c r="E62" s="2"/>
      <c r="F62" s="19">
        <f t="shared" si="12"/>
        <v>0</v>
      </c>
      <c r="G62" s="2"/>
      <c r="H62" s="2"/>
      <c r="I62" s="2"/>
      <c r="J62" s="19">
        <f t="shared" si="13"/>
        <v>0</v>
      </c>
      <c r="K62" s="2"/>
      <c r="L62" s="2">
        <f t="shared" si="14"/>
        <v>0</v>
      </c>
      <c r="M62" s="2"/>
      <c r="N62" s="19">
        <f t="shared" si="15"/>
        <v>0</v>
      </c>
      <c r="O62" s="11"/>
      <c r="P62" s="2"/>
      <c r="Q62" s="2"/>
      <c r="R62" s="19">
        <f t="shared" si="16"/>
        <v>0</v>
      </c>
      <c r="S62" s="2"/>
      <c r="T62" s="2">
        <v>149.6</v>
      </c>
      <c r="U62" s="2"/>
      <c r="V62" s="19">
        <f t="shared" si="17"/>
        <v>3.6798984269319755E-4</v>
      </c>
      <c r="W62" s="2"/>
      <c r="X62" s="2">
        <f t="shared" si="18"/>
        <v>-149.6</v>
      </c>
      <c r="Y62" s="2"/>
      <c r="Z62" s="19">
        <f t="shared" si="19"/>
        <v>-1</v>
      </c>
    </row>
    <row r="63" spans="1:26" s="24" customFormat="1" hidden="1" outlineLevel="1" x14ac:dyDescent="0.25">
      <c r="A63" s="44"/>
      <c r="B63" s="11" t="str">
        <f>CONCATENATE("          ", "5083", " - ", "PURCHASES @ COST-COMPUTER EQUI")</f>
        <v xml:space="preserve">          5083 - PURCHASES @ COST-COMPUTER EQUI</v>
      </c>
      <c r="C63" s="11"/>
      <c r="D63" s="2"/>
      <c r="E63" s="2"/>
      <c r="F63" s="19">
        <f t="shared" si="12"/>
        <v>0</v>
      </c>
      <c r="G63" s="2"/>
      <c r="H63" s="2">
        <v>76.150000000000006</v>
      </c>
      <c r="I63" s="2"/>
      <c r="J63" s="19">
        <f t="shared" si="13"/>
        <v>6.5757653815269449E-4</v>
      </c>
      <c r="K63" s="2"/>
      <c r="L63" s="2">
        <f t="shared" si="14"/>
        <v>-76.150000000000006</v>
      </c>
      <c r="M63" s="2"/>
      <c r="N63" s="19">
        <f t="shared" si="15"/>
        <v>-1</v>
      </c>
      <c r="O63" s="11"/>
      <c r="P63" s="2"/>
      <c r="Q63" s="2"/>
      <c r="R63" s="19">
        <f t="shared" si="16"/>
        <v>0</v>
      </c>
      <c r="S63" s="2"/>
      <c r="T63" s="2">
        <v>192.2</v>
      </c>
      <c r="U63" s="2"/>
      <c r="V63" s="19">
        <f t="shared" si="17"/>
        <v>4.727783941552979E-4</v>
      </c>
      <c r="W63" s="2"/>
      <c r="X63" s="2">
        <f t="shared" si="18"/>
        <v>-192.2</v>
      </c>
      <c r="Y63" s="2"/>
      <c r="Z63" s="19">
        <f t="shared" si="19"/>
        <v>-1</v>
      </c>
    </row>
    <row r="64" spans="1:26" s="24" customFormat="1" hidden="1" outlineLevel="1" x14ac:dyDescent="0.25">
      <c r="A64" s="44"/>
      <c r="B64" s="11" t="str">
        <f>CONCATENATE("          ", "5086", " - ", "PURCHASES @ COST-COMPUTER SUPP")</f>
        <v xml:space="preserve">          5086 - PURCHASES @ COST-COMPUTER SUPP</v>
      </c>
      <c r="C64" s="11"/>
      <c r="D64" s="2"/>
      <c r="E64" s="2"/>
      <c r="F64" s="19">
        <f t="shared" si="12"/>
        <v>0</v>
      </c>
      <c r="G64" s="2"/>
      <c r="H64" s="2">
        <v>54</v>
      </c>
      <c r="I64" s="2"/>
      <c r="J64" s="19">
        <f t="shared" si="13"/>
        <v>4.6630509599797116E-4</v>
      </c>
      <c r="K64" s="2"/>
      <c r="L64" s="2">
        <f t="shared" si="14"/>
        <v>-54</v>
      </c>
      <c r="M64" s="2"/>
      <c r="N64" s="19">
        <f t="shared" si="15"/>
        <v>-1</v>
      </c>
      <c r="O64" s="11"/>
      <c r="P64" s="2"/>
      <c r="Q64" s="2"/>
      <c r="R64" s="19">
        <f t="shared" si="16"/>
        <v>0</v>
      </c>
      <c r="S64" s="2"/>
      <c r="T64" s="2">
        <v>141</v>
      </c>
      <c r="U64" s="2"/>
      <c r="V64" s="19">
        <f t="shared" si="17"/>
        <v>3.4683534638864209E-4</v>
      </c>
      <c r="W64" s="2"/>
      <c r="X64" s="2">
        <f t="shared" si="18"/>
        <v>-141</v>
      </c>
      <c r="Y64" s="2"/>
      <c r="Z64" s="19">
        <f t="shared" si="19"/>
        <v>-1</v>
      </c>
    </row>
    <row r="65" spans="1:26" s="24" customFormat="1" hidden="1" outlineLevel="1" x14ac:dyDescent="0.25">
      <c r="A65" s="44"/>
      <c r="B65" s="11" t="str">
        <f>CONCATENATE("          ", "5200", " - ", "PURCHASES OFFSET")</f>
        <v xml:space="preserve">          5200 - PURCHASES OFFSET</v>
      </c>
      <c r="C65" s="11"/>
      <c r="D65" s="2">
        <v>-42974.16</v>
      </c>
      <c r="E65" s="2"/>
      <c r="F65" s="19">
        <f t="shared" si="12"/>
        <v>-2400.7910614525144</v>
      </c>
      <c r="G65" s="2"/>
      <c r="H65" s="2">
        <v>-56159</v>
      </c>
      <c r="I65" s="2"/>
      <c r="J65" s="19">
        <f t="shared" si="13"/>
        <v>-0.48494866455833446</v>
      </c>
      <c r="K65" s="2"/>
      <c r="L65" s="2">
        <f t="shared" si="14"/>
        <v>13184.839999999997</v>
      </c>
      <c r="M65" s="2"/>
      <c r="N65" s="19">
        <f t="shared" si="15"/>
        <v>-0.23477697252443946</v>
      </c>
      <c r="O65" s="11"/>
      <c r="P65" s="2">
        <v>-45863.33</v>
      </c>
      <c r="Q65" s="2"/>
      <c r="R65" s="19">
        <f t="shared" si="16"/>
        <v>-2.1520036674311842</v>
      </c>
      <c r="S65" s="2"/>
      <c r="T65" s="2">
        <v>-222763</v>
      </c>
      <c r="U65" s="2"/>
      <c r="V65" s="19">
        <f t="shared" si="17"/>
        <v>-0.54795803026647572</v>
      </c>
      <c r="W65" s="2"/>
      <c r="X65" s="2">
        <f t="shared" si="18"/>
        <v>176899.66999999998</v>
      </c>
      <c r="Y65" s="2"/>
      <c r="Z65" s="19">
        <f t="shared" si="19"/>
        <v>-0.7941160336321561</v>
      </c>
    </row>
    <row r="66" spans="1:26" s="24" customFormat="1" hidden="1" outlineLevel="1" x14ac:dyDescent="0.25">
      <c r="A66" s="44"/>
      <c r="B66" s="11" t="str">
        <f>CONCATENATE("          ", "5300", " - ", "COG$ OFFSET")</f>
        <v xml:space="preserve">          5300 - COG$ OFFSET</v>
      </c>
      <c r="C66" s="11"/>
      <c r="D66" s="2"/>
      <c r="E66" s="2"/>
      <c r="F66" s="19">
        <f t="shared" si="12"/>
        <v>0</v>
      </c>
      <c r="G66" s="2"/>
      <c r="H66" s="2">
        <v>58396</v>
      </c>
      <c r="I66" s="2"/>
      <c r="J66" s="19">
        <f t="shared" si="13"/>
        <v>0.50426578492402818</v>
      </c>
      <c r="K66" s="2"/>
      <c r="L66" s="2">
        <f t="shared" si="14"/>
        <v>-58396</v>
      </c>
      <c r="M66" s="2"/>
      <c r="N66" s="19">
        <f t="shared" si="15"/>
        <v>-1</v>
      </c>
      <c r="O66" s="11"/>
      <c r="P66" s="2">
        <v>14145</v>
      </c>
      <c r="Q66" s="2"/>
      <c r="R66" s="19">
        <f t="shared" si="16"/>
        <v>0.66371307700103988</v>
      </c>
      <c r="S66" s="2"/>
      <c r="T66" s="2">
        <v>200349</v>
      </c>
      <c r="U66" s="2"/>
      <c r="V66" s="19">
        <f t="shared" si="17"/>
        <v>0.49282350931644009</v>
      </c>
      <c r="W66" s="2"/>
      <c r="X66" s="2">
        <f t="shared" si="18"/>
        <v>-186204</v>
      </c>
      <c r="Y66" s="2"/>
      <c r="Z66" s="19">
        <f t="shared" si="19"/>
        <v>-0.92939820014075436</v>
      </c>
    </row>
    <row r="67" spans="1:26" s="24" customFormat="1" hidden="1" outlineLevel="1" x14ac:dyDescent="0.25">
      <c r="A67" s="44"/>
      <c r="B67" s="11" t="str">
        <f>CONCATENATE("          ", "5500", " - ", "FREIGHT-IN")</f>
        <v xml:space="preserve">          5500 - FREIGHT-IN</v>
      </c>
      <c r="C67" s="11"/>
      <c r="D67" s="2"/>
      <c r="E67" s="2"/>
      <c r="F67" s="19">
        <f t="shared" si="12"/>
        <v>0</v>
      </c>
      <c r="G67" s="2"/>
      <c r="H67" s="2">
        <v>6</v>
      </c>
      <c r="I67" s="2"/>
      <c r="J67" s="19">
        <f t="shared" si="13"/>
        <v>5.1811677333107905E-5</v>
      </c>
      <c r="K67" s="2"/>
      <c r="L67" s="2">
        <f t="shared" si="14"/>
        <v>-6</v>
      </c>
      <c r="M67" s="2"/>
      <c r="N67" s="19">
        <f t="shared" si="15"/>
        <v>-1</v>
      </c>
      <c r="O67" s="11"/>
      <c r="P67" s="2"/>
      <c r="Q67" s="2"/>
      <c r="R67" s="19">
        <f t="shared" si="16"/>
        <v>0</v>
      </c>
      <c r="S67" s="2"/>
      <c r="T67" s="2">
        <v>6</v>
      </c>
      <c r="U67" s="2"/>
      <c r="V67" s="19">
        <f t="shared" si="17"/>
        <v>1.4758950910154981E-5</v>
      </c>
      <c r="W67" s="2"/>
      <c r="X67" s="2">
        <f t="shared" si="18"/>
        <v>-6</v>
      </c>
      <c r="Y67" s="2"/>
      <c r="Z67" s="19">
        <f t="shared" si="19"/>
        <v>-1</v>
      </c>
    </row>
    <row r="68" spans="1:26" s="24" customFormat="1" hidden="1" outlineLevel="1" x14ac:dyDescent="0.25">
      <c r="A68" s="44"/>
      <c r="B68" s="11" t="str">
        <f>CONCATENATE("          ", "5525", " - ", "FREIGHT-IN-TEST FORMS")</f>
        <v xml:space="preserve">          5525 - FREIGHT-IN-TEST FORMS</v>
      </c>
      <c r="C68" s="11"/>
      <c r="D68" s="2"/>
      <c r="E68" s="2"/>
      <c r="F68" s="19">
        <f t="shared" si="12"/>
        <v>0</v>
      </c>
      <c r="G68" s="2"/>
      <c r="H68" s="2">
        <v>39.22</v>
      </c>
      <c r="I68" s="2"/>
      <c r="J68" s="19">
        <f t="shared" si="13"/>
        <v>3.3867566416741533E-4</v>
      </c>
      <c r="K68" s="2"/>
      <c r="L68" s="2">
        <f t="shared" si="14"/>
        <v>-39.22</v>
      </c>
      <c r="M68" s="2"/>
      <c r="N68" s="19">
        <f t="shared" si="15"/>
        <v>-1</v>
      </c>
      <c r="O68" s="11"/>
      <c r="P68" s="2"/>
      <c r="Q68" s="2"/>
      <c r="R68" s="19">
        <f t="shared" si="16"/>
        <v>0</v>
      </c>
      <c r="S68" s="2"/>
      <c r="T68" s="2">
        <v>39.22</v>
      </c>
      <c r="U68" s="2"/>
      <c r="V68" s="19">
        <f t="shared" si="17"/>
        <v>9.6474342449379724E-5</v>
      </c>
      <c r="W68" s="2"/>
      <c r="X68" s="2">
        <f t="shared" si="18"/>
        <v>-39.22</v>
      </c>
      <c r="Y68" s="2"/>
      <c r="Z68" s="19">
        <f t="shared" si="19"/>
        <v>-1</v>
      </c>
    </row>
    <row r="69" spans="1:26" s="24" customFormat="1" hidden="1" outlineLevel="1" x14ac:dyDescent="0.25">
      <c r="A69" s="44"/>
      <c r="B69" s="11" t="str">
        <f>CONCATENATE("          ", "5526", " - ", "FREIGHT-IN-WRITING INSTRUMENTS")</f>
        <v xml:space="preserve">          5526 - FREIGHT-IN-WRITING INSTRUMENTS</v>
      </c>
      <c r="C69" s="11"/>
      <c r="D69" s="2"/>
      <c r="E69" s="2"/>
      <c r="F69" s="19">
        <f t="shared" si="12"/>
        <v>0</v>
      </c>
      <c r="G69" s="2"/>
      <c r="H69" s="2"/>
      <c r="I69" s="2"/>
      <c r="J69" s="19">
        <f t="shared" si="13"/>
        <v>0</v>
      </c>
      <c r="K69" s="2"/>
      <c r="L69" s="2">
        <f t="shared" si="14"/>
        <v>0</v>
      </c>
      <c r="M69" s="2"/>
      <c r="N69" s="19">
        <f t="shared" si="15"/>
        <v>0</v>
      </c>
      <c r="O69" s="11"/>
      <c r="P69" s="2"/>
      <c r="Q69" s="2"/>
      <c r="R69" s="19">
        <f t="shared" si="16"/>
        <v>0</v>
      </c>
      <c r="S69" s="2"/>
      <c r="T69" s="2">
        <v>56.57</v>
      </c>
      <c r="U69" s="2"/>
      <c r="V69" s="19">
        <f t="shared" si="17"/>
        <v>1.3915230883124457E-4</v>
      </c>
      <c r="W69" s="2"/>
      <c r="X69" s="2">
        <f t="shared" si="18"/>
        <v>-56.57</v>
      </c>
      <c r="Y69" s="2"/>
      <c r="Z69" s="19">
        <f t="shared" si="19"/>
        <v>-1</v>
      </c>
    </row>
    <row r="70" spans="1:26" s="24" customFormat="1" hidden="1" outlineLevel="1" x14ac:dyDescent="0.25">
      <c r="A70" s="44"/>
      <c r="B70" s="11" t="str">
        <f>CONCATENATE("          ", "5527", " - ", "FREIGHT-IN-SCHOOL SUPPLIES")</f>
        <v xml:space="preserve">          5527 - FREIGHT-IN-SCHOOL SUPPLIES</v>
      </c>
      <c r="C70" s="11"/>
      <c r="D70" s="2"/>
      <c r="E70" s="2"/>
      <c r="F70" s="19">
        <f t="shared" si="12"/>
        <v>0</v>
      </c>
      <c r="G70" s="2"/>
      <c r="H70" s="2">
        <v>344.59</v>
      </c>
      <c r="I70" s="2"/>
      <c r="J70" s="19">
        <f t="shared" si="13"/>
        <v>2.9756309820359421E-3</v>
      </c>
      <c r="K70" s="2"/>
      <c r="L70" s="2">
        <f t="shared" si="14"/>
        <v>-344.59</v>
      </c>
      <c r="M70" s="2"/>
      <c r="N70" s="19">
        <f t="shared" si="15"/>
        <v>-1</v>
      </c>
      <c r="O70" s="11"/>
      <c r="P70" s="2"/>
      <c r="Q70" s="2"/>
      <c r="R70" s="19">
        <f t="shared" si="16"/>
        <v>0</v>
      </c>
      <c r="S70" s="2"/>
      <c r="T70" s="2">
        <v>738.49</v>
      </c>
      <c r="U70" s="2"/>
      <c r="V70" s="19">
        <f t="shared" si="17"/>
        <v>1.8165562762733922E-3</v>
      </c>
      <c r="W70" s="2"/>
      <c r="X70" s="2">
        <f t="shared" si="18"/>
        <v>-738.49</v>
      </c>
      <c r="Y70" s="2"/>
      <c r="Z70" s="19">
        <f t="shared" si="19"/>
        <v>-1</v>
      </c>
    </row>
    <row r="71" spans="1:26" s="24" customFormat="1" hidden="1" outlineLevel="1" x14ac:dyDescent="0.25">
      <c r="A71" s="44"/>
      <c r="B71" s="11" t="str">
        <f>CONCATENATE("          ", "5528", " - ", "FREIGHT-IN-ART/TECH")</f>
        <v xml:space="preserve">          5528 - FREIGHT-IN-ART/TECH</v>
      </c>
      <c r="C71" s="11"/>
      <c r="D71" s="2">
        <v>235.45</v>
      </c>
      <c r="E71" s="2"/>
      <c r="F71" s="19">
        <f t="shared" si="12"/>
        <v>13.153631284916202</v>
      </c>
      <c r="G71" s="2"/>
      <c r="H71" s="2">
        <v>185.67</v>
      </c>
      <c r="I71" s="2"/>
      <c r="J71" s="19">
        <f t="shared" si="13"/>
        <v>1.6033123550730239E-3</v>
      </c>
      <c r="K71" s="2"/>
      <c r="L71" s="2">
        <f t="shared" si="14"/>
        <v>49.78</v>
      </c>
      <c r="M71" s="2"/>
      <c r="N71" s="19">
        <f t="shared" si="15"/>
        <v>0.26811008779016537</v>
      </c>
      <c r="O71" s="11"/>
      <c r="P71" s="2">
        <v>280.26</v>
      </c>
      <c r="Q71" s="2"/>
      <c r="R71" s="19">
        <f t="shared" si="16"/>
        <v>1.3150387201153158E-2</v>
      </c>
      <c r="S71" s="2"/>
      <c r="T71" s="2">
        <v>818.44</v>
      </c>
      <c r="U71" s="2"/>
      <c r="V71" s="19">
        <f t="shared" si="17"/>
        <v>2.0132192971512074E-3</v>
      </c>
      <c r="W71" s="2"/>
      <c r="X71" s="2">
        <f t="shared" si="18"/>
        <v>-538.18000000000006</v>
      </c>
      <c r="Y71" s="2"/>
      <c r="Z71" s="19">
        <f t="shared" si="19"/>
        <v>-0.65756805630223358</v>
      </c>
    </row>
    <row r="72" spans="1:26" x14ac:dyDescent="0.25">
      <c r="A72" s="9"/>
      <c r="B72" s="10"/>
      <c r="C72" s="10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0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10"/>
      <c r="B73" s="25" t="s">
        <v>6</v>
      </c>
      <c r="C73" s="25"/>
      <c r="D73" s="20">
        <f>D12-D48</f>
        <v>17.900000000004376</v>
      </c>
      <c r="E73" s="13"/>
      <c r="F73" s="21">
        <f>IF(D$12=0,0,D73/D$12)</f>
        <v>1.0000000000002445</v>
      </c>
      <c r="G73" s="13"/>
      <c r="H73" s="20">
        <f>H12-H48</f>
        <v>57402.19</v>
      </c>
      <c r="I73" s="13"/>
      <c r="J73" s="21">
        <f>IF(H$12=0,0,H73/H$12)</f>
        <v>0.4956839577489589</v>
      </c>
      <c r="K73" s="15"/>
      <c r="L73" s="20">
        <f>+D73-H73</f>
        <v>-57384.29</v>
      </c>
      <c r="M73" s="15"/>
      <c r="N73" s="21">
        <f>IF(H73=0,0,L73/H73)</f>
        <v>-0.99968816520763404</v>
      </c>
      <c r="O73" s="26"/>
      <c r="P73" s="20">
        <f>P12-P48</f>
        <v>7128.8700000000044</v>
      </c>
      <c r="Q73" s="13"/>
      <c r="R73" s="21">
        <f>IF(P$12=0,0,P73/P$12)</f>
        <v>0.33450153716793257</v>
      </c>
      <c r="S73" s="13"/>
      <c r="T73" s="20">
        <f>T12-T48</f>
        <v>206179.24000000005</v>
      </c>
      <c r="U73" s="13"/>
      <c r="V73" s="21">
        <f>IF(T$12=0,0,T73/T$12)</f>
        <v>0.50716488030884388</v>
      </c>
      <c r="W73" s="15"/>
      <c r="X73" s="20">
        <f>+P73-T73</f>
        <v>-199050.37000000005</v>
      </c>
      <c r="Y73" s="15"/>
      <c r="Z73" s="21">
        <f>IF(T73=0,0,X73/T73)</f>
        <v>-0.96542391949839379</v>
      </c>
    </row>
    <row r="74" spans="1:26" x14ac:dyDescent="0.25">
      <c r="A74" s="9"/>
      <c r="B74" s="10"/>
      <c r="C74" s="9"/>
      <c r="D74" s="1"/>
      <c r="E74" s="1"/>
      <c r="F74" s="5"/>
      <c r="G74" s="1"/>
      <c r="H74" s="1"/>
      <c r="I74" s="1"/>
      <c r="J74" s="5"/>
      <c r="K74" s="1"/>
      <c r="L74" s="1"/>
      <c r="M74" s="1"/>
      <c r="N74" s="5"/>
      <c r="O74" s="37"/>
      <c r="P74" s="1"/>
      <c r="Q74" s="1"/>
      <c r="R74" s="5"/>
      <c r="S74" s="1"/>
      <c r="T74" s="1"/>
      <c r="U74" s="1"/>
      <c r="V74" s="5"/>
      <c r="W74" s="1"/>
      <c r="X74" s="1"/>
      <c r="Y74" s="1"/>
      <c r="Z74" s="5"/>
    </row>
    <row r="75" spans="1:26" s="23" customFormat="1" x14ac:dyDescent="0.25">
      <c r="A75" s="10"/>
      <c r="B75" s="26" t="s">
        <v>9</v>
      </c>
      <c r="C75" s="10"/>
      <c r="D75" s="22">
        <f>SUM(OSRRefD22x_0)</f>
        <v>1424.39</v>
      </c>
      <c r="E75" s="22"/>
      <c r="F75" s="36">
        <f t="shared" ref="F75:F84" si="20">IF(D$12=0,0,D75/D$12)</f>
        <v>79.574860335195538</v>
      </c>
      <c r="G75" s="22"/>
      <c r="H75" s="22">
        <f>SUM(OSRRefH22x_0)</f>
        <v>26223.620000000003</v>
      </c>
      <c r="I75" s="22"/>
      <c r="J75" s="36">
        <f t="shared" ref="J75:J84" si="21">IF(H$12=0,0,H75/H$12)</f>
        <v>0.22644828965767252</v>
      </c>
      <c r="K75" s="4"/>
      <c r="L75" s="22">
        <f t="shared" ref="L75:L84" si="22">+D75-H75</f>
        <v>-24799.230000000003</v>
      </c>
      <c r="M75" s="4"/>
      <c r="N75" s="36">
        <f t="shared" ref="N75:N84" si="23">IF(H75=0,0,L75/H75)</f>
        <v>-0.94568293774848788</v>
      </c>
      <c r="O75" s="10"/>
      <c r="P75" s="22">
        <f>SUM(OSRRefP22x_0)</f>
        <v>11618.059999999996</v>
      </c>
      <c r="Q75" s="22"/>
      <c r="R75" s="36">
        <f t="shared" ref="R75:R84" si="24">IF(P$12=0,0,P75/P$12)</f>
        <v>0.54514375053960396</v>
      </c>
      <c r="S75" s="22"/>
      <c r="T75" s="22">
        <f>SUM(OSRRefT22x_0)</f>
        <v>87947.599999999991</v>
      </c>
      <c r="U75" s="22"/>
      <c r="V75" s="36">
        <f t="shared" ref="V75:V84" si="25">IF(T$12=0,0,T75/T$12)</f>
        <v>0.21633571851099104</v>
      </c>
      <c r="W75" s="4"/>
      <c r="X75" s="22">
        <f t="shared" ref="X75:X84" si="26">+P75-T75</f>
        <v>-76329.539999999994</v>
      </c>
      <c r="Y75" s="4"/>
      <c r="Z75" s="36">
        <f t="shared" ref="Z75:Z84" si="27">IF(T75=0,0,X75/T75)</f>
        <v>-0.8678979301311236</v>
      </c>
    </row>
    <row r="76" spans="1:26" s="29" customFormat="1" outlineLevel="1" collapsed="1" x14ac:dyDescent="0.25">
      <c r="A76" s="27"/>
      <c r="B76" s="14" t="str">
        <f>CONCATENATE("     ","*Benefits                                         ")</f>
        <v xml:space="preserve">     *Benefits                                         </v>
      </c>
      <c r="C76" s="14"/>
      <c r="D76" s="1">
        <f>SUM(OSRRefD22_0x_0)</f>
        <v>214.64</v>
      </c>
      <c r="E76" s="1"/>
      <c r="F76" s="5">
        <f t="shared" si="20"/>
        <v>11.991061452513966</v>
      </c>
      <c r="G76" s="1"/>
      <c r="H76" s="1">
        <f>SUM(OSRRefH22_0x_0)</f>
        <v>3064.6100000000006</v>
      </c>
      <c r="I76" s="1"/>
      <c r="J76" s="5">
        <f t="shared" si="21"/>
        <v>2.6463764078635973E-2</v>
      </c>
      <c r="K76" s="1"/>
      <c r="L76" s="1">
        <f t="shared" si="22"/>
        <v>-2849.9700000000007</v>
      </c>
      <c r="M76" s="1"/>
      <c r="N76" s="5">
        <f t="shared" si="23"/>
        <v>-0.92996172433033897</v>
      </c>
      <c r="O76" s="14"/>
      <c r="P76" s="1">
        <f>SUM(OSRRefP22_0x_0)</f>
        <v>776.81</v>
      </c>
      <c r="Q76" s="1"/>
      <c r="R76" s="5">
        <f t="shared" si="24"/>
        <v>3.6449554990822038E-2</v>
      </c>
      <c r="S76" s="1"/>
      <c r="T76" s="1">
        <f>SUM(OSRRefT22_0x_0)</f>
        <v>13039.369999999999</v>
      </c>
      <c r="U76" s="1"/>
      <c r="V76" s="5">
        <f t="shared" si="25"/>
        <v>3.2074570288224594E-2</v>
      </c>
      <c r="W76" s="1"/>
      <c r="X76" s="1">
        <f t="shared" si="26"/>
        <v>-12262.56</v>
      </c>
      <c r="Y76" s="1"/>
      <c r="Z76" s="5">
        <f t="shared" si="27"/>
        <v>-0.94042580278034904</v>
      </c>
    </row>
    <row r="77" spans="1:26" s="24" customFormat="1" hidden="1" outlineLevel="2" x14ac:dyDescent="0.25">
      <c r="A77" s="28"/>
      <c r="B77" s="11" t="str">
        <f>CONCATENATE("          ", "6111", " - ", "F.I.C.A.")</f>
        <v xml:space="preserve">          6111 - F.I.C.A.</v>
      </c>
      <c r="C77" s="11"/>
      <c r="D77" s="6">
        <v>76.819999999999993</v>
      </c>
      <c r="E77" s="2"/>
      <c r="F77" s="7">
        <f t="shared" si="20"/>
        <v>4.2916201117318433</v>
      </c>
      <c r="G77" s="2"/>
      <c r="H77" s="6">
        <v>458.31</v>
      </c>
      <c r="I77" s="2"/>
      <c r="J77" s="7">
        <f t="shared" si="21"/>
        <v>3.9576349730894474E-3</v>
      </c>
      <c r="K77" s="2"/>
      <c r="L77" s="6">
        <f t="shared" si="22"/>
        <v>-381.49</v>
      </c>
      <c r="M77" s="2"/>
      <c r="N77" s="7">
        <f t="shared" si="23"/>
        <v>-0.8323841941044271</v>
      </c>
      <c r="O77" s="11"/>
      <c r="P77" s="6">
        <v>483.22</v>
      </c>
      <c r="Q77" s="2"/>
      <c r="R77" s="7">
        <f t="shared" si="24"/>
        <v>2.2673696222583421E-2</v>
      </c>
      <c r="S77" s="2"/>
      <c r="T77" s="6">
        <v>2436.62</v>
      </c>
      <c r="U77" s="2"/>
      <c r="V77" s="7">
        <f t="shared" si="25"/>
        <v>5.9936591611169715E-3</v>
      </c>
      <c r="W77" s="2"/>
      <c r="X77" s="6">
        <f t="shared" si="26"/>
        <v>-1953.3999999999999</v>
      </c>
      <c r="Y77" s="2"/>
      <c r="Z77" s="7">
        <f t="shared" si="27"/>
        <v>-0.80168430038331784</v>
      </c>
    </row>
    <row r="78" spans="1:26" s="24" customFormat="1" hidden="1" outlineLevel="2" x14ac:dyDescent="0.25">
      <c r="A78" s="28"/>
      <c r="B78" s="11" t="str">
        <f>CONCATENATE("          ", "6112", " - ", "COMPENSATION INSURANCE")</f>
        <v xml:space="preserve">          6112 - COMPENSATION INSURANCE</v>
      </c>
      <c r="C78" s="11"/>
      <c r="D78" s="6">
        <v>120.84</v>
      </c>
      <c r="E78" s="2"/>
      <c r="F78" s="7">
        <f t="shared" si="20"/>
        <v>6.7508379888268166</v>
      </c>
      <c r="G78" s="2"/>
      <c r="H78" s="6">
        <v>67.22</v>
      </c>
      <c r="I78" s="2"/>
      <c r="J78" s="7">
        <f t="shared" si="21"/>
        <v>5.8046349172191885E-4</v>
      </c>
      <c r="K78" s="2"/>
      <c r="L78" s="6">
        <f t="shared" si="22"/>
        <v>53.620000000000005</v>
      </c>
      <c r="M78" s="2"/>
      <c r="N78" s="7">
        <f t="shared" si="23"/>
        <v>0.79767926212436779</v>
      </c>
      <c r="O78" s="11"/>
      <c r="P78" s="6">
        <v>255.57</v>
      </c>
      <c r="Q78" s="2"/>
      <c r="R78" s="7">
        <f t="shared" si="24"/>
        <v>1.1991880600152403E-2</v>
      </c>
      <c r="S78" s="2"/>
      <c r="T78" s="6">
        <v>782.91</v>
      </c>
      <c r="U78" s="2"/>
      <c r="V78" s="7">
        <f t="shared" si="25"/>
        <v>1.9258217095115726E-3</v>
      </c>
      <c r="W78" s="2"/>
      <c r="X78" s="6">
        <f t="shared" si="26"/>
        <v>-527.33999999999992</v>
      </c>
      <c r="Y78" s="2"/>
      <c r="Z78" s="7">
        <f t="shared" si="27"/>
        <v>-0.67356401118902554</v>
      </c>
    </row>
    <row r="79" spans="1:26" s="24" customFormat="1" hidden="1" outlineLevel="2" x14ac:dyDescent="0.25">
      <c r="A79" s="28"/>
      <c r="B79" s="11" t="str">
        <f>CONCATENATE("          ", "6113", " - ", "GROUP INSURANCE")</f>
        <v xml:space="preserve">          6113 - GROUP INSURANCE</v>
      </c>
      <c r="C79" s="11"/>
      <c r="D79" s="6"/>
      <c r="E79" s="2"/>
      <c r="F79" s="7">
        <f t="shared" si="20"/>
        <v>0</v>
      </c>
      <c r="G79" s="2"/>
      <c r="H79" s="6">
        <v>1519.46</v>
      </c>
      <c r="I79" s="2"/>
      <c r="J79" s="7">
        <f t="shared" si="21"/>
        <v>1.3120961873427357E-2</v>
      </c>
      <c r="K79" s="2"/>
      <c r="L79" s="6">
        <f t="shared" si="22"/>
        <v>-1519.46</v>
      </c>
      <c r="M79" s="2"/>
      <c r="N79" s="7">
        <f t="shared" si="23"/>
        <v>-1</v>
      </c>
      <c r="O79" s="11"/>
      <c r="P79" s="6"/>
      <c r="Q79" s="2"/>
      <c r="R79" s="7">
        <f t="shared" si="24"/>
        <v>0</v>
      </c>
      <c r="S79" s="2"/>
      <c r="T79" s="6">
        <v>4875.2</v>
      </c>
      <c r="U79" s="2"/>
      <c r="V79" s="7">
        <f t="shared" si="25"/>
        <v>1.199213957953126E-2</v>
      </c>
      <c r="W79" s="2"/>
      <c r="X79" s="6">
        <f t="shared" si="26"/>
        <v>-4875.2</v>
      </c>
      <c r="Y79" s="2"/>
      <c r="Z79" s="7">
        <f t="shared" si="27"/>
        <v>-1</v>
      </c>
    </row>
    <row r="80" spans="1:26" s="24" customFormat="1" hidden="1" outlineLevel="2" x14ac:dyDescent="0.25">
      <c r="A80" s="28"/>
      <c r="B80" s="11" t="str">
        <f>CONCATENATE("          ", "6114", " - ", "STATE UNEMPLOYMENT INSURANCE")</f>
        <v xml:space="preserve">          6114 - STATE UNEMPLOYMENT INSURANCE</v>
      </c>
      <c r="C80" s="11"/>
      <c r="D80" s="6">
        <v>16.98</v>
      </c>
      <c r="E80" s="2"/>
      <c r="F80" s="7">
        <f t="shared" si="20"/>
        <v>0.94860335195530732</v>
      </c>
      <c r="G80" s="2"/>
      <c r="H80" s="6">
        <v>50.14</v>
      </c>
      <c r="I80" s="2"/>
      <c r="J80" s="7">
        <f t="shared" si="21"/>
        <v>4.3297291691367173E-4</v>
      </c>
      <c r="K80" s="2"/>
      <c r="L80" s="6">
        <f t="shared" si="22"/>
        <v>-33.159999999999997</v>
      </c>
      <c r="M80" s="2"/>
      <c r="N80" s="7">
        <f t="shared" si="23"/>
        <v>-0.66134822497008372</v>
      </c>
      <c r="O80" s="11"/>
      <c r="P80" s="6">
        <v>38.020000000000003</v>
      </c>
      <c r="Q80" s="2"/>
      <c r="R80" s="7">
        <f t="shared" si="24"/>
        <v>1.7839781680862169E-3</v>
      </c>
      <c r="S80" s="2"/>
      <c r="T80" s="6">
        <v>148.08000000000001</v>
      </c>
      <c r="U80" s="2"/>
      <c r="V80" s="7">
        <f t="shared" si="25"/>
        <v>3.64250908462625E-4</v>
      </c>
      <c r="W80" s="2"/>
      <c r="X80" s="6">
        <f t="shared" si="26"/>
        <v>-110.06</v>
      </c>
      <c r="Y80" s="2"/>
      <c r="Z80" s="7">
        <f t="shared" si="27"/>
        <v>-0.74324689357104268</v>
      </c>
    </row>
    <row r="81" spans="1:26" s="24" customFormat="1" hidden="1" outlineLevel="2" x14ac:dyDescent="0.25">
      <c r="A81" s="28"/>
      <c r="B81" s="11" t="str">
        <f>CONCATENATE("          ", "6115", " - ", "P.E.R.S.")</f>
        <v xml:space="preserve">          6115 - P.E.R.S.</v>
      </c>
      <c r="C81" s="11"/>
      <c r="D81" s="6"/>
      <c r="E81" s="2"/>
      <c r="F81" s="7">
        <f t="shared" si="20"/>
        <v>0</v>
      </c>
      <c r="G81" s="2"/>
      <c r="H81" s="6">
        <v>265.76</v>
      </c>
      <c r="I81" s="2"/>
      <c r="J81" s="7">
        <f t="shared" si="21"/>
        <v>2.2949118946744593E-3</v>
      </c>
      <c r="K81" s="2"/>
      <c r="L81" s="6">
        <f t="shared" si="22"/>
        <v>-265.76</v>
      </c>
      <c r="M81" s="2"/>
      <c r="N81" s="7">
        <f t="shared" si="23"/>
        <v>-1</v>
      </c>
      <c r="O81" s="11"/>
      <c r="P81" s="6"/>
      <c r="Q81" s="2"/>
      <c r="R81" s="7">
        <f t="shared" si="24"/>
        <v>0</v>
      </c>
      <c r="S81" s="2"/>
      <c r="T81" s="6">
        <v>1300.6600000000001</v>
      </c>
      <c r="U81" s="2"/>
      <c r="V81" s="7">
        <f t="shared" si="25"/>
        <v>3.1993961818003631E-3</v>
      </c>
      <c r="W81" s="2"/>
      <c r="X81" s="6">
        <f t="shared" si="26"/>
        <v>-1300.6600000000001</v>
      </c>
      <c r="Y81" s="2"/>
      <c r="Z81" s="7">
        <f t="shared" si="27"/>
        <v>-1</v>
      </c>
    </row>
    <row r="82" spans="1:26" s="24" customFormat="1" hidden="1" outlineLevel="2" x14ac:dyDescent="0.25">
      <c r="A82" s="28"/>
      <c r="B82" s="11" t="str">
        <f>CONCATENATE("          ", "6118", " - ", "VACATION")</f>
        <v xml:space="preserve">          6118 - VACATION</v>
      </c>
      <c r="C82" s="11"/>
      <c r="D82" s="6"/>
      <c r="E82" s="2"/>
      <c r="F82" s="7">
        <f t="shared" si="20"/>
        <v>0</v>
      </c>
      <c r="G82" s="2"/>
      <c r="H82" s="6">
        <v>265.47000000000003</v>
      </c>
      <c r="I82" s="2"/>
      <c r="J82" s="7">
        <f t="shared" si="21"/>
        <v>2.2924076636033595E-3</v>
      </c>
      <c r="K82" s="2"/>
      <c r="L82" s="6">
        <f t="shared" si="22"/>
        <v>-265.47000000000003</v>
      </c>
      <c r="M82" s="2"/>
      <c r="N82" s="7">
        <f t="shared" si="23"/>
        <v>-1</v>
      </c>
      <c r="O82" s="11"/>
      <c r="P82" s="6"/>
      <c r="Q82" s="2"/>
      <c r="R82" s="7">
        <f t="shared" si="24"/>
        <v>0</v>
      </c>
      <c r="S82" s="2"/>
      <c r="T82" s="6">
        <v>1440.74</v>
      </c>
      <c r="U82" s="2"/>
      <c r="V82" s="7">
        <f t="shared" si="25"/>
        <v>3.5439684890494483E-3</v>
      </c>
      <c r="W82" s="2"/>
      <c r="X82" s="6">
        <f t="shared" si="26"/>
        <v>-1440.74</v>
      </c>
      <c r="Y82" s="2"/>
      <c r="Z82" s="7">
        <f t="shared" si="27"/>
        <v>-1</v>
      </c>
    </row>
    <row r="83" spans="1:26" s="24" customFormat="1" hidden="1" outlineLevel="2" x14ac:dyDescent="0.25">
      <c r="A83" s="28"/>
      <c r="B83" s="11" t="str">
        <f>CONCATENATE("          ", "6119", " - ", "SICK LEAVE")</f>
        <v xml:space="preserve">          6119 - SICK LEAVE</v>
      </c>
      <c r="C83" s="11"/>
      <c r="D83" s="6"/>
      <c r="E83" s="2"/>
      <c r="F83" s="7">
        <f t="shared" si="20"/>
        <v>0</v>
      </c>
      <c r="G83" s="2"/>
      <c r="H83" s="6">
        <v>263.25</v>
      </c>
      <c r="I83" s="2"/>
      <c r="J83" s="7">
        <f t="shared" si="21"/>
        <v>2.2732373429901094E-3</v>
      </c>
      <c r="K83" s="2"/>
      <c r="L83" s="6">
        <f t="shared" si="22"/>
        <v>-263.25</v>
      </c>
      <c r="M83" s="2"/>
      <c r="N83" s="7">
        <f t="shared" si="23"/>
        <v>-1</v>
      </c>
      <c r="O83" s="11"/>
      <c r="P83" s="6"/>
      <c r="Q83" s="2"/>
      <c r="R83" s="7">
        <f t="shared" si="24"/>
        <v>0</v>
      </c>
      <c r="S83" s="2"/>
      <c r="T83" s="6">
        <v>1407.51</v>
      </c>
      <c r="U83" s="2"/>
      <c r="V83" s="7">
        <f t="shared" si="25"/>
        <v>3.4622284992587063E-3</v>
      </c>
      <c r="W83" s="2"/>
      <c r="X83" s="6">
        <f t="shared" si="26"/>
        <v>-1407.51</v>
      </c>
      <c r="Y83" s="2"/>
      <c r="Z83" s="7">
        <f t="shared" si="27"/>
        <v>-1</v>
      </c>
    </row>
    <row r="84" spans="1:26" s="24" customFormat="1" hidden="1" outlineLevel="2" x14ac:dyDescent="0.25">
      <c r="A84" s="28"/>
      <c r="B84" s="11" t="str">
        <f>CONCATENATE("          ", "6156", " - ", "EMPLOYEE MEALS")</f>
        <v xml:space="preserve">          6156 - EMPLOYEE MEALS</v>
      </c>
      <c r="C84" s="11"/>
      <c r="D84" s="6"/>
      <c r="E84" s="2"/>
      <c r="F84" s="7">
        <f t="shared" si="20"/>
        <v>0</v>
      </c>
      <c r="G84" s="2"/>
      <c r="H84" s="6">
        <v>175</v>
      </c>
      <c r="I84" s="2"/>
      <c r="J84" s="7">
        <f t="shared" si="21"/>
        <v>1.5111739222156472E-3</v>
      </c>
      <c r="K84" s="2"/>
      <c r="L84" s="6">
        <f t="shared" si="22"/>
        <v>-175</v>
      </c>
      <c r="M84" s="2"/>
      <c r="N84" s="7">
        <f t="shared" si="23"/>
        <v>-1</v>
      </c>
      <c r="O84" s="11"/>
      <c r="P84" s="6"/>
      <c r="Q84" s="2"/>
      <c r="R84" s="7">
        <f t="shared" si="24"/>
        <v>0</v>
      </c>
      <c r="S84" s="2"/>
      <c r="T84" s="6">
        <v>647.65</v>
      </c>
      <c r="U84" s="2"/>
      <c r="V84" s="7">
        <f t="shared" si="25"/>
        <v>1.5931057594936455E-3</v>
      </c>
      <c r="W84" s="2"/>
      <c r="X84" s="6">
        <f t="shared" si="26"/>
        <v>-647.65</v>
      </c>
      <c r="Y84" s="2"/>
      <c r="Z84" s="7">
        <f t="shared" si="27"/>
        <v>-1</v>
      </c>
    </row>
    <row r="85" spans="1:26" s="29" customFormat="1" outlineLevel="1" collapsed="1" x14ac:dyDescent="0.25">
      <c r="A85" s="27"/>
      <c r="B85" s="14" t="str">
        <f>CONCATENATE("     ","*Payroll                                          ")</f>
        <v xml:space="preserve">     *Payroll                                          </v>
      </c>
      <c r="C85" s="14"/>
      <c r="D85" s="1">
        <f>SUM(OSRRefD22_1x_0)</f>
        <v>891.38</v>
      </c>
      <c r="E85" s="1"/>
      <c r="F85" s="5">
        <f t="shared" ref="F85:F89" si="28">IF(D$12=0,0,D85/D$12)</f>
        <v>49.797765363128498</v>
      </c>
      <c r="G85" s="1"/>
      <c r="H85" s="1">
        <f>SUM(OSRRefH22_1x_0)</f>
        <v>19802.18</v>
      </c>
      <c r="I85" s="1"/>
      <c r="J85" s="5">
        <f t="shared" ref="J85:J89" si="29">IF(H$12=0,0,H85/H$12)</f>
        <v>0.1709973601086871</v>
      </c>
      <c r="K85" s="1"/>
      <c r="L85" s="1">
        <f t="shared" ref="L85:L89" si="30">+D85-H85</f>
        <v>-18910.8</v>
      </c>
      <c r="M85" s="1"/>
      <c r="N85" s="5">
        <f t="shared" ref="N85:N89" si="31">IF(H85=0,0,L85/H85)</f>
        <v>-0.95498576419363923</v>
      </c>
      <c r="O85" s="14"/>
      <c r="P85" s="1">
        <f>SUM(OSRRefP22_1x_0)</f>
        <v>8134.35</v>
      </c>
      <c r="Q85" s="1"/>
      <c r="R85" s="5">
        <f t="shared" ref="R85:R89" si="32">IF(P$12=0,0,P85/P$12)</f>
        <v>0.38168076832120246</v>
      </c>
      <c r="S85" s="1"/>
      <c r="T85" s="1">
        <f>SUM(OSRRefT22_1x_0)</f>
        <v>61351.100000000006</v>
      </c>
      <c r="U85" s="1"/>
      <c r="V85" s="5">
        <f t="shared" ref="V85:V89" si="33">IF(T$12=0,0,T85/T$12)</f>
        <v>0.15091297886400157</v>
      </c>
      <c r="W85" s="1"/>
      <c r="X85" s="1">
        <f t="shared" ref="X85:X89" si="34">+P85-T85</f>
        <v>-53216.750000000007</v>
      </c>
      <c r="Y85" s="1"/>
      <c r="Z85" s="5">
        <f t="shared" ref="Z85:Z89" si="35">IF(T85=0,0,X85/T85)</f>
        <v>-0.86741313521680952</v>
      </c>
    </row>
    <row r="86" spans="1:26" s="24" customFormat="1" hidden="1" outlineLevel="2" x14ac:dyDescent="0.25">
      <c r="A86" s="28"/>
      <c r="B86" s="11" t="str">
        <f>CONCATENATE("          ", "6002", " - ", "STAFF SALARIES")</f>
        <v xml:space="preserve">          6002 - STAFF SALARIES</v>
      </c>
      <c r="C86" s="11"/>
      <c r="D86" s="6"/>
      <c r="E86" s="2"/>
      <c r="F86" s="7">
        <f t="shared" si="28"/>
        <v>0</v>
      </c>
      <c r="G86" s="2"/>
      <c r="H86" s="6">
        <v>4516.2</v>
      </c>
      <c r="I86" s="2"/>
      <c r="J86" s="7">
        <f t="shared" si="29"/>
        <v>3.8998649528630316E-2</v>
      </c>
      <c r="K86" s="2"/>
      <c r="L86" s="6">
        <f t="shared" si="30"/>
        <v>-4516.2</v>
      </c>
      <c r="M86" s="2"/>
      <c r="N86" s="7">
        <f t="shared" si="31"/>
        <v>-1</v>
      </c>
      <c r="O86" s="11"/>
      <c r="P86" s="6"/>
      <c r="Q86" s="2"/>
      <c r="R86" s="7">
        <f t="shared" si="32"/>
        <v>0</v>
      </c>
      <c r="S86" s="2"/>
      <c r="T86" s="6">
        <v>20008.11</v>
      </c>
      <c r="U86" s="2"/>
      <c r="V86" s="7">
        <f t="shared" si="33"/>
        <v>4.9216452215830167E-2</v>
      </c>
      <c r="W86" s="2"/>
      <c r="X86" s="6">
        <f t="shared" si="34"/>
        <v>-20008.11</v>
      </c>
      <c r="Y86" s="2"/>
      <c r="Z86" s="7">
        <f t="shared" si="35"/>
        <v>-1</v>
      </c>
    </row>
    <row r="87" spans="1:26" s="24" customFormat="1" hidden="1" outlineLevel="2" x14ac:dyDescent="0.25">
      <c r="A87" s="28"/>
      <c r="B87" s="11" t="str">
        <f>CONCATENATE("          ", "6005", " - ", "TEMPORARY WAGES-HOURLY")</f>
        <v xml:space="preserve">          6005 - TEMPORARY WAGES-HOURLY</v>
      </c>
      <c r="C87" s="11"/>
      <c r="D87" s="6">
        <v>1004.55</v>
      </c>
      <c r="E87" s="2"/>
      <c r="F87" s="7">
        <f t="shared" si="28"/>
        <v>56.120111731843579</v>
      </c>
      <c r="G87" s="2"/>
      <c r="H87" s="6">
        <v>416.88</v>
      </c>
      <c r="I87" s="2"/>
      <c r="J87" s="7">
        <f t="shared" si="29"/>
        <v>3.5998753411043373E-3</v>
      </c>
      <c r="K87" s="2"/>
      <c r="L87" s="6">
        <f t="shared" si="30"/>
        <v>587.66999999999996</v>
      </c>
      <c r="M87" s="2"/>
      <c r="N87" s="7">
        <f t="shared" si="31"/>
        <v>1.4096862406447899</v>
      </c>
      <c r="O87" s="11"/>
      <c r="P87" s="6">
        <v>5361</v>
      </c>
      <c r="Q87" s="2"/>
      <c r="R87" s="7">
        <f t="shared" si="32"/>
        <v>0.25154936767780661</v>
      </c>
      <c r="S87" s="2"/>
      <c r="T87" s="6">
        <v>416.88</v>
      </c>
      <c r="U87" s="2"/>
      <c r="V87" s="7">
        <f t="shared" si="33"/>
        <v>1.0254519092375682E-3</v>
      </c>
      <c r="W87" s="2"/>
      <c r="X87" s="6">
        <f t="shared" si="34"/>
        <v>4944.12</v>
      </c>
      <c r="Y87" s="2"/>
      <c r="Z87" s="7">
        <f t="shared" si="35"/>
        <v>11.859815774323547</v>
      </c>
    </row>
    <row r="88" spans="1:26" s="24" customFormat="1" hidden="1" outlineLevel="2" x14ac:dyDescent="0.25">
      <c r="A88" s="28"/>
      <c r="B88" s="11" t="str">
        <f>CONCATENATE("          ", "6006", " - ", "TEMPORARY PART TIME")</f>
        <v xml:space="preserve">          6006 - TEMPORARY PART TIME</v>
      </c>
      <c r="C88" s="11"/>
      <c r="D88" s="6"/>
      <c r="E88" s="2"/>
      <c r="F88" s="7">
        <f t="shared" si="28"/>
        <v>0</v>
      </c>
      <c r="G88" s="2"/>
      <c r="H88" s="6"/>
      <c r="I88" s="2"/>
      <c r="J88" s="7">
        <f t="shared" si="29"/>
        <v>0</v>
      </c>
      <c r="K88" s="2"/>
      <c r="L88" s="6">
        <f t="shared" si="30"/>
        <v>0</v>
      </c>
      <c r="M88" s="2"/>
      <c r="N88" s="7">
        <f t="shared" si="31"/>
        <v>0</v>
      </c>
      <c r="O88" s="11"/>
      <c r="P88" s="6"/>
      <c r="Q88" s="2"/>
      <c r="R88" s="7">
        <f t="shared" si="32"/>
        <v>0</v>
      </c>
      <c r="S88" s="2"/>
      <c r="T88" s="6">
        <v>25.5</v>
      </c>
      <c r="U88" s="2"/>
      <c r="V88" s="7">
        <f t="shared" si="33"/>
        <v>6.2725541368158669E-5</v>
      </c>
      <c r="W88" s="2"/>
      <c r="X88" s="6">
        <f t="shared" si="34"/>
        <v>-25.5</v>
      </c>
      <c r="Y88" s="2"/>
      <c r="Z88" s="7">
        <f t="shared" si="35"/>
        <v>-1</v>
      </c>
    </row>
    <row r="89" spans="1:26" s="24" customFormat="1" hidden="1" outlineLevel="2" x14ac:dyDescent="0.25">
      <c r="A89" s="28"/>
      <c r="B89" s="11" t="str">
        <f>CONCATENATE("          ", "6007", " - ", "STUDENT HOURLY")</f>
        <v xml:space="preserve">          6007 - STUDENT HOURLY</v>
      </c>
      <c r="C89" s="11"/>
      <c r="D89" s="6">
        <v>-113.17</v>
      </c>
      <c r="E89" s="2"/>
      <c r="F89" s="7">
        <f t="shared" si="28"/>
        <v>-6.3223463687150847</v>
      </c>
      <c r="G89" s="2"/>
      <c r="H89" s="6">
        <v>14869.1</v>
      </c>
      <c r="I89" s="2"/>
      <c r="J89" s="7">
        <f t="shared" si="29"/>
        <v>0.12839883523895246</v>
      </c>
      <c r="K89" s="2"/>
      <c r="L89" s="6">
        <f t="shared" si="30"/>
        <v>-14982.27</v>
      </c>
      <c r="M89" s="2"/>
      <c r="N89" s="7">
        <f t="shared" si="31"/>
        <v>-1.0076110860778393</v>
      </c>
      <c r="O89" s="11"/>
      <c r="P89" s="6">
        <v>2773.35</v>
      </c>
      <c r="Q89" s="2"/>
      <c r="R89" s="7">
        <f t="shared" si="32"/>
        <v>0.13013140064339582</v>
      </c>
      <c r="S89" s="2"/>
      <c r="T89" s="6">
        <v>40900.61</v>
      </c>
      <c r="U89" s="2"/>
      <c r="V89" s="7">
        <f t="shared" si="33"/>
        <v>0.10060834919756566</v>
      </c>
      <c r="W89" s="2"/>
      <c r="X89" s="6">
        <f t="shared" si="34"/>
        <v>-38127.26</v>
      </c>
      <c r="Y89" s="2"/>
      <c r="Z89" s="7">
        <f t="shared" si="35"/>
        <v>-0.93219294284363974</v>
      </c>
    </row>
    <row r="90" spans="1:26" s="29" customFormat="1" outlineLevel="1" collapsed="1" x14ac:dyDescent="0.25">
      <c r="A90" s="27"/>
      <c r="B90" s="14" t="str">
        <f>CONCATENATE("     ","Advertising/Promo                                 ")</f>
        <v xml:space="preserve">     Advertising/Promo                                 </v>
      </c>
      <c r="C90" s="14"/>
      <c r="D90" s="1">
        <f>SUM(OSRRefD22_2x_0)</f>
        <v>124.72</v>
      </c>
      <c r="E90" s="1"/>
      <c r="F90" s="5">
        <f t="shared" ref="F90:F96" si="36">IF(D$12=0,0,D90/D$12)</f>
        <v>6.9675977653631289</v>
      </c>
      <c r="G90" s="1"/>
      <c r="H90" s="1">
        <f>SUM(OSRRefH22_2x_0)</f>
        <v>992.91</v>
      </c>
      <c r="I90" s="1"/>
      <c r="J90" s="5">
        <f t="shared" ref="J90:J96" si="37">IF(H$12=0,0,H90/H$12)</f>
        <v>8.5740554234693608E-3</v>
      </c>
      <c r="K90" s="1"/>
      <c r="L90" s="1">
        <f t="shared" ref="L90:L96" si="38">+D90-H90</f>
        <v>-868.18999999999994</v>
      </c>
      <c r="M90" s="1"/>
      <c r="N90" s="5">
        <f t="shared" ref="N90:N96" si="39">IF(H90=0,0,L90/H90)</f>
        <v>-0.87438942099485351</v>
      </c>
      <c r="O90" s="14"/>
      <c r="P90" s="1">
        <f>SUM(OSRRefP22_2x_0)</f>
        <v>124.72</v>
      </c>
      <c r="Q90" s="1"/>
      <c r="R90" s="5">
        <f t="shared" ref="R90:R96" si="40">IF(P$12=0,0,P90/P$12)</f>
        <v>5.8521240695347957E-3</v>
      </c>
      <c r="S90" s="1"/>
      <c r="T90" s="1">
        <f>SUM(OSRRefT22_2x_0)</f>
        <v>1185.48</v>
      </c>
      <c r="U90" s="1"/>
      <c r="V90" s="5">
        <f t="shared" ref="V90:V96" si="41">IF(T$12=0,0,T90/T$12)</f>
        <v>2.9160735208284216E-3</v>
      </c>
      <c r="W90" s="1"/>
      <c r="X90" s="1">
        <f t="shared" ref="X90:X96" si="42">+P90-T90</f>
        <v>-1060.76</v>
      </c>
      <c r="Y90" s="1"/>
      <c r="Z90" s="5">
        <f t="shared" ref="Z90:Z96" si="43">IF(T90=0,0,X90/T90)</f>
        <v>-0.89479367007456889</v>
      </c>
    </row>
    <row r="91" spans="1:26" s="24" customFormat="1" hidden="1" outlineLevel="2" x14ac:dyDescent="0.25">
      <c r="A91" s="28"/>
      <c r="B91" s="11" t="str">
        <f>CONCATENATE("          ", "6362", " - ", "ADVERTISING EXPENSE")</f>
        <v xml:space="preserve">          6362 - ADVERTISING EXPENSE</v>
      </c>
      <c r="C91" s="11"/>
      <c r="D91" s="6">
        <v>124.72</v>
      </c>
      <c r="E91" s="2"/>
      <c r="F91" s="7">
        <f t="shared" si="36"/>
        <v>6.9675977653631289</v>
      </c>
      <c r="G91" s="2"/>
      <c r="H91" s="6">
        <v>992.91</v>
      </c>
      <c r="I91" s="2"/>
      <c r="J91" s="7">
        <f t="shared" si="37"/>
        <v>8.5740554234693608E-3</v>
      </c>
      <c r="K91" s="2"/>
      <c r="L91" s="6">
        <f t="shared" si="38"/>
        <v>-868.18999999999994</v>
      </c>
      <c r="M91" s="2"/>
      <c r="N91" s="7">
        <f t="shared" si="39"/>
        <v>-0.87438942099485351</v>
      </c>
      <c r="O91" s="11"/>
      <c r="P91" s="6">
        <v>124.72</v>
      </c>
      <c r="Q91" s="2"/>
      <c r="R91" s="7">
        <f t="shared" si="40"/>
        <v>5.8521240695347957E-3</v>
      </c>
      <c r="S91" s="2"/>
      <c r="T91" s="6">
        <v>1185.48</v>
      </c>
      <c r="U91" s="2"/>
      <c r="V91" s="7">
        <f t="shared" si="41"/>
        <v>2.9160735208284216E-3</v>
      </c>
      <c r="W91" s="2"/>
      <c r="X91" s="6">
        <f t="shared" si="42"/>
        <v>-1060.76</v>
      </c>
      <c r="Y91" s="2"/>
      <c r="Z91" s="7">
        <f t="shared" si="43"/>
        <v>-0.89479367007456889</v>
      </c>
    </row>
    <row r="92" spans="1:26" s="29" customFormat="1" outlineLevel="1" collapsed="1" x14ac:dyDescent="0.25">
      <c r="A92" s="27"/>
      <c r="B92" s="14" t="str">
        <f>CONCATENATE("     ","Bad Debts/Over/Short                              ")</f>
        <v xml:space="preserve">     Bad Debts/Over/Short                              </v>
      </c>
      <c r="C92" s="14"/>
      <c r="D92" s="1">
        <f>SUM(OSRRefD22_3x_0)</f>
        <v>0</v>
      </c>
      <c r="E92" s="1"/>
      <c r="F92" s="5">
        <f t="shared" si="36"/>
        <v>0</v>
      </c>
      <c r="G92" s="1"/>
      <c r="H92" s="1">
        <f>SUM(OSRRefH22_3x_0)</f>
        <v>-8.2799999999999994</v>
      </c>
      <c r="I92" s="1"/>
      <c r="J92" s="5">
        <f t="shared" si="37"/>
        <v>-7.1500114719688898E-5</v>
      </c>
      <c r="K92" s="1"/>
      <c r="L92" s="1">
        <f t="shared" si="38"/>
        <v>8.2799999999999994</v>
      </c>
      <c r="M92" s="1"/>
      <c r="N92" s="5">
        <f t="shared" si="39"/>
        <v>-1</v>
      </c>
      <c r="O92" s="14"/>
      <c r="P92" s="1">
        <f>SUM(OSRRefP22_3x_0)</f>
        <v>1.1000000000000001</v>
      </c>
      <c r="Q92" s="1"/>
      <c r="R92" s="5">
        <f t="shared" si="40"/>
        <v>5.1614307861516002E-5</v>
      </c>
      <c r="S92" s="1"/>
      <c r="T92" s="1">
        <f>SUM(OSRRefT22_3x_0)</f>
        <v>-47.56</v>
      </c>
      <c r="U92" s="1"/>
      <c r="V92" s="5">
        <f t="shared" si="41"/>
        <v>-1.1698928421449516E-4</v>
      </c>
      <c r="W92" s="1"/>
      <c r="X92" s="1">
        <f t="shared" si="42"/>
        <v>48.660000000000004</v>
      </c>
      <c r="Y92" s="1"/>
      <c r="Z92" s="5">
        <f t="shared" si="43"/>
        <v>-1.0231286795626577</v>
      </c>
    </row>
    <row r="93" spans="1:26" s="24" customFormat="1" hidden="1" outlineLevel="2" x14ac:dyDescent="0.25">
      <c r="A93" s="28"/>
      <c r="B93" s="11" t="str">
        <f>CONCATENATE("          ", "6272", " - ", "CASH (OVER/SHORT)")</f>
        <v xml:space="preserve">          6272 - CASH (OVER/SHORT)</v>
      </c>
      <c r="C93" s="11"/>
      <c r="D93" s="6"/>
      <c r="E93" s="2"/>
      <c r="F93" s="7">
        <f t="shared" si="36"/>
        <v>0</v>
      </c>
      <c r="G93" s="2"/>
      <c r="H93" s="6">
        <v>-8.2799999999999994</v>
      </c>
      <c r="I93" s="2"/>
      <c r="J93" s="7">
        <f t="shared" si="37"/>
        <v>-7.1500114719688898E-5</v>
      </c>
      <c r="K93" s="2"/>
      <c r="L93" s="6">
        <f t="shared" si="38"/>
        <v>8.2799999999999994</v>
      </c>
      <c r="M93" s="2"/>
      <c r="N93" s="7">
        <f t="shared" si="39"/>
        <v>-1</v>
      </c>
      <c r="O93" s="11"/>
      <c r="P93" s="6">
        <v>1.1000000000000001</v>
      </c>
      <c r="Q93" s="2"/>
      <c r="R93" s="7">
        <f t="shared" si="40"/>
        <v>5.1614307861516002E-5</v>
      </c>
      <c r="S93" s="2"/>
      <c r="T93" s="6">
        <v>-47.56</v>
      </c>
      <c r="U93" s="2"/>
      <c r="V93" s="7">
        <f t="shared" si="41"/>
        <v>-1.1698928421449516E-4</v>
      </c>
      <c r="W93" s="2"/>
      <c r="X93" s="6">
        <f t="shared" si="42"/>
        <v>48.660000000000004</v>
      </c>
      <c r="Y93" s="2"/>
      <c r="Z93" s="7">
        <f t="shared" si="43"/>
        <v>-1.0231286795626577</v>
      </c>
    </row>
    <row r="94" spans="1:26" s="29" customFormat="1" outlineLevel="1" collapsed="1" x14ac:dyDescent="0.25">
      <c r="A94" s="27"/>
      <c r="B94" s="14" t="str">
        <f>CONCATENATE("     ","Discounts and Markdowns                           ")</f>
        <v xml:space="preserve">     Discounts and Markdowns                           </v>
      </c>
      <c r="C94" s="14"/>
      <c r="D94" s="1">
        <f>SUM(OSRRefD22_4x_0)</f>
        <v>-418.85</v>
      </c>
      <c r="E94" s="1"/>
      <c r="F94" s="5">
        <f t="shared" si="36"/>
        <v>-23.399441340782126</v>
      </c>
      <c r="G94" s="1"/>
      <c r="H94" s="1">
        <f>SUM(OSRRefH22_4x_0)</f>
        <v>1554.8899999999999</v>
      </c>
      <c r="I94" s="1"/>
      <c r="J94" s="5">
        <f t="shared" si="37"/>
        <v>1.3426909828079358E-2</v>
      </c>
      <c r="K94" s="1"/>
      <c r="L94" s="1">
        <f t="shared" si="38"/>
        <v>-1973.7399999999998</v>
      </c>
      <c r="M94" s="1"/>
      <c r="N94" s="5">
        <f t="shared" si="39"/>
        <v>-1.2693759687180444</v>
      </c>
      <c r="O94" s="14"/>
      <c r="P94" s="1">
        <f>SUM(OSRRefP22_4x_0)</f>
        <v>-418.85</v>
      </c>
      <c r="Q94" s="1"/>
      <c r="R94" s="5">
        <f t="shared" si="40"/>
        <v>-1.9653320770723615E-2</v>
      </c>
      <c r="S94" s="1"/>
      <c r="T94" s="1">
        <f>SUM(OSRRefT22_4x_0)</f>
        <v>8457.130000000001</v>
      </c>
      <c r="U94" s="1"/>
      <c r="V94" s="5">
        <f t="shared" si="41"/>
        <v>2.0803061085133169E-2</v>
      </c>
      <c r="W94" s="1"/>
      <c r="X94" s="1">
        <f t="shared" si="42"/>
        <v>-8875.9800000000014</v>
      </c>
      <c r="Y94" s="1"/>
      <c r="Z94" s="5">
        <f t="shared" si="43"/>
        <v>-1.0495262577257296</v>
      </c>
    </row>
    <row r="95" spans="1:26" s="24" customFormat="1" hidden="1" outlineLevel="2" x14ac:dyDescent="0.25">
      <c r="A95" s="28"/>
      <c r="B95" s="11" t="str">
        <f>CONCATENATE("          ", "6382", " - ", "DISCOUNTS/MARK DOWNS")</f>
        <v xml:space="preserve">          6382 - DISCOUNTS/MARK DOWNS</v>
      </c>
      <c r="C95" s="11"/>
      <c r="D95" s="6"/>
      <c r="E95" s="2"/>
      <c r="F95" s="7">
        <f t="shared" si="36"/>
        <v>0</v>
      </c>
      <c r="G95" s="2"/>
      <c r="H95" s="6">
        <v>1637.54</v>
      </c>
      <c r="I95" s="2"/>
      <c r="J95" s="7">
        <f t="shared" si="37"/>
        <v>1.4140615683342919E-2</v>
      </c>
      <c r="K95" s="2"/>
      <c r="L95" s="6">
        <f t="shared" si="38"/>
        <v>-1637.54</v>
      </c>
      <c r="M95" s="2"/>
      <c r="N95" s="7">
        <f t="shared" si="39"/>
        <v>-1</v>
      </c>
      <c r="O95" s="11"/>
      <c r="P95" s="6"/>
      <c r="Q95" s="2"/>
      <c r="R95" s="7">
        <f t="shared" si="40"/>
        <v>0</v>
      </c>
      <c r="S95" s="2"/>
      <c r="T95" s="6">
        <v>8645.7000000000007</v>
      </c>
      <c r="U95" s="2"/>
      <c r="V95" s="7">
        <f t="shared" si="41"/>
        <v>2.1266910313987822E-2</v>
      </c>
      <c r="W95" s="2"/>
      <c r="X95" s="6">
        <f t="shared" si="42"/>
        <v>-8645.7000000000007</v>
      </c>
      <c r="Y95" s="2"/>
      <c r="Z95" s="7">
        <f t="shared" si="43"/>
        <v>-1</v>
      </c>
    </row>
    <row r="96" spans="1:26" s="24" customFormat="1" hidden="1" outlineLevel="2" x14ac:dyDescent="0.25">
      <c r="A96" s="28"/>
      <c r="B96" s="11" t="str">
        <f>CONCATENATE("          ", "9175", " - ", "EARNED DISCOUNTS")</f>
        <v xml:space="preserve">          9175 - EARNED DISCOUNTS</v>
      </c>
      <c r="C96" s="11"/>
      <c r="D96" s="6">
        <v>-418.85</v>
      </c>
      <c r="E96" s="2"/>
      <c r="F96" s="7">
        <f t="shared" si="36"/>
        <v>-23.399441340782126</v>
      </c>
      <c r="G96" s="2"/>
      <c r="H96" s="6">
        <v>-82.65</v>
      </c>
      <c r="I96" s="2"/>
      <c r="J96" s="7">
        <f t="shared" si="37"/>
        <v>-7.1370585526356139E-4</v>
      </c>
      <c r="K96" s="2"/>
      <c r="L96" s="6">
        <f t="shared" si="38"/>
        <v>-336.20000000000005</v>
      </c>
      <c r="M96" s="2"/>
      <c r="N96" s="7">
        <f t="shared" si="39"/>
        <v>4.0677555958862675</v>
      </c>
      <c r="O96" s="11"/>
      <c r="P96" s="6">
        <v>-418.85</v>
      </c>
      <c r="Q96" s="2"/>
      <c r="R96" s="7">
        <f t="shared" si="40"/>
        <v>-1.9653320770723615E-2</v>
      </c>
      <c r="S96" s="2"/>
      <c r="T96" s="6">
        <v>-188.57</v>
      </c>
      <c r="U96" s="2"/>
      <c r="V96" s="7">
        <f t="shared" si="41"/>
        <v>-4.6384922885465415E-4</v>
      </c>
      <c r="W96" s="2"/>
      <c r="X96" s="6">
        <f t="shared" si="42"/>
        <v>-230.28000000000003</v>
      </c>
      <c r="Y96" s="2"/>
      <c r="Z96" s="7">
        <f t="shared" si="43"/>
        <v>1.2211910696293156</v>
      </c>
    </row>
    <row r="97" spans="1:26" s="29" customFormat="1" outlineLevel="1" collapsed="1" x14ac:dyDescent="0.25">
      <c r="A97" s="27"/>
      <c r="B97" s="14" t="str">
        <f>CONCATENATE("     ","General                                           ")</f>
        <v xml:space="preserve">     General                                           </v>
      </c>
      <c r="C97" s="14"/>
      <c r="D97" s="1">
        <f>SUM(OSRRefD22_5x_0)</f>
        <v>0</v>
      </c>
      <c r="E97" s="1"/>
      <c r="F97" s="5">
        <f t="shared" ref="F97:F103" si="44">IF(D$12=0,0,D97/D$12)</f>
        <v>0</v>
      </c>
      <c r="G97" s="1"/>
      <c r="H97" s="1">
        <f>SUM(OSRRefH22_5x_0)</f>
        <v>99.5</v>
      </c>
      <c r="I97" s="1"/>
      <c r="J97" s="5">
        <f t="shared" ref="J97:J103" si="45">IF(H$12=0,0,H97/H$12)</f>
        <v>8.5921031577403941E-4</v>
      </c>
      <c r="K97" s="1"/>
      <c r="L97" s="1">
        <f t="shared" ref="L97:L103" si="46">+D97-H97</f>
        <v>-99.5</v>
      </c>
      <c r="M97" s="1"/>
      <c r="N97" s="5">
        <f t="shared" ref="N97:N103" si="47">IF(H97=0,0,L97/H97)</f>
        <v>-1</v>
      </c>
      <c r="O97" s="14"/>
      <c r="P97" s="1">
        <f>SUM(OSRRefP22_5x_0)</f>
        <v>719.55</v>
      </c>
      <c r="Q97" s="1"/>
      <c r="R97" s="5">
        <f t="shared" ref="R97:R103" si="48">IF(P$12=0,0,P97/P$12)</f>
        <v>3.3762795656139849E-2</v>
      </c>
      <c r="S97" s="1"/>
      <c r="T97" s="1">
        <f>SUM(OSRRefT22_5x_0)</f>
        <v>794.05</v>
      </c>
      <c r="U97" s="1"/>
      <c r="V97" s="5">
        <f t="shared" ref="V97:V103" si="49">IF(T$12=0,0,T97/T$12)</f>
        <v>1.9532241617014269E-3</v>
      </c>
      <c r="W97" s="1"/>
      <c r="X97" s="1">
        <f t="shared" ref="X97:X103" si="50">+P97-T97</f>
        <v>-74.5</v>
      </c>
      <c r="Y97" s="1"/>
      <c r="Z97" s="5">
        <f t="shared" ref="Z97:Z103" si="51">IF(T97=0,0,X97/T97)</f>
        <v>-9.3822807128014621E-2</v>
      </c>
    </row>
    <row r="98" spans="1:26" s="24" customFormat="1" hidden="1" outlineLevel="2" x14ac:dyDescent="0.25">
      <c r="A98" s="28"/>
      <c r="B98" s="11" t="str">
        <f>CONCATENATE("          ", "6279", " - ", "GENERAL EXPENSE")</f>
        <v xml:space="preserve">          6279 - GENERAL EXPENSE</v>
      </c>
      <c r="C98" s="11"/>
      <c r="D98" s="6"/>
      <c r="E98" s="2"/>
      <c r="F98" s="7">
        <f t="shared" si="44"/>
        <v>0</v>
      </c>
      <c r="G98" s="2"/>
      <c r="H98" s="6">
        <v>99.5</v>
      </c>
      <c r="I98" s="2"/>
      <c r="J98" s="7">
        <f t="shared" si="45"/>
        <v>8.5921031577403941E-4</v>
      </c>
      <c r="K98" s="2"/>
      <c r="L98" s="6">
        <f t="shared" si="46"/>
        <v>-99.5</v>
      </c>
      <c r="M98" s="2"/>
      <c r="N98" s="7">
        <f t="shared" si="47"/>
        <v>-1</v>
      </c>
      <c r="O98" s="11"/>
      <c r="P98" s="6">
        <v>719.55</v>
      </c>
      <c r="Q98" s="2"/>
      <c r="R98" s="7">
        <f t="shared" si="48"/>
        <v>3.3762795656139849E-2</v>
      </c>
      <c r="S98" s="2"/>
      <c r="T98" s="6">
        <v>794.05</v>
      </c>
      <c r="U98" s="2"/>
      <c r="V98" s="7">
        <f t="shared" si="49"/>
        <v>1.9532241617014269E-3</v>
      </c>
      <c r="W98" s="2"/>
      <c r="X98" s="6">
        <f t="shared" si="50"/>
        <v>-74.5</v>
      </c>
      <c r="Y98" s="2"/>
      <c r="Z98" s="7">
        <f t="shared" si="51"/>
        <v>-9.3822807128014621E-2</v>
      </c>
    </row>
    <row r="99" spans="1:26" s="29" customFormat="1" outlineLevel="1" collapsed="1" x14ac:dyDescent="0.25">
      <c r="A99" s="27"/>
      <c r="B99" s="14" t="str">
        <f>CONCATENATE("     ","Professional Services                             ")</f>
        <v xml:space="preserve">     Professional Services                             </v>
      </c>
      <c r="C99" s="14"/>
      <c r="D99" s="1">
        <f>SUM(OSRRefD22_6x_0)</f>
        <v>0</v>
      </c>
      <c r="E99" s="1"/>
      <c r="F99" s="5">
        <f t="shared" si="44"/>
        <v>0</v>
      </c>
      <c r="G99" s="1"/>
      <c r="H99" s="1">
        <f>SUM(OSRRefH22_6x_0)</f>
        <v>0</v>
      </c>
      <c r="I99" s="1"/>
      <c r="J99" s="5">
        <f t="shared" si="45"/>
        <v>0</v>
      </c>
      <c r="K99" s="1"/>
      <c r="L99" s="1">
        <f t="shared" si="46"/>
        <v>0</v>
      </c>
      <c r="M99" s="1"/>
      <c r="N99" s="5">
        <f t="shared" si="47"/>
        <v>0</v>
      </c>
      <c r="O99" s="14"/>
      <c r="P99" s="1">
        <f>SUM(OSRRefP22_6x_0)</f>
        <v>0</v>
      </c>
      <c r="Q99" s="1"/>
      <c r="R99" s="5">
        <f t="shared" si="48"/>
        <v>0</v>
      </c>
      <c r="S99" s="1"/>
      <c r="T99" s="1">
        <f>SUM(OSRRefT22_6x_0)</f>
        <v>750</v>
      </c>
      <c r="U99" s="1"/>
      <c r="V99" s="5">
        <f t="shared" si="49"/>
        <v>1.8448688637693728E-3</v>
      </c>
      <c r="W99" s="1"/>
      <c r="X99" s="1">
        <f t="shared" si="50"/>
        <v>-750</v>
      </c>
      <c r="Y99" s="1"/>
      <c r="Z99" s="5">
        <f t="shared" si="51"/>
        <v>-1</v>
      </c>
    </row>
    <row r="100" spans="1:26" s="24" customFormat="1" hidden="1" outlineLevel="2" x14ac:dyDescent="0.25">
      <c r="A100" s="28"/>
      <c r="B100" s="11" t="str">
        <f>CONCATENATE("          ", "6336", " - ", "PROFESSIONAL SERVICES")</f>
        <v xml:space="preserve">          6336 - PROFESSIONAL SERVICES</v>
      </c>
      <c r="C100" s="11"/>
      <c r="D100" s="6"/>
      <c r="E100" s="2"/>
      <c r="F100" s="7">
        <f t="shared" si="44"/>
        <v>0</v>
      </c>
      <c r="G100" s="2"/>
      <c r="H100" s="6"/>
      <c r="I100" s="2"/>
      <c r="J100" s="7">
        <f t="shared" si="45"/>
        <v>0</v>
      </c>
      <c r="K100" s="2"/>
      <c r="L100" s="6">
        <f t="shared" si="46"/>
        <v>0</v>
      </c>
      <c r="M100" s="2"/>
      <c r="N100" s="7">
        <f t="shared" si="47"/>
        <v>0</v>
      </c>
      <c r="O100" s="11"/>
      <c r="P100" s="6"/>
      <c r="Q100" s="2"/>
      <c r="R100" s="7">
        <f t="shared" si="48"/>
        <v>0</v>
      </c>
      <c r="S100" s="2"/>
      <c r="T100" s="6">
        <v>750</v>
      </c>
      <c r="U100" s="2"/>
      <c r="V100" s="7">
        <f t="shared" si="49"/>
        <v>1.8448688637693728E-3</v>
      </c>
      <c r="W100" s="2"/>
      <c r="X100" s="6">
        <f t="shared" si="50"/>
        <v>-750</v>
      </c>
      <c r="Y100" s="2"/>
      <c r="Z100" s="7">
        <f t="shared" si="51"/>
        <v>-1</v>
      </c>
    </row>
    <row r="101" spans="1:26" s="29" customFormat="1" outlineLevel="1" collapsed="1" x14ac:dyDescent="0.25">
      <c r="A101" s="27"/>
      <c r="B101" s="14" t="str">
        <f>CONCATENATE("     ","Repair and Maintenance                            ")</f>
        <v xml:space="preserve">     Repair and Maintenance                            </v>
      </c>
      <c r="C101" s="14"/>
      <c r="D101" s="1">
        <f>SUM(OSRRefD22_7x_0)</f>
        <v>0</v>
      </c>
      <c r="E101" s="1"/>
      <c r="F101" s="5">
        <f t="shared" si="44"/>
        <v>0</v>
      </c>
      <c r="G101" s="1"/>
      <c r="H101" s="1">
        <f>SUM(OSRRefH22_7x_0)</f>
        <v>58.62</v>
      </c>
      <c r="I101" s="1"/>
      <c r="J101" s="5">
        <f t="shared" si="45"/>
        <v>5.0620008754446424E-4</v>
      </c>
      <c r="K101" s="1"/>
      <c r="L101" s="1">
        <f t="shared" si="46"/>
        <v>-58.62</v>
      </c>
      <c r="M101" s="1"/>
      <c r="N101" s="5">
        <f t="shared" si="47"/>
        <v>-1</v>
      </c>
      <c r="O101" s="14"/>
      <c r="P101" s="1">
        <f>SUM(OSRRefP22_7x_0)</f>
        <v>139.71</v>
      </c>
      <c r="Q101" s="1"/>
      <c r="R101" s="5">
        <f t="shared" si="48"/>
        <v>6.555486319393092E-3</v>
      </c>
      <c r="S101" s="1"/>
      <c r="T101" s="1">
        <f>SUM(OSRRefT22_7x_0)</f>
        <v>68.42</v>
      </c>
      <c r="U101" s="1"/>
      <c r="V101" s="5">
        <f t="shared" si="49"/>
        <v>1.6830123687880066E-4</v>
      </c>
      <c r="W101" s="1"/>
      <c r="X101" s="1">
        <f t="shared" si="50"/>
        <v>71.290000000000006</v>
      </c>
      <c r="Y101" s="1"/>
      <c r="Z101" s="5">
        <f t="shared" si="51"/>
        <v>1.0419467991815259</v>
      </c>
    </row>
    <row r="102" spans="1:26" s="24" customFormat="1" hidden="1" outlineLevel="2" x14ac:dyDescent="0.25">
      <c r="A102" s="28"/>
      <c r="B102" s="11" t="str">
        <f>CONCATENATE("          ", "6373", " - ", "MAINTENANCE CONTRACTS")</f>
        <v xml:space="preserve">          6373 - MAINTENANCE CONTRACTS</v>
      </c>
      <c r="C102" s="11"/>
      <c r="D102" s="6"/>
      <c r="E102" s="2"/>
      <c r="F102" s="7">
        <f t="shared" si="44"/>
        <v>0</v>
      </c>
      <c r="G102" s="2"/>
      <c r="H102" s="6">
        <v>58.62</v>
      </c>
      <c r="I102" s="2"/>
      <c r="J102" s="7">
        <f t="shared" si="45"/>
        <v>5.0620008754446424E-4</v>
      </c>
      <c r="K102" s="2"/>
      <c r="L102" s="6">
        <f t="shared" si="46"/>
        <v>-58.62</v>
      </c>
      <c r="M102" s="2"/>
      <c r="N102" s="7">
        <f t="shared" si="47"/>
        <v>-1</v>
      </c>
      <c r="O102" s="11"/>
      <c r="P102" s="6">
        <v>139.71</v>
      </c>
      <c r="Q102" s="2"/>
      <c r="R102" s="7">
        <f t="shared" si="48"/>
        <v>6.555486319393092E-3</v>
      </c>
      <c r="S102" s="2"/>
      <c r="T102" s="6">
        <v>58.62</v>
      </c>
      <c r="U102" s="2"/>
      <c r="V102" s="7">
        <f t="shared" si="49"/>
        <v>1.4419495039221417E-4</v>
      </c>
      <c r="W102" s="2"/>
      <c r="X102" s="6">
        <f t="shared" si="50"/>
        <v>81.09</v>
      </c>
      <c r="Y102" s="2"/>
      <c r="Z102" s="7">
        <f t="shared" si="51"/>
        <v>1.3833162743091096</v>
      </c>
    </row>
    <row r="103" spans="1:26" s="24" customFormat="1" hidden="1" outlineLevel="2" x14ac:dyDescent="0.25">
      <c r="A103" s="28"/>
      <c r="B103" s="11" t="str">
        <f>CONCATENATE("          ", "6375", " - ", "OUTSIDE REPAIRS &amp; MAINTENANCE")</f>
        <v xml:space="preserve">          6375 - OUTSIDE REPAIRS &amp; MAINTENANCE</v>
      </c>
      <c r="C103" s="11"/>
      <c r="D103" s="6"/>
      <c r="E103" s="2"/>
      <c r="F103" s="7">
        <f t="shared" si="44"/>
        <v>0</v>
      </c>
      <c r="G103" s="2"/>
      <c r="H103" s="6"/>
      <c r="I103" s="2"/>
      <c r="J103" s="7">
        <f t="shared" si="45"/>
        <v>0</v>
      </c>
      <c r="K103" s="2"/>
      <c r="L103" s="6">
        <f t="shared" si="46"/>
        <v>0</v>
      </c>
      <c r="M103" s="2"/>
      <c r="N103" s="7">
        <f t="shared" si="47"/>
        <v>0</v>
      </c>
      <c r="O103" s="11"/>
      <c r="P103" s="6"/>
      <c r="Q103" s="2"/>
      <c r="R103" s="7">
        <f t="shared" si="48"/>
        <v>0</v>
      </c>
      <c r="S103" s="2"/>
      <c r="T103" s="6">
        <v>9.8000000000000007</v>
      </c>
      <c r="U103" s="2"/>
      <c r="V103" s="7">
        <f t="shared" si="49"/>
        <v>2.4106286486586471E-5</v>
      </c>
      <c r="W103" s="2"/>
      <c r="X103" s="6">
        <f t="shared" si="50"/>
        <v>-9.8000000000000007</v>
      </c>
      <c r="Y103" s="2"/>
      <c r="Z103" s="7">
        <f t="shared" si="51"/>
        <v>-1</v>
      </c>
    </row>
    <row r="104" spans="1:26" s="29" customFormat="1" outlineLevel="1" collapsed="1" x14ac:dyDescent="0.25">
      <c r="A104" s="27"/>
      <c r="B104" s="14" t="str">
        <f>CONCATENATE("     ","Services                                          ")</f>
        <v xml:space="preserve">     Services                                          </v>
      </c>
      <c r="C104" s="14"/>
      <c r="D104" s="1">
        <f>SUM(OSRRefD22_8x_0)</f>
        <v>0</v>
      </c>
      <c r="E104" s="1"/>
      <c r="F104" s="5">
        <f t="shared" ref="F104:F106" si="52">IF(D$12=0,0,D104/D$12)</f>
        <v>0</v>
      </c>
      <c r="G104" s="1"/>
      <c r="H104" s="1">
        <f>SUM(OSRRefH22_8x_0)</f>
        <v>274.26</v>
      </c>
      <c r="I104" s="1"/>
      <c r="J104" s="5">
        <f t="shared" ref="J104:J106" si="53">IF(H$12=0,0,H104/H$12)</f>
        <v>2.3683117708963621E-3</v>
      </c>
      <c r="K104" s="1"/>
      <c r="L104" s="1">
        <f t="shared" ref="L104:L106" si="54">+D104-H104</f>
        <v>-274.26</v>
      </c>
      <c r="M104" s="1"/>
      <c r="N104" s="5">
        <f t="shared" ref="N104:N106" si="55">IF(H104=0,0,L104/H104)</f>
        <v>-1</v>
      </c>
      <c r="O104" s="14"/>
      <c r="P104" s="1">
        <f>SUM(OSRRefP22_8x_0)</f>
        <v>-25.5</v>
      </c>
      <c r="Q104" s="1"/>
      <c r="R104" s="5">
        <f t="shared" ref="R104:R106" si="56">IF(P$12=0,0,P104/P$12)</f>
        <v>-1.1965135004260528E-3</v>
      </c>
      <c r="S104" s="1"/>
      <c r="T104" s="1">
        <f>SUM(OSRRefT22_8x_0)</f>
        <v>970.22</v>
      </c>
      <c r="U104" s="1"/>
      <c r="V104" s="5">
        <f t="shared" ref="V104:V106" si="57">IF(T$12=0,0,T104/T$12)</f>
        <v>2.3865715586750946E-3</v>
      </c>
      <c r="W104" s="1"/>
      <c r="X104" s="1">
        <f t="shared" ref="X104:X106" si="58">+P104-T104</f>
        <v>-995.72</v>
      </c>
      <c r="Y104" s="1"/>
      <c r="Z104" s="5">
        <f t="shared" ref="Z104:Z106" si="59">IF(T104=0,0,X104/T104)</f>
        <v>-1.0262826987693512</v>
      </c>
    </row>
    <row r="105" spans="1:26" s="24" customFormat="1" hidden="1" outlineLevel="2" x14ac:dyDescent="0.25">
      <c r="A105" s="28"/>
      <c r="B105" s="11" t="str">
        <f>CONCATENATE("          ", "6282", " - ", "JANITORIAL/EXTERMINATOR EXPENS")</f>
        <v xml:space="preserve">          6282 - JANITORIAL/EXTERMINATOR EXPENS</v>
      </c>
      <c r="C105" s="11"/>
      <c r="D105" s="6"/>
      <c r="E105" s="2"/>
      <c r="F105" s="7">
        <f t="shared" si="52"/>
        <v>0</v>
      </c>
      <c r="G105" s="2"/>
      <c r="H105" s="6">
        <v>44</v>
      </c>
      <c r="I105" s="2"/>
      <c r="J105" s="7">
        <f t="shared" si="53"/>
        <v>3.7995230044279128E-4</v>
      </c>
      <c r="K105" s="2"/>
      <c r="L105" s="6">
        <f t="shared" si="54"/>
        <v>-44</v>
      </c>
      <c r="M105" s="2"/>
      <c r="N105" s="7">
        <f t="shared" si="55"/>
        <v>-1</v>
      </c>
      <c r="O105" s="11"/>
      <c r="P105" s="6">
        <v>132</v>
      </c>
      <c r="Q105" s="2"/>
      <c r="R105" s="7">
        <f t="shared" si="56"/>
        <v>6.1937169433819205E-3</v>
      </c>
      <c r="S105" s="2"/>
      <c r="T105" s="6">
        <v>176</v>
      </c>
      <c r="U105" s="2"/>
      <c r="V105" s="7">
        <f t="shared" si="57"/>
        <v>4.3292922669787946E-4</v>
      </c>
      <c r="W105" s="2"/>
      <c r="X105" s="6">
        <f t="shared" si="58"/>
        <v>-44</v>
      </c>
      <c r="Y105" s="2"/>
      <c r="Z105" s="7">
        <f t="shared" si="59"/>
        <v>-0.25</v>
      </c>
    </row>
    <row r="106" spans="1:26" s="24" customFormat="1" hidden="1" outlineLevel="2" x14ac:dyDescent="0.25">
      <c r="A106" s="28"/>
      <c r="B106" s="11" t="str">
        <f>CONCATENATE("          ", "6285", " - ", "JANITORIAL SERVICES")</f>
        <v xml:space="preserve">          6285 - JANITORIAL SERVICES</v>
      </c>
      <c r="C106" s="11"/>
      <c r="D106" s="6"/>
      <c r="E106" s="2"/>
      <c r="F106" s="7">
        <f t="shared" si="52"/>
        <v>0</v>
      </c>
      <c r="G106" s="2"/>
      <c r="H106" s="6">
        <v>230.26</v>
      </c>
      <c r="I106" s="2"/>
      <c r="J106" s="7">
        <f t="shared" si="53"/>
        <v>1.9883594704535709E-3</v>
      </c>
      <c r="K106" s="2"/>
      <c r="L106" s="6">
        <f t="shared" si="54"/>
        <v>-230.26</v>
      </c>
      <c r="M106" s="2"/>
      <c r="N106" s="7">
        <f t="shared" si="55"/>
        <v>-1</v>
      </c>
      <c r="O106" s="11"/>
      <c r="P106" s="6">
        <v>-157.5</v>
      </c>
      <c r="Q106" s="2"/>
      <c r="R106" s="7">
        <f t="shared" si="56"/>
        <v>-7.3902304438079732E-3</v>
      </c>
      <c r="S106" s="2"/>
      <c r="T106" s="6">
        <v>794.22</v>
      </c>
      <c r="U106" s="2"/>
      <c r="V106" s="7">
        <f t="shared" si="57"/>
        <v>1.953642331977215E-3</v>
      </c>
      <c r="W106" s="2"/>
      <c r="X106" s="6">
        <f t="shared" si="58"/>
        <v>-951.72</v>
      </c>
      <c r="Y106" s="2"/>
      <c r="Z106" s="7">
        <f t="shared" si="59"/>
        <v>-1.1983077736647276</v>
      </c>
    </row>
    <row r="107" spans="1:26" s="29" customFormat="1" outlineLevel="1" collapsed="1" x14ac:dyDescent="0.25">
      <c r="A107" s="27"/>
      <c r="B107" s="14" t="str">
        <f>CONCATENATE("     ","Subscriptions &amp; Dues                              ")</f>
        <v xml:space="preserve">     Subscriptions &amp; Dues                              </v>
      </c>
      <c r="C107" s="14"/>
      <c r="D107" s="1">
        <f>SUM(OSRRefD22_9x_0)</f>
        <v>0</v>
      </c>
      <c r="E107" s="1"/>
      <c r="F107" s="5">
        <f t="shared" ref="F107:F112" si="60">IF(D$12=0,0,D107/D$12)</f>
        <v>0</v>
      </c>
      <c r="G107" s="1"/>
      <c r="H107" s="1">
        <f>SUM(OSRRefH22_9x_0)</f>
        <v>0</v>
      </c>
      <c r="I107" s="1"/>
      <c r="J107" s="5">
        <f t="shared" ref="J107:J112" si="61">IF(H$12=0,0,H107/H$12)</f>
        <v>0</v>
      </c>
      <c r="K107" s="1"/>
      <c r="L107" s="1">
        <f t="shared" ref="L107:L112" si="62">+D107-H107</f>
        <v>0</v>
      </c>
      <c r="M107" s="1"/>
      <c r="N107" s="5">
        <f t="shared" ref="N107:N112" si="63">IF(H107=0,0,L107/H107)</f>
        <v>0</v>
      </c>
      <c r="O107" s="14"/>
      <c r="P107" s="1">
        <f>SUM(OSRRefP22_9x_0)</f>
        <v>0</v>
      </c>
      <c r="Q107" s="1"/>
      <c r="R107" s="5">
        <f t="shared" ref="R107:R112" si="64">IF(P$12=0,0,P107/P$12)</f>
        <v>0</v>
      </c>
      <c r="S107" s="1"/>
      <c r="T107" s="1">
        <f>SUM(OSRRefT22_9x_0)</f>
        <v>120</v>
      </c>
      <c r="U107" s="1"/>
      <c r="V107" s="5">
        <f t="shared" ref="V107:V112" si="65">IF(T$12=0,0,T107/T$12)</f>
        <v>2.9517901820309963E-4</v>
      </c>
      <c r="W107" s="1"/>
      <c r="X107" s="1">
        <f t="shared" ref="X107:X112" si="66">+P107-T107</f>
        <v>-120</v>
      </c>
      <c r="Y107" s="1"/>
      <c r="Z107" s="5">
        <f t="shared" ref="Z107:Z112" si="67">IF(T107=0,0,X107/T107)</f>
        <v>-1</v>
      </c>
    </row>
    <row r="108" spans="1:26" s="24" customFormat="1" hidden="1" outlineLevel="2" x14ac:dyDescent="0.25">
      <c r="A108" s="28"/>
      <c r="B108" s="11" t="str">
        <f>CONCATENATE("          ", "6258", " - ", "MEMBERSHIP DUES")</f>
        <v xml:space="preserve">          6258 - MEMBERSHIP DUES</v>
      </c>
      <c r="C108" s="11"/>
      <c r="D108" s="6"/>
      <c r="E108" s="2"/>
      <c r="F108" s="7">
        <f t="shared" si="60"/>
        <v>0</v>
      </c>
      <c r="G108" s="2"/>
      <c r="H108" s="6"/>
      <c r="I108" s="2"/>
      <c r="J108" s="7">
        <f t="shared" si="61"/>
        <v>0</v>
      </c>
      <c r="K108" s="2"/>
      <c r="L108" s="6">
        <f t="shared" si="62"/>
        <v>0</v>
      </c>
      <c r="M108" s="2"/>
      <c r="N108" s="7">
        <f t="shared" si="63"/>
        <v>0</v>
      </c>
      <c r="O108" s="11"/>
      <c r="P108" s="6"/>
      <c r="Q108" s="2"/>
      <c r="R108" s="7">
        <f t="shared" si="64"/>
        <v>0</v>
      </c>
      <c r="S108" s="2"/>
      <c r="T108" s="6">
        <v>120</v>
      </c>
      <c r="U108" s="2"/>
      <c r="V108" s="7">
        <f t="shared" si="65"/>
        <v>2.9517901820309963E-4</v>
      </c>
      <c r="W108" s="2"/>
      <c r="X108" s="6">
        <f t="shared" si="66"/>
        <v>-120</v>
      </c>
      <c r="Y108" s="2"/>
      <c r="Z108" s="7">
        <f t="shared" si="67"/>
        <v>-1</v>
      </c>
    </row>
    <row r="109" spans="1:26" s="29" customFormat="1" outlineLevel="1" collapsed="1" x14ac:dyDescent="0.25">
      <c r="A109" s="27"/>
      <c r="B109" s="14" t="str">
        <f>CONCATENATE("     ","Supplies                                          ")</f>
        <v xml:space="preserve">     Supplies                                          </v>
      </c>
      <c r="C109" s="14"/>
      <c r="D109" s="1">
        <f>SUM(OSRRefD22_10x_0)</f>
        <v>544.6</v>
      </c>
      <c r="E109" s="1"/>
      <c r="F109" s="5">
        <f t="shared" si="60"/>
        <v>30.424581005586596</v>
      </c>
      <c r="G109" s="1"/>
      <c r="H109" s="1">
        <f>SUM(OSRRefH22_10x_0)</f>
        <v>217.44</v>
      </c>
      <c r="I109" s="1"/>
      <c r="J109" s="5">
        <f t="shared" si="61"/>
        <v>1.8776551865518304E-3</v>
      </c>
      <c r="K109" s="1"/>
      <c r="L109" s="1">
        <f t="shared" si="62"/>
        <v>327.16000000000003</v>
      </c>
      <c r="M109" s="1"/>
      <c r="N109" s="5">
        <f t="shared" si="63"/>
        <v>1.504598969830758</v>
      </c>
      <c r="O109" s="14"/>
      <c r="P109" s="1">
        <f>SUM(OSRRefP22_10x_0)</f>
        <v>1892.27</v>
      </c>
      <c r="Q109" s="1"/>
      <c r="R109" s="5">
        <f t="shared" si="64"/>
        <v>8.8789278488282622E-2</v>
      </c>
      <c r="S109" s="1"/>
      <c r="T109" s="1">
        <f>SUM(OSRRefT22_10x_0)</f>
        <v>789.4</v>
      </c>
      <c r="U109" s="1"/>
      <c r="V109" s="5">
        <f t="shared" si="65"/>
        <v>1.941785974746057E-3</v>
      </c>
      <c r="W109" s="1"/>
      <c r="X109" s="1">
        <f t="shared" si="66"/>
        <v>1102.8699999999999</v>
      </c>
      <c r="Y109" s="1"/>
      <c r="Z109" s="5">
        <f t="shared" si="67"/>
        <v>1.3970990625791739</v>
      </c>
    </row>
    <row r="110" spans="1:26" s="24" customFormat="1" hidden="1" outlineLevel="2" x14ac:dyDescent="0.25">
      <c r="A110" s="28"/>
      <c r="B110" s="11" t="str">
        <f>CONCATENATE("          ", "6235", " - ", "COVID-19 EXPENSES")</f>
        <v xml:space="preserve">          6235 - COVID-19 EXPENSES</v>
      </c>
      <c r="C110" s="11"/>
      <c r="D110" s="6"/>
      <c r="E110" s="2"/>
      <c r="F110" s="7">
        <f t="shared" si="60"/>
        <v>0</v>
      </c>
      <c r="G110" s="2"/>
      <c r="H110" s="6"/>
      <c r="I110" s="2"/>
      <c r="J110" s="7">
        <f t="shared" si="61"/>
        <v>0</v>
      </c>
      <c r="K110" s="2"/>
      <c r="L110" s="6">
        <f t="shared" si="62"/>
        <v>0</v>
      </c>
      <c r="M110" s="2"/>
      <c r="N110" s="7">
        <f t="shared" si="63"/>
        <v>0</v>
      </c>
      <c r="O110" s="11"/>
      <c r="P110" s="6">
        <v>444.3</v>
      </c>
      <c r="Q110" s="2"/>
      <c r="R110" s="7">
        <f t="shared" si="64"/>
        <v>2.0847488166246871E-2</v>
      </c>
      <c r="S110" s="2"/>
      <c r="T110" s="6"/>
      <c r="U110" s="2"/>
      <c r="V110" s="7">
        <f t="shared" si="65"/>
        <v>0</v>
      </c>
      <c r="W110" s="2"/>
      <c r="X110" s="6">
        <f t="shared" si="66"/>
        <v>444.3</v>
      </c>
      <c r="Y110" s="2"/>
      <c r="Z110" s="7">
        <f t="shared" si="67"/>
        <v>0</v>
      </c>
    </row>
    <row r="111" spans="1:26" s="24" customFormat="1" hidden="1" outlineLevel="2" x14ac:dyDescent="0.25">
      <c r="A111" s="28"/>
      <c r="B111" s="11" t="str">
        <f>CONCATENATE("          ", "6241", " - ", "OFFICE EXPENSE")</f>
        <v xml:space="preserve">          6241 - OFFICE EXPENSE</v>
      </c>
      <c r="C111" s="11"/>
      <c r="D111" s="6"/>
      <c r="E111" s="2"/>
      <c r="F111" s="7">
        <f t="shared" si="60"/>
        <v>0</v>
      </c>
      <c r="G111" s="2"/>
      <c r="H111" s="6">
        <v>217.54</v>
      </c>
      <c r="I111" s="2"/>
      <c r="J111" s="7">
        <f t="shared" si="61"/>
        <v>1.8785187145073821E-3</v>
      </c>
      <c r="K111" s="2"/>
      <c r="L111" s="6">
        <f t="shared" si="62"/>
        <v>-217.54</v>
      </c>
      <c r="M111" s="2"/>
      <c r="N111" s="7">
        <f t="shared" si="63"/>
        <v>-1</v>
      </c>
      <c r="O111" s="11"/>
      <c r="P111" s="6">
        <v>225.24</v>
      </c>
      <c r="Q111" s="2"/>
      <c r="R111" s="7">
        <f t="shared" si="64"/>
        <v>1.056873336611624E-2</v>
      </c>
      <c r="S111" s="2"/>
      <c r="T111" s="6">
        <v>789.5</v>
      </c>
      <c r="U111" s="2"/>
      <c r="V111" s="7">
        <f t="shared" si="65"/>
        <v>1.9420319572612263E-3</v>
      </c>
      <c r="W111" s="2"/>
      <c r="X111" s="6">
        <f t="shared" si="66"/>
        <v>-564.26</v>
      </c>
      <c r="Y111" s="2"/>
      <c r="Z111" s="7">
        <f t="shared" si="67"/>
        <v>-0.7147055098163394</v>
      </c>
    </row>
    <row r="112" spans="1:26" s="24" customFormat="1" hidden="1" outlineLevel="2" x14ac:dyDescent="0.25">
      <c r="A112" s="28"/>
      <c r="B112" s="11" t="str">
        <f>CONCATENATE("          ", "6247", " - ", "STORE SUPPLIES")</f>
        <v xml:space="preserve">          6247 - STORE SUPPLIES</v>
      </c>
      <c r="C112" s="11"/>
      <c r="D112" s="6">
        <v>544.6</v>
      </c>
      <c r="E112" s="2"/>
      <c r="F112" s="7">
        <f t="shared" si="60"/>
        <v>30.424581005586596</v>
      </c>
      <c r="G112" s="2"/>
      <c r="H112" s="6">
        <v>-0.1</v>
      </c>
      <c r="I112" s="2"/>
      <c r="J112" s="7">
        <f t="shared" si="61"/>
        <v>-8.6352795555179839E-7</v>
      </c>
      <c r="K112" s="2"/>
      <c r="L112" s="6">
        <f t="shared" si="62"/>
        <v>544.70000000000005</v>
      </c>
      <c r="M112" s="2"/>
      <c r="N112" s="7">
        <f t="shared" si="63"/>
        <v>-5447</v>
      </c>
      <c r="O112" s="11"/>
      <c r="P112" s="6">
        <v>1222.73</v>
      </c>
      <c r="Q112" s="2"/>
      <c r="R112" s="7">
        <f t="shared" si="64"/>
        <v>5.7373056955919509E-2</v>
      </c>
      <c r="S112" s="2"/>
      <c r="T112" s="6">
        <v>-0.1</v>
      </c>
      <c r="U112" s="2"/>
      <c r="V112" s="7">
        <f t="shared" si="65"/>
        <v>-2.4598251516924973E-7</v>
      </c>
      <c r="W112" s="2"/>
      <c r="X112" s="6">
        <f t="shared" si="66"/>
        <v>1222.83</v>
      </c>
      <c r="Y112" s="2"/>
      <c r="Z112" s="7">
        <f t="shared" si="67"/>
        <v>-12228.3</v>
      </c>
    </row>
    <row r="113" spans="1:26" s="29" customFormat="1" outlineLevel="1" collapsed="1" x14ac:dyDescent="0.25">
      <c r="A113" s="27"/>
      <c r="B113" s="14" t="str">
        <f>CONCATENATE("     ","Telephone/Data Lines                              ")</f>
        <v xml:space="preserve">     Telephone/Data Lines                              </v>
      </c>
      <c r="C113" s="14"/>
      <c r="D113" s="1">
        <f>SUM(OSRRefD22_11x_0)</f>
        <v>53.9</v>
      </c>
      <c r="E113" s="1"/>
      <c r="F113" s="5">
        <f t="shared" ref="F113:F116" si="68">IF(D$12=0,0,D113/D$12)</f>
        <v>3.011173184357542</v>
      </c>
      <c r="G113" s="1"/>
      <c r="H113" s="1">
        <f>SUM(OSRRefH22_11x_0)</f>
        <v>87.49</v>
      </c>
      <c r="I113" s="1"/>
      <c r="J113" s="5">
        <f t="shared" ref="J113:J116" si="69">IF(H$12=0,0,H113/H$12)</f>
        <v>7.5550060831226838E-4</v>
      </c>
      <c r="K113" s="1"/>
      <c r="L113" s="1">
        <f t="shared" ref="L113:L116" si="70">+D113-H113</f>
        <v>-33.589999999999996</v>
      </c>
      <c r="M113" s="1"/>
      <c r="N113" s="5">
        <f t="shared" ref="N113:N116" si="71">IF(H113=0,0,L113/H113)</f>
        <v>-0.38392959195336607</v>
      </c>
      <c r="O113" s="14"/>
      <c r="P113" s="1">
        <f>SUM(OSRRefP22_11x_0)</f>
        <v>259.89999999999998</v>
      </c>
      <c r="Q113" s="1"/>
      <c r="R113" s="5">
        <f t="shared" ref="R113:R116" si="72">IF(P$12=0,0,P113/P$12)</f>
        <v>1.2195053284734553E-2</v>
      </c>
      <c r="S113" s="1"/>
      <c r="T113" s="1">
        <f>SUM(OSRRefT22_11x_0)</f>
        <v>389.99</v>
      </c>
      <c r="U113" s="1"/>
      <c r="V113" s="5">
        <f t="shared" ref="V113:V116" si="73">IF(T$12=0,0,T113/T$12)</f>
        <v>9.5930721090855696E-4</v>
      </c>
      <c r="W113" s="1"/>
      <c r="X113" s="1">
        <f t="shared" ref="X113:X116" si="74">+P113-T113</f>
        <v>-130.09000000000003</v>
      </c>
      <c r="Y113" s="1"/>
      <c r="Z113" s="5">
        <f t="shared" ref="Z113:Z116" si="75">IF(T113=0,0,X113/T113)</f>
        <v>-0.33357265570912081</v>
      </c>
    </row>
    <row r="114" spans="1:26" s="24" customFormat="1" hidden="1" outlineLevel="2" x14ac:dyDescent="0.25">
      <c r="A114" s="28"/>
      <c r="B114" s="11" t="str">
        <f>CONCATENATE("          ", "6309", " - ", "TELEPHONE")</f>
        <v xml:space="preserve">          6309 - TELEPHONE</v>
      </c>
      <c r="C114" s="11"/>
      <c r="D114" s="6">
        <v>53.9</v>
      </c>
      <c r="E114" s="2"/>
      <c r="F114" s="7">
        <f t="shared" si="68"/>
        <v>3.011173184357542</v>
      </c>
      <c r="G114" s="2"/>
      <c r="H114" s="6">
        <v>87.49</v>
      </c>
      <c r="I114" s="2"/>
      <c r="J114" s="7">
        <f t="shared" si="69"/>
        <v>7.5550060831226838E-4</v>
      </c>
      <c r="K114" s="2"/>
      <c r="L114" s="6">
        <f t="shared" si="70"/>
        <v>-33.589999999999996</v>
      </c>
      <c r="M114" s="2"/>
      <c r="N114" s="7">
        <f t="shared" si="71"/>
        <v>-0.38392959195336607</v>
      </c>
      <c r="O114" s="11"/>
      <c r="P114" s="6">
        <v>259.89999999999998</v>
      </c>
      <c r="Q114" s="2"/>
      <c r="R114" s="7">
        <f t="shared" si="72"/>
        <v>1.2195053284734553E-2</v>
      </c>
      <c r="S114" s="2"/>
      <c r="T114" s="6">
        <v>389.99</v>
      </c>
      <c r="U114" s="2"/>
      <c r="V114" s="7">
        <f t="shared" si="73"/>
        <v>9.5930721090855696E-4</v>
      </c>
      <c r="W114" s="2"/>
      <c r="X114" s="6">
        <f t="shared" si="74"/>
        <v>-130.09000000000003</v>
      </c>
      <c r="Y114" s="2"/>
      <c r="Z114" s="7">
        <f t="shared" si="75"/>
        <v>-0.33357265570912081</v>
      </c>
    </row>
    <row r="115" spans="1:26" s="29" customFormat="1" outlineLevel="1" collapsed="1" x14ac:dyDescent="0.25">
      <c r="A115" s="27"/>
      <c r="B115" s="14" t="str">
        <f>CONCATENATE("     ","Training                                          ")</f>
        <v xml:space="preserve">     Training                                          </v>
      </c>
      <c r="C115" s="14"/>
      <c r="D115" s="1">
        <f>SUM(OSRRefD22_12x_0)</f>
        <v>14</v>
      </c>
      <c r="E115" s="1"/>
      <c r="F115" s="5">
        <f t="shared" si="68"/>
        <v>0.78212290502793302</v>
      </c>
      <c r="G115" s="1"/>
      <c r="H115" s="1">
        <f>SUM(OSRRefH22_12x_0)</f>
        <v>80</v>
      </c>
      <c r="I115" s="1"/>
      <c r="J115" s="5">
        <f t="shared" si="69"/>
        <v>6.9082236444143873E-4</v>
      </c>
      <c r="K115" s="1"/>
      <c r="L115" s="1">
        <f t="shared" si="70"/>
        <v>-66</v>
      </c>
      <c r="M115" s="1"/>
      <c r="N115" s="5">
        <f t="shared" si="71"/>
        <v>-0.82499999999999996</v>
      </c>
      <c r="O115" s="14"/>
      <c r="P115" s="1">
        <f>SUM(OSRRefP22_12x_0)</f>
        <v>14</v>
      </c>
      <c r="Q115" s="1"/>
      <c r="R115" s="5">
        <f t="shared" si="72"/>
        <v>6.5690937278293094E-4</v>
      </c>
      <c r="S115" s="1"/>
      <c r="T115" s="1">
        <f>SUM(OSRRefT22_12x_0)</f>
        <v>80</v>
      </c>
      <c r="U115" s="1"/>
      <c r="V115" s="5">
        <f t="shared" si="73"/>
        <v>1.9678601213539976E-4</v>
      </c>
      <c r="W115" s="1"/>
      <c r="X115" s="1">
        <f t="shared" si="74"/>
        <v>-66</v>
      </c>
      <c r="Y115" s="1"/>
      <c r="Z115" s="5">
        <f t="shared" si="75"/>
        <v>-0.82499999999999996</v>
      </c>
    </row>
    <row r="116" spans="1:26" s="24" customFormat="1" hidden="1" outlineLevel="2" x14ac:dyDescent="0.25">
      <c r="A116" s="28"/>
      <c r="B116" s="11" t="str">
        <f>CONCATENATE("          ", "6376", " - ", "TRAINING")</f>
        <v xml:space="preserve">          6376 - TRAINING</v>
      </c>
      <c r="C116" s="11"/>
      <c r="D116" s="6">
        <v>14</v>
      </c>
      <c r="E116" s="2"/>
      <c r="F116" s="7">
        <f t="shared" si="68"/>
        <v>0.78212290502793302</v>
      </c>
      <c r="G116" s="2"/>
      <c r="H116" s="6">
        <v>80</v>
      </c>
      <c r="I116" s="2"/>
      <c r="J116" s="7">
        <f t="shared" si="69"/>
        <v>6.9082236444143873E-4</v>
      </c>
      <c r="K116" s="2"/>
      <c r="L116" s="6">
        <f t="shared" si="70"/>
        <v>-66</v>
      </c>
      <c r="M116" s="2"/>
      <c r="N116" s="7">
        <f t="shared" si="71"/>
        <v>-0.82499999999999996</v>
      </c>
      <c r="O116" s="11"/>
      <c r="P116" s="6">
        <v>14</v>
      </c>
      <c r="Q116" s="2"/>
      <c r="R116" s="7">
        <f t="shared" si="72"/>
        <v>6.5690937278293094E-4</v>
      </c>
      <c r="S116" s="2"/>
      <c r="T116" s="6">
        <v>80</v>
      </c>
      <c r="U116" s="2"/>
      <c r="V116" s="7">
        <f t="shared" si="73"/>
        <v>1.9678601213539976E-4</v>
      </c>
      <c r="W116" s="2"/>
      <c r="X116" s="6">
        <f t="shared" si="74"/>
        <v>-66</v>
      </c>
      <c r="Y116" s="2"/>
      <c r="Z116" s="7">
        <f t="shared" si="75"/>
        <v>-0.82499999999999996</v>
      </c>
    </row>
    <row r="117" spans="1:26" s="57" customFormat="1" x14ac:dyDescent="0.25">
      <c r="A117" s="37"/>
      <c r="B117" s="37"/>
      <c r="C117" s="37"/>
      <c r="D117" s="1"/>
      <c r="E117" s="1"/>
      <c r="F117" s="5"/>
      <c r="G117" s="1"/>
      <c r="H117" s="1"/>
      <c r="I117" s="1"/>
      <c r="J117" s="5"/>
      <c r="K117" s="1"/>
      <c r="L117" s="1"/>
      <c r="M117" s="1"/>
      <c r="N117" s="5"/>
      <c r="O117" s="37"/>
      <c r="P117" s="1"/>
      <c r="Q117" s="1"/>
      <c r="R117" s="5"/>
      <c r="S117" s="1"/>
      <c r="T117" s="1"/>
      <c r="U117" s="1"/>
      <c r="V117" s="5"/>
      <c r="W117" s="1"/>
      <c r="X117" s="1"/>
      <c r="Y117" s="1"/>
      <c r="Z117" s="5"/>
    </row>
    <row r="118" spans="1:26" s="23" customFormat="1" x14ac:dyDescent="0.25">
      <c r="A118" s="10"/>
      <c r="B118" s="26" t="s">
        <v>0</v>
      </c>
      <c r="C118" s="10"/>
      <c r="D118" s="4">
        <f>SUM(0)</f>
        <v>0</v>
      </c>
      <c r="E118" s="4"/>
      <c r="F118" s="12">
        <f>IF(D$12=0,0,D118/D$12)</f>
        <v>0</v>
      </c>
      <c r="G118" s="4"/>
      <c r="H118" s="4">
        <f>SUM(0)</f>
        <v>0</v>
      </c>
      <c r="I118" s="4"/>
      <c r="J118" s="12">
        <f>IF(H$12=0,0,H118/H$12)</f>
        <v>0</v>
      </c>
      <c r="K118" s="4"/>
      <c r="L118" s="4">
        <f>+D118-H118</f>
        <v>0</v>
      </c>
      <c r="M118" s="4"/>
      <c r="N118" s="12">
        <f>IF(H118=0,0,L118/H118)</f>
        <v>0</v>
      </c>
      <c r="O118" s="10"/>
      <c r="P118" s="4">
        <f>SUM(0)</f>
        <v>0</v>
      </c>
      <c r="Q118" s="4"/>
      <c r="R118" s="12">
        <f>IF(P$12=0,0,P118/P$12)</f>
        <v>0</v>
      </c>
      <c r="S118" s="4"/>
      <c r="T118" s="4">
        <f>SUM(0)</f>
        <v>0</v>
      </c>
      <c r="U118" s="4"/>
      <c r="V118" s="12">
        <f>IF(T$12=0,0,T118/T$12)</f>
        <v>0</v>
      </c>
      <c r="W118" s="4"/>
      <c r="X118" s="4">
        <f>+P118-T118</f>
        <v>0</v>
      </c>
      <c r="Y118" s="4"/>
      <c r="Z118" s="12">
        <f>IF(T118=0,0,X118/T118)</f>
        <v>0</v>
      </c>
    </row>
    <row r="119" spans="1:26" x14ac:dyDescent="0.25">
      <c r="A119" s="9"/>
      <c r="B119" s="10"/>
      <c r="C119" s="10"/>
      <c r="D119" s="3"/>
      <c r="E119" s="3"/>
      <c r="F119" s="8"/>
      <c r="G119" s="3"/>
      <c r="H119" s="3"/>
      <c r="I119" s="3"/>
      <c r="J119" s="8"/>
      <c r="K119" s="3"/>
      <c r="L119" s="3"/>
      <c r="M119" s="3"/>
      <c r="N119" s="8"/>
      <c r="O119" s="10"/>
      <c r="P119" s="3"/>
      <c r="Q119" s="3"/>
      <c r="R119" s="8"/>
      <c r="S119" s="3"/>
      <c r="T119" s="3"/>
      <c r="U119" s="3"/>
      <c r="V119" s="8"/>
      <c r="W119" s="3"/>
      <c r="X119" s="3"/>
      <c r="Y119" s="3"/>
      <c r="Z119" s="8"/>
    </row>
    <row r="120" spans="1:26" s="23" customFormat="1" x14ac:dyDescent="0.25">
      <c r="A120" s="10"/>
      <c r="B120" s="25" t="s">
        <v>3</v>
      </c>
      <c r="C120" s="25"/>
      <c r="D120" s="20">
        <f>+D73-D75+D118</f>
        <v>-1406.4899999999957</v>
      </c>
      <c r="E120" s="13"/>
      <c r="F120" s="21">
        <f>IF(D$12=0,0,D120/D$12)</f>
        <v>-78.574860335195297</v>
      </c>
      <c r="G120" s="13"/>
      <c r="H120" s="20">
        <f>+H73-H75+H118</f>
        <v>31178.57</v>
      </c>
      <c r="I120" s="13"/>
      <c r="J120" s="21">
        <f>IF(H$12=0,0,H120/H$12)</f>
        <v>0.26923566809128635</v>
      </c>
      <c r="K120" s="15"/>
      <c r="L120" s="20">
        <f>+D120-H120</f>
        <v>-32585.059999999994</v>
      </c>
      <c r="M120" s="15"/>
      <c r="N120" s="21">
        <f>IF(H120=0,0,L120/H120)</f>
        <v>-1.0451107924449388</v>
      </c>
      <c r="O120" s="26"/>
      <c r="P120" s="20">
        <f>+P73-P75+P118</f>
        <v>-4489.1899999999914</v>
      </c>
      <c r="Q120" s="13"/>
      <c r="R120" s="21">
        <f>IF(P$12=0,0,P120/P$12)</f>
        <v>-0.21064221337167144</v>
      </c>
      <c r="S120" s="13"/>
      <c r="T120" s="20">
        <f>+T73-T75+T118</f>
        <v>118231.64000000006</v>
      </c>
      <c r="U120" s="13"/>
      <c r="V120" s="21">
        <f>IF(T$12=0,0,T120/T$12)</f>
        <v>0.29082916179785284</v>
      </c>
      <c r="W120" s="15"/>
      <c r="X120" s="20">
        <f>+P120-T120</f>
        <v>-122720.83000000005</v>
      </c>
      <c r="Y120" s="15"/>
      <c r="Z120" s="21">
        <f>IF(T120=0,0,X120/T120)</f>
        <v>-1.0379694470955489</v>
      </c>
    </row>
    <row r="121" spans="1:26" x14ac:dyDescent="0.25">
      <c r="A121" s="9"/>
      <c r="B121" s="10"/>
      <c r="C121" s="9"/>
      <c r="D121" s="3"/>
      <c r="E121" s="3"/>
      <c r="F121" s="8"/>
      <c r="G121" s="3"/>
      <c r="H121" s="3"/>
      <c r="I121" s="3"/>
      <c r="J121" s="8"/>
      <c r="K121" s="3"/>
      <c r="L121" s="3"/>
      <c r="M121" s="3"/>
      <c r="N121" s="8"/>
      <c r="P121" s="3"/>
      <c r="Q121" s="3"/>
      <c r="R121" s="8"/>
      <c r="S121" s="3"/>
      <c r="T121" s="3"/>
      <c r="U121" s="3"/>
      <c r="V121" s="8"/>
      <c r="W121" s="3"/>
      <c r="X121" s="3"/>
      <c r="Y121" s="3"/>
      <c r="Z121" s="8"/>
    </row>
    <row r="122" spans="1:26" s="23" customFormat="1" x14ac:dyDescent="0.25">
      <c r="A122" s="51"/>
      <c r="B122" s="10" t="s">
        <v>13</v>
      </c>
      <c r="C122" s="10"/>
      <c r="D122" s="4">
        <v>671.8</v>
      </c>
      <c r="E122" s="4"/>
      <c r="F122" s="12">
        <f>IF(D$12=0,0,D122/D$12)</f>
        <v>37.530726256983243</v>
      </c>
      <c r="G122" s="4"/>
      <c r="H122" s="4">
        <v>9694.51</v>
      </c>
      <c r="I122" s="4"/>
      <c r="J122" s="12">
        <f>IF(H$12=0,0,H122/H$12)</f>
        <v>8.3714804003764659E-2</v>
      </c>
      <c r="K122" s="4"/>
      <c r="L122" s="4">
        <f>+D122-H122</f>
        <v>-9022.7100000000009</v>
      </c>
      <c r="M122" s="4"/>
      <c r="N122" s="12">
        <f>IF(H122=0,0,L122/H122)</f>
        <v>-0.93070304739486587</v>
      </c>
      <c r="O122" s="10"/>
      <c r="P122" s="4">
        <v>4616.62</v>
      </c>
      <c r="Q122" s="4"/>
      <c r="R122" s="12">
        <f>IF(P$12=0,0,P122/P$12)</f>
        <v>0.21662149632693817</v>
      </c>
      <c r="S122" s="4"/>
      <c r="T122" s="4">
        <v>40922.65</v>
      </c>
      <c r="U122" s="4"/>
      <c r="V122" s="12">
        <f>IF(T$12=0,0,T122/T$12)</f>
        <v>0.10066256374390896</v>
      </c>
      <c r="W122" s="4"/>
      <c r="X122" s="4">
        <f>+P122-T122</f>
        <v>-36306.03</v>
      </c>
      <c r="Y122" s="4"/>
      <c r="Z122" s="12">
        <f>IF(T122=0,0,X122/T122)</f>
        <v>-0.88718668023698366</v>
      </c>
    </row>
    <row r="123" spans="1:26" x14ac:dyDescent="0.25">
      <c r="A123" s="9"/>
      <c r="B123" s="10"/>
      <c r="C123" s="10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O123" s="10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s="23" customFormat="1" ht="15.75" thickBot="1" x14ac:dyDescent="0.3">
      <c r="A124" s="10"/>
      <c r="B124" s="25" t="s">
        <v>4</v>
      </c>
      <c r="C124" s="25"/>
      <c r="D124" s="30">
        <f>+D120-D122</f>
        <v>-2078.2899999999954</v>
      </c>
      <c r="E124" s="13"/>
      <c r="F124" s="33">
        <f>IF(D$12=0,0,D124/D$12)</f>
        <v>-116.10558659217853</v>
      </c>
      <c r="G124" s="13"/>
      <c r="H124" s="30">
        <f>+H120-H122</f>
        <v>21484.059999999998</v>
      </c>
      <c r="I124" s="13"/>
      <c r="J124" s="33">
        <f>IF(H$12=0,0,H124/H$12)</f>
        <v>0.18552086408752169</v>
      </c>
      <c r="K124" s="15"/>
      <c r="L124" s="30">
        <f>D124-H124</f>
        <v>-23562.349999999991</v>
      </c>
      <c r="M124" s="15"/>
      <c r="N124" s="33">
        <f>IF(H124=0,0,L124/H124)</f>
        <v>-1.0967363710583564</v>
      </c>
      <c r="O124" s="26"/>
      <c r="P124" s="30">
        <f>+P120-P122</f>
        <v>-9105.8099999999904</v>
      </c>
      <c r="Q124" s="13"/>
      <c r="R124" s="33">
        <f>IF(P$12=0,0,P124/P$12)</f>
        <v>-0.42726370969860955</v>
      </c>
      <c r="S124" s="13"/>
      <c r="T124" s="30">
        <f>+T120-T122</f>
        <v>77308.990000000049</v>
      </c>
      <c r="U124" s="13"/>
      <c r="V124" s="33">
        <f>IF(T$12=0,0,T124/T$12)</f>
        <v>0.19016659805394384</v>
      </c>
      <c r="W124" s="15"/>
      <c r="X124" s="30">
        <f>P124-T124</f>
        <v>-86414.800000000047</v>
      </c>
      <c r="Y124" s="15"/>
      <c r="Z124" s="33">
        <f>IF(T124=0,0,X124/T124)</f>
        <v>-1.1177846198740922</v>
      </c>
    </row>
    <row r="125" spans="1:26" ht="15.75" thickTop="1" x14ac:dyDescent="0.25">
      <c r="A125" s="9"/>
      <c r="B125" s="9"/>
      <c r="C125" s="9"/>
      <c r="D125" s="3"/>
      <c r="E125" s="3"/>
      <c r="F125" s="8"/>
      <c r="G125" s="3"/>
      <c r="H125" s="3"/>
      <c r="I125" s="3"/>
      <c r="J125" s="8"/>
      <c r="K125" s="3"/>
      <c r="L125" s="3"/>
      <c r="M125" s="3"/>
      <c r="N125" s="8"/>
      <c r="P125" s="3"/>
      <c r="Q125" s="3"/>
      <c r="R125" s="8"/>
      <c r="S125" s="3"/>
      <c r="T125" s="3"/>
      <c r="U125" s="3"/>
      <c r="V125" s="8"/>
      <c r="W125" s="3"/>
      <c r="X125" s="3"/>
      <c r="Y125" s="3"/>
      <c r="Z125" s="8"/>
    </row>
    <row r="126" spans="1:26" x14ac:dyDescent="0.25">
      <c r="A126" s="9"/>
      <c r="B126" s="9"/>
      <c r="C126" s="9"/>
      <c r="D126" s="3"/>
      <c r="E126" s="3"/>
      <c r="F126" s="8"/>
      <c r="G126" s="3"/>
      <c r="H126" s="3"/>
      <c r="I126" s="3"/>
      <c r="J126" s="8"/>
      <c r="K126" s="3"/>
      <c r="L126" s="3"/>
      <c r="M126" s="3"/>
      <c r="N126" s="8"/>
      <c r="P126" s="3"/>
      <c r="Q126" s="3"/>
      <c r="R126" s="8"/>
      <c r="S126" s="3"/>
      <c r="T126" s="3"/>
      <c r="U126" s="3"/>
      <c r="V126" s="8"/>
      <c r="W126" s="3"/>
      <c r="X126" s="3"/>
      <c r="Y126" s="3"/>
      <c r="Z126" s="8"/>
    </row>
    <row r="127" spans="1:26" s="23" customFormat="1" ht="15.75" thickBot="1" x14ac:dyDescent="0.3">
      <c r="A127" s="10"/>
      <c r="B127" s="25" t="s">
        <v>5</v>
      </c>
      <c r="C127" s="25"/>
      <c r="D127" s="34">
        <f>SUM(D124:D126)</f>
        <v>-2078.2899999999954</v>
      </c>
      <c r="E127" s="13"/>
      <c r="F127" s="35">
        <f>IF(D$12=0,0,D127/D$12)</f>
        <v>-116.10558659217853</v>
      </c>
      <c r="G127" s="13"/>
      <c r="H127" s="34">
        <f>SUM(H124:H126)</f>
        <v>21484.059999999998</v>
      </c>
      <c r="I127" s="13"/>
      <c r="J127" s="35">
        <f>IF(H$12=0,0,H127/H$12)</f>
        <v>0.18552086408752169</v>
      </c>
      <c r="K127" s="15"/>
      <c r="L127" s="34">
        <f>+D127-H127</f>
        <v>-23562.349999999991</v>
      </c>
      <c r="M127" s="15"/>
      <c r="N127" s="35">
        <f>IF(H127=0,0,L127/H127)</f>
        <v>-1.0967363710583564</v>
      </c>
      <c r="O127" s="26"/>
      <c r="P127" s="34">
        <f>SUM(P124:P126)</f>
        <v>-9105.8099999999904</v>
      </c>
      <c r="Q127" s="13"/>
      <c r="R127" s="35">
        <f>IF(P$12=0,0,P127/P$12)</f>
        <v>-0.42726370969860955</v>
      </c>
      <c r="S127" s="13"/>
      <c r="T127" s="34">
        <f>SUM(T124:T126)</f>
        <v>77308.990000000049</v>
      </c>
      <c r="U127" s="13"/>
      <c r="V127" s="35">
        <f>IF(T$12=0,0,T127/T$12)</f>
        <v>0.19016659805394384</v>
      </c>
      <c r="W127" s="15"/>
      <c r="X127" s="34">
        <f>+P127-T127</f>
        <v>-86414.800000000047</v>
      </c>
      <c r="Y127" s="15"/>
      <c r="Z127" s="35">
        <f>IF(T127=0,0,X127/T127)</f>
        <v>-1.1177846198740922</v>
      </c>
    </row>
    <row r="128" spans="1:26" ht="15.75" thickTop="1" x14ac:dyDescent="0.25">
      <c r="A128" s="9"/>
      <c r="C128" s="9"/>
      <c r="D128" s="18"/>
      <c r="E128" s="18"/>
      <c r="G128" s="18"/>
      <c r="H128" s="18"/>
      <c r="I128" s="18"/>
      <c r="J128" s="43"/>
      <c r="K128" s="18"/>
      <c r="L128" s="18"/>
      <c r="M128" s="18"/>
      <c r="P128" s="18"/>
      <c r="Q128" s="18"/>
      <c r="R128" s="43"/>
      <c r="S128" s="18"/>
      <c r="T128" s="18"/>
      <c r="U128" s="18"/>
      <c r="V128" s="43"/>
      <c r="W128" s="18"/>
      <c r="X128" s="18"/>
    </row>
    <row r="129" spans="1:24" x14ac:dyDescent="0.25">
      <c r="A129" s="9"/>
      <c r="B129" s="56">
        <v>44151.571927893521</v>
      </c>
      <c r="D129" s="18"/>
      <c r="E129" s="18"/>
      <c r="G129" s="18"/>
      <c r="H129" s="18"/>
      <c r="I129" s="18"/>
      <c r="J129" s="43"/>
      <c r="K129" s="18"/>
      <c r="L129" s="18"/>
      <c r="M129" s="18"/>
      <c r="P129" s="18"/>
      <c r="Q129" s="18"/>
      <c r="R129" s="43"/>
      <c r="S129" s="18"/>
      <c r="T129" s="18"/>
      <c r="U129" s="18"/>
      <c r="V129" s="43"/>
      <c r="W129" s="18"/>
      <c r="X129" s="18"/>
    </row>
    <row r="130" spans="1:24" x14ac:dyDescent="0.25">
      <c r="A130" s="9"/>
      <c r="B130" s="62" t="s">
        <v>313</v>
      </c>
      <c r="D130" s="18"/>
      <c r="E130" s="18"/>
      <c r="G130" s="18"/>
      <c r="H130" s="18"/>
      <c r="I130" s="18"/>
      <c r="J130" s="43"/>
      <c r="K130" s="18"/>
      <c r="L130" s="18"/>
      <c r="M130" s="18"/>
      <c r="P130" s="18"/>
      <c r="Q130" s="18"/>
      <c r="R130" s="43"/>
      <c r="S130" s="18"/>
      <c r="T130" s="18"/>
      <c r="U130" s="18"/>
      <c r="V130" s="43"/>
      <c r="W130" s="18"/>
      <c r="X130" s="18"/>
    </row>
    <row r="131" spans="1:24" x14ac:dyDescent="0.25">
      <c r="A131" s="9"/>
      <c r="B131" s="54"/>
      <c r="D131" s="18"/>
      <c r="E131" s="18"/>
      <c r="G131" s="18"/>
      <c r="H131" s="18"/>
      <c r="I131" s="18"/>
      <c r="J131" s="43"/>
      <c r="K131" s="18"/>
      <c r="L131" s="18"/>
      <c r="M131" s="18"/>
      <c r="P131" s="18"/>
      <c r="Q131" s="18"/>
      <c r="R131" s="43"/>
      <c r="S131" s="18"/>
      <c r="T131" s="18"/>
      <c r="U131" s="18"/>
      <c r="V131" s="43"/>
      <c r="W131" s="18"/>
      <c r="X131" s="18"/>
    </row>
    <row r="132" spans="1:24" x14ac:dyDescent="0.25">
      <c r="D132" s="18"/>
      <c r="E132" s="18"/>
      <c r="G132" s="18"/>
      <c r="H132" s="18"/>
      <c r="I132" s="18"/>
      <c r="J132" s="43"/>
      <c r="K132" s="18"/>
      <c r="L132" s="18"/>
      <c r="M132" s="18"/>
      <c r="P132" s="18"/>
      <c r="Q132" s="18"/>
      <c r="R132" s="43"/>
      <c r="S132" s="18"/>
      <c r="T132" s="18"/>
      <c r="U132" s="18"/>
      <c r="V132" s="43"/>
      <c r="W132" s="18"/>
      <c r="X132" s="18"/>
    </row>
  </sheetData>
  <pageMargins left="0.25" right="0.25" top="0.75" bottom="0.75" header="0.3" footer="0.3"/>
  <pageSetup scale="55" fitToWidth="2" orientation="landscape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2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",RIGHT(202104,2),", ",2021)</f>
        <v>Period 04,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44135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","307", " - ", "Art Store")</f>
        <v>Department 307 - Art Store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61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50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50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2"/>
      <c r="F10" s="31" t="s">
        <v>14</v>
      </c>
      <c r="G10" s="32"/>
      <c r="H10" s="49" t="s">
        <v>306</v>
      </c>
      <c r="I10" s="32"/>
      <c r="J10" s="31" t="s">
        <v>14</v>
      </c>
      <c r="K10" s="10"/>
      <c r="L10" s="42" t="s">
        <v>11</v>
      </c>
      <c r="M10" s="10"/>
      <c r="N10" s="31" t="s">
        <v>15</v>
      </c>
      <c r="O10" s="10"/>
      <c r="P10" s="59" t="s">
        <v>10</v>
      </c>
      <c r="Q10" s="32"/>
      <c r="R10" s="31" t="s">
        <v>14</v>
      </c>
      <c r="S10" s="32"/>
      <c r="T10" s="49" t="s">
        <v>306</v>
      </c>
      <c r="U10" s="32"/>
      <c r="V10" s="31" t="s">
        <v>14</v>
      </c>
      <c r="W10" s="10"/>
      <c r="X10" s="42" t="s">
        <v>11</v>
      </c>
      <c r="Y10" s="10"/>
      <c r="Z10" s="31" t="s">
        <v>15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17.899999999999999</v>
      </c>
      <c r="E12" s="4"/>
      <c r="F12" s="12"/>
      <c r="G12" s="4"/>
      <c r="H12" s="4">
        <f>SUM(OSRRefH13x_0)</f>
        <v>72753.589999999967</v>
      </c>
      <c r="I12" s="4"/>
      <c r="J12" s="12"/>
      <c r="K12" s="4"/>
      <c r="L12" s="4">
        <f t="shared" ref="L12:L41" si="0">+D12-H12</f>
        <v>-72735.689999999973</v>
      </c>
      <c r="M12" s="4"/>
      <c r="N12" s="12">
        <f t="shared" ref="N12:N41" si="1">IF(H12=0,0,L12/H12)</f>
        <v>-0.99975396403119088</v>
      </c>
      <c r="O12" s="10"/>
      <c r="P12" s="4">
        <f>SUM(OSRRefP13x_0)</f>
        <v>21311.919999999998</v>
      </c>
      <c r="Q12" s="4"/>
      <c r="R12" s="12"/>
      <c r="S12" s="4"/>
      <c r="T12" s="4">
        <f>SUM(OSRRefT13x_0)</f>
        <v>201112.60999999996</v>
      </c>
      <c r="U12" s="4"/>
      <c r="V12" s="12"/>
      <c r="W12" s="4"/>
      <c r="X12" s="4">
        <f t="shared" ref="X12:X41" si="2">+P12-T12</f>
        <v>-179800.68999999994</v>
      </c>
      <c r="Y12" s="4"/>
      <c r="Z12" s="12">
        <f t="shared" ref="Z12:Z41" si="3">IF(T12=0,0,X12/T12)</f>
        <v>-0.89402991687095101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-1.74</f>
        <v>-1.74</v>
      </c>
      <c r="E13" s="2"/>
      <c r="F13" s="19"/>
      <c r="G13" s="2"/>
      <c r="H13" s="2">
        <f t="shared" ref="H13:H14" si="4">0</f>
        <v>0</v>
      </c>
      <c r="I13" s="2"/>
      <c r="J13" s="19"/>
      <c r="K13" s="2"/>
      <c r="L13" s="2">
        <f t="shared" si="0"/>
        <v>-1.74</v>
      </c>
      <c r="M13" s="2"/>
      <c r="N13" s="19">
        <f t="shared" si="1"/>
        <v>0</v>
      </c>
      <c r="O13" s="11"/>
      <c r="P13" s="2">
        <f>-1096.44</f>
        <v>-1096.44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-1096.44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"4017", " - ", "TAXABLE SALES-DORM/HOUSEWARES")</f>
        <v xml:space="preserve">          4017 - TAXABLE SALES-DORM/HOUSEWARES</v>
      </c>
      <c r="C14" s="11"/>
      <c r="D14" s="2">
        <f t="shared" ref="D14:D18" si="5">0</f>
        <v>0</v>
      </c>
      <c r="E14" s="2"/>
      <c r="F14" s="19"/>
      <c r="G14" s="2"/>
      <c r="H14" s="2">
        <f t="shared" si="4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 t="shared" ref="P14:P15" si="6">0</f>
        <v>0</v>
      </c>
      <c r="Q14" s="2"/>
      <c r="R14" s="19"/>
      <c r="S14" s="2"/>
      <c r="T14" s="2">
        <f>--16.47</f>
        <v>16.47</v>
      </c>
      <c r="U14" s="2"/>
      <c r="V14" s="19"/>
      <c r="W14" s="2"/>
      <c r="X14" s="2">
        <f t="shared" si="2"/>
        <v>-16.47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"4025", " - ", "TAXABLE SALES-TEST FORMS")</f>
        <v xml:space="preserve">          4025 - TAXABLE SALES-TEST FORMS</v>
      </c>
      <c r="C15" s="11"/>
      <c r="D15" s="2">
        <f t="shared" si="5"/>
        <v>0</v>
      </c>
      <c r="E15" s="2"/>
      <c r="F15" s="19"/>
      <c r="G15" s="2"/>
      <c r="H15" s="2">
        <f>--621.4</f>
        <v>621.4</v>
      </c>
      <c r="I15" s="2"/>
      <c r="J15" s="19"/>
      <c r="K15" s="2"/>
      <c r="L15" s="2">
        <f t="shared" si="0"/>
        <v>-621.4</v>
      </c>
      <c r="M15" s="2"/>
      <c r="N15" s="19">
        <f t="shared" si="1"/>
        <v>-1</v>
      </c>
      <c r="O15" s="11"/>
      <c r="P15" s="2">
        <f t="shared" si="6"/>
        <v>0</v>
      </c>
      <c r="Q15" s="2"/>
      <c r="R15" s="19"/>
      <c r="S15" s="2"/>
      <c r="T15" s="2">
        <f>--1120.16</f>
        <v>1120.1600000000001</v>
      </c>
      <c r="U15" s="2"/>
      <c r="V15" s="19"/>
      <c r="W15" s="2"/>
      <c r="X15" s="2">
        <f t="shared" si="2"/>
        <v>-1120.1600000000001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"4026", " - ", "TAXABLE SALES-WRITING INSTRUME")</f>
        <v xml:space="preserve">          4026 - TAXABLE SALES-WRITING INSTRUME</v>
      </c>
      <c r="C16" s="11"/>
      <c r="D16" s="2">
        <f t="shared" si="5"/>
        <v>0</v>
      </c>
      <c r="E16" s="2"/>
      <c r="F16" s="19"/>
      <c r="G16" s="2"/>
      <c r="H16" s="2">
        <f>--1197.9</f>
        <v>1197.9000000000001</v>
      </c>
      <c r="I16" s="2"/>
      <c r="J16" s="19"/>
      <c r="K16" s="2"/>
      <c r="L16" s="2">
        <f t="shared" si="0"/>
        <v>-1197.9000000000001</v>
      </c>
      <c r="M16" s="2"/>
      <c r="N16" s="19">
        <f t="shared" si="1"/>
        <v>-1</v>
      </c>
      <c r="O16" s="11"/>
      <c r="P16" s="2">
        <f>--17.51</f>
        <v>17.510000000000002</v>
      </c>
      <c r="Q16" s="2"/>
      <c r="R16" s="19"/>
      <c r="S16" s="2"/>
      <c r="T16" s="2">
        <f>--2718.47</f>
        <v>2718.47</v>
      </c>
      <c r="U16" s="2"/>
      <c r="V16" s="19"/>
      <c r="W16" s="2"/>
      <c r="X16" s="2">
        <f t="shared" si="2"/>
        <v>-2700.9599999999996</v>
      </c>
      <c r="Y16" s="2"/>
      <c r="Z16" s="19">
        <f t="shared" si="3"/>
        <v>-0.99355887686823829</v>
      </c>
    </row>
    <row r="17" spans="1:26" s="24" customFormat="1" hidden="1" outlineLevel="1" x14ac:dyDescent="0.25">
      <c r="A17" s="44"/>
      <c r="B17" s="11" t="str">
        <f>CONCATENATE("          ", "4027", " - ", "TAXABLE SALES-SCHOOL SUPPLIES")</f>
        <v xml:space="preserve">          4027 - TAXABLE SALES-SCHOOL SUPPLIES</v>
      </c>
      <c r="C17" s="11"/>
      <c r="D17" s="2">
        <f t="shared" si="5"/>
        <v>0</v>
      </c>
      <c r="E17" s="2"/>
      <c r="F17" s="19"/>
      <c r="G17" s="2"/>
      <c r="H17" s="2">
        <f>--820.16</f>
        <v>820.16</v>
      </c>
      <c r="I17" s="2"/>
      <c r="J17" s="19"/>
      <c r="K17" s="2"/>
      <c r="L17" s="2">
        <f t="shared" si="0"/>
        <v>-820.16</v>
      </c>
      <c r="M17" s="2"/>
      <c r="N17" s="19">
        <f t="shared" si="1"/>
        <v>-1</v>
      </c>
      <c r="O17" s="11"/>
      <c r="P17" s="2">
        <f>--7990.32</f>
        <v>7990.32</v>
      </c>
      <c r="Q17" s="2"/>
      <c r="R17" s="19"/>
      <c r="S17" s="2"/>
      <c r="T17" s="2">
        <f>--5242.48</f>
        <v>5242.4799999999996</v>
      </c>
      <c r="U17" s="2"/>
      <c r="V17" s="19"/>
      <c r="W17" s="2"/>
      <c r="X17" s="2">
        <f t="shared" si="2"/>
        <v>2747.84</v>
      </c>
      <c r="Y17" s="2"/>
      <c r="Z17" s="19">
        <f t="shared" si="3"/>
        <v>0.52414887610443917</v>
      </c>
    </row>
    <row r="18" spans="1:26" s="24" customFormat="1" hidden="1" outlineLevel="1" x14ac:dyDescent="0.25">
      <c r="A18" s="44"/>
      <c r="B18" s="11" t="str">
        <f>CONCATENATE("          ", "4028", " - ", "TAXABLE SALES-ART/TECH")</f>
        <v xml:space="preserve">          4028 - TAXABLE SALES-ART/TECH</v>
      </c>
      <c r="C18" s="11"/>
      <c r="D18" s="2">
        <f t="shared" si="5"/>
        <v>0</v>
      </c>
      <c r="E18" s="2"/>
      <c r="F18" s="19"/>
      <c r="G18" s="2"/>
      <c r="H18" s="2">
        <f>--44128.18</f>
        <v>44128.18</v>
      </c>
      <c r="I18" s="2"/>
      <c r="J18" s="19"/>
      <c r="K18" s="2"/>
      <c r="L18" s="2">
        <f t="shared" si="0"/>
        <v>-44128.18</v>
      </c>
      <c r="M18" s="2"/>
      <c r="N18" s="19">
        <f t="shared" si="1"/>
        <v>-1</v>
      </c>
      <c r="O18" s="11"/>
      <c r="P18" s="2">
        <f>--12479.05</f>
        <v>12479.05</v>
      </c>
      <c r="Q18" s="2"/>
      <c r="R18" s="19"/>
      <c r="S18" s="2"/>
      <c r="T18" s="2">
        <f>--140725.33</f>
        <v>140725.32999999999</v>
      </c>
      <c r="U18" s="2"/>
      <c r="V18" s="19"/>
      <c r="W18" s="2"/>
      <c r="X18" s="2">
        <f t="shared" si="2"/>
        <v>-128246.27999999998</v>
      </c>
      <c r="Y18" s="2"/>
      <c r="Z18" s="19">
        <f t="shared" si="3"/>
        <v>-0.91132335593030767</v>
      </c>
    </row>
    <row r="19" spans="1:26" s="24" customFormat="1" hidden="1" outlineLevel="1" x14ac:dyDescent="0.25">
      <c r="A19" s="44"/>
      <c r="B19" s="11" t="str">
        <f>CONCATENATE("          ", "4031", " - ", "TAXABLE SALES-FOOD")</f>
        <v xml:space="preserve">          4031 - TAXABLE SALES-FOOD</v>
      </c>
      <c r="C19" s="11"/>
      <c r="D19" s="2">
        <f>--5.18</f>
        <v>5.18</v>
      </c>
      <c r="E19" s="2"/>
      <c r="F19" s="19"/>
      <c r="G19" s="2"/>
      <c r="H19" s="2">
        <f>--100.46</f>
        <v>100.46</v>
      </c>
      <c r="I19" s="2"/>
      <c r="J19" s="19"/>
      <c r="K19" s="2"/>
      <c r="L19" s="2">
        <f t="shared" si="0"/>
        <v>-95.28</v>
      </c>
      <c r="M19" s="2"/>
      <c r="N19" s="19">
        <f t="shared" si="1"/>
        <v>-0.94843718893091788</v>
      </c>
      <c r="O19" s="11"/>
      <c r="P19" s="2">
        <f>--374.55</f>
        <v>374.55</v>
      </c>
      <c r="Q19" s="2"/>
      <c r="R19" s="19"/>
      <c r="S19" s="2"/>
      <c r="T19" s="2">
        <f>--221.28</f>
        <v>221.28</v>
      </c>
      <c r="U19" s="2"/>
      <c r="V19" s="19"/>
      <c r="W19" s="2"/>
      <c r="X19" s="2">
        <f t="shared" si="2"/>
        <v>153.27000000000001</v>
      </c>
      <c r="Y19" s="2"/>
      <c r="Z19" s="19">
        <f t="shared" si="3"/>
        <v>0.69265184381778744</v>
      </c>
    </row>
    <row r="20" spans="1:26" s="24" customFormat="1" hidden="1" outlineLevel="1" x14ac:dyDescent="0.25">
      <c r="A20" s="44"/>
      <c r="B20" s="11" t="str">
        <f>CONCATENATE("          ", "4032", " - ", "TAXABLE SALES-JUICE")</f>
        <v xml:space="preserve">          4032 - TAXABLE SALES-JUICE</v>
      </c>
      <c r="C20" s="11"/>
      <c r="D20" s="2">
        <f t="shared" ref="D20:D30" si="7">0</f>
        <v>0</v>
      </c>
      <c r="E20" s="2"/>
      <c r="F20" s="19"/>
      <c r="G20" s="2"/>
      <c r="H20" s="2">
        <f>--32.07</f>
        <v>32.07</v>
      </c>
      <c r="I20" s="2"/>
      <c r="J20" s="19"/>
      <c r="K20" s="2"/>
      <c r="L20" s="2">
        <f t="shared" si="0"/>
        <v>-32.07</v>
      </c>
      <c r="M20" s="2"/>
      <c r="N20" s="19">
        <f t="shared" si="1"/>
        <v>-1</v>
      </c>
      <c r="O20" s="11"/>
      <c r="P20" s="2">
        <f t="shared" ref="P20:P24" si="8">0</f>
        <v>0</v>
      </c>
      <c r="Q20" s="2"/>
      <c r="R20" s="19"/>
      <c r="S20" s="2"/>
      <c r="T20" s="2">
        <f>--53.42</f>
        <v>53.42</v>
      </c>
      <c r="U20" s="2"/>
      <c r="V20" s="19"/>
      <c r="W20" s="2"/>
      <c r="X20" s="2">
        <f t="shared" si="2"/>
        <v>-53.42</v>
      </c>
      <c r="Y20" s="2"/>
      <c r="Z20" s="19">
        <f t="shared" si="3"/>
        <v>-1</v>
      </c>
    </row>
    <row r="21" spans="1:26" s="24" customFormat="1" hidden="1" outlineLevel="1" x14ac:dyDescent="0.25">
      <c r="A21" s="44"/>
      <c r="B21" s="11" t="str">
        <f>CONCATENATE("          ", "4033", " - ", "TAXABLE SALES-CANDY")</f>
        <v xml:space="preserve">          4033 - TAXABLE SALES-CANDY</v>
      </c>
      <c r="C21" s="11"/>
      <c r="D21" s="2">
        <f t="shared" si="7"/>
        <v>0</v>
      </c>
      <c r="E21" s="2"/>
      <c r="F21" s="19"/>
      <c r="G21" s="2"/>
      <c r="H21" s="2">
        <f>--44.43</f>
        <v>44.43</v>
      </c>
      <c r="I21" s="2"/>
      <c r="J21" s="19"/>
      <c r="K21" s="2"/>
      <c r="L21" s="2">
        <f t="shared" si="0"/>
        <v>-44.43</v>
      </c>
      <c r="M21" s="2"/>
      <c r="N21" s="19">
        <f t="shared" si="1"/>
        <v>-1</v>
      </c>
      <c r="O21" s="11"/>
      <c r="P21" s="2">
        <f t="shared" si="8"/>
        <v>0</v>
      </c>
      <c r="Q21" s="2"/>
      <c r="R21" s="19"/>
      <c r="S21" s="2"/>
      <c r="T21" s="2">
        <f>--85.4</f>
        <v>85.4</v>
      </c>
      <c r="U21" s="2"/>
      <c r="V21" s="19"/>
      <c r="W21" s="2"/>
      <c r="X21" s="2">
        <f t="shared" si="2"/>
        <v>-85.4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"4034", " - ", "TAXABLE SALES-SODA")</f>
        <v xml:space="preserve">          4034 - TAXABLE SALES-SODA</v>
      </c>
      <c r="C22" s="11"/>
      <c r="D22" s="2">
        <f t="shared" si="7"/>
        <v>0</v>
      </c>
      <c r="E22" s="2"/>
      <c r="F22" s="19"/>
      <c r="G22" s="2"/>
      <c r="H22" s="2">
        <f>--1854.69</f>
        <v>1854.69</v>
      </c>
      <c r="I22" s="2"/>
      <c r="J22" s="19"/>
      <c r="K22" s="2"/>
      <c r="L22" s="2">
        <f t="shared" si="0"/>
        <v>-1854.69</v>
      </c>
      <c r="M22" s="2"/>
      <c r="N22" s="19">
        <f t="shared" si="1"/>
        <v>-1</v>
      </c>
      <c r="O22" s="11"/>
      <c r="P22" s="2">
        <f t="shared" si="8"/>
        <v>0</v>
      </c>
      <c r="Q22" s="2"/>
      <c r="R22" s="19"/>
      <c r="S22" s="2"/>
      <c r="T22" s="2">
        <f>--3714.24</f>
        <v>3714.24</v>
      </c>
      <c r="U22" s="2"/>
      <c r="V22" s="19"/>
      <c r="W22" s="2"/>
      <c r="X22" s="2">
        <f t="shared" si="2"/>
        <v>-3714.24</v>
      </c>
      <c r="Y22" s="2"/>
      <c r="Z22" s="19">
        <f t="shared" si="3"/>
        <v>-1</v>
      </c>
    </row>
    <row r="23" spans="1:26" s="24" customFormat="1" hidden="1" outlineLevel="1" x14ac:dyDescent="0.25">
      <c r="A23" s="44"/>
      <c r="B23" s="11" t="str">
        <f>CONCATENATE("          ", "4035", " - ", "TAXABLE SALES-HEALTH &amp; BEAUTY")</f>
        <v xml:space="preserve">          4035 - TAXABLE SALES-HEALTH &amp; BEAUTY</v>
      </c>
      <c r="C23" s="11"/>
      <c r="D23" s="2">
        <f t="shared" si="7"/>
        <v>0</v>
      </c>
      <c r="E23" s="2"/>
      <c r="F23" s="19"/>
      <c r="G23" s="2"/>
      <c r="H23" s="2">
        <f>--425.93</f>
        <v>425.93</v>
      </c>
      <c r="I23" s="2"/>
      <c r="J23" s="19"/>
      <c r="K23" s="2"/>
      <c r="L23" s="2">
        <f t="shared" si="0"/>
        <v>-425.93</v>
      </c>
      <c r="M23" s="2"/>
      <c r="N23" s="19">
        <f t="shared" si="1"/>
        <v>-1</v>
      </c>
      <c r="O23" s="11"/>
      <c r="P23" s="2">
        <f t="shared" si="8"/>
        <v>0</v>
      </c>
      <c r="Q23" s="2"/>
      <c r="R23" s="19"/>
      <c r="S23" s="2"/>
      <c r="T23" s="2">
        <f>--848.16</f>
        <v>848.16</v>
      </c>
      <c r="U23" s="2"/>
      <c r="V23" s="19"/>
      <c r="W23" s="2"/>
      <c r="X23" s="2">
        <f t="shared" si="2"/>
        <v>-848.16</v>
      </c>
      <c r="Y23" s="2"/>
      <c r="Z23" s="19">
        <f t="shared" si="3"/>
        <v>-1</v>
      </c>
    </row>
    <row r="24" spans="1:26" s="24" customFormat="1" hidden="1" outlineLevel="1" x14ac:dyDescent="0.25">
      <c r="A24" s="44"/>
      <c r="B24" s="11" t="str">
        <f>CONCATENATE("          ", "4037", " - ", "TAXABLE SALES-WATER")</f>
        <v xml:space="preserve">          4037 - TAXABLE SALES-WATER</v>
      </c>
      <c r="C24" s="11"/>
      <c r="D24" s="2">
        <f t="shared" si="7"/>
        <v>0</v>
      </c>
      <c r="E24" s="2"/>
      <c r="F24" s="19"/>
      <c r="G24" s="2"/>
      <c r="H24" s="2">
        <f>--128.42</f>
        <v>128.41999999999999</v>
      </c>
      <c r="I24" s="2"/>
      <c r="J24" s="19"/>
      <c r="K24" s="2"/>
      <c r="L24" s="2">
        <f t="shared" si="0"/>
        <v>-128.41999999999999</v>
      </c>
      <c r="M24" s="2"/>
      <c r="N24" s="19">
        <f t="shared" si="1"/>
        <v>-1</v>
      </c>
      <c r="O24" s="11"/>
      <c r="P24" s="2">
        <f t="shared" si="8"/>
        <v>0</v>
      </c>
      <c r="Q24" s="2"/>
      <c r="R24" s="19"/>
      <c r="S24" s="2"/>
      <c r="T24" s="2">
        <f>--302.57</f>
        <v>302.57</v>
      </c>
      <c r="U24" s="2"/>
      <c r="V24" s="19"/>
      <c r="W24" s="2"/>
      <c r="X24" s="2">
        <f t="shared" si="2"/>
        <v>-302.57</v>
      </c>
      <c r="Y24" s="2"/>
      <c r="Z24" s="19">
        <f t="shared" si="3"/>
        <v>-1</v>
      </c>
    </row>
    <row r="25" spans="1:26" s="24" customFormat="1" hidden="1" outlineLevel="1" x14ac:dyDescent="0.25">
      <c r="A25" s="44"/>
      <c r="B25" s="11" t="str">
        <f>CONCATENATE("          ", "4081", " - ", "TAXABLE SALES-ELECTRONICS")</f>
        <v xml:space="preserve">          4081 - TAXABLE SALES-ELECTRONICS</v>
      </c>
      <c r="C25" s="11"/>
      <c r="D25" s="2">
        <f t="shared" si="7"/>
        <v>0</v>
      </c>
      <c r="E25" s="2"/>
      <c r="F25" s="19"/>
      <c r="G25" s="2"/>
      <c r="H25" s="2">
        <f>--873.49</f>
        <v>873.49</v>
      </c>
      <c r="I25" s="2"/>
      <c r="J25" s="19"/>
      <c r="K25" s="2"/>
      <c r="L25" s="2">
        <f t="shared" si="0"/>
        <v>-873.49</v>
      </c>
      <c r="M25" s="2"/>
      <c r="N25" s="19">
        <f t="shared" si="1"/>
        <v>-1</v>
      </c>
      <c r="O25" s="11"/>
      <c r="P25" s="2">
        <f>--71.95</f>
        <v>71.95</v>
      </c>
      <c r="Q25" s="2"/>
      <c r="R25" s="19"/>
      <c r="S25" s="2"/>
      <c r="T25" s="2">
        <f>--1792.91</f>
        <v>1792.91</v>
      </c>
      <c r="U25" s="2"/>
      <c r="V25" s="19"/>
      <c r="W25" s="2"/>
      <c r="X25" s="2">
        <f t="shared" si="2"/>
        <v>-1720.96</v>
      </c>
      <c r="Y25" s="2"/>
      <c r="Z25" s="19">
        <f t="shared" si="3"/>
        <v>-0.95986970902053081</v>
      </c>
    </row>
    <row r="26" spans="1:26" s="24" customFormat="1" hidden="1" outlineLevel="1" x14ac:dyDescent="0.25">
      <c r="A26" s="44"/>
      <c r="B26" s="11" t="str">
        <f>CONCATENATE("          ", "4082", " - ", "TAXABLE SALES-COMPUTER HARDWAR")</f>
        <v xml:space="preserve">          4082 - TAXABLE SALES-COMPUTER HARDWAR</v>
      </c>
      <c r="C26" s="11"/>
      <c r="D26" s="2">
        <f t="shared" si="7"/>
        <v>0</v>
      </c>
      <c r="E26" s="2"/>
      <c r="F26" s="19"/>
      <c r="G26" s="2"/>
      <c r="H26" s="2">
        <f>0</f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>0</f>
        <v>0</v>
      </c>
      <c r="Q26" s="2"/>
      <c r="R26" s="19"/>
      <c r="S26" s="2"/>
      <c r="T26" s="2">
        <f>--162</f>
        <v>162</v>
      </c>
      <c r="U26" s="2"/>
      <c r="V26" s="19"/>
      <c r="W26" s="2"/>
      <c r="X26" s="2">
        <f t="shared" si="2"/>
        <v>-162</v>
      </c>
      <c r="Y26" s="2"/>
      <c r="Z26" s="19">
        <f t="shared" si="3"/>
        <v>-1</v>
      </c>
    </row>
    <row r="27" spans="1:26" s="24" customFormat="1" hidden="1" outlineLevel="1" x14ac:dyDescent="0.25">
      <c r="A27" s="44"/>
      <c r="B27" s="11" t="str">
        <f>CONCATENATE("          ", "4083", " - ", "TAXABLE SALES-COMPUTER EQUIPME")</f>
        <v xml:space="preserve">          4083 - TAXABLE SALES-COMPUTER EQUIPME</v>
      </c>
      <c r="C27" s="11"/>
      <c r="D27" s="2">
        <f t="shared" si="7"/>
        <v>0</v>
      </c>
      <c r="E27" s="2"/>
      <c r="F27" s="19"/>
      <c r="G27" s="2"/>
      <c r="H27" s="2">
        <f>--129.89</f>
        <v>129.88999999999999</v>
      </c>
      <c r="I27" s="2"/>
      <c r="J27" s="19"/>
      <c r="K27" s="2"/>
      <c r="L27" s="2">
        <f t="shared" si="0"/>
        <v>-129.88999999999999</v>
      </c>
      <c r="M27" s="2"/>
      <c r="N27" s="19">
        <f t="shared" si="1"/>
        <v>-1</v>
      </c>
      <c r="O27" s="11"/>
      <c r="P27" s="2">
        <f>--9.99</f>
        <v>9.99</v>
      </c>
      <c r="Q27" s="2"/>
      <c r="R27" s="19"/>
      <c r="S27" s="2"/>
      <c r="T27" s="2">
        <f>--429.69</f>
        <v>429.69</v>
      </c>
      <c r="U27" s="2"/>
      <c r="V27" s="19"/>
      <c r="W27" s="2"/>
      <c r="X27" s="2">
        <f t="shared" si="2"/>
        <v>-419.7</v>
      </c>
      <c r="Y27" s="2"/>
      <c r="Z27" s="19">
        <f t="shared" si="3"/>
        <v>-0.97675068072331217</v>
      </c>
    </row>
    <row r="28" spans="1:26" s="24" customFormat="1" hidden="1" outlineLevel="1" x14ac:dyDescent="0.25">
      <c r="A28" s="44"/>
      <c r="B28" s="11" t="str">
        <f>CONCATENATE("          ", "4086", " - ", "TAXABLE SALES-COMPUTER SUPPLIE")</f>
        <v xml:space="preserve">          4086 - TAXABLE SALES-COMPUTER SUPPLIE</v>
      </c>
      <c r="C28" s="11"/>
      <c r="D28" s="2">
        <f t="shared" si="7"/>
        <v>0</v>
      </c>
      <c r="E28" s="2"/>
      <c r="F28" s="19"/>
      <c r="G28" s="2"/>
      <c r="H28" s="2">
        <f>--80.97</f>
        <v>80.97</v>
      </c>
      <c r="I28" s="2"/>
      <c r="J28" s="19"/>
      <c r="K28" s="2"/>
      <c r="L28" s="2">
        <f t="shared" si="0"/>
        <v>-80.97</v>
      </c>
      <c r="M28" s="2"/>
      <c r="N28" s="19">
        <f t="shared" si="1"/>
        <v>-1</v>
      </c>
      <c r="O28" s="11"/>
      <c r="P28" s="2">
        <f t="shared" ref="P28:P30" si="9">0</f>
        <v>0</v>
      </c>
      <c r="Q28" s="2"/>
      <c r="R28" s="19"/>
      <c r="S28" s="2"/>
      <c r="T28" s="2">
        <f>--534.79</f>
        <v>534.79</v>
      </c>
      <c r="U28" s="2"/>
      <c r="V28" s="19"/>
      <c r="W28" s="2"/>
      <c r="X28" s="2">
        <f t="shared" si="2"/>
        <v>-534.79</v>
      </c>
      <c r="Y28" s="2"/>
      <c r="Z28" s="19">
        <f t="shared" si="3"/>
        <v>-1</v>
      </c>
    </row>
    <row r="29" spans="1:26" s="24" customFormat="1" hidden="1" outlineLevel="1" x14ac:dyDescent="0.25">
      <c r="A29" s="44"/>
      <c r="B29" s="11" t="str">
        <f>CONCATENATE("          ", "4127", " - ", "NON-TAXABLE SALES-SCHOOL SUPPL")</f>
        <v xml:space="preserve">          4127 - NON-TAXABLE SALES-SCHOOL SUPPL</v>
      </c>
      <c r="C29" s="11"/>
      <c r="D29" s="2">
        <f t="shared" si="7"/>
        <v>0</v>
      </c>
      <c r="E29" s="2"/>
      <c r="F29" s="19"/>
      <c r="G29" s="2"/>
      <c r="H29" s="2">
        <f>--1.09</f>
        <v>1.0900000000000001</v>
      </c>
      <c r="I29" s="2"/>
      <c r="J29" s="19"/>
      <c r="K29" s="2"/>
      <c r="L29" s="2">
        <f t="shared" si="0"/>
        <v>-1.0900000000000001</v>
      </c>
      <c r="M29" s="2"/>
      <c r="N29" s="19">
        <f t="shared" si="1"/>
        <v>-1</v>
      </c>
      <c r="O29" s="11"/>
      <c r="P29" s="2">
        <f t="shared" si="9"/>
        <v>0</v>
      </c>
      <c r="Q29" s="2"/>
      <c r="R29" s="19"/>
      <c r="S29" s="2"/>
      <c r="T29" s="2">
        <f>--12.17</f>
        <v>12.17</v>
      </c>
      <c r="U29" s="2"/>
      <c r="V29" s="19"/>
      <c r="W29" s="2"/>
      <c r="X29" s="2">
        <f t="shared" si="2"/>
        <v>-12.17</v>
      </c>
      <c r="Y29" s="2"/>
      <c r="Z29" s="19">
        <f t="shared" si="3"/>
        <v>-1</v>
      </c>
    </row>
    <row r="30" spans="1:26" s="24" customFormat="1" hidden="1" outlineLevel="1" x14ac:dyDescent="0.25">
      <c r="A30" s="44"/>
      <c r="B30" s="11" t="str">
        <f>CONCATENATE("          ", "4128", " - ", "NON-TAXABLE SALES-ART/TECH")</f>
        <v xml:space="preserve">          4128 - NON-TAXABLE SALES-ART/TECH</v>
      </c>
      <c r="C30" s="11"/>
      <c r="D30" s="2">
        <f t="shared" si="7"/>
        <v>0</v>
      </c>
      <c r="E30" s="2"/>
      <c r="F30" s="19"/>
      <c r="G30" s="2"/>
      <c r="H30" s="2">
        <f>--53.19</f>
        <v>53.19</v>
      </c>
      <c r="I30" s="2"/>
      <c r="J30" s="19"/>
      <c r="K30" s="2"/>
      <c r="L30" s="2">
        <f t="shared" si="0"/>
        <v>-53.19</v>
      </c>
      <c r="M30" s="2"/>
      <c r="N30" s="19">
        <f t="shared" si="1"/>
        <v>-1</v>
      </c>
      <c r="O30" s="11"/>
      <c r="P30" s="2">
        <f t="shared" si="9"/>
        <v>0</v>
      </c>
      <c r="Q30" s="2"/>
      <c r="R30" s="19"/>
      <c r="S30" s="2"/>
      <c r="T30" s="2">
        <f>--95.4</f>
        <v>95.4</v>
      </c>
      <c r="U30" s="2"/>
      <c r="V30" s="19"/>
      <c r="W30" s="2"/>
      <c r="X30" s="2">
        <f t="shared" si="2"/>
        <v>-95.4</v>
      </c>
      <c r="Y30" s="2"/>
      <c r="Z30" s="19">
        <f t="shared" si="3"/>
        <v>-1</v>
      </c>
    </row>
    <row r="31" spans="1:26" s="24" customFormat="1" hidden="1" outlineLevel="1" x14ac:dyDescent="0.25">
      <c r="A31" s="44"/>
      <c r="B31" s="11" t="str">
        <f>CONCATENATE("          ", "4131", " - ", "NON-TAXABLE SALES-FOOD")</f>
        <v xml:space="preserve">          4131 - NON-TAXABLE SALES-FOOD</v>
      </c>
      <c r="C31" s="11"/>
      <c r="D31" s="2">
        <f>--14.46</f>
        <v>14.46</v>
      </c>
      <c r="E31" s="2"/>
      <c r="F31" s="19"/>
      <c r="G31" s="2"/>
      <c r="H31" s="2">
        <f>--13258.46</f>
        <v>13258.46</v>
      </c>
      <c r="I31" s="2"/>
      <c r="J31" s="19"/>
      <c r="K31" s="2"/>
      <c r="L31" s="2">
        <f t="shared" si="0"/>
        <v>-13244</v>
      </c>
      <c r="M31" s="2"/>
      <c r="N31" s="19">
        <f t="shared" si="1"/>
        <v>-0.99890937559867443</v>
      </c>
      <c r="O31" s="11"/>
      <c r="P31" s="2">
        <f>--1847.16</f>
        <v>1847.16</v>
      </c>
      <c r="Q31" s="2"/>
      <c r="R31" s="19"/>
      <c r="S31" s="2"/>
      <c r="T31" s="2">
        <f>--26018.75</f>
        <v>26018.75</v>
      </c>
      <c r="U31" s="2"/>
      <c r="V31" s="19"/>
      <c r="W31" s="2"/>
      <c r="X31" s="2">
        <f t="shared" si="2"/>
        <v>-24171.59</v>
      </c>
      <c r="Y31" s="2"/>
      <c r="Z31" s="19">
        <f t="shared" si="3"/>
        <v>-0.92900658179197693</v>
      </c>
    </row>
    <row r="32" spans="1:26" s="24" customFormat="1" hidden="1" outlineLevel="1" x14ac:dyDescent="0.25">
      <c r="A32" s="44"/>
      <c r="B32" s="11" t="str">
        <f>CONCATENATE("          ", "4132", " - ", "NON-TAXABLE SALES-JUICE")</f>
        <v xml:space="preserve">          4132 - NON-TAXABLE SALES-JUICE</v>
      </c>
      <c r="C32" s="11"/>
      <c r="D32" s="2">
        <f t="shared" ref="D32:D41" si="10">0</f>
        <v>0</v>
      </c>
      <c r="E32" s="2"/>
      <c r="F32" s="19"/>
      <c r="G32" s="2"/>
      <c r="H32" s="2">
        <f>--3958.43</f>
        <v>3958.43</v>
      </c>
      <c r="I32" s="2"/>
      <c r="J32" s="19"/>
      <c r="K32" s="2"/>
      <c r="L32" s="2">
        <f t="shared" si="0"/>
        <v>-3958.43</v>
      </c>
      <c r="M32" s="2"/>
      <c r="N32" s="19">
        <f t="shared" si="1"/>
        <v>-1</v>
      </c>
      <c r="O32" s="11"/>
      <c r="P32" s="2">
        <f t="shared" ref="P32:P38" si="11">0</f>
        <v>0</v>
      </c>
      <c r="Q32" s="2"/>
      <c r="R32" s="19"/>
      <c r="S32" s="2"/>
      <c r="T32" s="2">
        <f>--7768.8</f>
        <v>7768.8</v>
      </c>
      <c r="U32" s="2"/>
      <c r="V32" s="19"/>
      <c r="W32" s="2"/>
      <c r="X32" s="2">
        <f t="shared" si="2"/>
        <v>-7768.8</v>
      </c>
      <c r="Y32" s="2"/>
      <c r="Z32" s="19">
        <f t="shared" si="3"/>
        <v>-1</v>
      </c>
    </row>
    <row r="33" spans="1:26" s="24" customFormat="1" hidden="1" outlineLevel="1" x14ac:dyDescent="0.25">
      <c r="A33" s="44"/>
      <c r="B33" s="11" t="str">
        <f>CONCATENATE("          ", "4133", " - ", "NON-TAXABLE SALES-CANDY")</f>
        <v xml:space="preserve">          4133 - NON-TAXABLE SALES-CANDY</v>
      </c>
      <c r="C33" s="11"/>
      <c r="D33" s="2">
        <f t="shared" si="10"/>
        <v>0</v>
      </c>
      <c r="E33" s="2"/>
      <c r="F33" s="19"/>
      <c r="G33" s="2"/>
      <c r="H33" s="2">
        <f>--3528.83</f>
        <v>3528.83</v>
      </c>
      <c r="I33" s="2"/>
      <c r="J33" s="19"/>
      <c r="K33" s="2"/>
      <c r="L33" s="2">
        <f t="shared" si="0"/>
        <v>-3528.83</v>
      </c>
      <c r="M33" s="2"/>
      <c r="N33" s="19">
        <f t="shared" si="1"/>
        <v>-1</v>
      </c>
      <c r="O33" s="11"/>
      <c r="P33" s="2">
        <f t="shared" si="11"/>
        <v>0</v>
      </c>
      <c r="Q33" s="2"/>
      <c r="R33" s="19"/>
      <c r="S33" s="2"/>
      <c r="T33" s="2">
        <f>--7321.46</f>
        <v>7321.46</v>
      </c>
      <c r="U33" s="2"/>
      <c r="V33" s="19"/>
      <c r="W33" s="2"/>
      <c r="X33" s="2">
        <f t="shared" si="2"/>
        <v>-7321.46</v>
      </c>
      <c r="Y33" s="2"/>
      <c r="Z33" s="19">
        <f t="shared" si="3"/>
        <v>-1</v>
      </c>
    </row>
    <row r="34" spans="1:26" s="24" customFormat="1" hidden="1" outlineLevel="1" x14ac:dyDescent="0.25">
      <c r="A34" s="44"/>
      <c r="B34" s="11" t="str">
        <f>CONCATENATE("          ", "4135", " - ", "NON-TAXABLE SALES")</f>
        <v xml:space="preserve">          4135 - NON-TAXABLE SALES</v>
      </c>
      <c r="C34" s="11"/>
      <c r="D34" s="2">
        <f t="shared" si="10"/>
        <v>0</v>
      </c>
      <c r="E34" s="2"/>
      <c r="F34" s="19"/>
      <c r="G34" s="2"/>
      <c r="H34" s="2">
        <f>--17.9</f>
        <v>17.899999999999999</v>
      </c>
      <c r="I34" s="2"/>
      <c r="J34" s="19"/>
      <c r="K34" s="2"/>
      <c r="L34" s="2">
        <f t="shared" si="0"/>
        <v>-17.899999999999999</v>
      </c>
      <c r="M34" s="2"/>
      <c r="N34" s="19">
        <f t="shared" si="1"/>
        <v>-1</v>
      </c>
      <c r="O34" s="11"/>
      <c r="P34" s="2">
        <f t="shared" si="11"/>
        <v>0</v>
      </c>
      <c r="Q34" s="2"/>
      <c r="R34" s="19"/>
      <c r="S34" s="2"/>
      <c r="T34" s="2">
        <f>--53.8</f>
        <v>53.8</v>
      </c>
      <c r="U34" s="2"/>
      <c r="V34" s="19"/>
      <c r="W34" s="2"/>
      <c r="X34" s="2">
        <f t="shared" si="2"/>
        <v>-53.8</v>
      </c>
      <c r="Y34" s="2"/>
      <c r="Z34" s="19">
        <f t="shared" si="3"/>
        <v>-1</v>
      </c>
    </row>
    <row r="35" spans="1:26" s="24" customFormat="1" hidden="1" outlineLevel="1" x14ac:dyDescent="0.25">
      <c r="A35" s="44"/>
      <c r="B35" s="11" t="str">
        <f>CONCATENATE("          ", "4137", " - ", "NON-TAXABLE SALES-WATER")</f>
        <v xml:space="preserve">          4137 - NON-TAXABLE SALES-WATER</v>
      </c>
      <c r="C35" s="11"/>
      <c r="D35" s="2">
        <f t="shared" si="10"/>
        <v>0</v>
      </c>
      <c r="E35" s="2"/>
      <c r="F35" s="19"/>
      <c r="G35" s="2"/>
      <c r="H35" s="2">
        <f>--2012.43</f>
        <v>2012.43</v>
      </c>
      <c r="I35" s="2"/>
      <c r="J35" s="19"/>
      <c r="K35" s="2"/>
      <c r="L35" s="2">
        <f t="shared" si="0"/>
        <v>-2012.43</v>
      </c>
      <c r="M35" s="2"/>
      <c r="N35" s="19">
        <f t="shared" si="1"/>
        <v>-1</v>
      </c>
      <c r="O35" s="11"/>
      <c r="P35" s="2">
        <f t="shared" si="11"/>
        <v>0</v>
      </c>
      <c r="Q35" s="2"/>
      <c r="R35" s="19"/>
      <c r="S35" s="2"/>
      <c r="T35" s="2">
        <f>--4179.8</f>
        <v>4179.8</v>
      </c>
      <c r="U35" s="2"/>
      <c r="V35" s="19"/>
      <c r="W35" s="2"/>
      <c r="X35" s="2">
        <f t="shared" si="2"/>
        <v>-4179.8</v>
      </c>
      <c r="Y35" s="2"/>
      <c r="Z35" s="19">
        <f t="shared" si="3"/>
        <v>-1</v>
      </c>
    </row>
    <row r="36" spans="1:26" s="24" customFormat="1" hidden="1" outlineLevel="1" x14ac:dyDescent="0.25">
      <c r="A36" s="44"/>
      <c r="B36" s="11" t="str">
        <f>CONCATENATE("          ", "4186", " - ", "NON-TAXABLE SALES-COMPUTER SUP")</f>
        <v xml:space="preserve">          4186 - NON-TAXABLE SALES-COMPUTER SUP</v>
      </c>
      <c r="C36" s="11"/>
      <c r="D36" s="2">
        <f t="shared" si="10"/>
        <v>0</v>
      </c>
      <c r="E36" s="2"/>
      <c r="F36" s="19"/>
      <c r="G36" s="2"/>
      <c r="H36" s="2">
        <f>--4.01</f>
        <v>4.01</v>
      </c>
      <c r="I36" s="2"/>
      <c r="J36" s="19"/>
      <c r="K36" s="2"/>
      <c r="L36" s="2">
        <f t="shared" si="0"/>
        <v>-4.01</v>
      </c>
      <c r="M36" s="2"/>
      <c r="N36" s="19">
        <f t="shared" si="1"/>
        <v>-1</v>
      </c>
      <c r="O36" s="11"/>
      <c r="P36" s="2">
        <f t="shared" si="11"/>
        <v>0</v>
      </c>
      <c r="Q36" s="2"/>
      <c r="R36" s="19"/>
      <c r="S36" s="2"/>
      <c r="T36" s="2">
        <f>-30.97</f>
        <v>-30.97</v>
      </c>
      <c r="U36" s="2"/>
      <c r="V36" s="19"/>
      <c r="W36" s="2"/>
      <c r="X36" s="2">
        <f t="shared" si="2"/>
        <v>30.97</v>
      </c>
      <c r="Y36" s="2"/>
      <c r="Z36" s="19">
        <f t="shared" si="3"/>
        <v>-1</v>
      </c>
    </row>
    <row r="37" spans="1:26" s="24" customFormat="1" hidden="1" outlineLevel="1" x14ac:dyDescent="0.25">
      <c r="A37" s="44"/>
      <c r="B37" s="11" t="str">
        <f>CONCATENATE("          ", "4225", " - ", "SALES RETURN TAXABLE-TEST FORM")</f>
        <v xml:space="preserve">          4225 - SALES RETURN TAXABLE-TEST FORM</v>
      </c>
      <c r="C37" s="11"/>
      <c r="D37" s="2">
        <f t="shared" si="10"/>
        <v>0</v>
      </c>
      <c r="E37" s="2"/>
      <c r="F37" s="19"/>
      <c r="G37" s="2"/>
      <c r="H37" s="2">
        <f>-0.49</f>
        <v>-0.49</v>
      </c>
      <c r="I37" s="2"/>
      <c r="J37" s="19"/>
      <c r="K37" s="2"/>
      <c r="L37" s="2">
        <f t="shared" si="0"/>
        <v>0.49</v>
      </c>
      <c r="M37" s="2"/>
      <c r="N37" s="19">
        <f t="shared" si="1"/>
        <v>-1</v>
      </c>
      <c r="O37" s="11"/>
      <c r="P37" s="2">
        <f t="shared" si="11"/>
        <v>0</v>
      </c>
      <c r="Q37" s="2"/>
      <c r="R37" s="19"/>
      <c r="S37" s="2"/>
      <c r="T37" s="2">
        <f>-0.49</f>
        <v>-0.49</v>
      </c>
      <c r="U37" s="2"/>
      <c r="V37" s="19"/>
      <c r="W37" s="2"/>
      <c r="X37" s="2">
        <f t="shared" si="2"/>
        <v>0.49</v>
      </c>
      <c r="Y37" s="2"/>
      <c r="Z37" s="19">
        <f t="shared" si="3"/>
        <v>-1</v>
      </c>
    </row>
    <row r="38" spans="1:26" s="24" customFormat="1" hidden="1" outlineLevel="1" x14ac:dyDescent="0.25">
      <c r="A38" s="44"/>
      <c r="B38" s="11" t="str">
        <f>CONCATENATE("          ", "4226", " - ", "SALES RETURN TAXABLE-WRITING I")</f>
        <v xml:space="preserve">          4226 - SALES RETURN TAXABLE-WRITING I</v>
      </c>
      <c r="C38" s="11"/>
      <c r="D38" s="2">
        <f t="shared" si="10"/>
        <v>0</v>
      </c>
      <c r="E38" s="2"/>
      <c r="F38" s="19"/>
      <c r="G38" s="2"/>
      <c r="H38" s="2">
        <f t="shared" ref="H38:H39" si="12">0</f>
        <v>0</v>
      </c>
      <c r="I38" s="2"/>
      <c r="J38" s="19"/>
      <c r="K38" s="2"/>
      <c r="L38" s="2">
        <f t="shared" si="0"/>
        <v>0</v>
      </c>
      <c r="M38" s="2"/>
      <c r="N38" s="19">
        <f t="shared" si="1"/>
        <v>0</v>
      </c>
      <c r="O38" s="11"/>
      <c r="P38" s="2">
        <f t="shared" si="11"/>
        <v>0</v>
      </c>
      <c r="Q38" s="2"/>
      <c r="R38" s="19"/>
      <c r="S38" s="2"/>
      <c r="T38" s="2">
        <f>-2.99</f>
        <v>-2.99</v>
      </c>
      <c r="U38" s="2"/>
      <c r="V38" s="19"/>
      <c r="W38" s="2"/>
      <c r="X38" s="2">
        <f t="shared" si="2"/>
        <v>2.99</v>
      </c>
      <c r="Y38" s="2"/>
      <c r="Z38" s="19">
        <f t="shared" si="3"/>
        <v>-1</v>
      </c>
    </row>
    <row r="39" spans="1:26" s="24" customFormat="1" hidden="1" outlineLevel="1" x14ac:dyDescent="0.25">
      <c r="A39" s="44"/>
      <c r="B39" s="11" t="str">
        <f>CONCATENATE("          ", "4227", " - ", "SALES RETURN TAXABLE-SCHOOL SU")</f>
        <v xml:space="preserve">          4227 - SALES RETURN TAXABLE-SCHOOL SU</v>
      </c>
      <c r="C39" s="11"/>
      <c r="D39" s="2">
        <f t="shared" si="10"/>
        <v>0</v>
      </c>
      <c r="E39" s="2"/>
      <c r="F39" s="19"/>
      <c r="G39" s="2"/>
      <c r="H39" s="2">
        <f t="shared" si="12"/>
        <v>0</v>
      </c>
      <c r="I39" s="2"/>
      <c r="J39" s="19"/>
      <c r="K39" s="2"/>
      <c r="L39" s="2">
        <f t="shared" si="0"/>
        <v>0</v>
      </c>
      <c r="M39" s="2"/>
      <c r="N39" s="19">
        <f t="shared" si="1"/>
        <v>0</v>
      </c>
      <c r="O39" s="11"/>
      <c r="P39" s="2">
        <f>-159.97</f>
        <v>-159.97</v>
      </c>
      <c r="Q39" s="2"/>
      <c r="R39" s="19"/>
      <c r="S39" s="2"/>
      <c r="T39" s="2">
        <f>-22.22</f>
        <v>-22.22</v>
      </c>
      <c r="U39" s="2"/>
      <c r="V39" s="19"/>
      <c r="W39" s="2"/>
      <c r="X39" s="2">
        <f t="shared" si="2"/>
        <v>-137.75</v>
      </c>
      <c r="Y39" s="2"/>
      <c r="Z39" s="19">
        <f t="shared" si="3"/>
        <v>6.1993699369936994</v>
      </c>
    </row>
    <row r="40" spans="1:26" s="24" customFormat="1" hidden="1" outlineLevel="1" x14ac:dyDescent="0.25">
      <c r="A40" s="44"/>
      <c r="B40" s="11" t="str">
        <f>CONCATENATE("          ", "4228", " - ", "SALES RETURN TAXABLE-ART/TECH")</f>
        <v xml:space="preserve">          4228 - SALES RETURN TAXABLE-ART/TECH</v>
      </c>
      <c r="C40" s="11"/>
      <c r="D40" s="2">
        <f t="shared" si="10"/>
        <v>0</v>
      </c>
      <c r="E40" s="2"/>
      <c r="F40" s="19"/>
      <c r="G40" s="2"/>
      <c r="H40" s="2">
        <f>-498.26</f>
        <v>-498.26</v>
      </c>
      <c r="I40" s="2"/>
      <c r="J40" s="19"/>
      <c r="K40" s="2"/>
      <c r="L40" s="2">
        <f t="shared" si="0"/>
        <v>498.26</v>
      </c>
      <c r="M40" s="2"/>
      <c r="N40" s="19">
        <f t="shared" si="1"/>
        <v>-1</v>
      </c>
      <c r="O40" s="11"/>
      <c r="P40" s="2">
        <f>-222.2</f>
        <v>-222.2</v>
      </c>
      <c r="Q40" s="2"/>
      <c r="R40" s="19"/>
      <c r="S40" s="2"/>
      <c r="T40" s="2">
        <f>-2203.29</f>
        <v>-2203.29</v>
      </c>
      <c r="U40" s="2"/>
      <c r="V40" s="19"/>
      <c r="W40" s="2"/>
      <c r="X40" s="2">
        <f t="shared" si="2"/>
        <v>1981.09</v>
      </c>
      <c r="Y40" s="2"/>
      <c r="Z40" s="19">
        <f t="shared" si="3"/>
        <v>-0.89915081537155794</v>
      </c>
    </row>
    <row r="41" spans="1:26" s="24" customFormat="1" hidden="1" outlineLevel="1" x14ac:dyDescent="0.25">
      <c r="A41" s="44"/>
      <c r="B41" s="11" t="str">
        <f>CONCATENATE("          ", "4281", " - ", "SALES RETURN TAXABLE-ELECTRONI")</f>
        <v xml:space="preserve">          4281 - SALES RETURN TAXABLE-ELECTRONI</v>
      </c>
      <c r="C41" s="11"/>
      <c r="D41" s="2">
        <f t="shared" si="10"/>
        <v>0</v>
      </c>
      <c r="E41" s="2"/>
      <c r="F41" s="19"/>
      <c r="G41" s="2"/>
      <c r="H41" s="2">
        <f>-19.99</f>
        <v>-19.989999999999998</v>
      </c>
      <c r="I41" s="2"/>
      <c r="J41" s="19"/>
      <c r="K41" s="2"/>
      <c r="L41" s="2">
        <f t="shared" si="0"/>
        <v>19.989999999999998</v>
      </c>
      <c r="M41" s="2"/>
      <c r="N41" s="19">
        <f t="shared" si="1"/>
        <v>-1</v>
      </c>
      <c r="O41" s="11"/>
      <c r="P41" s="2">
        <f>0</f>
        <v>0</v>
      </c>
      <c r="Q41" s="2"/>
      <c r="R41" s="19"/>
      <c r="S41" s="2"/>
      <c r="T41" s="2">
        <f>-44.98</f>
        <v>-44.98</v>
      </c>
      <c r="U41" s="2"/>
      <c r="V41" s="19"/>
      <c r="W41" s="2"/>
      <c r="X41" s="2">
        <f t="shared" si="2"/>
        <v>44.98</v>
      </c>
      <c r="Y41" s="2"/>
      <c r="Z41" s="19">
        <f t="shared" si="3"/>
        <v>-1</v>
      </c>
    </row>
    <row r="42" spans="1:26" x14ac:dyDescent="0.25">
      <c r="A42" s="9"/>
      <c r="B42" s="10"/>
      <c r="C42" s="9"/>
      <c r="D42" s="3"/>
      <c r="E42" s="3"/>
      <c r="F42" s="8"/>
      <c r="G42" s="3"/>
      <c r="H42" s="3"/>
      <c r="I42" s="3"/>
      <c r="J42" s="8"/>
      <c r="K42" s="3"/>
      <c r="L42" s="3"/>
      <c r="M42" s="3"/>
      <c r="N42" s="8"/>
      <c r="P42" s="3"/>
      <c r="Q42" s="3"/>
      <c r="R42" s="8"/>
      <c r="S42" s="3"/>
      <c r="T42" s="3"/>
      <c r="U42" s="3"/>
      <c r="V42" s="8"/>
      <c r="W42" s="3"/>
      <c r="X42" s="3"/>
      <c r="Y42" s="3"/>
      <c r="Z42" s="8"/>
    </row>
    <row r="43" spans="1:26" s="23" customFormat="1" collapsed="1" x14ac:dyDescent="0.25">
      <c r="A43" s="10"/>
      <c r="B43" s="26" t="s">
        <v>8</v>
      </c>
      <c r="C43" s="10"/>
      <c r="D43" s="4">
        <f>SUM(OSRRefD16x_0)</f>
        <v>-4.3769432522822171E-12</v>
      </c>
      <c r="E43" s="4"/>
      <c r="F43" s="12">
        <f t="shared" ref="F43:F62" si="13">IF(D$12=0,0,D43/D$12)</f>
        <v>-2.4452196940124118E-13</v>
      </c>
      <c r="G43" s="4"/>
      <c r="H43" s="4">
        <f>SUM(OSRRefH16x_0)</f>
        <v>37850.569999999985</v>
      </c>
      <c r="I43" s="4"/>
      <c r="J43" s="12">
        <f t="shared" ref="J43:J62" si="14">IF(H$12=0,0,H43/H$12)</f>
        <v>0.52025707597384541</v>
      </c>
      <c r="K43" s="4"/>
      <c r="L43" s="4">
        <f t="shared" ref="L43:L62" si="15">+D43-H43</f>
        <v>-37850.569999999992</v>
      </c>
      <c r="M43" s="4"/>
      <c r="N43" s="12">
        <f t="shared" ref="N43:N62" si="16">IF(H43=0,0,L43/H43)</f>
        <v>-1.0000000000000002</v>
      </c>
      <c r="O43" s="10"/>
      <c r="P43" s="4">
        <f>SUM(OSRRefP16x_0)</f>
        <v>14183.049999999994</v>
      </c>
      <c r="Q43" s="4"/>
      <c r="R43" s="12">
        <f t="shared" ref="R43:R62" si="17">IF(P$12=0,0,P43/P$12)</f>
        <v>0.66549846283206748</v>
      </c>
      <c r="S43" s="4"/>
      <c r="T43" s="4">
        <f>SUM(OSRRefT16x_0)</f>
        <v>105174.71</v>
      </c>
      <c r="U43" s="4"/>
      <c r="V43" s="12">
        <f t="shared" ref="V43:V62" si="18">IF(T$12=0,0,T43/T$12)</f>
        <v>0.5229642735977621</v>
      </c>
      <c r="W43" s="4"/>
      <c r="X43" s="4">
        <f t="shared" ref="X43:X62" si="19">+P43-T43</f>
        <v>-90991.660000000018</v>
      </c>
      <c r="Y43" s="4"/>
      <c r="Z43" s="12">
        <f t="shared" ref="Z43:Z62" si="20">IF(T43=0,0,X43/T43)</f>
        <v>-0.86514771469300944</v>
      </c>
    </row>
    <row r="44" spans="1:26" s="24" customFormat="1" hidden="1" outlineLevel="1" x14ac:dyDescent="0.25">
      <c r="A44" s="44"/>
      <c r="B44" s="11" t="str">
        <f>CONCATENATE("          ", "5014", " - ", "PURCHASES @ COST-REMAINDERS")</f>
        <v xml:space="preserve">          5014 - PURCHASES @ COST-REMAINDERS</v>
      </c>
      <c r="C44" s="11"/>
      <c r="D44" s="2"/>
      <c r="E44" s="2"/>
      <c r="F44" s="19">
        <f t="shared" si="13"/>
        <v>0</v>
      </c>
      <c r="G44" s="2"/>
      <c r="H44" s="2">
        <v>14.46</v>
      </c>
      <c r="I44" s="2"/>
      <c r="J44" s="19">
        <f t="shared" si="14"/>
        <v>1.9875307871405394E-4</v>
      </c>
      <c r="K44" s="2"/>
      <c r="L44" s="2">
        <f t="shared" si="15"/>
        <v>-14.46</v>
      </c>
      <c r="M44" s="2"/>
      <c r="N44" s="19">
        <f t="shared" si="16"/>
        <v>-1</v>
      </c>
      <c r="O44" s="11"/>
      <c r="P44" s="2"/>
      <c r="Q44" s="2"/>
      <c r="R44" s="19">
        <f t="shared" si="17"/>
        <v>0</v>
      </c>
      <c r="S44" s="2"/>
      <c r="T44" s="2">
        <v>14.46</v>
      </c>
      <c r="U44" s="2"/>
      <c r="V44" s="19">
        <f t="shared" si="18"/>
        <v>7.1900016612583392E-5</v>
      </c>
      <c r="W44" s="2"/>
      <c r="X44" s="2">
        <f t="shared" si="19"/>
        <v>-14.46</v>
      </c>
      <c r="Y44" s="2"/>
      <c r="Z44" s="19">
        <f t="shared" si="20"/>
        <v>-1</v>
      </c>
    </row>
    <row r="45" spans="1:26" s="24" customFormat="1" hidden="1" outlineLevel="1" x14ac:dyDescent="0.25">
      <c r="A45" s="44"/>
      <c r="B45" s="11" t="str">
        <f>CONCATENATE("          ", "5025", " - ", "PURCHASES @ COST-TEST FORMS")</f>
        <v xml:space="preserve">          5025 - PURCHASES @ COST-TEST FORMS</v>
      </c>
      <c r="C45" s="11"/>
      <c r="D45" s="2"/>
      <c r="E45" s="2"/>
      <c r="F45" s="19">
        <f t="shared" si="13"/>
        <v>0</v>
      </c>
      <c r="G45" s="2"/>
      <c r="H45" s="2">
        <v>294.16000000000003</v>
      </c>
      <c r="I45" s="2"/>
      <c r="J45" s="19">
        <f t="shared" si="14"/>
        <v>4.0432369041857614E-3</v>
      </c>
      <c r="K45" s="2"/>
      <c r="L45" s="2">
        <f t="shared" si="15"/>
        <v>-294.16000000000003</v>
      </c>
      <c r="M45" s="2"/>
      <c r="N45" s="19">
        <f t="shared" si="16"/>
        <v>-1</v>
      </c>
      <c r="O45" s="11"/>
      <c r="P45" s="2"/>
      <c r="Q45" s="2"/>
      <c r="R45" s="19">
        <f t="shared" si="17"/>
        <v>0</v>
      </c>
      <c r="S45" s="2"/>
      <c r="T45" s="2">
        <v>438.38</v>
      </c>
      <c r="U45" s="2"/>
      <c r="V45" s="19">
        <f t="shared" si="18"/>
        <v>2.1797738093101179E-3</v>
      </c>
      <c r="W45" s="2"/>
      <c r="X45" s="2">
        <f t="shared" si="19"/>
        <v>-438.38</v>
      </c>
      <c r="Y45" s="2"/>
      <c r="Z45" s="19">
        <f t="shared" si="20"/>
        <v>-1</v>
      </c>
    </row>
    <row r="46" spans="1:26" s="24" customFormat="1" hidden="1" outlineLevel="1" x14ac:dyDescent="0.25">
      <c r="A46" s="44"/>
      <c r="B46" s="11" t="str">
        <f>CONCATENATE("          ", "5026", " - ", "PURCHASES @ COST-WRITING INSTR")</f>
        <v xml:space="preserve">          5026 - PURCHASES @ COST-WRITING INSTR</v>
      </c>
      <c r="C46" s="11"/>
      <c r="D46" s="2">
        <v>370.02</v>
      </c>
      <c r="E46" s="2"/>
      <c r="F46" s="19">
        <f t="shared" si="13"/>
        <v>20.67150837988827</v>
      </c>
      <c r="G46" s="2"/>
      <c r="H46" s="2">
        <v>1291.24</v>
      </c>
      <c r="I46" s="2"/>
      <c r="J46" s="19">
        <f t="shared" si="14"/>
        <v>1.7748127618169778E-2</v>
      </c>
      <c r="K46" s="2"/>
      <c r="L46" s="2">
        <f t="shared" si="15"/>
        <v>-921.22</v>
      </c>
      <c r="M46" s="2"/>
      <c r="N46" s="19">
        <f t="shared" si="16"/>
        <v>-0.71343824540751533</v>
      </c>
      <c r="O46" s="11"/>
      <c r="P46" s="2">
        <v>370.02</v>
      </c>
      <c r="Q46" s="2"/>
      <c r="R46" s="19">
        <f t="shared" si="17"/>
        <v>1.7362114722652863E-2</v>
      </c>
      <c r="S46" s="2"/>
      <c r="T46" s="2">
        <v>1853.84</v>
      </c>
      <c r="U46" s="2"/>
      <c r="V46" s="19">
        <f t="shared" si="18"/>
        <v>9.2179202487601367E-3</v>
      </c>
      <c r="W46" s="2"/>
      <c r="X46" s="2">
        <f t="shared" si="19"/>
        <v>-1483.82</v>
      </c>
      <c r="Y46" s="2"/>
      <c r="Z46" s="19">
        <f t="shared" si="20"/>
        <v>-0.80040348681655371</v>
      </c>
    </row>
    <row r="47" spans="1:26" s="24" customFormat="1" hidden="1" outlineLevel="1" x14ac:dyDescent="0.25">
      <c r="A47" s="44"/>
      <c r="B47" s="11" t="str">
        <f>CONCATENATE("          ", "5027", " - ", "PURCHASES @ COST-SCHOOL SUPPLI")</f>
        <v xml:space="preserve">          5027 - PURCHASES @ COST-SCHOOL SUPPLI</v>
      </c>
      <c r="C47" s="11"/>
      <c r="D47" s="2">
        <v>895.47</v>
      </c>
      <c r="E47" s="2"/>
      <c r="F47" s="19">
        <f t="shared" si="13"/>
        <v>50.026256983240231</v>
      </c>
      <c r="G47" s="2"/>
      <c r="H47" s="2">
        <v>999.17</v>
      </c>
      <c r="I47" s="2"/>
      <c r="J47" s="19">
        <f t="shared" si="14"/>
        <v>1.3733617818722078E-2</v>
      </c>
      <c r="K47" s="2"/>
      <c r="L47" s="2">
        <f t="shared" si="15"/>
        <v>-103.69999999999993</v>
      </c>
      <c r="M47" s="2"/>
      <c r="N47" s="19">
        <f t="shared" si="16"/>
        <v>-0.1037861424982735</v>
      </c>
      <c r="O47" s="11"/>
      <c r="P47" s="2">
        <v>895.47</v>
      </c>
      <c r="Q47" s="2"/>
      <c r="R47" s="19">
        <f t="shared" si="17"/>
        <v>4.201733114613794E-2</v>
      </c>
      <c r="S47" s="2"/>
      <c r="T47" s="2">
        <v>1762.36</v>
      </c>
      <c r="U47" s="2"/>
      <c r="V47" s="19">
        <f t="shared" si="18"/>
        <v>8.7630507107435991E-3</v>
      </c>
      <c r="W47" s="2"/>
      <c r="X47" s="2">
        <f t="shared" si="19"/>
        <v>-866.88999999999987</v>
      </c>
      <c r="Y47" s="2"/>
      <c r="Z47" s="19">
        <f t="shared" si="20"/>
        <v>-0.49189155450645722</v>
      </c>
    </row>
    <row r="48" spans="1:26" s="24" customFormat="1" hidden="1" outlineLevel="1" x14ac:dyDescent="0.25">
      <c r="A48" s="44"/>
      <c r="B48" s="11" t="str">
        <f>CONCATENATE("          ", "5028", " - ", "PURCHASES @ COST-ART/TECH")</f>
        <v xml:space="preserve">          5028 - PURCHASES @ COST-ART/TECH</v>
      </c>
      <c r="C48" s="11"/>
      <c r="D48" s="2">
        <v>41425.96</v>
      </c>
      <c r="E48" s="2"/>
      <c r="F48" s="19">
        <f t="shared" si="13"/>
        <v>2314.2994413407823</v>
      </c>
      <c r="G48" s="2"/>
      <c r="H48" s="2">
        <v>19299.78</v>
      </c>
      <c r="I48" s="2"/>
      <c r="J48" s="19">
        <f t="shared" si="14"/>
        <v>0.26527598157011917</v>
      </c>
      <c r="K48" s="2"/>
      <c r="L48" s="2">
        <f t="shared" si="15"/>
        <v>22126.18</v>
      </c>
      <c r="M48" s="2"/>
      <c r="N48" s="19">
        <f t="shared" si="16"/>
        <v>1.1464472652019868</v>
      </c>
      <c r="O48" s="11"/>
      <c r="P48" s="2">
        <v>41425.96</v>
      </c>
      <c r="Q48" s="2"/>
      <c r="R48" s="19">
        <f t="shared" si="17"/>
        <v>1.9437929571807704</v>
      </c>
      <c r="S48" s="2"/>
      <c r="T48" s="2">
        <v>87065.73000000001</v>
      </c>
      <c r="U48" s="2"/>
      <c r="V48" s="19">
        <f t="shared" si="18"/>
        <v>0.43292029276533195</v>
      </c>
      <c r="W48" s="2"/>
      <c r="X48" s="2">
        <f t="shared" si="19"/>
        <v>-45639.770000000011</v>
      </c>
      <c r="Y48" s="2"/>
      <c r="Z48" s="19">
        <f t="shared" si="20"/>
        <v>-0.52419901607670438</v>
      </c>
    </row>
    <row r="49" spans="1:26" s="24" customFormat="1" hidden="1" outlineLevel="1" x14ac:dyDescent="0.25">
      <c r="A49" s="44"/>
      <c r="B49" s="11" t="str">
        <f>CONCATENATE("          ", "5031", " - ", "PURCHASES @ COST-FOOD")</f>
        <v xml:space="preserve">          5031 - PURCHASES @ COST-FOOD</v>
      </c>
      <c r="C49" s="11"/>
      <c r="D49" s="2">
        <v>47.26</v>
      </c>
      <c r="E49" s="2"/>
      <c r="F49" s="19">
        <f t="shared" si="13"/>
        <v>2.6402234636871511</v>
      </c>
      <c r="G49" s="2"/>
      <c r="H49" s="2">
        <v>7820.85</v>
      </c>
      <c r="I49" s="2"/>
      <c r="J49" s="19">
        <f t="shared" si="14"/>
        <v>0.10749778808166036</v>
      </c>
      <c r="K49" s="2"/>
      <c r="L49" s="2">
        <f t="shared" si="15"/>
        <v>-7773.59</v>
      </c>
      <c r="M49" s="2"/>
      <c r="N49" s="19">
        <f t="shared" si="16"/>
        <v>-0.99395717856754695</v>
      </c>
      <c r="O49" s="11"/>
      <c r="P49" s="2">
        <v>2929.67</v>
      </c>
      <c r="Q49" s="2"/>
      <c r="R49" s="19">
        <f t="shared" si="17"/>
        <v>0.13746626301149781</v>
      </c>
      <c r="S49" s="2"/>
      <c r="T49" s="2">
        <v>15821.79</v>
      </c>
      <c r="U49" s="2"/>
      <c r="V49" s="19">
        <f t="shared" si="18"/>
        <v>7.8671297637676746E-2</v>
      </c>
      <c r="W49" s="2"/>
      <c r="X49" s="2">
        <f t="shared" si="19"/>
        <v>-12892.12</v>
      </c>
      <c r="Y49" s="2"/>
      <c r="Z49" s="19">
        <f t="shared" si="20"/>
        <v>-0.8148332141938428</v>
      </c>
    </row>
    <row r="50" spans="1:26" s="24" customFormat="1" hidden="1" outlineLevel="1" x14ac:dyDescent="0.25">
      <c r="A50" s="44"/>
      <c r="B50" s="11" t="str">
        <f>CONCATENATE("          ", "5032", " - ", "PURCHASES @ COST-JUICE")</f>
        <v xml:space="preserve">          5032 - PURCHASES @ COST-JUICE</v>
      </c>
      <c r="C50" s="11"/>
      <c r="D50" s="2"/>
      <c r="E50" s="2"/>
      <c r="F50" s="19">
        <f t="shared" si="13"/>
        <v>0</v>
      </c>
      <c r="G50" s="2"/>
      <c r="H50" s="2">
        <v>2565.13</v>
      </c>
      <c r="I50" s="2"/>
      <c r="J50" s="19">
        <f t="shared" si="14"/>
        <v>3.5257779031935076E-2</v>
      </c>
      <c r="K50" s="2"/>
      <c r="L50" s="2">
        <f t="shared" si="15"/>
        <v>-2565.13</v>
      </c>
      <c r="M50" s="2"/>
      <c r="N50" s="19">
        <f t="shared" si="16"/>
        <v>-1</v>
      </c>
      <c r="O50" s="11"/>
      <c r="P50" s="2"/>
      <c r="Q50" s="2"/>
      <c r="R50" s="19">
        <f t="shared" si="17"/>
        <v>0</v>
      </c>
      <c r="S50" s="2"/>
      <c r="T50" s="2">
        <v>3384.28</v>
      </c>
      <c r="U50" s="2"/>
      <c r="V50" s="19">
        <f t="shared" si="18"/>
        <v>1.6827786184068719E-2</v>
      </c>
      <c r="W50" s="2"/>
      <c r="X50" s="2">
        <f t="shared" si="19"/>
        <v>-3384.28</v>
      </c>
      <c r="Y50" s="2"/>
      <c r="Z50" s="19">
        <f t="shared" si="20"/>
        <v>-1</v>
      </c>
    </row>
    <row r="51" spans="1:26" s="24" customFormat="1" hidden="1" outlineLevel="1" x14ac:dyDescent="0.25">
      <c r="A51" s="44"/>
      <c r="B51" s="11" t="str">
        <f>CONCATENATE("          ", "5033", " - ", "PURCHASES @ COST-CANDY")</f>
        <v xml:space="preserve">          5033 - PURCHASES @ COST-CANDY</v>
      </c>
      <c r="C51" s="11"/>
      <c r="D51" s="2"/>
      <c r="E51" s="2"/>
      <c r="F51" s="19">
        <f t="shared" si="13"/>
        <v>0</v>
      </c>
      <c r="G51" s="2"/>
      <c r="H51" s="2">
        <v>2029.05</v>
      </c>
      <c r="I51" s="2"/>
      <c r="J51" s="19">
        <f t="shared" si="14"/>
        <v>2.7889345391753188E-2</v>
      </c>
      <c r="K51" s="2"/>
      <c r="L51" s="2">
        <f t="shared" si="15"/>
        <v>-2029.05</v>
      </c>
      <c r="M51" s="2"/>
      <c r="N51" s="19">
        <f t="shared" si="16"/>
        <v>-1</v>
      </c>
      <c r="O51" s="11"/>
      <c r="P51" s="2"/>
      <c r="Q51" s="2"/>
      <c r="R51" s="19">
        <f t="shared" si="17"/>
        <v>0</v>
      </c>
      <c r="S51" s="2"/>
      <c r="T51" s="2">
        <v>4301.21</v>
      </c>
      <c r="U51" s="2"/>
      <c r="V51" s="19">
        <f t="shared" si="18"/>
        <v>2.138707264551935E-2</v>
      </c>
      <c r="W51" s="2"/>
      <c r="X51" s="2">
        <f t="shared" si="19"/>
        <v>-4301.21</v>
      </c>
      <c r="Y51" s="2"/>
      <c r="Z51" s="19">
        <f t="shared" si="20"/>
        <v>-1</v>
      </c>
    </row>
    <row r="52" spans="1:26" s="24" customFormat="1" hidden="1" outlineLevel="1" x14ac:dyDescent="0.25">
      <c r="A52" s="44"/>
      <c r="B52" s="11" t="str">
        <f>CONCATENATE("          ", "5034", " - ", "PURCHASES @ COST-SODA")</f>
        <v xml:space="preserve">          5034 - PURCHASES @ COST-SODA</v>
      </c>
      <c r="C52" s="11"/>
      <c r="D52" s="2"/>
      <c r="E52" s="2"/>
      <c r="F52" s="19">
        <f t="shared" si="13"/>
        <v>0</v>
      </c>
      <c r="G52" s="2"/>
      <c r="H52" s="2">
        <v>876</v>
      </c>
      <c r="I52" s="2"/>
      <c r="J52" s="19">
        <f t="shared" si="14"/>
        <v>1.2040642942843101E-2</v>
      </c>
      <c r="K52" s="2"/>
      <c r="L52" s="2">
        <f t="shared" si="15"/>
        <v>-876</v>
      </c>
      <c r="M52" s="2"/>
      <c r="N52" s="19">
        <f t="shared" si="16"/>
        <v>-1</v>
      </c>
      <c r="O52" s="11"/>
      <c r="P52" s="2"/>
      <c r="Q52" s="2"/>
      <c r="R52" s="19">
        <f t="shared" si="17"/>
        <v>0</v>
      </c>
      <c r="S52" s="2"/>
      <c r="T52" s="2">
        <v>1494.54</v>
      </c>
      <c r="U52" s="2"/>
      <c r="V52" s="19">
        <f t="shared" si="18"/>
        <v>7.4313589784350187E-3</v>
      </c>
      <c r="W52" s="2"/>
      <c r="X52" s="2">
        <f t="shared" si="19"/>
        <v>-1494.54</v>
      </c>
      <c r="Y52" s="2"/>
      <c r="Z52" s="19">
        <f t="shared" si="20"/>
        <v>-1</v>
      </c>
    </row>
    <row r="53" spans="1:26" s="24" customFormat="1" hidden="1" outlineLevel="1" x14ac:dyDescent="0.25">
      <c r="A53" s="44"/>
      <c r="B53" s="11" t="str">
        <f>CONCATENATE("          ", "5035", " - ", "PURCHASES @ COST-HEALTH &amp; BEAU")</f>
        <v xml:space="preserve">          5035 - PURCHASES @ COST-HEALTH &amp; BEAU</v>
      </c>
      <c r="C53" s="11"/>
      <c r="D53" s="2"/>
      <c r="E53" s="2"/>
      <c r="F53" s="19">
        <f t="shared" si="13"/>
        <v>0</v>
      </c>
      <c r="G53" s="2"/>
      <c r="H53" s="2">
        <v>291.13</v>
      </c>
      <c r="I53" s="2"/>
      <c r="J53" s="19">
        <f t="shared" si="14"/>
        <v>4.0015894748286667E-3</v>
      </c>
      <c r="K53" s="2"/>
      <c r="L53" s="2">
        <f t="shared" si="15"/>
        <v>-291.13</v>
      </c>
      <c r="M53" s="2"/>
      <c r="N53" s="19">
        <f t="shared" si="16"/>
        <v>-1</v>
      </c>
      <c r="O53" s="11"/>
      <c r="P53" s="2"/>
      <c r="Q53" s="2"/>
      <c r="R53" s="19">
        <f t="shared" si="17"/>
        <v>0</v>
      </c>
      <c r="S53" s="2"/>
      <c r="T53" s="2">
        <v>544.20000000000005</v>
      </c>
      <c r="U53" s="2"/>
      <c r="V53" s="19">
        <f t="shared" si="18"/>
        <v>2.7059466833034497E-3</v>
      </c>
      <c r="W53" s="2"/>
      <c r="X53" s="2">
        <f t="shared" si="19"/>
        <v>-544.20000000000005</v>
      </c>
      <c r="Y53" s="2"/>
      <c r="Z53" s="19">
        <f t="shared" si="20"/>
        <v>-1</v>
      </c>
    </row>
    <row r="54" spans="1:26" s="24" customFormat="1" hidden="1" outlineLevel="1" x14ac:dyDescent="0.25">
      <c r="A54" s="44"/>
      <c r="B54" s="11" t="str">
        <f>CONCATENATE("          ", "5037", " - ", "PURCHASES @ COST-WATER")</f>
        <v xml:space="preserve">          5037 - PURCHASES @ COST-WATER</v>
      </c>
      <c r="C54" s="11"/>
      <c r="D54" s="2"/>
      <c r="E54" s="2"/>
      <c r="F54" s="19">
        <f t="shared" si="13"/>
        <v>0</v>
      </c>
      <c r="G54" s="2"/>
      <c r="H54" s="2">
        <v>1463.27</v>
      </c>
      <c r="I54" s="2"/>
      <c r="J54" s="19">
        <f t="shared" si="14"/>
        <v>2.0112684473714639E-2</v>
      </c>
      <c r="K54" s="2"/>
      <c r="L54" s="2">
        <f t="shared" si="15"/>
        <v>-1463.27</v>
      </c>
      <c r="M54" s="2"/>
      <c r="N54" s="19">
        <f t="shared" si="16"/>
        <v>-1</v>
      </c>
      <c r="O54" s="11"/>
      <c r="P54" s="2"/>
      <c r="Q54" s="2"/>
      <c r="R54" s="19">
        <f t="shared" si="17"/>
        <v>0</v>
      </c>
      <c r="S54" s="2"/>
      <c r="T54" s="2">
        <v>2826.09</v>
      </c>
      <c r="U54" s="2"/>
      <c r="V54" s="19">
        <f t="shared" si="18"/>
        <v>1.4052276483309529E-2</v>
      </c>
      <c r="W54" s="2"/>
      <c r="X54" s="2">
        <f t="shared" si="19"/>
        <v>-2826.09</v>
      </c>
      <c r="Y54" s="2"/>
      <c r="Z54" s="19">
        <f t="shared" si="20"/>
        <v>-1</v>
      </c>
    </row>
    <row r="55" spans="1:26" s="24" customFormat="1" hidden="1" outlineLevel="1" x14ac:dyDescent="0.25">
      <c r="A55" s="44"/>
      <c r="B55" s="11" t="str">
        <f>CONCATENATE("          ", "5081", " - ", "PURCHASES @ COST-ELECTRONICS")</f>
        <v xml:space="preserve">          5081 - PURCHASES @ COST-ELECTRONICS</v>
      </c>
      <c r="C55" s="11"/>
      <c r="D55" s="2"/>
      <c r="E55" s="2"/>
      <c r="F55" s="19">
        <f t="shared" si="13"/>
        <v>0</v>
      </c>
      <c r="G55" s="2"/>
      <c r="H55" s="2">
        <v>490.99</v>
      </c>
      <c r="I55" s="2"/>
      <c r="J55" s="19">
        <f t="shared" si="14"/>
        <v>6.7486704092540343E-3</v>
      </c>
      <c r="K55" s="2"/>
      <c r="L55" s="2">
        <f t="shared" si="15"/>
        <v>-490.99</v>
      </c>
      <c r="M55" s="2"/>
      <c r="N55" s="19">
        <f t="shared" si="16"/>
        <v>-1</v>
      </c>
      <c r="O55" s="11"/>
      <c r="P55" s="2"/>
      <c r="Q55" s="2"/>
      <c r="R55" s="19">
        <f t="shared" si="17"/>
        <v>0</v>
      </c>
      <c r="S55" s="2"/>
      <c r="T55" s="2">
        <v>963.07</v>
      </c>
      <c r="U55" s="2"/>
      <c r="V55" s="19">
        <f t="shared" si="18"/>
        <v>4.7887101659115274E-3</v>
      </c>
      <c r="W55" s="2"/>
      <c r="X55" s="2">
        <f t="shared" si="19"/>
        <v>-963.07</v>
      </c>
      <c r="Y55" s="2"/>
      <c r="Z55" s="19">
        <f t="shared" si="20"/>
        <v>-1</v>
      </c>
    </row>
    <row r="56" spans="1:26" s="24" customFormat="1" hidden="1" outlineLevel="1" x14ac:dyDescent="0.25">
      <c r="A56" s="44"/>
      <c r="B56" s="11" t="str">
        <f>CONCATENATE("          ", "5082", " - ", "PURCHASES @ COST-COMPUTER HARD")</f>
        <v xml:space="preserve">          5082 - PURCHASES @ COST-COMPUTER HARD</v>
      </c>
      <c r="C56" s="11"/>
      <c r="D56" s="2"/>
      <c r="E56" s="2"/>
      <c r="F56" s="19">
        <f t="shared" si="13"/>
        <v>0</v>
      </c>
      <c r="G56" s="2"/>
      <c r="H56" s="2"/>
      <c r="I56" s="2"/>
      <c r="J56" s="19">
        <f t="shared" si="14"/>
        <v>0</v>
      </c>
      <c r="K56" s="2"/>
      <c r="L56" s="2">
        <f t="shared" si="15"/>
        <v>0</v>
      </c>
      <c r="M56" s="2"/>
      <c r="N56" s="19">
        <f t="shared" si="16"/>
        <v>0</v>
      </c>
      <c r="O56" s="11"/>
      <c r="P56" s="2"/>
      <c r="Q56" s="2"/>
      <c r="R56" s="19">
        <f t="shared" si="17"/>
        <v>0</v>
      </c>
      <c r="S56" s="2"/>
      <c r="T56" s="2">
        <v>149.6</v>
      </c>
      <c r="U56" s="2"/>
      <c r="V56" s="19">
        <f t="shared" si="18"/>
        <v>7.4386185928371185E-4</v>
      </c>
      <c r="W56" s="2"/>
      <c r="X56" s="2">
        <f t="shared" si="19"/>
        <v>-149.6</v>
      </c>
      <c r="Y56" s="2"/>
      <c r="Z56" s="19">
        <f t="shared" si="20"/>
        <v>-1</v>
      </c>
    </row>
    <row r="57" spans="1:26" s="24" customFormat="1" hidden="1" outlineLevel="1" x14ac:dyDescent="0.25">
      <c r="A57" s="44"/>
      <c r="B57" s="11" t="str">
        <f>CONCATENATE("          ", "5083", " - ", "PURCHASES @ COST-COMPUTER EQUI")</f>
        <v xml:space="preserve">          5083 - PURCHASES @ COST-COMPUTER EQUI</v>
      </c>
      <c r="C57" s="11"/>
      <c r="D57" s="2"/>
      <c r="E57" s="2"/>
      <c r="F57" s="19">
        <f t="shared" si="13"/>
        <v>0</v>
      </c>
      <c r="G57" s="2"/>
      <c r="H57" s="2">
        <v>76.150000000000006</v>
      </c>
      <c r="I57" s="2"/>
      <c r="J57" s="19">
        <f t="shared" si="14"/>
        <v>1.0466837444035413E-3</v>
      </c>
      <c r="K57" s="2"/>
      <c r="L57" s="2">
        <f t="shared" si="15"/>
        <v>-76.150000000000006</v>
      </c>
      <c r="M57" s="2"/>
      <c r="N57" s="19">
        <f t="shared" si="16"/>
        <v>-1</v>
      </c>
      <c r="O57" s="11"/>
      <c r="P57" s="2"/>
      <c r="Q57" s="2"/>
      <c r="R57" s="19">
        <f t="shared" si="17"/>
        <v>0</v>
      </c>
      <c r="S57" s="2"/>
      <c r="T57" s="2">
        <v>192.2</v>
      </c>
      <c r="U57" s="2"/>
      <c r="V57" s="19">
        <f t="shared" si="18"/>
        <v>9.5568348498883298E-4</v>
      </c>
      <c r="W57" s="2"/>
      <c r="X57" s="2">
        <f t="shared" si="19"/>
        <v>-192.2</v>
      </c>
      <c r="Y57" s="2"/>
      <c r="Z57" s="19">
        <f t="shared" si="20"/>
        <v>-1</v>
      </c>
    </row>
    <row r="58" spans="1:26" s="24" customFormat="1" hidden="1" outlineLevel="1" x14ac:dyDescent="0.25">
      <c r="A58" s="44"/>
      <c r="B58" s="11" t="str">
        <f>CONCATENATE("          ", "5086", " - ", "PURCHASES @ COST-COMPUTER SUPP")</f>
        <v xml:space="preserve">          5086 - PURCHASES @ COST-COMPUTER SUPP</v>
      </c>
      <c r="C58" s="11"/>
      <c r="D58" s="2"/>
      <c r="E58" s="2"/>
      <c r="F58" s="19">
        <f t="shared" si="13"/>
        <v>0</v>
      </c>
      <c r="G58" s="2"/>
      <c r="H58" s="2">
        <v>54</v>
      </c>
      <c r="I58" s="2"/>
      <c r="J58" s="19">
        <f t="shared" si="14"/>
        <v>7.4223141428484871E-4</v>
      </c>
      <c r="K58" s="2"/>
      <c r="L58" s="2">
        <f t="shared" si="15"/>
        <v>-54</v>
      </c>
      <c r="M58" s="2"/>
      <c r="N58" s="19">
        <f t="shared" si="16"/>
        <v>-1</v>
      </c>
      <c r="O58" s="11"/>
      <c r="P58" s="2"/>
      <c r="Q58" s="2"/>
      <c r="R58" s="19">
        <f t="shared" si="17"/>
        <v>0</v>
      </c>
      <c r="S58" s="2"/>
      <c r="T58" s="2">
        <v>141</v>
      </c>
      <c r="U58" s="2"/>
      <c r="V58" s="19">
        <f t="shared" si="18"/>
        <v>7.0109974705216162E-4</v>
      </c>
      <c r="W58" s="2"/>
      <c r="X58" s="2">
        <f t="shared" si="19"/>
        <v>-141</v>
      </c>
      <c r="Y58" s="2"/>
      <c r="Z58" s="19">
        <f t="shared" si="20"/>
        <v>-1</v>
      </c>
    </row>
    <row r="59" spans="1:26" s="24" customFormat="1" hidden="1" outlineLevel="1" x14ac:dyDescent="0.25">
      <c r="A59" s="44"/>
      <c r="B59" s="11" t="str">
        <f>CONCATENATE("          ", "5200", " - ", "PURCHASES OFFSET")</f>
        <v xml:space="preserve">          5200 - PURCHASES OFFSET</v>
      </c>
      <c r="C59" s="11"/>
      <c r="D59" s="2">
        <v>-42974.16</v>
      </c>
      <c r="E59" s="2"/>
      <c r="F59" s="19">
        <f t="shared" si="13"/>
        <v>-2400.7910614525144</v>
      </c>
      <c r="G59" s="2"/>
      <c r="H59" s="2">
        <v>-37764</v>
      </c>
      <c r="I59" s="2"/>
      <c r="J59" s="19">
        <f t="shared" si="14"/>
        <v>-0.51906716905653749</v>
      </c>
      <c r="K59" s="2"/>
      <c r="L59" s="2">
        <f t="shared" si="15"/>
        <v>-5210.1600000000035</v>
      </c>
      <c r="M59" s="2"/>
      <c r="N59" s="19">
        <f t="shared" si="16"/>
        <v>0.13796631712742302</v>
      </c>
      <c r="O59" s="11"/>
      <c r="P59" s="2">
        <v>-45863.33</v>
      </c>
      <c r="Q59" s="2"/>
      <c r="R59" s="19">
        <f t="shared" si="17"/>
        <v>-2.1520036674311842</v>
      </c>
      <c r="S59" s="2"/>
      <c r="T59" s="2">
        <v>-121741</v>
      </c>
      <c r="U59" s="2"/>
      <c r="V59" s="19">
        <f t="shared" si="18"/>
        <v>-0.60533747734664689</v>
      </c>
      <c r="W59" s="2"/>
      <c r="X59" s="2">
        <f t="shared" si="19"/>
        <v>75877.67</v>
      </c>
      <c r="Y59" s="2"/>
      <c r="Z59" s="19">
        <f t="shared" si="20"/>
        <v>-0.62327128904806106</v>
      </c>
    </row>
    <row r="60" spans="1:26" s="24" customFormat="1" hidden="1" outlineLevel="1" x14ac:dyDescent="0.25">
      <c r="A60" s="44"/>
      <c r="B60" s="11" t="str">
        <f>CONCATENATE("          ", "5300", " - ", "COG$ OFFSET")</f>
        <v xml:space="preserve">          5300 - COG$ OFFSET</v>
      </c>
      <c r="C60" s="11"/>
      <c r="D60" s="2"/>
      <c r="E60" s="2"/>
      <c r="F60" s="19">
        <f t="shared" si="13"/>
        <v>0</v>
      </c>
      <c r="G60" s="2"/>
      <c r="H60" s="2">
        <v>37851</v>
      </c>
      <c r="I60" s="2"/>
      <c r="J60" s="19">
        <f t="shared" si="14"/>
        <v>0.52026298633510759</v>
      </c>
      <c r="K60" s="2"/>
      <c r="L60" s="2">
        <f t="shared" si="15"/>
        <v>-37851</v>
      </c>
      <c r="M60" s="2"/>
      <c r="N60" s="19">
        <f t="shared" si="16"/>
        <v>-1</v>
      </c>
      <c r="O60" s="11"/>
      <c r="P60" s="2">
        <v>14145</v>
      </c>
      <c r="Q60" s="2"/>
      <c r="R60" s="19">
        <f t="shared" si="17"/>
        <v>0.66371307700103988</v>
      </c>
      <c r="S60" s="2"/>
      <c r="T60" s="2">
        <v>105176</v>
      </c>
      <c r="U60" s="2"/>
      <c r="V60" s="19">
        <f t="shared" si="18"/>
        <v>0.52297068791459678</v>
      </c>
      <c r="W60" s="2"/>
      <c r="X60" s="2">
        <f t="shared" si="19"/>
        <v>-91031</v>
      </c>
      <c r="Y60" s="2"/>
      <c r="Z60" s="19">
        <f t="shared" si="20"/>
        <v>-0.86551114322659162</v>
      </c>
    </row>
    <row r="61" spans="1:26" s="24" customFormat="1" hidden="1" outlineLevel="1" x14ac:dyDescent="0.25">
      <c r="A61" s="44"/>
      <c r="B61" s="11" t="str">
        <f>CONCATENATE("          ", "5527", " - ", "FREIGHT-IN-SCHOOL SUPPLIES")</f>
        <v xml:space="preserve">          5527 - FREIGHT-IN-SCHOOL SUPPLIES</v>
      </c>
      <c r="C61" s="11"/>
      <c r="D61" s="2"/>
      <c r="E61" s="2"/>
      <c r="F61" s="19">
        <f t="shared" si="13"/>
        <v>0</v>
      </c>
      <c r="G61" s="2"/>
      <c r="H61" s="2">
        <v>12.52</v>
      </c>
      <c r="I61" s="2"/>
      <c r="J61" s="19">
        <f t="shared" si="14"/>
        <v>1.7208772790456122E-4</v>
      </c>
      <c r="K61" s="2"/>
      <c r="L61" s="2">
        <f t="shared" si="15"/>
        <v>-12.52</v>
      </c>
      <c r="M61" s="2"/>
      <c r="N61" s="19">
        <f t="shared" si="16"/>
        <v>-1</v>
      </c>
      <c r="O61" s="11"/>
      <c r="P61" s="2"/>
      <c r="Q61" s="2"/>
      <c r="R61" s="19">
        <f t="shared" si="17"/>
        <v>0</v>
      </c>
      <c r="S61" s="2"/>
      <c r="T61" s="2">
        <v>12.52</v>
      </c>
      <c r="U61" s="2"/>
      <c r="V61" s="19">
        <f t="shared" si="18"/>
        <v>6.2253679667326694E-5</v>
      </c>
      <c r="W61" s="2"/>
      <c r="X61" s="2">
        <f t="shared" si="19"/>
        <v>-12.52</v>
      </c>
      <c r="Y61" s="2"/>
      <c r="Z61" s="19">
        <f t="shared" si="20"/>
        <v>-1</v>
      </c>
    </row>
    <row r="62" spans="1:26" s="24" customFormat="1" hidden="1" outlineLevel="1" x14ac:dyDescent="0.25">
      <c r="A62" s="44"/>
      <c r="B62" s="11" t="str">
        <f>CONCATENATE("          ", "5528", " - ", "FREIGHT-IN-ART/TECH")</f>
        <v xml:space="preserve">          5528 - FREIGHT-IN-ART/TECH</v>
      </c>
      <c r="C62" s="11"/>
      <c r="D62" s="2">
        <v>235.45</v>
      </c>
      <c r="E62" s="2"/>
      <c r="F62" s="19">
        <f t="shared" si="13"/>
        <v>13.153631284916202</v>
      </c>
      <c r="G62" s="2"/>
      <c r="H62" s="2">
        <v>185.67</v>
      </c>
      <c r="I62" s="2"/>
      <c r="J62" s="19">
        <f t="shared" si="14"/>
        <v>2.5520390127827378E-3</v>
      </c>
      <c r="K62" s="2"/>
      <c r="L62" s="2">
        <f t="shared" si="15"/>
        <v>49.78</v>
      </c>
      <c r="M62" s="2"/>
      <c r="N62" s="19">
        <f t="shared" si="16"/>
        <v>0.26811008779016537</v>
      </c>
      <c r="O62" s="11"/>
      <c r="P62" s="2">
        <v>280.26</v>
      </c>
      <c r="Q62" s="2"/>
      <c r="R62" s="19">
        <f t="shared" si="17"/>
        <v>1.3150387201153158E-2</v>
      </c>
      <c r="S62" s="2"/>
      <c r="T62" s="2">
        <v>774.44</v>
      </c>
      <c r="U62" s="2"/>
      <c r="V62" s="19">
        <f t="shared" si="18"/>
        <v>3.850777929837419E-3</v>
      </c>
      <c r="W62" s="2"/>
      <c r="X62" s="2">
        <f t="shared" si="19"/>
        <v>-494.18000000000006</v>
      </c>
      <c r="Y62" s="2"/>
      <c r="Z62" s="19">
        <f t="shared" si="20"/>
        <v>-0.63811270079024851</v>
      </c>
    </row>
    <row r="63" spans="1:26" x14ac:dyDescent="0.25">
      <c r="A63" s="9"/>
      <c r="B63" s="10"/>
      <c r="C63" s="10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O63" s="10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s="23" customFormat="1" x14ac:dyDescent="0.25">
      <c r="A64" s="10"/>
      <c r="B64" s="25" t="s">
        <v>6</v>
      </c>
      <c r="C64" s="25"/>
      <c r="D64" s="20">
        <f>D12-D43</f>
        <v>17.900000000004376</v>
      </c>
      <c r="E64" s="13"/>
      <c r="F64" s="21">
        <f>IF(D$12=0,0,D64/D$12)</f>
        <v>1.0000000000002445</v>
      </c>
      <c r="G64" s="13"/>
      <c r="H64" s="20">
        <f>H12-H43</f>
        <v>34903.019999999982</v>
      </c>
      <c r="I64" s="13"/>
      <c r="J64" s="21">
        <f>IF(H$12=0,0,H64/H$12)</f>
        <v>0.47974292402615454</v>
      </c>
      <c r="K64" s="15"/>
      <c r="L64" s="20">
        <f>+D64-H64</f>
        <v>-34885.119999999981</v>
      </c>
      <c r="M64" s="15"/>
      <c r="N64" s="21">
        <f>IF(H64=0,0,L64/H64)</f>
        <v>-0.99948715039558178</v>
      </c>
      <c r="O64" s="26"/>
      <c r="P64" s="20">
        <f>P12-P43</f>
        <v>7128.8700000000044</v>
      </c>
      <c r="Q64" s="13"/>
      <c r="R64" s="21">
        <f>IF(P$12=0,0,P64/P$12)</f>
        <v>0.33450153716793257</v>
      </c>
      <c r="S64" s="13"/>
      <c r="T64" s="20">
        <f>T12-T43</f>
        <v>95937.899999999951</v>
      </c>
      <c r="U64" s="13"/>
      <c r="V64" s="21">
        <f>IF(T$12=0,0,T64/T$12)</f>
        <v>0.4770357264022379</v>
      </c>
      <c r="W64" s="15"/>
      <c r="X64" s="20">
        <f>+P64-T64</f>
        <v>-88809.029999999941</v>
      </c>
      <c r="Y64" s="15"/>
      <c r="Z64" s="21">
        <f>IF(T64=0,0,X64/T64)</f>
        <v>-0.92569287007532985</v>
      </c>
    </row>
    <row r="65" spans="1:26" x14ac:dyDescent="0.25">
      <c r="A65" s="9"/>
      <c r="B65" s="10"/>
      <c r="C65" s="9"/>
      <c r="D65" s="1"/>
      <c r="E65" s="1"/>
      <c r="F65" s="5"/>
      <c r="G65" s="1"/>
      <c r="H65" s="1"/>
      <c r="I65" s="1"/>
      <c r="J65" s="5"/>
      <c r="K65" s="1"/>
      <c r="L65" s="1"/>
      <c r="M65" s="1"/>
      <c r="N65" s="5"/>
      <c r="O65" s="37"/>
      <c r="P65" s="1"/>
      <c r="Q65" s="1"/>
      <c r="R65" s="5"/>
      <c r="S65" s="1"/>
      <c r="T65" s="1"/>
      <c r="U65" s="1"/>
      <c r="V65" s="5"/>
      <c r="W65" s="1"/>
      <c r="X65" s="1"/>
      <c r="Y65" s="1"/>
      <c r="Z65" s="5"/>
    </row>
    <row r="66" spans="1:26" s="23" customFormat="1" x14ac:dyDescent="0.25">
      <c r="A66" s="10"/>
      <c r="B66" s="26" t="s">
        <v>9</v>
      </c>
      <c r="C66" s="10"/>
      <c r="D66" s="22">
        <f>SUM(OSRRefD22x_0)</f>
        <v>1424.39</v>
      </c>
      <c r="E66" s="22"/>
      <c r="F66" s="36">
        <f t="shared" ref="F66:F75" si="21">IF(D$12=0,0,D66/D$12)</f>
        <v>79.574860335195538</v>
      </c>
      <c r="G66" s="22"/>
      <c r="H66" s="22">
        <f>SUM(OSRRefH22x_0)</f>
        <v>16254.9</v>
      </c>
      <c r="I66" s="22"/>
      <c r="J66" s="36">
        <f t="shared" ref="J66:J75" si="22">IF(H$12=0,0,H66/H$12)</f>
        <v>0.22342402622331087</v>
      </c>
      <c r="K66" s="4"/>
      <c r="L66" s="22">
        <f t="shared" ref="L66:L75" si="23">+D66-H66</f>
        <v>-14830.51</v>
      </c>
      <c r="M66" s="4"/>
      <c r="N66" s="36">
        <f t="shared" ref="N66:N75" si="24">IF(H66=0,0,L66/H66)</f>
        <v>-0.91237165408584486</v>
      </c>
      <c r="O66" s="10"/>
      <c r="P66" s="22">
        <f>SUM(OSRRefP22x_0)</f>
        <v>11618.059999999996</v>
      </c>
      <c r="Q66" s="22"/>
      <c r="R66" s="36">
        <f t="shared" ref="R66:R75" si="25">IF(P$12=0,0,P66/P$12)</f>
        <v>0.54514375053960396</v>
      </c>
      <c r="S66" s="22"/>
      <c r="T66" s="22">
        <f>SUM(OSRRefT22x_0)</f>
        <v>46976.480000000018</v>
      </c>
      <c r="U66" s="22"/>
      <c r="V66" s="36">
        <f t="shared" ref="V66:V75" si="26">IF(T$12=0,0,T66/T$12)</f>
        <v>0.23358296627943931</v>
      </c>
      <c r="W66" s="4"/>
      <c r="X66" s="22">
        <f t="shared" ref="X66:X75" si="27">+P66-T66</f>
        <v>-35358.42000000002</v>
      </c>
      <c r="Y66" s="4"/>
      <c r="Z66" s="36">
        <f t="shared" ref="Z66:Z75" si="28">IF(T66=0,0,X66/T66)</f>
        <v>-0.75268347053674534</v>
      </c>
    </row>
    <row r="67" spans="1:26" s="29" customFormat="1" outlineLevel="1" collapsed="1" x14ac:dyDescent="0.25">
      <c r="A67" s="27"/>
      <c r="B67" s="14" t="str">
        <f>CONCATENATE("     ","*Benefits                                         ")</f>
        <v xml:space="preserve">     *Benefits                                         </v>
      </c>
      <c r="C67" s="14"/>
      <c r="D67" s="1">
        <f>SUM(OSRRefD22_0x_0)</f>
        <v>214.64</v>
      </c>
      <c r="E67" s="1"/>
      <c r="F67" s="5">
        <f t="shared" si="21"/>
        <v>11.991061452513966</v>
      </c>
      <c r="G67" s="1"/>
      <c r="H67" s="1">
        <f>SUM(OSRRefH22_0x_0)</f>
        <v>2062.6799999999994</v>
      </c>
      <c r="I67" s="1"/>
      <c r="J67" s="5">
        <f t="shared" si="22"/>
        <v>2.8351590622538357E-2</v>
      </c>
      <c r="K67" s="1"/>
      <c r="L67" s="1">
        <f t="shared" si="23"/>
        <v>-1848.0399999999995</v>
      </c>
      <c r="M67" s="1"/>
      <c r="N67" s="5">
        <f t="shared" si="24"/>
        <v>-0.89594120270715771</v>
      </c>
      <c r="O67" s="14"/>
      <c r="P67" s="1">
        <f>SUM(OSRRefP22_0x_0)</f>
        <v>776.81</v>
      </c>
      <c r="Q67" s="1"/>
      <c r="R67" s="5">
        <f t="shared" si="25"/>
        <v>3.6449554990822038E-2</v>
      </c>
      <c r="S67" s="1"/>
      <c r="T67" s="1">
        <f>SUM(OSRRefT22_0x_0)</f>
        <v>6242.81</v>
      </c>
      <c r="U67" s="1"/>
      <c r="V67" s="5">
        <f t="shared" si="26"/>
        <v>3.1041365332586564E-2</v>
      </c>
      <c r="W67" s="1"/>
      <c r="X67" s="1">
        <f t="shared" si="27"/>
        <v>-5466</v>
      </c>
      <c r="Y67" s="1"/>
      <c r="Z67" s="5">
        <f t="shared" si="28"/>
        <v>-0.87556725256735346</v>
      </c>
    </row>
    <row r="68" spans="1:26" s="24" customFormat="1" hidden="1" outlineLevel="2" x14ac:dyDescent="0.25">
      <c r="A68" s="28"/>
      <c r="B68" s="11" t="str">
        <f>CONCATENATE("          ", "6111", " - ", "F.I.C.A.")</f>
        <v xml:space="preserve">          6111 - F.I.C.A.</v>
      </c>
      <c r="C68" s="11"/>
      <c r="D68" s="6">
        <v>76.819999999999993</v>
      </c>
      <c r="E68" s="2"/>
      <c r="F68" s="7">
        <f t="shared" si="21"/>
        <v>4.2916201117318433</v>
      </c>
      <c r="G68" s="2"/>
      <c r="H68" s="6">
        <v>297.12</v>
      </c>
      <c r="I68" s="2"/>
      <c r="J68" s="7">
        <f t="shared" si="22"/>
        <v>4.0839221817095227E-3</v>
      </c>
      <c r="K68" s="2"/>
      <c r="L68" s="6">
        <f t="shared" si="23"/>
        <v>-220.3</v>
      </c>
      <c r="M68" s="2"/>
      <c r="N68" s="7">
        <f t="shared" si="24"/>
        <v>-0.74145126548196016</v>
      </c>
      <c r="O68" s="11"/>
      <c r="P68" s="6">
        <v>483.22</v>
      </c>
      <c r="Q68" s="2"/>
      <c r="R68" s="7">
        <f t="shared" si="25"/>
        <v>2.2673696222583421E-2</v>
      </c>
      <c r="S68" s="2"/>
      <c r="T68" s="6">
        <v>1202.3499999999999</v>
      </c>
      <c r="U68" s="2"/>
      <c r="V68" s="7">
        <f t="shared" si="26"/>
        <v>5.9784913536749399E-3</v>
      </c>
      <c r="W68" s="2"/>
      <c r="X68" s="6">
        <f t="shared" si="27"/>
        <v>-719.12999999999988</v>
      </c>
      <c r="Y68" s="2"/>
      <c r="Z68" s="7">
        <f t="shared" si="28"/>
        <v>-0.59810371356094305</v>
      </c>
    </row>
    <row r="69" spans="1:26" s="24" customFormat="1" hidden="1" outlineLevel="2" x14ac:dyDescent="0.25">
      <c r="A69" s="28"/>
      <c r="B69" s="11" t="str">
        <f>CONCATENATE("          ", "6112", " - ", "COMPENSATION INSURANCE")</f>
        <v xml:space="preserve">          6112 - COMPENSATION INSURANCE</v>
      </c>
      <c r="C69" s="11"/>
      <c r="D69" s="6">
        <v>120.84</v>
      </c>
      <c r="E69" s="2"/>
      <c r="F69" s="7">
        <f t="shared" si="21"/>
        <v>6.7508379888268166</v>
      </c>
      <c r="G69" s="2"/>
      <c r="H69" s="6">
        <v>33.909999999999997</v>
      </c>
      <c r="I69" s="2"/>
      <c r="J69" s="7">
        <f t="shared" si="22"/>
        <v>4.6609383811850401E-4</v>
      </c>
      <c r="K69" s="2"/>
      <c r="L69" s="6">
        <f t="shared" si="23"/>
        <v>86.93</v>
      </c>
      <c r="M69" s="2"/>
      <c r="N69" s="7">
        <f t="shared" si="24"/>
        <v>2.5635505750516074</v>
      </c>
      <c r="O69" s="11"/>
      <c r="P69" s="6">
        <v>255.57</v>
      </c>
      <c r="Q69" s="2"/>
      <c r="R69" s="7">
        <f t="shared" si="25"/>
        <v>1.1991880600152403E-2</v>
      </c>
      <c r="S69" s="2"/>
      <c r="T69" s="6">
        <v>373.85</v>
      </c>
      <c r="U69" s="2"/>
      <c r="V69" s="7">
        <f t="shared" si="26"/>
        <v>1.8589087974145435E-3</v>
      </c>
      <c r="W69" s="2"/>
      <c r="X69" s="6">
        <f t="shared" si="27"/>
        <v>-118.28000000000003</v>
      </c>
      <c r="Y69" s="2"/>
      <c r="Z69" s="7">
        <f t="shared" si="28"/>
        <v>-0.31638357630065539</v>
      </c>
    </row>
    <row r="70" spans="1:26" s="24" customFormat="1" hidden="1" outlineLevel="2" x14ac:dyDescent="0.25">
      <c r="A70" s="28"/>
      <c r="B70" s="11" t="str">
        <f>CONCATENATE("          ", "6113", " - ", "GROUP INSURANCE")</f>
        <v xml:space="preserve">          6113 - GROUP INSURANCE</v>
      </c>
      <c r="C70" s="11"/>
      <c r="D70" s="6"/>
      <c r="E70" s="2"/>
      <c r="F70" s="7">
        <f t="shared" si="21"/>
        <v>0</v>
      </c>
      <c r="G70" s="2"/>
      <c r="H70" s="6">
        <v>1057.33</v>
      </c>
      <c r="I70" s="2"/>
      <c r="J70" s="7">
        <f t="shared" si="22"/>
        <v>1.4533028541959241E-2</v>
      </c>
      <c r="K70" s="2"/>
      <c r="L70" s="6">
        <f t="shared" si="23"/>
        <v>-1057.33</v>
      </c>
      <c r="M70" s="2"/>
      <c r="N70" s="7">
        <f t="shared" si="24"/>
        <v>-1</v>
      </c>
      <c r="O70" s="11"/>
      <c r="P70" s="6"/>
      <c r="Q70" s="2"/>
      <c r="R70" s="7">
        <f t="shared" si="25"/>
        <v>0</v>
      </c>
      <c r="S70" s="2"/>
      <c r="T70" s="6">
        <v>2102.44</v>
      </c>
      <c r="U70" s="2"/>
      <c r="V70" s="7">
        <f t="shared" si="26"/>
        <v>1.0454043632569835E-2</v>
      </c>
      <c r="W70" s="2"/>
      <c r="X70" s="6">
        <f t="shared" si="27"/>
        <v>-2102.44</v>
      </c>
      <c r="Y70" s="2"/>
      <c r="Z70" s="7">
        <f t="shared" si="28"/>
        <v>-1</v>
      </c>
    </row>
    <row r="71" spans="1:26" s="24" customFormat="1" hidden="1" outlineLevel="2" x14ac:dyDescent="0.25">
      <c r="A71" s="28"/>
      <c r="B71" s="11" t="str">
        <f>CONCATENATE("          ", "6114", " - ", "STATE UNEMPLOYMENT INSURANCE")</f>
        <v xml:space="preserve">          6114 - STATE UNEMPLOYMENT INSURANCE</v>
      </c>
      <c r="C71" s="11"/>
      <c r="D71" s="6">
        <v>16.98</v>
      </c>
      <c r="E71" s="2"/>
      <c r="F71" s="7">
        <f t="shared" si="21"/>
        <v>0.94860335195530732</v>
      </c>
      <c r="G71" s="2"/>
      <c r="H71" s="6">
        <v>27.03</v>
      </c>
      <c r="I71" s="2"/>
      <c r="J71" s="7">
        <f t="shared" si="22"/>
        <v>3.7152805792813818E-4</v>
      </c>
      <c r="K71" s="2"/>
      <c r="L71" s="6">
        <f t="shared" si="23"/>
        <v>-10.050000000000001</v>
      </c>
      <c r="M71" s="2"/>
      <c r="N71" s="7">
        <f t="shared" si="24"/>
        <v>-0.37180910099889014</v>
      </c>
      <c r="O71" s="11"/>
      <c r="P71" s="6">
        <v>38.020000000000003</v>
      </c>
      <c r="Q71" s="2"/>
      <c r="R71" s="7">
        <f t="shared" si="25"/>
        <v>1.7839781680862169E-3</v>
      </c>
      <c r="S71" s="2"/>
      <c r="T71" s="6">
        <v>73.55</v>
      </c>
      <c r="U71" s="2"/>
      <c r="V71" s="7">
        <f t="shared" si="26"/>
        <v>3.6571550635238642E-4</v>
      </c>
      <c r="W71" s="2"/>
      <c r="X71" s="6">
        <f t="shared" si="27"/>
        <v>-35.529999999999994</v>
      </c>
      <c r="Y71" s="2"/>
      <c r="Z71" s="7">
        <f t="shared" si="28"/>
        <v>-0.4830727396329027</v>
      </c>
    </row>
    <row r="72" spans="1:26" s="24" customFormat="1" hidden="1" outlineLevel="2" x14ac:dyDescent="0.25">
      <c r="A72" s="28"/>
      <c r="B72" s="11" t="str">
        <f>CONCATENATE("          ", "6115", " - ", "P.E.R.S.")</f>
        <v xml:space="preserve">          6115 - P.E.R.S.</v>
      </c>
      <c r="C72" s="11"/>
      <c r="D72" s="6"/>
      <c r="E72" s="2"/>
      <c r="F72" s="7">
        <f t="shared" si="21"/>
        <v>0</v>
      </c>
      <c r="G72" s="2"/>
      <c r="H72" s="6">
        <v>167.64</v>
      </c>
      <c r="I72" s="2"/>
      <c r="J72" s="7">
        <f t="shared" si="22"/>
        <v>2.3042161905687413E-3</v>
      </c>
      <c r="K72" s="2"/>
      <c r="L72" s="6">
        <f t="shared" si="23"/>
        <v>-167.64</v>
      </c>
      <c r="M72" s="2"/>
      <c r="N72" s="7">
        <f t="shared" si="24"/>
        <v>-1</v>
      </c>
      <c r="O72" s="11"/>
      <c r="P72" s="6"/>
      <c r="Q72" s="2"/>
      <c r="R72" s="7">
        <f t="shared" si="25"/>
        <v>0</v>
      </c>
      <c r="S72" s="2"/>
      <c r="T72" s="6">
        <v>737.62</v>
      </c>
      <c r="U72" s="2"/>
      <c r="V72" s="7">
        <f t="shared" si="26"/>
        <v>3.6676964214228049E-3</v>
      </c>
      <c r="W72" s="2"/>
      <c r="X72" s="6">
        <f t="shared" si="27"/>
        <v>-737.62</v>
      </c>
      <c r="Y72" s="2"/>
      <c r="Z72" s="7">
        <f t="shared" si="28"/>
        <v>-1</v>
      </c>
    </row>
    <row r="73" spans="1:26" s="24" customFormat="1" hidden="1" outlineLevel="2" x14ac:dyDescent="0.25">
      <c r="A73" s="28"/>
      <c r="B73" s="11" t="str">
        <f>CONCATENATE("          ", "6118", " - ", "VACATION")</f>
        <v xml:space="preserve">          6118 - VACATION</v>
      </c>
      <c r="C73" s="11"/>
      <c r="D73" s="6"/>
      <c r="E73" s="2"/>
      <c r="F73" s="7">
        <f t="shared" si="21"/>
        <v>0</v>
      </c>
      <c r="G73" s="2"/>
      <c r="H73" s="6">
        <v>138.6</v>
      </c>
      <c r="I73" s="2"/>
      <c r="J73" s="7">
        <f t="shared" si="22"/>
        <v>1.9050606299977782E-3</v>
      </c>
      <c r="K73" s="2"/>
      <c r="L73" s="6">
        <f t="shared" si="23"/>
        <v>-138.6</v>
      </c>
      <c r="M73" s="2"/>
      <c r="N73" s="7">
        <f t="shared" si="24"/>
        <v>-1</v>
      </c>
      <c r="O73" s="11"/>
      <c r="P73" s="6"/>
      <c r="Q73" s="2"/>
      <c r="R73" s="7">
        <f t="shared" si="25"/>
        <v>0</v>
      </c>
      <c r="S73" s="2"/>
      <c r="T73" s="6">
        <v>562.91999999999996</v>
      </c>
      <c r="U73" s="2"/>
      <c r="V73" s="7">
        <f t="shared" si="26"/>
        <v>2.7990288624865447E-3</v>
      </c>
      <c r="W73" s="2"/>
      <c r="X73" s="6">
        <f t="shared" si="27"/>
        <v>-562.91999999999996</v>
      </c>
      <c r="Y73" s="2"/>
      <c r="Z73" s="7">
        <f t="shared" si="28"/>
        <v>-1</v>
      </c>
    </row>
    <row r="74" spans="1:26" s="24" customFormat="1" hidden="1" outlineLevel="2" x14ac:dyDescent="0.25">
      <c r="A74" s="28"/>
      <c r="B74" s="11" t="str">
        <f>CONCATENATE("          ", "6119", " - ", "SICK LEAVE")</f>
        <v xml:space="preserve">          6119 - SICK LEAVE</v>
      </c>
      <c r="C74" s="11"/>
      <c r="D74" s="6"/>
      <c r="E74" s="2"/>
      <c r="F74" s="7">
        <f t="shared" si="21"/>
        <v>0</v>
      </c>
      <c r="G74" s="2"/>
      <c r="H74" s="6">
        <v>166.05</v>
      </c>
      <c r="I74" s="2"/>
      <c r="J74" s="7">
        <f t="shared" si="22"/>
        <v>2.2823615989259098E-3</v>
      </c>
      <c r="K74" s="2"/>
      <c r="L74" s="6">
        <f t="shared" si="23"/>
        <v>-166.05</v>
      </c>
      <c r="M74" s="2"/>
      <c r="N74" s="7">
        <f t="shared" si="24"/>
        <v>-1</v>
      </c>
      <c r="O74" s="11"/>
      <c r="P74" s="6"/>
      <c r="Q74" s="2"/>
      <c r="R74" s="7">
        <f t="shared" si="25"/>
        <v>0</v>
      </c>
      <c r="S74" s="2"/>
      <c r="T74" s="6">
        <v>542.42999999999995</v>
      </c>
      <c r="U74" s="2"/>
      <c r="V74" s="7">
        <f t="shared" si="26"/>
        <v>2.6971456439255602E-3</v>
      </c>
      <c r="W74" s="2"/>
      <c r="X74" s="6">
        <f t="shared" si="27"/>
        <v>-542.42999999999995</v>
      </c>
      <c r="Y74" s="2"/>
      <c r="Z74" s="7">
        <f t="shared" si="28"/>
        <v>-1</v>
      </c>
    </row>
    <row r="75" spans="1:26" s="24" customFormat="1" hidden="1" outlineLevel="2" x14ac:dyDescent="0.25">
      <c r="A75" s="28"/>
      <c r="B75" s="11" t="str">
        <f>CONCATENATE("          ", "6156", " - ", "EMPLOYEE MEALS")</f>
        <v xml:space="preserve">          6156 - EMPLOYEE MEALS</v>
      </c>
      <c r="C75" s="11"/>
      <c r="D75" s="6"/>
      <c r="E75" s="2"/>
      <c r="F75" s="7">
        <f t="shared" si="21"/>
        <v>0</v>
      </c>
      <c r="G75" s="2"/>
      <c r="H75" s="6">
        <v>175</v>
      </c>
      <c r="I75" s="2"/>
      <c r="J75" s="7">
        <f t="shared" si="22"/>
        <v>2.405379583330528E-3</v>
      </c>
      <c r="K75" s="2"/>
      <c r="L75" s="6">
        <f t="shared" si="23"/>
        <v>-175</v>
      </c>
      <c r="M75" s="2"/>
      <c r="N75" s="7">
        <f t="shared" si="24"/>
        <v>-1</v>
      </c>
      <c r="O75" s="11"/>
      <c r="P75" s="6"/>
      <c r="Q75" s="2"/>
      <c r="R75" s="7">
        <f t="shared" si="25"/>
        <v>0</v>
      </c>
      <c r="S75" s="2"/>
      <c r="T75" s="6">
        <v>647.65</v>
      </c>
      <c r="U75" s="2"/>
      <c r="V75" s="7">
        <f t="shared" si="26"/>
        <v>3.2203351147399467E-3</v>
      </c>
      <c r="W75" s="2"/>
      <c r="X75" s="6">
        <f t="shared" si="27"/>
        <v>-647.65</v>
      </c>
      <c r="Y75" s="2"/>
      <c r="Z75" s="7">
        <f t="shared" si="28"/>
        <v>-1</v>
      </c>
    </row>
    <row r="76" spans="1:26" s="29" customFormat="1" outlineLevel="1" collapsed="1" x14ac:dyDescent="0.25">
      <c r="A76" s="27"/>
      <c r="B76" s="14" t="str">
        <f>CONCATENATE("     ","*Payroll                                          ")</f>
        <v xml:space="preserve">     *Payroll                                          </v>
      </c>
      <c r="C76" s="14"/>
      <c r="D76" s="1">
        <f>SUM(OSRRefD22_1x_0)</f>
        <v>891.38</v>
      </c>
      <c r="E76" s="1"/>
      <c r="F76" s="5">
        <f t="shared" ref="F76:F80" si="29">IF(D$12=0,0,D76/D$12)</f>
        <v>49.797765363128498</v>
      </c>
      <c r="G76" s="1"/>
      <c r="H76" s="1">
        <f>SUM(OSRRefH22_1x_0)</f>
        <v>11483.380000000001</v>
      </c>
      <c r="I76" s="1"/>
      <c r="J76" s="5">
        <f t="shared" ref="J76:J80" si="30">IF(H$12=0,0,H76/H$12)</f>
        <v>0.15783935885500641</v>
      </c>
      <c r="K76" s="1"/>
      <c r="L76" s="1">
        <f t="shared" ref="L76:L80" si="31">+D76-H76</f>
        <v>-10592.000000000002</v>
      </c>
      <c r="M76" s="1"/>
      <c r="N76" s="5">
        <f t="shared" ref="N76:N80" si="32">IF(H76=0,0,L76/H76)</f>
        <v>-0.9223765128385546</v>
      </c>
      <c r="O76" s="14"/>
      <c r="P76" s="1">
        <f>SUM(OSRRefP22_1x_0)</f>
        <v>8134.35</v>
      </c>
      <c r="Q76" s="1"/>
      <c r="R76" s="5">
        <f t="shared" ref="R76:R80" si="33">IF(P$12=0,0,P76/P$12)</f>
        <v>0.38168076832120246</v>
      </c>
      <c r="S76" s="1"/>
      <c r="T76" s="1">
        <f>SUM(OSRRefT22_1x_0)</f>
        <v>31571.129999999997</v>
      </c>
      <c r="U76" s="1"/>
      <c r="V76" s="5">
        <f t="shared" ref="V76:V80" si="34">IF(T$12=0,0,T76/T$12)</f>
        <v>0.15698234934149582</v>
      </c>
      <c r="W76" s="1"/>
      <c r="X76" s="1">
        <f t="shared" ref="X76:X80" si="35">+P76-T76</f>
        <v>-23436.78</v>
      </c>
      <c r="Y76" s="1"/>
      <c r="Z76" s="5">
        <f t="shared" ref="Z76:Z80" si="36">IF(T76=0,0,X76/T76)</f>
        <v>-0.74234846836334334</v>
      </c>
    </row>
    <row r="77" spans="1:26" s="24" customFormat="1" hidden="1" outlineLevel="2" x14ac:dyDescent="0.25">
      <c r="A77" s="28"/>
      <c r="B77" s="11" t="str">
        <f>CONCATENATE("          ", "6002", " - ", "STAFF SALARIES")</f>
        <v xml:space="preserve">          6002 - STAFF SALARIES</v>
      </c>
      <c r="C77" s="11"/>
      <c r="D77" s="6"/>
      <c r="E77" s="2"/>
      <c r="F77" s="7">
        <f t="shared" si="29"/>
        <v>0</v>
      </c>
      <c r="G77" s="2"/>
      <c r="H77" s="6">
        <v>2760</v>
      </c>
      <c r="I77" s="2"/>
      <c r="J77" s="7">
        <f t="shared" si="30"/>
        <v>3.7936272285670043E-2</v>
      </c>
      <c r="K77" s="2"/>
      <c r="L77" s="6">
        <f t="shared" si="31"/>
        <v>-2760</v>
      </c>
      <c r="M77" s="2"/>
      <c r="N77" s="7">
        <f t="shared" si="32"/>
        <v>-1</v>
      </c>
      <c r="O77" s="11"/>
      <c r="P77" s="6"/>
      <c r="Q77" s="2"/>
      <c r="R77" s="7">
        <f t="shared" si="33"/>
        <v>0</v>
      </c>
      <c r="S77" s="2"/>
      <c r="T77" s="6">
        <v>11376</v>
      </c>
      <c r="U77" s="2"/>
      <c r="V77" s="7">
        <f t="shared" si="34"/>
        <v>5.6565324272804189E-2</v>
      </c>
      <c r="W77" s="2"/>
      <c r="X77" s="6">
        <f t="shared" si="35"/>
        <v>-11376</v>
      </c>
      <c r="Y77" s="2"/>
      <c r="Z77" s="7">
        <f t="shared" si="36"/>
        <v>-1</v>
      </c>
    </row>
    <row r="78" spans="1:26" s="24" customFormat="1" hidden="1" outlineLevel="2" x14ac:dyDescent="0.25">
      <c r="A78" s="28"/>
      <c r="B78" s="11" t="str">
        <f>CONCATENATE("          ", "6005", " - ", "TEMPORARY WAGES-HOURLY")</f>
        <v xml:space="preserve">          6005 - TEMPORARY WAGES-HOURLY</v>
      </c>
      <c r="C78" s="11"/>
      <c r="D78" s="6">
        <v>1004.55</v>
      </c>
      <c r="E78" s="2"/>
      <c r="F78" s="7">
        <f t="shared" si="29"/>
        <v>56.120111731843579</v>
      </c>
      <c r="G78" s="2"/>
      <c r="H78" s="6">
        <v>416.88</v>
      </c>
      <c r="I78" s="2"/>
      <c r="J78" s="7">
        <f t="shared" si="30"/>
        <v>5.7300265182790317E-3</v>
      </c>
      <c r="K78" s="2"/>
      <c r="L78" s="6">
        <f t="shared" si="31"/>
        <v>587.66999999999996</v>
      </c>
      <c r="M78" s="2"/>
      <c r="N78" s="7">
        <f t="shared" si="32"/>
        <v>1.4096862406447899</v>
      </c>
      <c r="O78" s="11"/>
      <c r="P78" s="6">
        <v>5361</v>
      </c>
      <c r="Q78" s="2"/>
      <c r="R78" s="7">
        <f t="shared" si="33"/>
        <v>0.25154936767780661</v>
      </c>
      <c r="S78" s="2"/>
      <c r="T78" s="6">
        <v>416.88</v>
      </c>
      <c r="U78" s="2"/>
      <c r="V78" s="7">
        <f t="shared" si="34"/>
        <v>2.0728685287312422E-3</v>
      </c>
      <c r="W78" s="2"/>
      <c r="X78" s="6">
        <f t="shared" si="35"/>
        <v>4944.12</v>
      </c>
      <c r="Y78" s="2"/>
      <c r="Z78" s="7">
        <f t="shared" si="36"/>
        <v>11.859815774323547</v>
      </c>
    </row>
    <row r="79" spans="1:26" s="24" customFormat="1" hidden="1" outlineLevel="2" x14ac:dyDescent="0.25">
      <c r="A79" s="28"/>
      <c r="B79" s="11" t="str">
        <f>CONCATENATE("          ", "6006", " - ", "TEMPORARY PART TIME")</f>
        <v xml:space="preserve">          6006 - TEMPORARY PART TIME</v>
      </c>
      <c r="C79" s="11"/>
      <c r="D79" s="6"/>
      <c r="E79" s="2"/>
      <c r="F79" s="7">
        <f t="shared" si="29"/>
        <v>0</v>
      </c>
      <c r="G79" s="2"/>
      <c r="H79" s="6"/>
      <c r="I79" s="2"/>
      <c r="J79" s="7">
        <f t="shared" si="30"/>
        <v>0</v>
      </c>
      <c r="K79" s="2"/>
      <c r="L79" s="6">
        <f t="shared" si="31"/>
        <v>0</v>
      </c>
      <c r="M79" s="2"/>
      <c r="N79" s="7">
        <f t="shared" si="32"/>
        <v>0</v>
      </c>
      <c r="O79" s="11"/>
      <c r="P79" s="6"/>
      <c r="Q79" s="2"/>
      <c r="R79" s="7">
        <f t="shared" si="33"/>
        <v>0</v>
      </c>
      <c r="S79" s="2"/>
      <c r="T79" s="6">
        <v>25.5</v>
      </c>
      <c r="U79" s="2"/>
      <c r="V79" s="7">
        <f t="shared" si="34"/>
        <v>1.2679463510517817E-4</v>
      </c>
      <c r="W79" s="2"/>
      <c r="X79" s="6">
        <f t="shared" si="35"/>
        <v>-25.5</v>
      </c>
      <c r="Y79" s="2"/>
      <c r="Z79" s="7">
        <f t="shared" si="36"/>
        <v>-1</v>
      </c>
    </row>
    <row r="80" spans="1:26" s="24" customFormat="1" hidden="1" outlineLevel="2" x14ac:dyDescent="0.25">
      <c r="A80" s="28"/>
      <c r="B80" s="11" t="str">
        <f>CONCATENATE("          ", "6007", " - ", "STUDENT HOURLY")</f>
        <v xml:space="preserve">          6007 - STUDENT HOURLY</v>
      </c>
      <c r="C80" s="11"/>
      <c r="D80" s="6">
        <v>-113.17</v>
      </c>
      <c r="E80" s="2"/>
      <c r="F80" s="7">
        <f t="shared" si="29"/>
        <v>-6.3223463687150847</v>
      </c>
      <c r="G80" s="2"/>
      <c r="H80" s="6">
        <v>8306.5</v>
      </c>
      <c r="I80" s="2"/>
      <c r="J80" s="7">
        <f t="shared" si="30"/>
        <v>0.11417306005105733</v>
      </c>
      <c r="K80" s="2"/>
      <c r="L80" s="6">
        <f t="shared" si="31"/>
        <v>-8419.67</v>
      </c>
      <c r="M80" s="2"/>
      <c r="N80" s="7">
        <f t="shared" si="32"/>
        <v>-1.0136242701498825</v>
      </c>
      <c r="O80" s="11"/>
      <c r="P80" s="6">
        <v>2773.35</v>
      </c>
      <c r="Q80" s="2"/>
      <c r="R80" s="7">
        <f t="shared" si="33"/>
        <v>0.13013140064339582</v>
      </c>
      <c r="S80" s="2"/>
      <c r="T80" s="6">
        <v>19752.75</v>
      </c>
      <c r="U80" s="2"/>
      <c r="V80" s="7">
        <f t="shared" si="34"/>
        <v>9.8217361904855222E-2</v>
      </c>
      <c r="W80" s="2"/>
      <c r="X80" s="6">
        <f t="shared" si="35"/>
        <v>-16979.400000000001</v>
      </c>
      <c r="Y80" s="2"/>
      <c r="Z80" s="7">
        <f t="shared" si="36"/>
        <v>-0.85959676500740412</v>
      </c>
    </row>
    <row r="81" spans="1:26" s="29" customFormat="1" outlineLevel="1" collapsed="1" x14ac:dyDescent="0.25">
      <c r="A81" s="27"/>
      <c r="B81" s="14" t="str">
        <f>CONCATENATE("     ","Advertising/Promo                                 ")</f>
        <v xml:space="preserve">     Advertising/Promo                                 </v>
      </c>
      <c r="C81" s="14"/>
      <c r="D81" s="1">
        <f>SUM(OSRRefD22_2x_0)</f>
        <v>124.72</v>
      </c>
      <c r="E81" s="1"/>
      <c r="F81" s="5">
        <f t="shared" ref="F81:F87" si="37">IF(D$12=0,0,D81/D$12)</f>
        <v>6.9675977653631289</v>
      </c>
      <c r="G81" s="1"/>
      <c r="H81" s="1">
        <f>SUM(OSRRefH22_2x_0)</f>
        <v>701.91</v>
      </c>
      <c r="I81" s="1"/>
      <c r="J81" s="5">
        <f t="shared" ref="J81:J87" si="38">IF(H$12=0,0,H81/H$12)</f>
        <v>9.6477713333458903E-3</v>
      </c>
      <c r="K81" s="1"/>
      <c r="L81" s="1">
        <f t="shared" ref="L81:L87" si="39">+D81-H81</f>
        <v>-577.18999999999994</v>
      </c>
      <c r="M81" s="1"/>
      <c r="N81" s="5">
        <f t="shared" ref="N81:N87" si="40">IF(H81=0,0,L81/H81)</f>
        <v>-0.82231340200310576</v>
      </c>
      <c r="O81" s="14"/>
      <c r="P81" s="1">
        <f>SUM(OSRRefP22_2x_0)</f>
        <v>124.72</v>
      </c>
      <c r="Q81" s="1"/>
      <c r="R81" s="5">
        <f t="shared" ref="R81:R87" si="41">IF(P$12=0,0,P81/P$12)</f>
        <v>5.8521240695347957E-3</v>
      </c>
      <c r="S81" s="1"/>
      <c r="T81" s="1">
        <f>SUM(OSRRefT22_2x_0)</f>
        <v>848.62</v>
      </c>
      <c r="U81" s="1"/>
      <c r="V81" s="5">
        <f t="shared" ref="V81:V87" si="42">IF(T$12=0,0,T81/T$12)</f>
        <v>4.2196260095276978E-3</v>
      </c>
      <c r="W81" s="1"/>
      <c r="X81" s="1">
        <f t="shared" ref="X81:X87" si="43">+P81-T81</f>
        <v>-723.9</v>
      </c>
      <c r="Y81" s="1"/>
      <c r="Z81" s="5">
        <f t="shared" ref="Z81:Z87" si="44">IF(T81=0,0,X81/T81)</f>
        <v>-0.85303198133440172</v>
      </c>
    </row>
    <row r="82" spans="1:26" s="24" customFormat="1" hidden="1" outlineLevel="2" x14ac:dyDescent="0.25">
      <c r="A82" s="28"/>
      <c r="B82" s="11" t="str">
        <f>CONCATENATE("          ", "6362", " - ", "ADVERTISING EXPENSE")</f>
        <v xml:space="preserve">          6362 - ADVERTISING EXPENSE</v>
      </c>
      <c r="C82" s="11"/>
      <c r="D82" s="6">
        <v>124.72</v>
      </c>
      <c r="E82" s="2"/>
      <c r="F82" s="7">
        <f t="shared" si="37"/>
        <v>6.9675977653631289</v>
      </c>
      <c r="G82" s="2"/>
      <c r="H82" s="6">
        <v>701.91</v>
      </c>
      <c r="I82" s="2"/>
      <c r="J82" s="7">
        <f t="shared" si="38"/>
        <v>9.6477713333458903E-3</v>
      </c>
      <c r="K82" s="2"/>
      <c r="L82" s="6">
        <f t="shared" si="39"/>
        <v>-577.18999999999994</v>
      </c>
      <c r="M82" s="2"/>
      <c r="N82" s="7">
        <f t="shared" si="40"/>
        <v>-0.82231340200310576</v>
      </c>
      <c r="O82" s="11"/>
      <c r="P82" s="6">
        <v>124.72</v>
      </c>
      <c r="Q82" s="2"/>
      <c r="R82" s="7">
        <f t="shared" si="41"/>
        <v>5.8521240695347957E-3</v>
      </c>
      <c r="S82" s="2"/>
      <c r="T82" s="6">
        <v>848.62</v>
      </c>
      <c r="U82" s="2"/>
      <c r="V82" s="7">
        <f t="shared" si="42"/>
        <v>4.2196260095276978E-3</v>
      </c>
      <c r="W82" s="2"/>
      <c r="X82" s="6">
        <f t="shared" si="43"/>
        <v>-723.9</v>
      </c>
      <c r="Y82" s="2"/>
      <c r="Z82" s="7">
        <f t="shared" si="44"/>
        <v>-0.85303198133440172</v>
      </c>
    </row>
    <row r="83" spans="1:26" s="29" customFormat="1" outlineLevel="1" collapsed="1" x14ac:dyDescent="0.25">
      <c r="A83" s="27"/>
      <c r="B83" s="14" t="str">
        <f>CONCATENATE("     ","Bad Debts/Over/Short                              ")</f>
        <v xml:space="preserve">     Bad Debts/Over/Short                              </v>
      </c>
      <c r="C83" s="14"/>
      <c r="D83" s="1">
        <f>SUM(OSRRefD22_3x_0)</f>
        <v>0</v>
      </c>
      <c r="E83" s="1"/>
      <c r="F83" s="5">
        <f t="shared" si="37"/>
        <v>0</v>
      </c>
      <c r="G83" s="1"/>
      <c r="H83" s="1">
        <f>SUM(OSRRefH22_3x_0)</f>
        <v>-8.2799999999999994</v>
      </c>
      <c r="I83" s="1"/>
      <c r="J83" s="5">
        <f t="shared" si="38"/>
        <v>-1.1380881685701013E-4</v>
      </c>
      <c r="K83" s="1"/>
      <c r="L83" s="1">
        <f t="shared" si="39"/>
        <v>8.2799999999999994</v>
      </c>
      <c r="M83" s="1"/>
      <c r="N83" s="5">
        <f t="shared" si="40"/>
        <v>-1</v>
      </c>
      <c r="O83" s="14"/>
      <c r="P83" s="1">
        <f>SUM(OSRRefP22_3x_0)</f>
        <v>1.1000000000000001</v>
      </c>
      <c r="Q83" s="1"/>
      <c r="R83" s="5">
        <f t="shared" si="41"/>
        <v>5.1614307861516002E-5</v>
      </c>
      <c r="S83" s="1"/>
      <c r="T83" s="1">
        <f>SUM(OSRRefT22_3x_0)</f>
        <v>-47.56</v>
      </c>
      <c r="U83" s="1"/>
      <c r="V83" s="5">
        <f t="shared" si="42"/>
        <v>-2.3648442531773624E-4</v>
      </c>
      <c r="W83" s="1"/>
      <c r="X83" s="1">
        <f t="shared" si="43"/>
        <v>48.660000000000004</v>
      </c>
      <c r="Y83" s="1"/>
      <c r="Z83" s="5">
        <f t="shared" si="44"/>
        <v>-1.0231286795626577</v>
      </c>
    </row>
    <row r="84" spans="1:26" s="24" customFormat="1" hidden="1" outlineLevel="2" x14ac:dyDescent="0.25">
      <c r="A84" s="28"/>
      <c r="B84" s="11" t="str">
        <f>CONCATENATE("          ", "6272", " - ", "CASH (OVER/SHORT)")</f>
        <v xml:space="preserve">          6272 - CASH (OVER/SHORT)</v>
      </c>
      <c r="C84" s="11"/>
      <c r="D84" s="6"/>
      <c r="E84" s="2"/>
      <c r="F84" s="7">
        <f t="shared" si="37"/>
        <v>0</v>
      </c>
      <c r="G84" s="2"/>
      <c r="H84" s="6">
        <v>-8.2799999999999994</v>
      </c>
      <c r="I84" s="2"/>
      <c r="J84" s="7">
        <f t="shared" si="38"/>
        <v>-1.1380881685701013E-4</v>
      </c>
      <c r="K84" s="2"/>
      <c r="L84" s="6">
        <f t="shared" si="39"/>
        <v>8.2799999999999994</v>
      </c>
      <c r="M84" s="2"/>
      <c r="N84" s="7">
        <f t="shared" si="40"/>
        <v>-1</v>
      </c>
      <c r="O84" s="11"/>
      <c r="P84" s="6">
        <v>1.1000000000000001</v>
      </c>
      <c r="Q84" s="2"/>
      <c r="R84" s="7">
        <f t="shared" si="41"/>
        <v>5.1614307861516002E-5</v>
      </c>
      <c r="S84" s="2"/>
      <c r="T84" s="6">
        <v>-47.56</v>
      </c>
      <c r="U84" s="2"/>
      <c r="V84" s="7">
        <f t="shared" si="42"/>
        <v>-2.3648442531773624E-4</v>
      </c>
      <c r="W84" s="2"/>
      <c r="X84" s="6">
        <f t="shared" si="43"/>
        <v>48.660000000000004</v>
      </c>
      <c r="Y84" s="2"/>
      <c r="Z84" s="7">
        <f t="shared" si="44"/>
        <v>-1.0231286795626577</v>
      </c>
    </row>
    <row r="85" spans="1:26" s="29" customFormat="1" outlineLevel="1" collapsed="1" x14ac:dyDescent="0.25">
      <c r="A85" s="27"/>
      <c r="B85" s="14" t="str">
        <f>CONCATENATE("     ","Discounts and Markdowns                           ")</f>
        <v xml:space="preserve">     Discounts and Markdowns                           </v>
      </c>
      <c r="C85" s="14"/>
      <c r="D85" s="1">
        <f>SUM(OSRRefD22_4x_0)</f>
        <v>-418.85</v>
      </c>
      <c r="E85" s="1"/>
      <c r="F85" s="5">
        <f t="shared" si="37"/>
        <v>-23.399441340782126</v>
      </c>
      <c r="G85" s="1"/>
      <c r="H85" s="1">
        <f>SUM(OSRRefH22_4x_0)</f>
        <v>1216.78</v>
      </c>
      <c r="I85" s="1"/>
      <c r="J85" s="5">
        <f t="shared" si="38"/>
        <v>1.6724672968028115E-2</v>
      </c>
      <c r="K85" s="1"/>
      <c r="L85" s="1">
        <f t="shared" si="39"/>
        <v>-1635.63</v>
      </c>
      <c r="M85" s="1"/>
      <c r="N85" s="5">
        <f t="shared" si="40"/>
        <v>-1.344228208879173</v>
      </c>
      <c r="O85" s="14"/>
      <c r="P85" s="1">
        <f>SUM(OSRRefP22_4x_0)</f>
        <v>-418.85</v>
      </c>
      <c r="Q85" s="1"/>
      <c r="R85" s="5">
        <f t="shared" si="41"/>
        <v>-1.9653320770723615E-2</v>
      </c>
      <c r="S85" s="1"/>
      <c r="T85" s="1">
        <f>SUM(OSRRefT22_4x_0)</f>
        <v>4736.6099999999997</v>
      </c>
      <c r="U85" s="1"/>
      <c r="V85" s="5">
        <f t="shared" si="42"/>
        <v>2.3552028885707368E-2</v>
      </c>
      <c r="W85" s="1"/>
      <c r="X85" s="1">
        <f t="shared" si="43"/>
        <v>-5155.46</v>
      </c>
      <c r="Y85" s="1"/>
      <c r="Z85" s="5">
        <f t="shared" si="44"/>
        <v>-1.0884282218717607</v>
      </c>
    </row>
    <row r="86" spans="1:26" s="24" customFormat="1" hidden="1" outlineLevel="2" x14ac:dyDescent="0.25">
      <c r="A86" s="28"/>
      <c r="B86" s="11" t="str">
        <f>CONCATENATE("          ", "6382", " - ", "DISCOUNTS/MARK DOWNS")</f>
        <v xml:space="preserve">          6382 - DISCOUNTS/MARK DOWNS</v>
      </c>
      <c r="C86" s="11"/>
      <c r="D86" s="6"/>
      <c r="E86" s="2"/>
      <c r="F86" s="7">
        <f t="shared" si="37"/>
        <v>0</v>
      </c>
      <c r="G86" s="2"/>
      <c r="H86" s="6">
        <v>1216.78</v>
      </c>
      <c r="I86" s="2"/>
      <c r="J86" s="7">
        <f t="shared" si="38"/>
        <v>1.6724672968028115E-2</v>
      </c>
      <c r="K86" s="2"/>
      <c r="L86" s="6">
        <f t="shared" si="39"/>
        <v>-1216.78</v>
      </c>
      <c r="M86" s="2"/>
      <c r="N86" s="7">
        <f t="shared" si="40"/>
        <v>-1</v>
      </c>
      <c r="O86" s="11"/>
      <c r="P86" s="6"/>
      <c r="Q86" s="2"/>
      <c r="R86" s="7">
        <f t="shared" si="41"/>
        <v>0</v>
      </c>
      <c r="S86" s="2"/>
      <c r="T86" s="6">
        <v>4736.6099999999997</v>
      </c>
      <c r="U86" s="2"/>
      <c r="V86" s="7">
        <f t="shared" si="42"/>
        <v>2.3552028885707368E-2</v>
      </c>
      <c r="W86" s="2"/>
      <c r="X86" s="6">
        <f t="shared" si="43"/>
        <v>-4736.6099999999997</v>
      </c>
      <c r="Y86" s="2"/>
      <c r="Z86" s="7">
        <f t="shared" si="44"/>
        <v>-1</v>
      </c>
    </row>
    <row r="87" spans="1:26" s="24" customFormat="1" hidden="1" outlineLevel="2" x14ac:dyDescent="0.25">
      <c r="A87" s="28"/>
      <c r="B87" s="11" t="str">
        <f>CONCATENATE("          ", "9175", " - ", "EARNED DISCOUNTS")</f>
        <v xml:space="preserve">          9175 - EARNED DISCOUNTS</v>
      </c>
      <c r="C87" s="11"/>
      <c r="D87" s="6">
        <v>-418.85</v>
      </c>
      <c r="E87" s="2"/>
      <c r="F87" s="7">
        <f t="shared" si="37"/>
        <v>-23.399441340782126</v>
      </c>
      <c r="G87" s="2"/>
      <c r="H87" s="6"/>
      <c r="I87" s="2"/>
      <c r="J87" s="7">
        <f t="shared" si="38"/>
        <v>0</v>
      </c>
      <c r="K87" s="2"/>
      <c r="L87" s="6">
        <f t="shared" si="39"/>
        <v>-418.85</v>
      </c>
      <c r="M87" s="2"/>
      <c r="N87" s="7">
        <f t="shared" si="40"/>
        <v>0</v>
      </c>
      <c r="O87" s="11"/>
      <c r="P87" s="6">
        <v>-418.85</v>
      </c>
      <c r="Q87" s="2"/>
      <c r="R87" s="7">
        <f t="shared" si="41"/>
        <v>-1.9653320770723615E-2</v>
      </c>
      <c r="S87" s="2"/>
      <c r="T87" s="6">
        <v>0</v>
      </c>
      <c r="U87" s="2"/>
      <c r="V87" s="7">
        <f t="shared" si="42"/>
        <v>0</v>
      </c>
      <c r="W87" s="2"/>
      <c r="X87" s="6">
        <f t="shared" si="43"/>
        <v>-418.85</v>
      </c>
      <c r="Y87" s="2"/>
      <c r="Z87" s="7">
        <f t="shared" si="44"/>
        <v>0</v>
      </c>
    </row>
    <row r="88" spans="1:26" s="29" customFormat="1" outlineLevel="1" collapsed="1" x14ac:dyDescent="0.25">
      <c r="A88" s="27"/>
      <c r="B88" s="14" t="str">
        <f>CONCATENATE("     ","General                                           ")</f>
        <v xml:space="preserve">     General                                           </v>
      </c>
      <c r="C88" s="14"/>
      <c r="D88" s="1">
        <f>SUM(OSRRefD22_5x_0)</f>
        <v>0</v>
      </c>
      <c r="E88" s="1"/>
      <c r="F88" s="5">
        <f t="shared" ref="F88:F94" si="45">IF(D$12=0,0,D88/D$12)</f>
        <v>0</v>
      </c>
      <c r="G88" s="1"/>
      <c r="H88" s="1">
        <f>SUM(OSRRefH22_5x_0)</f>
        <v>99.5</v>
      </c>
      <c r="I88" s="1"/>
      <c r="J88" s="5">
        <f t="shared" ref="J88:J94" si="46">IF(H$12=0,0,H88/H$12)</f>
        <v>1.367630105950786E-3</v>
      </c>
      <c r="K88" s="1"/>
      <c r="L88" s="1">
        <f t="shared" ref="L88:L94" si="47">+D88-H88</f>
        <v>-99.5</v>
      </c>
      <c r="M88" s="1"/>
      <c r="N88" s="5">
        <f t="shared" ref="N88:N94" si="48">IF(H88=0,0,L88/H88)</f>
        <v>-1</v>
      </c>
      <c r="O88" s="14"/>
      <c r="P88" s="1">
        <f>SUM(OSRRefP22_5x_0)</f>
        <v>719.55</v>
      </c>
      <c r="Q88" s="1"/>
      <c r="R88" s="5">
        <f t="shared" ref="R88:R94" si="49">IF(P$12=0,0,P88/P$12)</f>
        <v>3.3762795656139849E-2</v>
      </c>
      <c r="S88" s="1"/>
      <c r="T88" s="1">
        <f>SUM(OSRRefT22_5x_0)</f>
        <v>794.05</v>
      </c>
      <c r="U88" s="1"/>
      <c r="V88" s="5">
        <f t="shared" ref="V88:V94" si="50">IF(T$12=0,0,T88/T$12)</f>
        <v>3.9482854904026162E-3</v>
      </c>
      <c r="W88" s="1"/>
      <c r="X88" s="1">
        <f t="shared" ref="X88:X94" si="51">+P88-T88</f>
        <v>-74.5</v>
      </c>
      <c r="Y88" s="1"/>
      <c r="Z88" s="5">
        <f t="shared" ref="Z88:Z94" si="52">IF(T88=0,0,X88/T88)</f>
        <v>-9.3822807128014621E-2</v>
      </c>
    </row>
    <row r="89" spans="1:26" s="24" customFormat="1" hidden="1" outlineLevel="2" x14ac:dyDescent="0.25">
      <c r="A89" s="28"/>
      <c r="B89" s="11" t="str">
        <f>CONCATENATE("          ", "6279", " - ", "GENERAL EXPENSE")</f>
        <v xml:space="preserve">          6279 - GENERAL EXPENSE</v>
      </c>
      <c r="C89" s="11"/>
      <c r="D89" s="6"/>
      <c r="E89" s="2"/>
      <c r="F89" s="7">
        <f t="shared" si="45"/>
        <v>0</v>
      </c>
      <c r="G89" s="2"/>
      <c r="H89" s="6">
        <v>99.5</v>
      </c>
      <c r="I89" s="2"/>
      <c r="J89" s="7">
        <f t="shared" si="46"/>
        <v>1.367630105950786E-3</v>
      </c>
      <c r="K89" s="2"/>
      <c r="L89" s="6">
        <f t="shared" si="47"/>
        <v>-99.5</v>
      </c>
      <c r="M89" s="2"/>
      <c r="N89" s="7">
        <f t="shared" si="48"/>
        <v>-1</v>
      </c>
      <c r="O89" s="11"/>
      <c r="P89" s="6">
        <v>719.55</v>
      </c>
      <c r="Q89" s="2"/>
      <c r="R89" s="7">
        <f t="shared" si="49"/>
        <v>3.3762795656139849E-2</v>
      </c>
      <c r="S89" s="2"/>
      <c r="T89" s="6">
        <v>794.05</v>
      </c>
      <c r="U89" s="2"/>
      <c r="V89" s="7">
        <f t="shared" si="50"/>
        <v>3.9482854904026162E-3</v>
      </c>
      <c r="W89" s="2"/>
      <c r="X89" s="6">
        <f t="shared" si="51"/>
        <v>-74.5</v>
      </c>
      <c r="Y89" s="2"/>
      <c r="Z89" s="7">
        <f t="shared" si="52"/>
        <v>-9.3822807128014621E-2</v>
      </c>
    </row>
    <row r="90" spans="1:26" s="29" customFormat="1" outlineLevel="1" collapsed="1" x14ac:dyDescent="0.25">
      <c r="A90" s="27"/>
      <c r="B90" s="14" t="str">
        <f>CONCATENATE("     ","Professional Services                             ")</f>
        <v xml:space="preserve">     Professional Services                             </v>
      </c>
      <c r="C90" s="14"/>
      <c r="D90" s="1">
        <f>SUM(OSRRefD22_6x_0)</f>
        <v>0</v>
      </c>
      <c r="E90" s="1"/>
      <c r="F90" s="5">
        <f t="shared" si="45"/>
        <v>0</v>
      </c>
      <c r="G90" s="1"/>
      <c r="H90" s="1">
        <f>SUM(OSRRefH22_6x_0)</f>
        <v>0</v>
      </c>
      <c r="I90" s="1"/>
      <c r="J90" s="5">
        <f t="shared" si="46"/>
        <v>0</v>
      </c>
      <c r="K90" s="1"/>
      <c r="L90" s="1">
        <f t="shared" si="47"/>
        <v>0</v>
      </c>
      <c r="M90" s="1"/>
      <c r="N90" s="5">
        <f t="shared" si="48"/>
        <v>0</v>
      </c>
      <c r="O90" s="14"/>
      <c r="P90" s="1">
        <f>SUM(OSRRefP22_6x_0)</f>
        <v>0</v>
      </c>
      <c r="Q90" s="1"/>
      <c r="R90" s="5">
        <f t="shared" si="49"/>
        <v>0</v>
      </c>
      <c r="S90" s="1"/>
      <c r="T90" s="1">
        <f>SUM(OSRRefT22_6x_0)</f>
        <v>750</v>
      </c>
      <c r="U90" s="1"/>
      <c r="V90" s="5">
        <f t="shared" si="50"/>
        <v>3.7292539736817109E-3</v>
      </c>
      <c r="W90" s="1"/>
      <c r="X90" s="1">
        <f t="shared" si="51"/>
        <v>-750</v>
      </c>
      <c r="Y90" s="1"/>
      <c r="Z90" s="5">
        <f t="shared" si="52"/>
        <v>-1</v>
      </c>
    </row>
    <row r="91" spans="1:26" s="24" customFormat="1" hidden="1" outlineLevel="2" x14ac:dyDescent="0.25">
      <c r="A91" s="28"/>
      <c r="B91" s="11" t="str">
        <f>CONCATENATE("          ", "6336", " - ", "PROFESSIONAL SERVICES")</f>
        <v xml:space="preserve">          6336 - PROFESSIONAL SERVICES</v>
      </c>
      <c r="C91" s="11"/>
      <c r="D91" s="6"/>
      <c r="E91" s="2"/>
      <c r="F91" s="7">
        <f t="shared" si="45"/>
        <v>0</v>
      </c>
      <c r="G91" s="2"/>
      <c r="H91" s="6"/>
      <c r="I91" s="2"/>
      <c r="J91" s="7">
        <f t="shared" si="46"/>
        <v>0</v>
      </c>
      <c r="K91" s="2"/>
      <c r="L91" s="6">
        <f t="shared" si="47"/>
        <v>0</v>
      </c>
      <c r="M91" s="2"/>
      <c r="N91" s="7">
        <f t="shared" si="48"/>
        <v>0</v>
      </c>
      <c r="O91" s="11"/>
      <c r="P91" s="6"/>
      <c r="Q91" s="2"/>
      <c r="R91" s="7">
        <f t="shared" si="49"/>
        <v>0</v>
      </c>
      <c r="S91" s="2"/>
      <c r="T91" s="6">
        <v>750</v>
      </c>
      <c r="U91" s="2"/>
      <c r="V91" s="7">
        <f t="shared" si="50"/>
        <v>3.7292539736817109E-3</v>
      </c>
      <c r="W91" s="2"/>
      <c r="X91" s="6">
        <f t="shared" si="51"/>
        <v>-750</v>
      </c>
      <c r="Y91" s="2"/>
      <c r="Z91" s="7">
        <f t="shared" si="52"/>
        <v>-1</v>
      </c>
    </row>
    <row r="92" spans="1:26" s="29" customFormat="1" outlineLevel="1" collapsed="1" x14ac:dyDescent="0.25">
      <c r="A92" s="27"/>
      <c r="B92" s="14" t="str">
        <f>CONCATENATE("     ","Repair and Maintenance                            ")</f>
        <v xml:space="preserve">     Repair and Maintenance                            </v>
      </c>
      <c r="C92" s="14"/>
      <c r="D92" s="1">
        <f>SUM(OSRRefD22_7x_0)</f>
        <v>0</v>
      </c>
      <c r="E92" s="1"/>
      <c r="F92" s="5">
        <f t="shared" si="45"/>
        <v>0</v>
      </c>
      <c r="G92" s="1"/>
      <c r="H92" s="1">
        <f>SUM(OSRRefH22_7x_0)</f>
        <v>58.62</v>
      </c>
      <c r="I92" s="1"/>
      <c r="J92" s="5">
        <f t="shared" si="46"/>
        <v>8.0573343528477458E-4</v>
      </c>
      <c r="K92" s="1"/>
      <c r="L92" s="1">
        <f t="shared" si="47"/>
        <v>-58.62</v>
      </c>
      <c r="M92" s="1"/>
      <c r="N92" s="5">
        <f t="shared" si="48"/>
        <v>-1</v>
      </c>
      <c r="O92" s="14"/>
      <c r="P92" s="1">
        <f>SUM(OSRRefP22_7x_0)</f>
        <v>139.71</v>
      </c>
      <c r="Q92" s="1"/>
      <c r="R92" s="5">
        <f t="shared" si="49"/>
        <v>6.555486319393092E-3</v>
      </c>
      <c r="S92" s="1"/>
      <c r="T92" s="1">
        <f>SUM(OSRRefT22_7x_0)</f>
        <v>68.42</v>
      </c>
      <c r="U92" s="1"/>
      <c r="V92" s="5">
        <f t="shared" si="50"/>
        <v>3.4020740917240356E-4</v>
      </c>
      <c r="W92" s="1"/>
      <c r="X92" s="1">
        <f t="shared" si="51"/>
        <v>71.290000000000006</v>
      </c>
      <c r="Y92" s="1"/>
      <c r="Z92" s="5">
        <f t="shared" si="52"/>
        <v>1.0419467991815259</v>
      </c>
    </row>
    <row r="93" spans="1:26" s="24" customFormat="1" hidden="1" outlineLevel="2" x14ac:dyDescent="0.25">
      <c r="A93" s="28"/>
      <c r="B93" s="11" t="str">
        <f>CONCATENATE("          ", "6373", " - ", "MAINTENANCE CONTRACTS")</f>
        <v xml:space="preserve">          6373 - MAINTENANCE CONTRACTS</v>
      </c>
      <c r="C93" s="11"/>
      <c r="D93" s="6"/>
      <c r="E93" s="2"/>
      <c r="F93" s="7">
        <f t="shared" si="45"/>
        <v>0</v>
      </c>
      <c r="G93" s="2"/>
      <c r="H93" s="6">
        <v>58.62</v>
      </c>
      <c r="I93" s="2"/>
      <c r="J93" s="7">
        <f t="shared" si="46"/>
        <v>8.0573343528477458E-4</v>
      </c>
      <c r="K93" s="2"/>
      <c r="L93" s="6">
        <f t="shared" si="47"/>
        <v>-58.62</v>
      </c>
      <c r="M93" s="2"/>
      <c r="N93" s="7">
        <f t="shared" si="48"/>
        <v>-1</v>
      </c>
      <c r="O93" s="11"/>
      <c r="P93" s="6">
        <v>139.71</v>
      </c>
      <c r="Q93" s="2"/>
      <c r="R93" s="7">
        <f t="shared" si="49"/>
        <v>6.555486319393092E-3</v>
      </c>
      <c r="S93" s="2"/>
      <c r="T93" s="6">
        <v>58.62</v>
      </c>
      <c r="U93" s="2"/>
      <c r="V93" s="7">
        <f t="shared" si="50"/>
        <v>2.9147849058296251E-4</v>
      </c>
      <c r="W93" s="2"/>
      <c r="X93" s="6">
        <f t="shared" si="51"/>
        <v>81.09</v>
      </c>
      <c r="Y93" s="2"/>
      <c r="Z93" s="7">
        <f t="shared" si="52"/>
        <v>1.3833162743091096</v>
      </c>
    </row>
    <row r="94" spans="1:26" s="24" customFormat="1" hidden="1" outlineLevel="2" x14ac:dyDescent="0.25">
      <c r="A94" s="28"/>
      <c r="B94" s="11" t="str">
        <f>CONCATENATE("          ", "6375", " - ", "OUTSIDE REPAIRS &amp; MAINTENANCE")</f>
        <v xml:space="preserve">          6375 - OUTSIDE REPAIRS &amp; MAINTENANCE</v>
      </c>
      <c r="C94" s="11"/>
      <c r="D94" s="6"/>
      <c r="E94" s="2"/>
      <c r="F94" s="7">
        <f t="shared" si="45"/>
        <v>0</v>
      </c>
      <c r="G94" s="2"/>
      <c r="H94" s="6"/>
      <c r="I94" s="2"/>
      <c r="J94" s="7">
        <f t="shared" si="46"/>
        <v>0</v>
      </c>
      <c r="K94" s="2"/>
      <c r="L94" s="6">
        <f t="shared" si="47"/>
        <v>0</v>
      </c>
      <c r="M94" s="2"/>
      <c r="N94" s="7">
        <f t="shared" si="48"/>
        <v>0</v>
      </c>
      <c r="O94" s="11"/>
      <c r="P94" s="6"/>
      <c r="Q94" s="2"/>
      <c r="R94" s="7">
        <f t="shared" si="49"/>
        <v>0</v>
      </c>
      <c r="S94" s="2"/>
      <c r="T94" s="6">
        <v>9.8000000000000007</v>
      </c>
      <c r="U94" s="2"/>
      <c r="V94" s="7">
        <f t="shared" si="50"/>
        <v>4.8728918589441022E-5</v>
      </c>
      <c r="W94" s="2"/>
      <c r="X94" s="6">
        <f t="shared" si="51"/>
        <v>-9.8000000000000007</v>
      </c>
      <c r="Y94" s="2"/>
      <c r="Z94" s="7">
        <f t="shared" si="52"/>
        <v>-1</v>
      </c>
    </row>
    <row r="95" spans="1:26" s="29" customFormat="1" outlineLevel="1" collapsed="1" x14ac:dyDescent="0.25">
      <c r="A95" s="27"/>
      <c r="B95" s="14" t="str">
        <f>CONCATENATE("     ","Services                                          ")</f>
        <v xml:space="preserve">     Services                                          </v>
      </c>
      <c r="C95" s="14"/>
      <c r="D95" s="1">
        <f>SUM(OSRRefD22_8x_0)</f>
        <v>0</v>
      </c>
      <c r="E95" s="1"/>
      <c r="F95" s="5">
        <f t="shared" ref="F95:F97" si="53">IF(D$12=0,0,D95/D$12)</f>
        <v>0</v>
      </c>
      <c r="G95" s="1"/>
      <c r="H95" s="1">
        <f>SUM(OSRRefH22_8x_0)</f>
        <v>274.26</v>
      </c>
      <c r="I95" s="1"/>
      <c r="J95" s="5">
        <f t="shared" ref="J95:J97" si="54">IF(H$12=0,0,H95/H$12)</f>
        <v>3.7697108829956036E-3</v>
      </c>
      <c r="K95" s="1"/>
      <c r="L95" s="1">
        <f t="shared" ref="L95:L97" si="55">+D95-H95</f>
        <v>-274.26</v>
      </c>
      <c r="M95" s="1"/>
      <c r="N95" s="5">
        <f t="shared" ref="N95:N97" si="56">IF(H95=0,0,L95/H95)</f>
        <v>-1</v>
      </c>
      <c r="O95" s="14"/>
      <c r="P95" s="1">
        <f>SUM(OSRRefP22_8x_0)</f>
        <v>-25.5</v>
      </c>
      <c r="Q95" s="1"/>
      <c r="R95" s="5">
        <f t="shared" ref="R95:R97" si="57">IF(P$12=0,0,P95/P$12)</f>
        <v>-1.1965135004260528E-3</v>
      </c>
      <c r="S95" s="1"/>
      <c r="T95" s="1">
        <f>SUM(OSRRefT22_8x_0)</f>
        <v>970.22</v>
      </c>
      <c r="U95" s="1"/>
      <c r="V95" s="5">
        <f t="shared" ref="V95:V97" si="58">IF(T$12=0,0,T95/T$12)</f>
        <v>4.8242623871272931E-3</v>
      </c>
      <c r="W95" s="1"/>
      <c r="X95" s="1">
        <f t="shared" ref="X95:X97" si="59">+P95-T95</f>
        <v>-995.72</v>
      </c>
      <c r="Y95" s="1"/>
      <c r="Z95" s="5">
        <f t="shared" ref="Z95:Z97" si="60">IF(T95=0,0,X95/T95)</f>
        <v>-1.0262826987693512</v>
      </c>
    </row>
    <row r="96" spans="1:26" s="24" customFormat="1" hidden="1" outlineLevel="2" x14ac:dyDescent="0.25">
      <c r="A96" s="28"/>
      <c r="B96" s="11" t="str">
        <f>CONCATENATE("          ", "6282", " - ", "JANITORIAL/EXTERMINATOR EXPENS")</f>
        <v xml:space="preserve">          6282 - JANITORIAL/EXTERMINATOR EXPENS</v>
      </c>
      <c r="C96" s="11"/>
      <c r="D96" s="6"/>
      <c r="E96" s="2"/>
      <c r="F96" s="7">
        <f t="shared" si="53"/>
        <v>0</v>
      </c>
      <c r="G96" s="2"/>
      <c r="H96" s="6">
        <v>44</v>
      </c>
      <c r="I96" s="2"/>
      <c r="J96" s="7">
        <f t="shared" si="54"/>
        <v>6.0478115238024707E-4</v>
      </c>
      <c r="K96" s="2"/>
      <c r="L96" s="6">
        <f t="shared" si="55"/>
        <v>-44</v>
      </c>
      <c r="M96" s="2"/>
      <c r="N96" s="7">
        <f t="shared" si="56"/>
        <v>-1</v>
      </c>
      <c r="O96" s="11"/>
      <c r="P96" s="6">
        <v>132</v>
      </c>
      <c r="Q96" s="2"/>
      <c r="R96" s="7">
        <f t="shared" si="57"/>
        <v>6.1937169433819205E-3</v>
      </c>
      <c r="S96" s="2"/>
      <c r="T96" s="6">
        <v>176</v>
      </c>
      <c r="U96" s="2"/>
      <c r="V96" s="7">
        <f t="shared" si="58"/>
        <v>8.751315991573081E-4</v>
      </c>
      <c r="W96" s="2"/>
      <c r="X96" s="6">
        <f t="shared" si="59"/>
        <v>-44</v>
      </c>
      <c r="Y96" s="2"/>
      <c r="Z96" s="7">
        <f t="shared" si="60"/>
        <v>-0.25</v>
      </c>
    </row>
    <row r="97" spans="1:26" s="24" customFormat="1" hidden="1" outlineLevel="2" x14ac:dyDescent="0.25">
      <c r="A97" s="28"/>
      <c r="B97" s="11" t="str">
        <f>CONCATENATE("          ", "6285", " - ", "JANITORIAL SERVICES")</f>
        <v xml:space="preserve">          6285 - JANITORIAL SERVICES</v>
      </c>
      <c r="C97" s="11"/>
      <c r="D97" s="6"/>
      <c r="E97" s="2"/>
      <c r="F97" s="7">
        <f t="shared" si="53"/>
        <v>0</v>
      </c>
      <c r="G97" s="2"/>
      <c r="H97" s="6">
        <v>230.26</v>
      </c>
      <c r="I97" s="2"/>
      <c r="J97" s="7">
        <f t="shared" si="54"/>
        <v>3.1649297306153563E-3</v>
      </c>
      <c r="K97" s="2"/>
      <c r="L97" s="6">
        <f t="shared" si="55"/>
        <v>-230.26</v>
      </c>
      <c r="M97" s="2"/>
      <c r="N97" s="7">
        <f t="shared" si="56"/>
        <v>-1</v>
      </c>
      <c r="O97" s="11"/>
      <c r="P97" s="6">
        <v>-157.5</v>
      </c>
      <c r="Q97" s="2"/>
      <c r="R97" s="7">
        <f t="shared" si="57"/>
        <v>-7.3902304438079732E-3</v>
      </c>
      <c r="S97" s="2"/>
      <c r="T97" s="6">
        <v>794.22</v>
      </c>
      <c r="U97" s="2"/>
      <c r="V97" s="7">
        <f t="shared" si="58"/>
        <v>3.9491307879699847E-3</v>
      </c>
      <c r="W97" s="2"/>
      <c r="X97" s="6">
        <f t="shared" si="59"/>
        <v>-951.72</v>
      </c>
      <c r="Y97" s="2"/>
      <c r="Z97" s="7">
        <f t="shared" si="60"/>
        <v>-1.1983077736647276</v>
      </c>
    </row>
    <row r="98" spans="1:26" s="29" customFormat="1" outlineLevel="1" collapsed="1" x14ac:dyDescent="0.25">
      <c r="A98" s="27"/>
      <c r="B98" s="14" t="str">
        <f>CONCATENATE("     ","Supplies                                          ")</f>
        <v xml:space="preserve">     Supplies                                          </v>
      </c>
      <c r="C98" s="14"/>
      <c r="D98" s="1">
        <f>SUM(OSRRefD22_9x_0)</f>
        <v>544.6</v>
      </c>
      <c r="E98" s="1"/>
      <c r="F98" s="5">
        <f t="shared" ref="F98:F101" si="61">IF(D$12=0,0,D98/D$12)</f>
        <v>30.424581005586596</v>
      </c>
      <c r="G98" s="1"/>
      <c r="H98" s="1">
        <f>SUM(OSRRefH22_9x_0)</f>
        <v>198.56</v>
      </c>
      <c r="I98" s="1"/>
      <c r="J98" s="5">
        <f t="shared" ref="J98:J101" si="62">IF(H$12=0,0,H98/H$12)</f>
        <v>2.7292124003777695E-3</v>
      </c>
      <c r="K98" s="1"/>
      <c r="L98" s="1">
        <f t="shared" ref="L98:L101" si="63">+D98-H98</f>
        <v>346.04</v>
      </c>
      <c r="M98" s="1"/>
      <c r="N98" s="5">
        <f t="shared" ref="N98:N101" si="64">IF(H98=0,0,L98/H98)</f>
        <v>1.7427477840451251</v>
      </c>
      <c r="O98" s="14"/>
      <c r="P98" s="1">
        <f>SUM(OSRRefP22_9x_0)</f>
        <v>1892.27</v>
      </c>
      <c r="Q98" s="1"/>
      <c r="R98" s="5">
        <f t="shared" ref="R98:R101" si="65">IF(P$12=0,0,P98/P$12)</f>
        <v>8.8789278488282622E-2</v>
      </c>
      <c r="S98" s="1"/>
      <c r="T98" s="1">
        <f>SUM(OSRRefT22_9x_0)</f>
        <v>572.18999999999994</v>
      </c>
      <c r="U98" s="1"/>
      <c r="V98" s="5">
        <f t="shared" ref="V98:V101" si="66">IF(T$12=0,0,T98/T$12)</f>
        <v>2.8451224416012506E-3</v>
      </c>
      <c r="W98" s="1"/>
      <c r="X98" s="1">
        <f t="shared" ref="X98:X101" si="67">+P98-T98</f>
        <v>1320.08</v>
      </c>
      <c r="Y98" s="1"/>
      <c r="Z98" s="5">
        <f t="shared" ref="Z98:Z101" si="68">IF(T98=0,0,X98/T98)</f>
        <v>2.307065834775162</v>
      </c>
    </row>
    <row r="99" spans="1:26" s="24" customFormat="1" hidden="1" outlineLevel="2" x14ac:dyDescent="0.25">
      <c r="A99" s="28"/>
      <c r="B99" s="11" t="str">
        <f>CONCATENATE("          ", "6235", " - ", "COVID-19 EXPENSES")</f>
        <v xml:space="preserve">          6235 - COVID-19 EXPENSES</v>
      </c>
      <c r="C99" s="11"/>
      <c r="D99" s="6"/>
      <c r="E99" s="2"/>
      <c r="F99" s="7">
        <f t="shared" si="61"/>
        <v>0</v>
      </c>
      <c r="G99" s="2"/>
      <c r="H99" s="6"/>
      <c r="I99" s="2"/>
      <c r="J99" s="7">
        <f t="shared" si="62"/>
        <v>0</v>
      </c>
      <c r="K99" s="2"/>
      <c r="L99" s="6">
        <f t="shared" si="63"/>
        <v>0</v>
      </c>
      <c r="M99" s="2"/>
      <c r="N99" s="7">
        <f t="shared" si="64"/>
        <v>0</v>
      </c>
      <c r="O99" s="11"/>
      <c r="P99" s="6">
        <v>444.3</v>
      </c>
      <c r="Q99" s="2"/>
      <c r="R99" s="7">
        <f t="shared" si="65"/>
        <v>2.0847488166246871E-2</v>
      </c>
      <c r="S99" s="2"/>
      <c r="T99" s="6"/>
      <c r="U99" s="2"/>
      <c r="V99" s="7">
        <f t="shared" si="66"/>
        <v>0</v>
      </c>
      <c r="W99" s="2"/>
      <c r="X99" s="6">
        <f t="shared" si="67"/>
        <v>444.3</v>
      </c>
      <c r="Y99" s="2"/>
      <c r="Z99" s="7">
        <f t="shared" si="68"/>
        <v>0</v>
      </c>
    </row>
    <row r="100" spans="1:26" s="24" customFormat="1" hidden="1" outlineLevel="2" x14ac:dyDescent="0.25">
      <c r="A100" s="28"/>
      <c r="B100" s="11" t="str">
        <f>CONCATENATE("          ", "6241", " - ", "OFFICE EXPENSE")</f>
        <v xml:space="preserve">          6241 - OFFICE EXPENSE</v>
      </c>
      <c r="C100" s="11"/>
      <c r="D100" s="6"/>
      <c r="E100" s="2"/>
      <c r="F100" s="7">
        <f t="shared" si="61"/>
        <v>0</v>
      </c>
      <c r="G100" s="2"/>
      <c r="H100" s="6">
        <v>198.66</v>
      </c>
      <c r="I100" s="2"/>
      <c r="J100" s="7">
        <f t="shared" si="62"/>
        <v>2.7305869029968155E-3</v>
      </c>
      <c r="K100" s="2"/>
      <c r="L100" s="6">
        <f t="shared" si="63"/>
        <v>-198.66</v>
      </c>
      <c r="M100" s="2"/>
      <c r="N100" s="7">
        <f t="shared" si="64"/>
        <v>-1</v>
      </c>
      <c r="O100" s="11"/>
      <c r="P100" s="6">
        <v>225.24</v>
      </c>
      <c r="Q100" s="2"/>
      <c r="R100" s="7">
        <f t="shared" si="65"/>
        <v>1.056873336611624E-2</v>
      </c>
      <c r="S100" s="2"/>
      <c r="T100" s="6">
        <v>572.29</v>
      </c>
      <c r="U100" s="2"/>
      <c r="V100" s="7">
        <f t="shared" si="66"/>
        <v>2.8456196754644081E-3</v>
      </c>
      <c r="W100" s="2"/>
      <c r="X100" s="6">
        <f t="shared" si="67"/>
        <v>-347.04999999999995</v>
      </c>
      <c r="Y100" s="2"/>
      <c r="Z100" s="7">
        <f t="shared" si="68"/>
        <v>-0.60642331684984885</v>
      </c>
    </row>
    <row r="101" spans="1:26" s="24" customFormat="1" hidden="1" outlineLevel="2" x14ac:dyDescent="0.25">
      <c r="A101" s="28"/>
      <c r="B101" s="11" t="str">
        <f>CONCATENATE("          ", "6247", " - ", "STORE SUPPLIES")</f>
        <v xml:space="preserve">          6247 - STORE SUPPLIES</v>
      </c>
      <c r="C101" s="11"/>
      <c r="D101" s="6">
        <v>544.6</v>
      </c>
      <c r="E101" s="2"/>
      <c r="F101" s="7">
        <f t="shared" si="61"/>
        <v>30.424581005586596</v>
      </c>
      <c r="G101" s="2"/>
      <c r="H101" s="6">
        <v>-0.1</v>
      </c>
      <c r="I101" s="2"/>
      <c r="J101" s="7">
        <f t="shared" si="62"/>
        <v>-1.3745026190460161E-6</v>
      </c>
      <c r="K101" s="2"/>
      <c r="L101" s="6">
        <f t="shared" si="63"/>
        <v>544.70000000000005</v>
      </c>
      <c r="M101" s="2"/>
      <c r="N101" s="7">
        <f t="shared" si="64"/>
        <v>-5447</v>
      </c>
      <c r="O101" s="11"/>
      <c r="P101" s="6">
        <v>1222.73</v>
      </c>
      <c r="Q101" s="2"/>
      <c r="R101" s="7">
        <f t="shared" si="65"/>
        <v>5.7373056955919509E-2</v>
      </c>
      <c r="S101" s="2"/>
      <c r="T101" s="6">
        <v>-0.1</v>
      </c>
      <c r="U101" s="2"/>
      <c r="V101" s="7">
        <f t="shared" si="66"/>
        <v>-4.9723386315756147E-7</v>
      </c>
      <c r="W101" s="2"/>
      <c r="X101" s="6">
        <f t="shared" si="67"/>
        <v>1222.83</v>
      </c>
      <c r="Y101" s="2"/>
      <c r="Z101" s="7">
        <f t="shared" si="68"/>
        <v>-12228.3</v>
      </c>
    </row>
    <row r="102" spans="1:26" s="29" customFormat="1" outlineLevel="1" collapsed="1" x14ac:dyDescent="0.25">
      <c r="A102" s="27"/>
      <c r="B102" s="14" t="str">
        <f>CONCATENATE("     ","Telephone/Data Lines                              ")</f>
        <v xml:space="preserve">     Telephone/Data Lines                              </v>
      </c>
      <c r="C102" s="14"/>
      <c r="D102" s="1">
        <f>SUM(OSRRefD22_10x_0)</f>
        <v>53.9</v>
      </c>
      <c r="E102" s="1"/>
      <c r="F102" s="5">
        <f t="shared" ref="F102:F105" si="69">IF(D$12=0,0,D102/D$12)</f>
        <v>3.011173184357542</v>
      </c>
      <c r="G102" s="1"/>
      <c r="H102" s="1">
        <f>SUM(OSRRefH22_10x_0)</f>
        <v>87.49</v>
      </c>
      <c r="I102" s="1"/>
      <c r="J102" s="5">
        <f t="shared" ref="J102:J105" si="70">IF(H$12=0,0,H102/H$12)</f>
        <v>1.2025523414033593E-3</v>
      </c>
      <c r="K102" s="1"/>
      <c r="L102" s="1">
        <f t="shared" ref="L102:L105" si="71">+D102-H102</f>
        <v>-33.589999999999996</v>
      </c>
      <c r="M102" s="1"/>
      <c r="N102" s="5">
        <f t="shared" ref="N102:N105" si="72">IF(H102=0,0,L102/H102)</f>
        <v>-0.38392959195336607</v>
      </c>
      <c r="O102" s="14"/>
      <c r="P102" s="1">
        <f>SUM(OSRRefP22_10x_0)</f>
        <v>259.89999999999998</v>
      </c>
      <c r="Q102" s="1"/>
      <c r="R102" s="5">
        <f t="shared" ref="R102:R105" si="73">IF(P$12=0,0,P102/P$12)</f>
        <v>1.2195053284734553E-2</v>
      </c>
      <c r="S102" s="1"/>
      <c r="T102" s="1">
        <f>SUM(OSRRefT22_10x_0)</f>
        <v>389.99</v>
      </c>
      <c r="U102" s="1"/>
      <c r="V102" s="5">
        <f t="shared" ref="V102:V105" si="74">IF(T$12=0,0,T102/T$12)</f>
        <v>1.9391623429281738E-3</v>
      </c>
      <c r="W102" s="1"/>
      <c r="X102" s="1">
        <f t="shared" ref="X102:X105" si="75">+P102-T102</f>
        <v>-130.09000000000003</v>
      </c>
      <c r="Y102" s="1"/>
      <c r="Z102" s="5">
        <f t="shared" ref="Z102:Z105" si="76">IF(T102=0,0,X102/T102)</f>
        <v>-0.33357265570912081</v>
      </c>
    </row>
    <row r="103" spans="1:26" s="24" customFormat="1" hidden="1" outlineLevel="2" x14ac:dyDescent="0.25">
      <c r="A103" s="28"/>
      <c r="B103" s="11" t="str">
        <f>CONCATENATE("          ", "6309", " - ", "TELEPHONE")</f>
        <v xml:space="preserve">          6309 - TELEPHONE</v>
      </c>
      <c r="C103" s="11"/>
      <c r="D103" s="6">
        <v>53.9</v>
      </c>
      <c r="E103" s="2"/>
      <c r="F103" s="7">
        <f t="shared" si="69"/>
        <v>3.011173184357542</v>
      </c>
      <c r="G103" s="2"/>
      <c r="H103" s="6">
        <v>87.49</v>
      </c>
      <c r="I103" s="2"/>
      <c r="J103" s="7">
        <f t="shared" si="70"/>
        <v>1.2025523414033593E-3</v>
      </c>
      <c r="K103" s="2"/>
      <c r="L103" s="6">
        <f t="shared" si="71"/>
        <v>-33.589999999999996</v>
      </c>
      <c r="M103" s="2"/>
      <c r="N103" s="7">
        <f t="shared" si="72"/>
        <v>-0.38392959195336607</v>
      </c>
      <c r="O103" s="11"/>
      <c r="P103" s="6">
        <v>259.89999999999998</v>
      </c>
      <c r="Q103" s="2"/>
      <c r="R103" s="7">
        <f t="shared" si="73"/>
        <v>1.2195053284734553E-2</v>
      </c>
      <c r="S103" s="2"/>
      <c r="T103" s="6">
        <v>389.99</v>
      </c>
      <c r="U103" s="2"/>
      <c r="V103" s="7">
        <f t="shared" si="74"/>
        <v>1.9391623429281738E-3</v>
      </c>
      <c r="W103" s="2"/>
      <c r="X103" s="6">
        <f t="shared" si="75"/>
        <v>-130.09000000000003</v>
      </c>
      <c r="Y103" s="2"/>
      <c r="Z103" s="7">
        <f t="shared" si="76"/>
        <v>-0.33357265570912081</v>
      </c>
    </row>
    <row r="104" spans="1:26" s="29" customFormat="1" outlineLevel="1" collapsed="1" x14ac:dyDescent="0.25">
      <c r="A104" s="27"/>
      <c r="B104" s="14" t="str">
        <f>CONCATENATE("     ","Training                                          ")</f>
        <v xml:space="preserve">     Training                                          </v>
      </c>
      <c r="C104" s="14"/>
      <c r="D104" s="1">
        <f>SUM(OSRRefD22_11x_0)</f>
        <v>14</v>
      </c>
      <c r="E104" s="1"/>
      <c r="F104" s="5">
        <f t="shared" si="69"/>
        <v>0.78212290502793302</v>
      </c>
      <c r="G104" s="1"/>
      <c r="H104" s="1">
        <f>SUM(OSRRefH22_11x_0)</f>
        <v>80</v>
      </c>
      <c r="I104" s="1"/>
      <c r="J104" s="5">
        <f t="shared" si="70"/>
        <v>1.0996020952368129E-3</v>
      </c>
      <c r="K104" s="1"/>
      <c r="L104" s="1">
        <f t="shared" si="71"/>
        <v>-66</v>
      </c>
      <c r="M104" s="1"/>
      <c r="N104" s="5">
        <f t="shared" si="72"/>
        <v>-0.82499999999999996</v>
      </c>
      <c r="O104" s="14"/>
      <c r="P104" s="1">
        <f>SUM(OSRRefP22_11x_0)</f>
        <v>14</v>
      </c>
      <c r="Q104" s="1"/>
      <c r="R104" s="5">
        <f t="shared" si="73"/>
        <v>6.5690937278293094E-4</v>
      </c>
      <c r="S104" s="1"/>
      <c r="T104" s="1">
        <f>SUM(OSRRefT22_11x_0)</f>
        <v>80</v>
      </c>
      <c r="U104" s="1"/>
      <c r="V104" s="5">
        <f t="shared" si="74"/>
        <v>3.9778709052604915E-4</v>
      </c>
      <c r="W104" s="1"/>
      <c r="X104" s="1">
        <f t="shared" si="75"/>
        <v>-66</v>
      </c>
      <c r="Y104" s="1"/>
      <c r="Z104" s="5">
        <f t="shared" si="76"/>
        <v>-0.82499999999999996</v>
      </c>
    </row>
    <row r="105" spans="1:26" s="24" customFormat="1" hidden="1" outlineLevel="2" x14ac:dyDescent="0.25">
      <c r="A105" s="28"/>
      <c r="B105" s="11" t="str">
        <f>CONCATENATE("          ", "6376", " - ", "TRAINING")</f>
        <v xml:space="preserve">          6376 - TRAINING</v>
      </c>
      <c r="C105" s="11"/>
      <c r="D105" s="6">
        <v>14</v>
      </c>
      <c r="E105" s="2"/>
      <c r="F105" s="7">
        <f t="shared" si="69"/>
        <v>0.78212290502793302</v>
      </c>
      <c r="G105" s="2"/>
      <c r="H105" s="6">
        <v>80</v>
      </c>
      <c r="I105" s="2"/>
      <c r="J105" s="7">
        <f t="shared" si="70"/>
        <v>1.0996020952368129E-3</v>
      </c>
      <c r="K105" s="2"/>
      <c r="L105" s="6">
        <f t="shared" si="71"/>
        <v>-66</v>
      </c>
      <c r="M105" s="2"/>
      <c r="N105" s="7">
        <f t="shared" si="72"/>
        <v>-0.82499999999999996</v>
      </c>
      <c r="O105" s="11"/>
      <c r="P105" s="6">
        <v>14</v>
      </c>
      <c r="Q105" s="2"/>
      <c r="R105" s="7">
        <f t="shared" si="73"/>
        <v>6.5690937278293094E-4</v>
      </c>
      <c r="S105" s="2"/>
      <c r="T105" s="6">
        <v>80</v>
      </c>
      <c r="U105" s="2"/>
      <c r="V105" s="7">
        <f t="shared" si="74"/>
        <v>3.9778709052604915E-4</v>
      </c>
      <c r="W105" s="2"/>
      <c r="X105" s="6">
        <f t="shared" si="75"/>
        <v>-66</v>
      </c>
      <c r="Y105" s="2"/>
      <c r="Z105" s="7">
        <f t="shared" si="76"/>
        <v>-0.82499999999999996</v>
      </c>
    </row>
    <row r="106" spans="1:26" s="57" customFormat="1" x14ac:dyDescent="0.25">
      <c r="A106" s="37"/>
      <c r="B106" s="37"/>
      <c r="C106" s="37"/>
      <c r="D106" s="1"/>
      <c r="E106" s="1"/>
      <c r="F106" s="5"/>
      <c r="G106" s="1"/>
      <c r="H106" s="1"/>
      <c r="I106" s="1"/>
      <c r="J106" s="5"/>
      <c r="K106" s="1"/>
      <c r="L106" s="1"/>
      <c r="M106" s="1"/>
      <c r="N106" s="5"/>
      <c r="O106" s="37"/>
      <c r="P106" s="1"/>
      <c r="Q106" s="1"/>
      <c r="R106" s="5"/>
      <c r="S106" s="1"/>
      <c r="T106" s="1"/>
      <c r="U106" s="1"/>
      <c r="V106" s="5"/>
      <c r="W106" s="1"/>
      <c r="X106" s="1"/>
      <c r="Y106" s="1"/>
      <c r="Z106" s="5"/>
    </row>
    <row r="107" spans="1:26" s="23" customFormat="1" x14ac:dyDescent="0.25">
      <c r="A107" s="10"/>
      <c r="B107" s="26" t="s">
        <v>0</v>
      </c>
      <c r="C107" s="10"/>
      <c r="D107" s="4">
        <f>SUM(0)</f>
        <v>0</v>
      </c>
      <c r="E107" s="4"/>
      <c r="F107" s="12">
        <f>IF(D$12=0,0,D107/D$12)</f>
        <v>0</v>
      </c>
      <c r="G107" s="4"/>
      <c r="H107" s="4">
        <f>SUM(0)</f>
        <v>0</v>
      </c>
      <c r="I107" s="4"/>
      <c r="J107" s="12">
        <f>IF(H$12=0,0,H107/H$12)</f>
        <v>0</v>
      </c>
      <c r="K107" s="4"/>
      <c r="L107" s="4">
        <f>+D107-H107</f>
        <v>0</v>
      </c>
      <c r="M107" s="4"/>
      <c r="N107" s="12">
        <f>IF(H107=0,0,L107/H107)</f>
        <v>0</v>
      </c>
      <c r="O107" s="10"/>
      <c r="P107" s="4">
        <f>SUM(0)</f>
        <v>0</v>
      </c>
      <c r="Q107" s="4"/>
      <c r="R107" s="12">
        <f>IF(P$12=0,0,P107/P$12)</f>
        <v>0</v>
      </c>
      <c r="S107" s="4"/>
      <c r="T107" s="4">
        <f>SUM(0)</f>
        <v>0</v>
      </c>
      <c r="U107" s="4"/>
      <c r="V107" s="12">
        <f>IF(T$12=0,0,T107/T$12)</f>
        <v>0</v>
      </c>
      <c r="W107" s="4"/>
      <c r="X107" s="4">
        <f>+P107-T107</f>
        <v>0</v>
      </c>
      <c r="Y107" s="4"/>
      <c r="Z107" s="12">
        <f>IF(T107=0,0,X107/T107)</f>
        <v>0</v>
      </c>
    </row>
    <row r="108" spans="1:26" x14ac:dyDescent="0.25">
      <c r="A108" s="9"/>
      <c r="B108" s="10"/>
      <c r="C108" s="10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O108" s="10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s="23" customFormat="1" x14ac:dyDescent="0.25">
      <c r="A109" s="10"/>
      <c r="B109" s="25" t="s">
        <v>3</v>
      </c>
      <c r="C109" s="25"/>
      <c r="D109" s="20">
        <f>+D64-D66+D107</f>
        <v>-1406.4899999999957</v>
      </c>
      <c r="E109" s="13"/>
      <c r="F109" s="21">
        <f>IF(D$12=0,0,D109/D$12)</f>
        <v>-78.574860335195297</v>
      </c>
      <c r="G109" s="13"/>
      <c r="H109" s="20">
        <f>+H64-H66+H107</f>
        <v>18648.119999999981</v>
      </c>
      <c r="I109" s="13"/>
      <c r="J109" s="21">
        <f>IF(H$12=0,0,H109/H$12)</f>
        <v>0.25631889780284367</v>
      </c>
      <c r="K109" s="15"/>
      <c r="L109" s="20">
        <f>+D109-H109</f>
        <v>-20054.609999999975</v>
      </c>
      <c r="M109" s="15"/>
      <c r="N109" s="21">
        <f>IF(H109=0,0,L109/H109)</f>
        <v>-1.07542261632808</v>
      </c>
      <c r="O109" s="26"/>
      <c r="P109" s="20">
        <f>+P64-P66+P107</f>
        <v>-4489.1899999999914</v>
      </c>
      <c r="Q109" s="13"/>
      <c r="R109" s="21">
        <f>IF(P$12=0,0,P109/P$12)</f>
        <v>-0.21064221337167144</v>
      </c>
      <c r="S109" s="13"/>
      <c r="T109" s="20">
        <f>+T64-T66+T107</f>
        <v>48961.419999999933</v>
      </c>
      <c r="U109" s="13"/>
      <c r="V109" s="21">
        <f>IF(T$12=0,0,T109/T$12)</f>
        <v>0.24345276012279859</v>
      </c>
      <c r="W109" s="15"/>
      <c r="X109" s="20">
        <f>+P109-T109</f>
        <v>-53450.609999999928</v>
      </c>
      <c r="Y109" s="15"/>
      <c r="Z109" s="21">
        <f>IF(T109=0,0,X109/T109)</f>
        <v>-1.0916883129615114</v>
      </c>
    </row>
    <row r="110" spans="1:26" x14ac:dyDescent="0.25">
      <c r="A110" s="9"/>
      <c r="B110" s="10"/>
      <c r="C110" s="9"/>
      <c r="D110" s="3"/>
      <c r="E110" s="3"/>
      <c r="F110" s="8"/>
      <c r="G110" s="3"/>
      <c r="H110" s="3"/>
      <c r="I110" s="3"/>
      <c r="J110" s="8"/>
      <c r="K110" s="3"/>
      <c r="L110" s="3"/>
      <c r="M110" s="3"/>
      <c r="N110" s="8"/>
      <c r="P110" s="3"/>
      <c r="Q110" s="3"/>
      <c r="R110" s="8"/>
      <c r="S110" s="3"/>
      <c r="T110" s="3"/>
      <c r="U110" s="3"/>
      <c r="V110" s="8"/>
      <c r="W110" s="3"/>
      <c r="X110" s="3"/>
      <c r="Y110" s="3"/>
      <c r="Z110" s="8"/>
    </row>
    <row r="111" spans="1:26" s="23" customFormat="1" x14ac:dyDescent="0.25">
      <c r="A111" s="51"/>
      <c r="B111" s="10" t="s">
        <v>13</v>
      </c>
      <c r="C111" s="10"/>
      <c r="D111" s="4">
        <v>671.8</v>
      </c>
      <c r="E111" s="4"/>
      <c r="F111" s="12">
        <f>IF(D$12=0,0,D111/D$12)</f>
        <v>37.530726256983243</v>
      </c>
      <c r="G111" s="4"/>
      <c r="H111" s="4">
        <v>6457.05</v>
      </c>
      <c r="I111" s="4"/>
      <c r="J111" s="12">
        <f>IF(H$12=0,0,H111/H$12)</f>
        <v>8.8752321363110787E-2</v>
      </c>
      <c r="K111" s="4"/>
      <c r="L111" s="4">
        <f>+D111-H111</f>
        <v>-5785.25</v>
      </c>
      <c r="M111" s="4"/>
      <c r="N111" s="12">
        <f>IF(H111=0,0,L111/H111)</f>
        <v>-0.89595868082173746</v>
      </c>
      <c r="O111" s="10"/>
      <c r="P111" s="4">
        <v>4616.62</v>
      </c>
      <c r="Q111" s="4"/>
      <c r="R111" s="12">
        <f>IF(P$12=0,0,P111/P$12)</f>
        <v>0.21662149632693817</v>
      </c>
      <c r="S111" s="4"/>
      <c r="T111" s="4">
        <v>20244.510000000002</v>
      </c>
      <c r="U111" s="4"/>
      <c r="V111" s="12">
        <f>IF(T$12=0,0,T111/T$12)</f>
        <v>0.10066255915031885</v>
      </c>
      <c r="W111" s="4"/>
      <c r="X111" s="4">
        <f>+P111-T111</f>
        <v>-15627.890000000003</v>
      </c>
      <c r="Y111" s="4"/>
      <c r="Z111" s="12">
        <f>IF(T111=0,0,X111/T111)</f>
        <v>-0.7719569404248362</v>
      </c>
    </row>
    <row r="112" spans="1:26" x14ac:dyDescent="0.25">
      <c r="A112" s="9"/>
      <c r="B112" s="10"/>
      <c r="C112" s="10"/>
      <c r="D112" s="3"/>
      <c r="E112" s="3"/>
      <c r="F112" s="8"/>
      <c r="G112" s="3"/>
      <c r="H112" s="3"/>
      <c r="I112" s="3"/>
      <c r="J112" s="8"/>
      <c r="K112" s="3"/>
      <c r="L112" s="3"/>
      <c r="M112" s="3"/>
      <c r="N112" s="8"/>
      <c r="O112" s="10"/>
      <c r="P112" s="3"/>
      <c r="Q112" s="3"/>
      <c r="R112" s="8"/>
      <c r="S112" s="3"/>
      <c r="T112" s="3"/>
      <c r="U112" s="3"/>
      <c r="V112" s="8"/>
      <c r="W112" s="3"/>
      <c r="X112" s="3"/>
      <c r="Y112" s="3"/>
      <c r="Z112" s="8"/>
    </row>
    <row r="113" spans="1:26" s="23" customFormat="1" ht="15.75" thickBot="1" x14ac:dyDescent="0.3">
      <c r="A113" s="10"/>
      <c r="B113" s="25" t="s">
        <v>4</v>
      </c>
      <c r="C113" s="25"/>
      <c r="D113" s="30">
        <f>+D109-D111</f>
        <v>-2078.2899999999954</v>
      </c>
      <c r="E113" s="13"/>
      <c r="F113" s="33">
        <f>IF(D$12=0,0,D113/D$12)</f>
        <v>-116.10558659217853</v>
      </c>
      <c r="G113" s="13"/>
      <c r="H113" s="30">
        <f>+H109-H111</f>
        <v>12191.069999999982</v>
      </c>
      <c r="I113" s="13"/>
      <c r="J113" s="33">
        <f>IF(H$12=0,0,H113/H$12)</f>
        <v>0.16756657643973291</v>
      </c>
      <c r="K113" s="15"/>
      <c r="L113" s="30">
        <f>D113-H113</f>
        <v>-14269.359999999977</v>
      </c>
      <c r="M113" s="15"/>
      <c r="N113" s="33">
        <f>IF(H113=0,0,L113/H113)</f>
        <v>-1.1704764224961384</v>
      </c>
      <c r="O113" s="26"/>
      <c r="P113" s="30">
        <f>+P109-P111</f>
        <v>-9105.8099999999904</v>
      </c>
      <c r="Q113" s="13"/>
      <c r="R113" s="33">
        <f>IF(P$12=0,0,P113/P$12)</f>
        <v>-0.42726370969860955</v>
      </c>
      <c r="S113" s="13"/>
      <c r="T113" s="30">
        <f>+T109-T111</f>
        <v>28716.909999999931</v>
      </c>
      <c r="U113" s="13"/>
      <c r="V113" s="33">
        <f>IF(T$12=0,0,T113/T$12)</f>
        <v>0.14279020097247974</v>
      </c>
      <c r="W113" s="15"/>
      <c r="X113" s="30">
        <f>P113-T113</f>
        <v>-37822.719999999921</v>
      </c>
      <c r="Y113" s="15"/>
      <c r="Z113" s="33">
        <f>IF(T113=0,0,X113/T113)</f>
        <v>-1.3170887814879808</v>
      </c>
    </row>
    <row r="114" spans="1:26" ht="15.75" thickTop="1" x14ac:dyDescent="0.25">
      <c r="A114" s="9"/>
      <c r="B114" s="9"/>
      <c r="C114" s="9"/>
      <c r="D114" s="3"/>
      <c r="E114" s="3"/>
      <c r="F114" s="8"/>
      <c r="G114" s="3"/>
      <c r="H114" s="3"/>
      <c r="I114" s="3"/>
      <c r="J114" s="8"/>
      <c r="K114" s="3"/>
      <c r="L114" s="3"/>
      <c r="M114" s="3"/>
      <c r="N114" s="8"/>
      <c r="P114" s="3"/>
      <c r="Q114" s="3"/>
      <c r="R114" s="8"/>
      <c r="S114" s="3"/>
      <c r="T114" s="3"/>
      <c r="U114" s="3"/>
      <c r="V114" s="8"/>
      <c r="W114" s="3"/>
      <c r="X114" s="3"/>
      <c r="Y114" s="3"/>
      <c r="Z114" s="8"/>
    </row>
    <row r="115" spans="1:26" x14ac:dyDescent="0.25">
      <c r="A115" s="9"/>
      <c r="B115" s="9"/>
      <c r="C115" s="9"/>
      <c r="D115" s="3"/>
      <c r="E115" s="3"/>
      <c r="F115" s="8"/>
      <c r="G115" s="3"/>
      <c r="H115" s="3"/>
      <c r="I115" s="3"/>
      <c r="J115" s="8"/>
      <c r="K115" s="3"/>
      <c r="L115" s="3"/>
      <c r="M115" s="3"/>
      <c r="N115" s="8"/>
      <c r="P115" s="3"/>
      <c r="Q115" s="3"/>
      <c r="R115" s="8"/>
      <c r="S115" s="3"/>
      <c r="T115" s="3"/>
      <c r="U115" s="3"/>
      <c r="V115" s="8"/>
      <c r="W115" s="3"/>
      <c r="X115" s="3"/>
      <c r="Y115" s="3"/>
      <c r="Z115" s="8"/>
    </row>
    <row r="116" spans="1:26" s="23" customFormat="1" ht="15.75" thickBot="1" x14ac:dyDescent="0.3">
      <c r="A116" s="10"/>
      <c r="B116" s="25" t="s">
        <v>5</v>
      </c>
      <c r="C116" s="25"/>
      <c r="D116" s="34">
        <f>SUM(D113:D115)</f>
        <v>-2078.2899999999954</v>
      </c>
      <c r="E116" s="13"/>
      <c r="F116" s="35">
        <f>IF(D$12=0,0,D116/D$12)</f>
        <v>-116.10558659217853</v>
      </c>
      <c r="G116" s="13"/>
      <c r="H116" s="34">
        <f>SUM(H113:H115)</f>
        <v>12191.069999999982</v>
      </c>
      <c r="I116" s="13"/>
      <c r="J116" s="35">
        <f>IF(H$12=0,0,H116/H$12)</f>
        <v>0.16756657643973291</v>
      </c>
      <c r="K116" s="15"/>
      <c r="L116" s="34">
        <f>+D116-H116</f>
        <v>-14269.359999999977</v>
      </c>
      <c r="M116" s="15"/>
      <c r="N116" s="35">
        <f>IF(H116=0,0,L116/H116)</f>
        <v>-1.1704764224961384</v>
      </c>
      <c r="O116" s="26"/>
      <c r="P116" s="34">
        <f>SUM(P113:P115)</f>
        <v>-9105.8099999999904</v>
      </c>
      <c r="Q116" s="13"/>
      <c r="R116" s="35">
        <f>IF(P$12=0,0,P116/P$12)</f>
        <v>-0.42726370969860955</v>
      </c>
      <c r="S116" s="13"/>
      <c r="T116" s="34">
        <f>SUM(T113:T115)</f>
        <v>28716.909999999931</v>
      </c>
      <c r="U116" s="13"/>
      <c r="V116" s="35">
        <f>IF(T$12=0,0,T116/T$12)</f>
        <v>0.14279020097247974</v>
      </c>
      <c r="W116" s="15"/>
      <c r="X116" s="34">
        <f>+P116-T116</f>
        <v>-37822.719999999921</v>
      </c>
      <c r="Y116" s="15"/>
      <c r="Z116" s="35">
        <f>IF(T116=0,0,X116/T116)</f>
        <v>-1.3170887814879808</v>
      </c>
    </row>
    <row r="117" spans="1:26" ht="15.75" thickTop="1" x14ac:dyDescent="0.25">
      <c r="A117" s="9"/>
      <c r="C117" s="9"/>
      <c r="D117" s="18"/>
      <c r="E117" s="18"/>
      <c r="G117" s="18"/>
      <c r="H117" s="18"/>
      <c r="I117" s="18"/>
      <c r="J117" s="43"/>
      <c r="K117" s="18"/>
      <c r="L117" s="18"/>
      <c r="M117" s="18"/>
      <c r="P117" s="18"/>
      <c r="Q117" s="18"/>
      <c r="R117" s="43"/>
      <c r="S117" s="18"/>
      <c r="T117" s="18"/>
      <c r="U117" s="18"/>
      <c r="V117" s="43"/>
      <c r="W117" s="18"/>
      <c r="X117" s="18"/>
    </row>
    <row r="118" spans="1:26" x14ac:dyDescent="0.25">
      <c r="A118" s="9"/>
      <c r="B118" s="56">
        <v>44151.572352430558</v>
      </c>
      <c r="D118" s="18"/>
      <c r="E118" s="18"/>
      <c r="G118" s="18"/>
      <c r="H118" s="18"/>
      <c r="I118" s="18"/>
      <c r="J118" s="43"/>
      <c r="K118" s="18"/>
      <c r="L118" s="18"/>
      <c r="M118" s="18"/>
      <c r="P118" s="18"/>
      <c r="Q118" s="18"/>
      <c r="R118" s="43"/>
      <c r="S118" s="18"/>
      <c r="T118" s="18"/>
      <c r="U118" s="18"/>
      <c r="V118" s="43"/>
      <c r="W118" s="18"/>
      <c r="X118" s="18"/>
    </row>
    <row r="119" spans="1:26" x14ac:dyDescent="0.25">
      <c r="A119" s="9"/>
      <c r="B119" s="62" t="s">
        <v>313</v>
      </c>
      <c r="D119" s="18"/>
      <c r="E119" s="18"/>
      <c r="G119" s="18"/>
      <c r="H119" s="18"/>
      <c r="I119" s="18"/>
      <c r="J119" s="43"/>
      <c r="K119" s="18"/>
      <c r="L119" s="18"/>
      <c r="M119" s="18"/>
      <c r="P119" s="18"/>
      <c r="Q119" s="18"/>
      <c r="R119" s="43"/>
      <c r="S119" s="18"/>
      <c r="T119" s="18"/>
      <c r="U119" s="18"/>
      <c r="V119" s="43"/>
      <c r="W119" s="18"/>
      <c r="X119" s="18"/>
    </row>
    <row r="120" spans="1:26" x14ac:dyDescent="0.25">
      <c r="A120" s="9"/>
      <c r="B120" s="54"/>
      <c r="D120" s="18"/>
      <c r="E120" s="18"/>
      <c r="G120" s="18"/>
      <c r="H120" s="18"/>
      <c r="I120" s="18"/>
      <c r="J120" s="43"/>
      <c r="K120" s="18"/>
      <c r="L120" s="18"/>
      <c r="M120" s="18"/>
      <c r="P120" s="18"/>
      <c r="Q120" s="18"/>
      <c r="R120" s="43"/>
      <c r="S120" s="18"/>
      <c r="T120" s="18"/>
      <c r="U120" s="18"/>
      <c r="V120" s="43"/>
      <c r="W120" s="18"/>
      <c r="X120" s="18"/>
    </row>
    <row r="121" spans="1:26" x14ac:dyDescent="0.25">
      <c r="D121" s="18"/>
      <c r="E121" s="18"/>
      <c r="G121" s="18"/>
      <c r="H121" s="18"/>
      <c r="I121" s="18"/>
      <c r="J121" s="43"/>
      <c r="K121" s="18"/>
      <c r="L121" s="18"/>
      <c r="M121" s="18"/>
      <c r="P121" s="18"/>
      <c r="Q121" s="18"/>
      <c r="R121" s="43"/>
      <c r="S121" s="18"/>
      <c r="T121" s="18"/>
      <c r="U121" s="18"/>
      <c r="V121" s="43"/>
      <c r="W121" s="18"/>
      <c r="X121" s="18"/>
    </row>
  </sheetData>
  <pageMargins left="0.25" right="0.25" top="0.75" bottom="0.75" header="0.3" footer="0.3"/>
  <pageSetup scale="55" fitToWidth="2" orientation="landscape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",RIGHT(202104,2),", ",2021)</f>
        <v>Period 04,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44135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","314", " - ", "Tech/Supplies")</f>
        <v>Department 314 - Tech/Supplies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61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50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50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2"/>
      <c r="F10" s="31" t="s">
        <v>14</v>
      </c>
      <c r="G10" s="32"/>
      <c r="H10" s="49" t="s">
        <v>306</v>
      </c>
      <c r="I10" s="32"/>
      <c r="J10" s="31" t="s">
        <v>14</v>
      </c>
      <c r="K10" s="10"/>
      <c r="L10" s="42" t="s">
        <v>11</v>
      </c>
      <c r="M10" s="10"/>
      <c r="N10" s="31" t="s">
        <v>15</v>
      </c>
      <c r="O10" s="10"/>
      <c r="P10" s="59" t="s">
        <v>10</v>
      </c>
      <c r="Q10" s="32"/>
      <c r="R10" s="31" t="s">
        <v>14</v>
      </c>
      <c r="S10" s="32"/>
      <c r="T10" s="49" t="s">
        <v>306</v>
      </c>
      <c r="U10" s="32"/>
      <c r="V10" s="31" t="s">
        <v>14</v>
      </c>
      <c r="W10" s="10"/>
      <c r="X10" s="42" t="s">
        <v>11</v>
      </c>
      <c r="Y10" s="10"/>
      <c r="Z10" s="31" t="s">
        <v>15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43050.419999999991</v>
      </c>
      <c r="I12" s="4"/>
      <c r="J12" s="12"/>
      <c r="K12" s="4"/>
      <c r="L12" s="4">
        <f t="shared" ref="L12:L32" si="0">+D12-H12</f>
        <v>-43050.419999999991</v>
      </c>
      <c r="M12" s="4"/>
      <c r="N12" s="12">
        <f t="shared" ref="N12:N32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205420.35</v>
      </c>
      <c r="U12" s="4"/>
      <c r="V12" s="12"/>
      <c r="W12" s="4"/>
      <c r="X12" s="4">
        <f t="shared" ref="X12:X32" si="2">+P12-T12</f>
        <v>-205420.35</v>
      </c>
      <c r="Y12" s="4"/>
      <c r="Z12" s="12">
        <f t="shared" ref="Z12:Z32" si="3">IF(T12=0,0,X12/T12)</f>
        <v>-1</v>
      </c>
    </row>
    <row r="13" spans="1:26" s="24" customFormat="1" hidden="1" outlineLevel="1" x14ac:dyDescent="0.25">
      <c r="A13" s="44"/>
      <c r="B13" s="11" t="str">
        <f>CONCATENATE("          ", "4017", " - ", "TAXABLE SALES-DORM/HOUSEWARES")</f>
        <v xml:space="preserve">          4017 - TAXABLE SALES-DORM/HOUSEWARES</v>
      </c>
      <c r="C13" s="11"/>
      <c r="D13" s="2">
        <f t="shared" ref="D13:D32" si="4">0</f>
        <v>0</v>
      </c>
      <c r="E13" s="2"/>
      <c r="F13" s="19"/>
      <c r="G13" s="2"/>
      <c r="H13" s="2">
        <f>--2.98</f>
        <v>2.98</v>
      </c>
      <c r="I13" s="2"/>
      <c r="J13" s="19"/>
      <c r="K13" s="2"/>
      <c r="L13" s="2">
        <f t="shared" si="0"/>
        <v>-2.98</v>
      </c>
      <c r="M13" s="2"/>
      <c r="N13" s="19">
        <f t="shared" si="1"/>
        <v>-1</v>
      </c>
      <c r="O13" s="11"/>
      <c r="P13" s="2">
        <f t="shared" ref="P13:P32" si="5">0</f>
        <v>0</v>
      </c>
      <c r="Q13" s="2"/>
      <c r="R13" s="19"/>
      <c r="S13" s="2"/>
      <c r="T13" s="2">
        <f>--209.2</f>
        <v>209.2</v>
      </c>
      <c r="U13" s="2"/>
      <c r="V13" s="19"/>
      <c r="W13" s="2"/>
      <c r="X13" s="2">
        <f t="shared" si="2"/>
        <v>-209.2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"4019", " - ", "TAXABLE SALES-BOOK RELATED")</f>
        <v xml:space="preserve">          4019 - TAXABLE SALES-BOOK RELATED</v>
      </c>
      <c r="C14" s="11"/>
      <c r="D14" s="2">
        <f t="shared" si="4"/>
        <v>0</v>
      </c>
      <c r="E14" s="2"/>
      <c r="F14" s="19"/>
      <c r="G14" s="2"/>
      <c r="H14" s="2">
        <f>--14.95</f>
        <v>14.95</v>
      </c>
      <c r="I14" s="2"/>
      <c r="J14" s="19"/>
      <c r="K14" s="2"/>
      <c r="L14" s="2">
        <f t="shared" si="0"/>
        <v>-14.95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f>--29.9</f>
        <v>29.9</v>
      </c>
      <c r="U14" s="2"/>
      <c r="V14" s="19"/>
      <c r="W14" s="2"/>
      <c r="X14" s="2">
        <f t="shared" si="2"/>
        <v>-29.9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"4025", " - ", "TAXABLE SALES-TEST FORMS")</f>
        <v xml:space="preserve">          4025 - TAXABLE SALES-TEST FORMS</v>
      </c>
      <c r="C15" s="11"/>
      <c r="D15" s="2">
        <f t="shared" si="4"/>
        <v>0</v>
      </c>
      <c r="E15" s="2"/>
      <c r="F15" s="19"/>
      <c r="G15" s="2"/>
      <c r="H15" s="2">
        <f>--9414.57</f>
        <v>9414.57</v>
      </c>
      <c r="I15" s="2"/>
      <c r="J15" s="19"/>
      <c r="K15" s="2"/>
      <c r="L15" s="2">
        <f t="shared" si="0"/>
        <v>-9414.57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--25211.88</f>
        <v>25211.88</v>
      </c>
      <c r="U15" s="2"/>
      <c r="V15" s="19"/>
      <c r="W15" s="2"/>
      <c r="X15" s="2">
        <f t="shared" si="2"/>
        <v>-25211.88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"4026", " - ", "TAXABLE SALES-WRITING INSTRUME")</f>
        <v xml:space="preserve">          4026 - TAXABLE SALES-WRITING INSTRUME</v>
      </c>
      <c r="C16" s="11"/>
      <c r="D16" s="2">
        <f t="shared" si="4"/>
        <v>0</v>
      </c>
      <c r="E16" s="2"/>
      <c r="F16" s="19"/>
      <c r="G16" s="2"/>
      <c r="H16" s="2">
        <f>--11350.78</f>
        <v>11350.78</v>
      </c>
      <c r="I16" s="2"/>
      <c r="J16" s="19"/>
      <c r="K16" s="2"/>
      <c r="L16" s="2">
        <f t="shared" si="0"/>
        <v>-11350.78</v>
      </c>
      <c r="M16" s="2"/>
      <c r="N16" s="19">
        <f t="shared" si="1"/>
        <v>-1</v>
      </c>
      <c r="O16" s="11"/>
      <c r="P16" s="2">
        <f t="shared" si="5"/>
        <v>0</v>
      </c>
      <c r="Q16" s="2"/>
      <c r="R16" s="19"/>
      <c r="S16" s="2"/>
      <c r="T16" s="2">
        <f>--34245.79</f>
        <v>34245.79</v>
      </c>
      <c r="U16" s="2"/>
      <c r="V16" s="19"/>
      <c r="W16" s="2"/>
      <c r="X16" s="2">
        <f t="shared" si="2"/>
        <v>-34245.79</v>
      </c>
      <c r="Y16" s="2"/>
      <c r="Z16" s="19">
        <f t="shared" si="3"/>
        <v>-1</v>
      </c>
    </row>
    <row r="17" spans="1:26" s="24" customFormat="1" hidden="1" outlineLevel="1" x14ac:dyDescent="0.25">
      <c r="A17" s="44"/>
      <c r="B17" s="11" t="str">
        <f>CONCATENATE("          ", "4027", " - ", "TAXABLE SALES-SCHOOL SUPPLIES")</f>
        <v xml:space="preserve">          4027 - TAXABLE SALES-SCHOOL SUPPLIES</v>
      </c>
      <c r="C17" s="11"/>
      <c r="D17" s="2">
        <f t="shared" si="4"/>
        <v>0</v>
      </c>
      <c r="E17" s="2"/>
      <c r="F17" s="19"/>
      <c r="G17" s="2"/>
      <c r="H17" s="2">
        <f>--20132.79</f>
        <v>20132.79</v>
      </c>
      <c r="I17" s="2"/>
      <c r="J17" s="19"/>
      <c r="K17" s="2"/>
      <c r="L17" s="2">
        <f t="shared" si="0"/>
        <v>-20132.79</v>
      </c>
      <c r="M17" s="2"/>
      <c r="N17" s="19">
        <f t="shared" si="1"/>
        <v>-1</v>
      </c>
      <c r="O17" s="11"/>
      <c r="P17" s="2">
        <f t="shared" si="5"/>
        <v>0</v>
      </c>
      <c r="Q17" s="2"/>
      <c r="R17" s="19"/>
      <c r="S17" s="2"/>
      <c r="T17" s="2">
        <f>--138983.15</f>
        <v>138983.15</v>
      </c>
      <c r="U17" s="2"/>
      <c r="V17" s="19"/>
      <c r="W17" s="2"/>
      <c r="X17" s="2">
        <f t="shared" si="2"/>
        <v>-138983.15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"4028", " - ", "TAXABLE SALES-ART/TECH")</f>
        <v xml:space="preserve">          4028 - TAXABLE SALES-ART/TECH</v>
      </c>
      <c r="C18" s="11"/>
      <c r="D18" s="2">
        <f t="shared" si="4"/>
        <v>0</v>
      </c>
      <c r="E18" s="2"/>
      <c r="F18" s="19"/>
      <c r="G18" s="2"/>
      <c r="H18" s="2">
        <f>--1708.81</f>
        <v>1708.81</v>
      </c>
      <c r="I18" s="2"/>
      <c r="J18" s="19"/>
      <c r="K18" s="2"/>
      <c r="L18" s="2">
        <f t="shared" si="0"/>
        <v>-1708.81</v>
      </c>
      <c r="M18" s="2"/>
      <c r="N18" s="19">
        <f t="shared" si="1"/>
        <v>-1</v>
      </c>
      <c r="O18" s="11"/>
      <c r="P18" s="2">
        <f t="shared" si="5"/>
        <v>0</v>
      </c>
      <c r="Q18" s="2"/>
      <c r="R18" s="19"/>
      <c r="S18" s="2"/>
      <c r="T18" s="2">
        <f>--5839.34</f>
        <v>5839.34</v>
      </c>
      <c r="U18" s="2"/>
      <c r="V18" s="19"/>
      <c r="W18" s="2"/>
      <c r="X18" s="2">
        <f t="shared" si="2"/>
        <v>-5839.34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"4035", " - ", "TAXABLE SALES-HEALTH &amp; BEAUTY")</f>
        <v xml:space="preserve">          4035 - TAXABLE SALES-HEALTH &amp; BEAUTY</v>
      </c>
      <c r="C19" s="11"/>
      <c r="D19" s="2">
        <f t="shared" si="4"/>
        <v>0</v>
      </c>
      <c r="E19" s="2"/>
      <c r="F19" s="19"/>
      <c r="G19" s="2"/>
      <c r="H19" s="2">
        <f t="shared" ref="H19:H20" si="6">0</f>
        <v>0</v>
      </c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1"/>
      <c r="P19" s="2">
        <f t="shared" si="5"/>
        <v>0</v>
      </c>
      <c r="Q19" s="2"/>
      <c r="R19" s="19"/>
      <c r="S19" s="2"/>
      <c r="T19" s="2">
        <f>--16.2</f>
        <v>16.2</v>
      </c>
      <c r="U19" s="2"/>
      <c r="V19" s="19"/>
      <c r="W19" s="2"/>
      <c r="X19" s="2">
        <f t="shared" si="2"/>
        <v>-16.2</v>
      </c>
      <c r="Y19" s="2"/>
      <c r="Z19" s="19">
        <f t="shared" si="3"/>
        <v>-1</v>
      </c>
    </row>
    <row r="20" spans="1:26" s="24" customFormat="1" hidden="1" outlineLevel="1" x14ac:dyDescent="0.25">
      <c r="A20" s="44"/>
      <c r="B20" s="11" t="str">
        <f>CONCATENATE("          ", "4125", " - ", "NON-TAXABLE SALES-TEST FORMS")</f>
        <v xml:space="preserve">          4125 - NON-TAXABLE SALES-TEST FORMS</v>
      </c>
      <c r="C20" s="11"/>
      <c r="D20" s="2">
        <f t="shared" si="4"/>
        <v>0</v>
      </c>
      <c r="E20" s="2"/>
      <c r="F20" s="19"/>
      <c r="G20" s="2"/>
      <c r="H20" s="2">
        <f t="shared" si="6"/>
        <v>0</v>
      </c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1"/>
      <c r="P20" s="2">
        <f t="shared" si="5"/>
        <v>0</v>
      </c>
      <c r="Q20" s="2"/>
      <c r="R20" s="19"/>
      <c r="S20" s="2"/>
      <c r="T20" s="2">
        <f>--124.18</f>
        <v>124.18</v>
      </c>
      <c r="U20" s="2"/>
      <c r="V20" s="19"/>
      <c r="W20" s="2"/>
      <c r="X20" s="2">
        <f t="shared" si="2"/>
        <v>-124.18</v>
      </c>
      <c r="Y20" s="2"/>
      <c r="Z20" s="19">
        <f t="shared" si="3"/>
        <v>-1</v>
      </c>
    </row>
    <row r="21" spans="1:26" s="24" customFormat="1" hidden="1" outlineLevel="1" x14ac:dyDescent="0.25">
      <c r="A21" s="44"/>
      <c r="B21" s="11" t="str">
        <f>CONCATENATE("          ", "4126", " - ", "NON-TAXABLE SALES-WRITING INST")</f>
        <v xml:space="preserve">          4126 - NON-TAXABLE SALES-WRITING INST</v>
      </c>
      <c r="C21" s="11"/>
      <c r="D21" s="2">
        <f t="shared" si="4"/>
        <v>0</v>
      </c>
      <c r="E21" s="2"/>
      <c r="F21" s="19"/>
      <c r="G21" s="2"/>
      <c r="H21" s="2">
        <f>--115.27</f>
        <v>115.27</v>
      </c>
      <c r="I21" s="2"/>
      <c r="J21" s="19"/>
      <c r="K21" s="2"/>
      <c r="L21" s="2">
        <f t="shared" si="0"/>
        <v>-115.27</v>
      </c>
      <c r="M21" s="2"/>
      <c r="N21" s="19">
        <f t="shared" si="1"/>
        <v>-1</v>
      </c>
      <c r="O21" s="11"/>
      <c r="P21" s="2">
        <f t="shared" si="5"/>
        <v>0</v>
      </c>
      <c r="Q21" s="2"/>
      <c r="R21" s="19"/>
      <c r="S21" s="2"/>
      <c r="T21" s="2">
        <f>--1458.53</f>
        <v>1458.53</v>
      </c>
      <c r="U21" s="2"/>
      <c r="V21" s="19"/>
      <c r="W21" s="2"/>
      <c r="X21" s="2">
        <f t="shared" si="2"/>
        <v>-1458.53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"4127", " - ", "NON-TAXABLE SALES-SCHOOL SUPPL")</f>
        <v xml:space="preserve">          4127 - NON-TAXABLE SALES-SCHOOL SUPPL</v>
      </c>
      <c r="C22" s="11"/>
      <c r="D22" s="2">
        <f t="shared" si="4"/>
        <v>0</v>
      </c>
      <c r="E22" s="2"/>
      <c r="F22" s="19"/>
      <c r="G22" s="2"/>
      <c r="H22" s="2">
        <f>--178.54</f>
        <v>178.54</v>
      </c>
      <c r="I22" s="2"/>
      <c r="J22" s="19"/>
      <c r="K22" s="2"/>
      <c r="L22" s="2">
        <f t="shared" si="0"/>
        <v>-178.54</v>
      </c>
      <c r="M22" s="2"/>
      <c r="N22" s="19">
        <f t="shared" si="1"/>
        <v>-1</v>
      </c>
      <c r="O22" s="11"/>
      <c r="P22" s="2">
        <f t="shared" si="5"/>
        <v>0</v>
      </c>
      <c r="Q22" s="2"/>
      <c r="R22" s="19"/>
      <c r="S22" s="2"/>
      <c r="T22" s="2">
        <f>--2584.95</f>
        <v>2584.9499999999998</v>
      </c>
      <c r="U22" s="2"/>
      <c r="V22" s="19"/>
      <c r="W22" s="2"/>
      <c r="X22" s="2">
        <f t="shared" si="2"/>
        <v>-2584.9499999999998</v>
      </c>
      <c r="Y22" s="2"/>
      <c r="Z22" s="19">
        <f t="shared" si="3"/>
        <v>-1</v>
      </c>
    </row>
    <row r="23" spans="1:26" s="24" customFormat="1" hidden="1" outlineLevel="1" x14ac:dyDescent="0.25">
      <c r="A23" s="44"/>
      <c r="B23" s="11" t="str">
        <f>CONCATENATE("          ", "4128", " - ", "NON-TAXABLE SALES-ART/TECH")</f>
        <v xml:space="preserve">          4128 - NON-TAXABLE SALES-ART/TECH</v>
      </c>
      <c r="C23" s="11"/>
      <c r="D23" s="2">
        <f t="shared" si="4"/>
        <v>0</v>
      </c>
      <c r="E23" s="2"/>
      <c r="F23" s="19"/>
      <c r="G23" s="2"/>
      <c r="H23" s="2">
        <f>--32.63</f>
        <v>32.630000000000003</v>
      </c>
      <c r="I23" s="2"/>
      <c r="J23" s="19"/>
      <c r="K23" s="2"/>
      <c r="L23" s="2">
        <f t="shared" si="0"/>
        <v>-32.630000000000003</v>
      </c>
      <c r="M23" s="2"/>
      <c r="N23" s="19">
        <f t="shared" si="1"/>
        <v>-1</v>
      </c>
      <c r="O23" s="11"/>
      <c r="P23" s="2">
        <f t="shared" si="5"/>
        <v>0</v>
      </c>
      <c r="Q23" s="2"/>
      <c r="R23" s="19"/>
      <c r="S23" s="2"/>
      <c r="T23" s="2">
        <f>--253.32</f>
        <v>253.32</v>
      </c>
      <c r="U23" s="2"/>
      <c r="V23" s="19"/>
      <c r="W23" s="2"/>
      <c r="X23" s="2">
        <f t="shared" si="2"/>
        <v>-253.32</v>
      </c>
      <c r="Y23" s="2"/>
      <c r="Z23" s="19">
        <f t="shared" si="3"/>
        <v>-1</v>
      </c>
    </row>
    <row r="24" spans="1:26" s="24" customFormat="1" hidden="1" outlineLevel="1" x14ac:dyDescent="0.25">
      <c r="A24" s="44"/>
      <c r="B24" s="11" t="str">
        <f>CONCATENATE("          ", "4131", " - ", "NON-TAXABLE SALES-FOOD")</f>
        <v xml:space="preserve">          4131 - NON-TAXABLE SALES-FOOD</v>
      </c>
      <c r="C24" s="11"/>
      <c r="D24" s="2">
        <f t="shared" si="4"/>
        <v>0</v>
      </c>
      <c r="E24" s="2"/>
      <c r="F24" s="19"/>
      <c r="G24" s="2"/>
      <c r="H24" s="2">
        <f>--198.67</f>
        <v>198.67</v>
      </c>
      <c r="I24" s="2"/>
      <c r="J24" s="19"/>
      <c r="K24" s="2"/>
      <c r="L24" s="2">
        <f t="shared" si="0"/>
        <v>-198.67</v>
      </c>
      <c r="M24" s="2"/>
      <c r="N24" s="19">
        <f t="shared" si="1"/>
        <v>-1</v>
      </c>
      <c r="O24" s="11"/>
      <c r="P24" s="2">
        <f t="shared" si="5"/>
        <v>0</v>
      </c>
      <c r="Q24" s="2"/>
      <c r="R24" s="19"/>
      <c r="S24" s="2"/>
      <c r="T24" s="2">
        <f>--703.67</f>
        <v>703.67</v>
      </c>
      <c r="U24" s="2"/>
      <c r="V24" s="19"/>
      <c r="W24" s="2"/>
      <c r="X24" s="2">
        <f t="shared" si="2"/>
        <v>-703.67</v>
      </c>
      <c r="Y24" s="2"/>
      <c r="Z24" s="19">
        <f t="shared" si="3"/>
        <v>-1</v>
      </c>
    </row>
    <row r="25" spans="1:26" s="24" customFormat="1" hidden="1" outlineLevel="1" x14ac:dyDescent="0.25">
      <c r="A25" s="44"/>
      <c r="B25" s="11" t="str">
        <f>CONCATENATE("          ", "4133", " - ", "NON-TAXABLE SALES-CANDY")</f>
        <v xml:space="preserve">          4133 - NON-TAXABLE SALES-CANDY</v>
      </c>
      <c r="C25" s="11"/>
      <c r="D25" s="2">
        <f t="shared" si="4"/>
        <v>0</v>
      </c>
      <c r="E25" s="2"/>
      <c r="F25" s="19"/>
      <c r="G25" s="2"/>
      <c r="H25" s="2">
        <f>--273.05</f>
        <v>273.05</v>
      </c>
      <c r="I25" s="2"/>
      <c r="J25" s="19"/>
      <c r="K25" s="2"/>
      <c r="L25" s="2">
        <f t="shared" si="0"/>
        <v>-273.05</v>
      </c>
      <c r="M25" s="2"/>
      <c r="N25" s="19">
        <f t="shared" si="1"/>
        <v>-1</v>
      </c>
      <c r="O25" s="11"/>
      <c r="P25" s="2">
        <f t="shared" si="5"/>
        <v>0</v>
      </c>
      <c r="Q25" s="2"/>
      <c r="R25" s="19"/>
      <c r="S25" s="2"/>
      <c r="T25" s="2">
        <f>--1145.4</f>
        <v>1145.4000000000001</v>
      </c>
      <c r="U25" s="2"/>
      <c r="V25" s="19"/>
      <c r="W25" s="2"/>
      <c r="X25" s="2">
        <f t="shared" si="2"/>
        <v>-1145.4000000000001</v>
      </c>
      <c r="Y25" s="2"/>
      <c r="Z25" s="19">
        <f t="shared" si="3"/>
        <v>-1</v>
      </c>
    </row>
    <row r="26" spans="1:26" s="24" customFormat="1" hidden="1" outlineLevel="1" x14ac:dyDescent="0.25">
      <c r="A26" s="44"/>
      <c r="B26" s="11" t="str">
        <f>CONCATENATE("          ", "4135", " - ", "NON-TAXABLE SALES")</f>
        <v xml:space="preserve">          4135 - NON-TAXABLE SALES</v>
      </c>
      <c r="C26" s="11"/>
      <c r="D26" s="2">
        <f t="shared" si="4"/>
        <v>0</v>
      </c>
      <c r="E26" s="2"/>
      <c r="F26" s="19"/>
      <c r="G26" s="2"/>
      <c r="H26" s="2">
        <f>0</f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 t="shared" si="5"/>
        <v>0</v>
      </c>
      <c r="Q26" s="2"/>
      <c r="R26" s="19"/>
      <c r="S26" s="2"/>
      <c r="T26" s="2">
        <f>--50.16</f>
        <v>50.16</v>
      </c>
      <c r="U26" s="2"/>
      <c r="V26" s="19"/>
      <c r="W26" s="2"/>
      <c r="X26" s="2">
        <f t="shared" si="2"/>
        <v>-50.16</v>
      </c>
      <c r="Y26" s="2"/>
      <c r="Z26" s="19">
        <f t="shared" si="3"/>
        <v>-1</v>
      </c>
    </row>
    <row r="27" spans="1:26" s="24" customFormat="1" hidden="1" outlineLevel="1" x14ac:dyDescent="0.25">
      <c r="A27" s="44"/>
      <c r="B27" s="11" t="str">
        <f>CONCATENATE("          ", "4217", " - ", "NON-TAXABLE SALES-DORM/HOUSEWA")</f>
        <v xml:space="preserve">          4217 - NON-TAXABLE SALES-DORM/HOUSEWA</v>
      </c>
      <c r="C27" s="11"/>
      <c r="D27" s="2">
        <f t="shared" si="4"/>
        <v>0</v>
      </c>
      <c r="E27" s="2"/>
      <c r="F27" s="19"/>
      <c r="G27" s="2"/>
      <c r="H27" s="2">
        <f>-2.98</f>
        <v>-2.98</v>
      </c>
      <c r="I27" s="2"/>
      <c r="J27" s="19"/>
      <c r="K27" s="2"/>
      <c r="L27" s="2">
        <f t="shared" si="0"/>
        <v>2.98</v>
      </c>
      <c r="M27" s="2"/>
      <c r="N27" s="19">
        <f t="shared" si="1"/>
        <v>-1</v>
      </c>
      <c r="O27" s="11"/>
      <c r="P27" s="2">
        <f t="shared" si="5"/>
        <v>0</v>
      </c>
      <c r="Q27" s="2"/>
      <c r="R27" s="19"/>
      <c r="S27" s="2"/>
      <c r="T27" s="2">
        <f>-2.98</f>
        <v>-2.98</v>
      </c>
      <c r="U27" s="2"/>
      <c r="V27" s="19"/>
      <c r="W27" s="2"/>
      <c r="X27" s="2">
        <f t="shared" si="2"/>
        <v>2.98</v>
      </c>
      <c r="Y27" s="2"/>
      <c r="Z27" s="19">
        <f t="shared" si="3"/>
        <v>-1</v>
      </c>
    </row>
    <row r="28" spans="1:26" s="24" customFormat="1" hidden="1" outlineLevel="1" x14ac:dyDescent="0.25">
      <c r="A28" s="44"/>
      <c r="B28" s="11" t="str">
        <f>CONCATENATE("          ", "4225", " - ", "SALES RETURN TAXABLE-TEST FORM")</f>
        <v xml:space="preserve">          4225 - SALES RETURN TAXABLE-TEST FORM</v>
      </c>
      <c r="C28" s="11"/>
      <c r="D28" s="2">
        <f t="shared" si="4"/>
        <v>0</v>
      </c>
      <c r="E28" s="2"/>
      <c r="F28" s="19"/>
      <c r="G28" s="2"/>
      <c r="H28" s="2">
        <f>-7.96</f>
        <v>-7.96</v>
      </c>
      <c r="I28" s="2"/>
      <c r="J28" s="19"/>
      <c r="K28" s="2"/>
      <c r="L28" s="2">
        <f t="shared" si="0"/>
        <v>7.96</v>
      </c>
      <c r="M28" s="2"/>
      <c r="N28" s="19">
        <f t="shared" si="1"/>
        <v>-1</v>
      </c>
      <c r="O28" s="11"/>
      <c r="P28" s="2">
        <f t="shared" si="5"/>
        <v>0</v>
      </c>
      <c r="Q28" s="2"/>
      <c r="R28" s="19"/>
      <c r="S28" s="2"/>
      <c r="T28" s="2">
        <f>-41.06</f>
        <v>-41.06</v>
      </c>
      <c r="U28" s="2"/>
      <c r="V28" s="19"/>
      <c r="W28" s="2"/>
      <c r="X28" s="2">
        <f t="shared" si="2"/>
        <v>41.06</v>
      </c>
      <c r="Y28" s="2"/>
      <c r="Z28" s="19">
        <f t="shared" si="3"/>
        <v>-1</v>
      </c>
    </row>
    <row r="29" spans="1:26" s="24" customFormat="1" hidden="1" outlineLevel="1" x14ac:dyDescent="0.25">
      <c r="A29" s="44"/>
      <c r="B29" s="11" t="str">
        <f>CONCATENATE("          ", "4226", " - ", "SALES RETURN TAXABLE-WRITING I")</f>
        <v xml:space="preserve">          4226 - SALES RETURN TAXABLE-WRITING I</v>
      </c>
      <c r="C29" s="11"/>
      <c r="D29" s="2">
        <f t="shared" si="4"/>
        <v>0</v>
      </c>
      <c r="E29" s="2"/>
      <c r="F29" s="19"/>
      <c r="G29" s="2"/>
      <c r="H29" s="2">
        <f>-32.1</f>
        <v>-32.1</v>
      </c>
      <c r="I29" s="2"/>
      <c r="J29" s="19"/>
      <c r="K29" s="2"/>
      <c r="L29" s="2">
        <f t="shared" si="0"/>
        <v>32.1</v>
      </c>
      <c r="M29" s="2"/>
      <c r="N29" s="19">
        <f t="shared" si="1"/>
        <v>-1</v>
      </c>
      <c r="O29" s="11"/>
      <c r="P29" s="2">
        <f t="shared" si="5"/>
        <v>0</v>
      </c>
      <c r="Q29" s="2"/>
      <c r="R29" s="19"/>
      <c r="S29" s="2"/>
      <c r="T29" s="2">
        <f>-338.18</f>
        <v>-338.18</v>
      </c>
      <c r="U29" s="2"/>
      <c r="V29" s="19"/>
      <c r="W29" s="2"/>
      <c r="X29" s="2">
        <f t="shared" si="2"/>
        <v>338.18</v>
      </c>
      <c r="Y29" s="2"/>
      <c r="Z29" s="19">
        <f t="shared" si="3"/>
        <v>-1</v>
      </c>
    </row>
    <row r="30" spans="1:26" s="24" customFormat="1" hidden="1" outlineLevel="1" x14ac:dyDescent="0.25">
      <c r="A30" s="44"/>
      <c r="B30" s="11" t="str">
        <f>CONCATENATE("          ", "4227", " - ", "SALES RETURN TAXABLE-SCHOOL SU")</f>
        <v xml:space="preserve">          4227 - SALES RETURN TAXABLE-SCHOOL SU</v>
      </c>
      <c r="C30" s="11"/>
      <c r="D30" s="2">
        <f t="shared" si="4"/>
        <v>0</v>
      </c>
      <c r="E30" s="2"/>
      <c r="F30" s="19"/>
      <c r="G30" s="2"/>
      <c r="H30" s="2">
        <f>-324.85</f>
        <v>-324.85000000000002</v>
      </c>
      <c r="I30" s="2"/>
      <c r="J30" s="19"/>
      <c r="K30" s="2"/>
      <c r="L30" s="2">
        <f t="shared" si="0"/>
        <v>324.85000000000002</v>
      </c>
      <c r="M30" s="2"/>
      <c r="N30" s="19">
        <f t="shared" si="1"/>
        <v>-1</v>
      </c>
      <c r="O30" s="11"/>
      <c r="P30" s="2">
        <f t="shared" si="5"/>
        <v>0</v>
      </c>
      <c r="Q30" s="2"/>
      <c r="R30" s="19"/>
      <c r="S30" s="2"/>
      <c r="T30" s="2">
        <f>-4804.26</f>
        <v>-4804.26</v>
      </c>
      <c r="U30" s="2"/>
      <c r="V30" s="19"/>
      <c r="W30" s="2"/>
      <c r="X30" s="2">
        <f t="shared" si="2"/>
        <v>4804.26</v>
      </c>
      <c r="Y30" s="2"/>
      <c r="Z30" s="19">
        <f t="shared" si="3"/>
        <v>-1</v>
      </c>
    </row>
    <row r="31" spans="1:26" s="24" customFormat="1" hidden="1" outlineLevel="1" x14ac:dyDescent="0.25">
      <c r="A31" s="44"/>
      <c r="B31" s="11" t="str">
        <f>CONCATENATE("          ", "4228", " - ", "SALES RETURN TAXABLE-ART/TECH")</f>
        <v xml:space="preserve">          4228 - SALES RETURN TAXABLE-ART/TECH</v>
      </c>
      <c r="C31" s="11"/>
      <c r="D31" s="2">
        <f t="shared" si="4"/>
        <v>0</v>
      </c>
      <c r="E31" s="2"/>
      <c r="F31" s="19"/>
      <c r="G31" s="2"/>
      <c r="H31" s="2">
        <f>-4.73</f>
        <v>-4.7300000000000004</v>
      </c>
      <c r="I31" s="2"/>
      <c r="J31" s="19"/>
      <c r="K31" s="2"/>
      <c r="L31" s="2">
        <f t="shared" si="0"/>
        <v>4.7300000000000004</v>
      </c>
      <c r="M31" s="2"/>
      <c r="N31" s="19">
        <f t="shared" si="1"/>
        <v>-1</v>
      </c>
      <c r="O31" s="11"/>
      <c r="P31" s="2">
        <f t="shared" si="5"/>
        <v>0</v>
      </c>
      <c r="Q31" s="2"/>
      <c r="R31" s="19"/>
      <c r="S31" s="2"/>
      <c r="T31" s="2">
        <f>-226.97</f>
        <v>-226.97</v>
      </c>
      <c r="U31" s="2"/>
      <c r="V31" s="19"/>
      <c r="W31" s="2"/>
      <c r="X31" s="2">
        <f t="shared" si="2"/>
        <v>226.97</v>
      </c>
      <c r="Y31" s="2"/>
      <c r="Z31" s="19">
        <f t="shared" si="3"/>
        <v>-1</v>
      </c>
    </row>
    <row r="32" spans="1:26" s="24" customFormat="1" hidden="1" outlineLevel="1" x14ac:dyDescent="0.25">
      <c r="A32" s="44"/>
      <c r="B32" s="11" t="str">
        <f>CONCATENATE("          ", "4327", " - ", "SALES RETURN NON TAXABLE-SCHOO")</f>
        <v xml:space="preserve">          4327 - SALES RETURN NON TAXABLE-SCHOO</v>
      </c>
      <c r="C32" s="11"/>
      <c r="D32" s="2">
        <f t="shared" si="4"/>
        <v>0</v>
      </c>
      <c r="E32" s="2"/>
      <c r="F32" s="19"/>
      <c r="G32" s="2"/>
      <c r="H32" s="2">
        <f>0</f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 t="shared" si="5"/>
        <v>0</v>
      </c>
      <c r="Q32" s="2"/>
      <c r="R32" s="19"/>
      <c r="S32" s="2"/>
      <c r="T32" s="2">
        <f>-21.87</f>
        <v>-21.87</v>
      </c>
      <c r="U32" s="2"/>
      <c r="V32" s="19"/>
      <c r="W32" s="2"/>
      <c r="X32" s="2">
        <f t="shared" si="2"/>
        <v>21.87</v>
      </c>
      <c r="Y32" s="2"/>
      <c r="Z32" s="19">
        <f t="shared" si="3"/>
        <v>-1</v>
      </c>
    </row>
    <row r="33" spans="1:26" x14ac:dyDescent="0.25">
      <c r="A33" s="9"/>
      <c r="B33" s="10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collapsed="1" x14ac:dyDescent="0.25">
      <c r="A34" s="10"/>
      <c r="B34" s="26" t="s">
        <v>8</v>
      </c>
      <c r="C34" s="10"/>
      <c r="D34" s="4">
        <f>SUM(OSRRefD16x_0)</f>
        <v>0</v>
      </c>
      <c r="E34" s="4"/>
      <c r="F34" s="12">
        <f t="shared" ref="F34:F49" si="7">IF(D$12=0,0,D34/D$12)</f>
        <v>0</v>
      </c>
      <c r="G34" s="4"/>
      <c r="H34" s="4">
        <f>SUM(OSRRefH16x_0)</f>
        <v>20551.25</v>
      </c>
      <c r="I34" s="4"/>
      <c r="J34" s="12">
        <f t="shared" ref="J34:J49" si="8">IF(H$12=0,0,H34/H$12)</f>
        <v>0.47737629505124468</v>
      </c>
      <c r="K34" s="4"/>
      <c r="L34" s="4">
        <f t="shared" ref="L34:L49" si="9">+D34-H34</f>
        <v>-20551.25</v>
      </c>
      <c r="M34" s="4"/>
      <c r="N34" s="12">
        <f t="shared" ref="N34:N49" si="10">IF(H34=0,0,L34/H34)</f>
        <v>-1</v>
      </c>
      <c r="O34" s="10"/>
      <c r="P34" s="4">
        <f>SUM(OSRRefP16x_0)</f>
        <v>0</v>
      </c>
      <c r="Q34" s="4"/>
      <c r="R34" s="12">
        <f t="shared" ref="R34:R49" si="11">IF(P$12=0,0,P34/P$12)</f>
        <v>0</v>
      </c>
      <c r="S34" s="4"/>
      <c r="T34" s="4">
        <f>SUM(OSRRefT16x_0)</f>
        <v>95179.010000000024</v>
      </c>
      <c r="U34" s="4"/>
      <c r="V34" s="12">
        <f t="shared" ref="V34:V49" si="12">IF(T$12=0,0,T34/T$12)</f>
        <v>0.46333778518048491</v>
      </c>
      <c r="W34" s="4"/>
      <c r="X34" s="4">
        <f t="shared" ref="X34:X49" si="13">+P34-T34</f>
        <v>-95179.010000000024</v>
      </c>
      <c r="Y34" s="4"/>
      <c r="Z34" s="12">
        <f t="shared" ref="Z34:Z49" si="14">IF(T34=0,0,X34/T34)</f>
        <v>-1</v>
      </c>
    </row>
    <row r="35" spans="1:26" s="24" customFormat="1" hidden="1" outlineLevel="1" x14ac:dyDescent="0.25">
      <c r="A35" s="44"/>
      <c r="B35" s="11" t="str">
        <f>CONCATENATE("          ", "5017", " - ", "PURCHASES @ COST-DORM/HOUSEWAR")</f>
        <v xml:space="preserve">          5017 - PURCHASES @ COST-DORM/HOUSEWAR</v>
      </c>
      <c r="C35" s="11"/>
      <c r="D35" s="2"/>
      <c r="E35" s="2"/>
      <c r="F35" s="19">
        <f t="shared" si="7"/>
        <v>0</v>
      </c>
      <c r="G35" s="2"/>
      <c r="H35" s="2"/>
      <c r="I35" s="2"/>
      <c r="J35" s="19">
        <f t="shared" si="8"/>
        <v>0</v>
      </c>
      <c r="K35" s="2"/>
      <c r="L35" s="2">
        <f t="shared" si="9"/>
        <v>0</v>
      </c>
      <c r="M35" s="2"/>
      <c r="N35" s="19">
        <f t="shared" si="10"/>
        <v>0</v>
      </c>
      <c r="O35" s="11"/>
      <c r="P35" s="2"/>
      <c r="Q35" s="2"/>
      <c r="R35" s="19">
        <f t="shared" si="11"/>
        <v>0</v>
      </c>
      <c r="S35" s="2"/>
      <c r="T35" s="2">
        <v>0</v>
      </c>
      <c r="U35" s="2"/>
      <c r="V35" s="19">
        <f t="shared" si="12"/>
        <v>0</v>
      </c>
      <c r="W35" s="2"/>
      <c r="X35" s="2">
        <f t="shared" si="13"/>
        <v>0</v>
      </c>
      <c r="Y35" s="2"/>
      <c r="Z35" s="19">
        <f t="shared" si="14"/>
        <v>0</v>
      </c>
    </row>
    <row r="36" spans="1:26" s="24" customFormat="1" hidden="1" outlineLevel="1" x14ac:dyDescent="0.25">
      <c r="A36" s="44"/>
      <c r="B36" s="11" t="str">
        <f>CONCATENATE("          ", "5025", " - ", "PURCHASES @ COST-TEST FORMS")</f>
        <v xml:space="preserve">          5025 - PURCHASES @ COST-TEST FORMS</v>
      </c>
      <c r="C36" s="11"/>
      <c r="D36" s="2"/>
      <c r="E36" s="2"/>
      <c r="F36" s="19">
        <f t="shared" si="7"/>
        <v>0</v>
      </c>
      <c r="G36" s="2"/>
      <c r="H36" s="2">
        <v>-294.16000000000003</v>
      </c>
      <c r="I36" s="2"/>
      <c r="J36" s="19">
        <f t="shared" si="8"/>
        <v>-6.8329182386606237E-3</v>
      </c>
      <c r="K36" s="2"/>
      <c r="L36" s="2">
        <f t="shared" si="9"/>
        <v>294.16000000000003</v>
      </c>
      <c r="M36" s="2"/>
      <c r="N36" s="19">
        <f t="shared" si="10"/>
        <v>-1</v>
      </c>
      <c r="O36" s="11"/>
      <c r="P36" s="2"/>
      <c r="Q36" s="2"/>
      <c r="R36" s="19">
        <f t="shared" si="11"/>
        <v>0</v>
      </c>
      <c r="S36" s="2"/>
      <c r="T36" s="2">
        <v>2814.01</v>
      </c>
      <c r="U36" s="2"/>
      <c r="V36" s="19">
        <f t="shared" si="12"/>
        <v>1.3698788849303393E-2</v>
      </c>
      <c r="W36" s="2"/>
      <c r="X36" s="2">
        <f t="shared" si="13"/>
        <v>-2814.01</v>
      </c>
      <c r="Y36" s="2"/>
      <c r="Z36" s="19">
        <f t="shared" si="14"/>
        <v>-1</v>
      </c>
    </row>
    <row r="37" spans="1:26" s="24" customFormat="1" hidden="1" outlineLevel="1" x14ac:dyDescent="0.25">
      <c r="A37" s="44"/>
      <c r="B37" s="11" t="str">
        <f>CONCATENATE("          ", "5026", " - ", "PURCHASES @ COST-WRITING INSTR")</f>
        <v xml:space="preserve">          5026 - PURCHASES @ COST-WRITING INSTR</v>
      </c>
      <c r="C37" s="11"/>
      <c r="D37" s="2"/>
      <c r="E37" s="2"/>
      <c r="F37" s="19">
        <f t="shared" si="7"/>
        <v>0</v>
      </c>
      <c r="G37" s="2"/>
      <c r="H37" s="2">
        <v>9210.39</v>
      </c>
      <c r="I37" s="2"/>
      <c r="J37" s="19">
        <f t="shared" si="8"/>
        <v>0.21394425420239804</v>
      </c>
      <c r="K37" s="2"/>
      <c r="L37" s="2">
        <f t="shared" si="9"/>
        <v>-9210.39</v>
      </c>
      <c r="M37" s="2"/>
      <c r="N37" s="19">
        <f t="shared" si="10"/>
        <v>-1</v>
      </c>
      <c r="O37" s="11"/>
      <c r="P37" s="2"/>
      <c r="Q37" s="2"/>
      <c r="R37" s="19">
        <f t="shared" si="11"/>
        <v>0</v>
      </c>
      <c r="S37" s="2"/>
      <c r="T37" s="2">
        <v>23500.1</v>
      </c>
      <c r="U37" s="2"/>
      <c r="V37" s="19">
        <f t="shared" si="12"/>
        <v>0.11440005822207974</v>
      </c>
      <c r="W37" s="2"/>
      <c r="X37" s="2">
        <f t="shared" si="13"/>
        <v>-23500.1</v>
      </c>
      <c r="Y37" s="2"/>
      <c r="Z37" s="19">
        <f t="shared" si="14"/>
        <v>-1</v>
      </c>
    </row>
    <row r="38" spans="1:26" s="24" customFormat="1" hidden="1" outlineLevel="1" x14ac:dyDescent="0.25">
      <c r="A38" s="44"/>
      <c r="B38" s="11" t="str">
        <f>CONCATENATE("          ", "5027", " - ", "PURCHASES @ COST-SCHOOL SUPPLI")</f>
        <v xml:space="preserve">          5027 - PURCHASES @ COST-SCHOOL SUPPLI</v>
      </c>
      <c r="C38" s="11"/>
      <c r="D38" s="2"/>
      <c r="E38" s="2"/>
      <c r="F38" s="19">
        <f t="shared" si="7"/>
        <v>0</v>
      </c>
      <c r="G38" s="2"/>
      <c r="H38" s="2">
        <v>8821.99</v>
      </c>
      <c r="I38" s="2"/>
      <c r="J38" s="19">
        <f t="shared" si="8"/>
        <v>0.20492227485817796</v>
      </c>
      <c r="K38" s="2"/>
      <c r="L38" s="2">
        <f t="shared" si="9"/>
        <v>-8821.99</v>
      </c>
      <c r="M38" s="2"/>
      <c r="N38" s="19">
        <f t="shared" si="10"/>
        <v>-1</v>
      </c>
      <c r="O38" s="11"/>
      <c r="P38" s="2"/>
      <c r="Q38" s="2"/>
      <c r="R38" s="19">
        <f t="shared" si="11"/>
        <v>0</v>
      </c>
      <c r="S38" s="2"/>
      <c r="T38" s="2">
        <v>70213.02</v>
      </c>
      <c r="U38" s="2"/>
      <c r="V38" s="19">
        <f t="shared" si="12"/>
        <v>0.34180167641618758</v>
      </c>
      <c r="W38" s="2"/>
      <c r="X38" s="2">
        <f t="shared" si="13"/>
        <v>-70213.02</v>
      </c>
      <c r="Y38" s="2"/>
      <c r="Z38" s="19">
        <f t="shared" si="14"/>
        <v>-1</v>
      </c>
    </row>
    <row r="39" spans="1:26" s="24" customFormat="1" hidden="1" outlineLevel="1" x14ac:dyDescent="0.25">
      <c r="A39" s="44"/>
      <c r="B39" s="11" t="str">
        <f>CONCATENATE("          ", "5028", " - ", "PURCHASES @ COST-ART/TECH")</f>
        <v xml:space="preserve">          5028 - PURCHASES @ COST-ART/TECH</v>
      </c>
      <c r="C39" s="11"/>
      <c r="D39" s="2"/>
      <c r="E39" s="2"/>
      <c r="F39" s="19">
        <f t="shared" si="7"/>
        <v>0</v>
      </c>
      <c r="G39" s="2"/>
      <c r="H39" s="2">
        <v>194.51</v>
      </c>
      <c r="I39" s="2"/>
      <c r="J39" s="19">
        <f t="shared" si="8"/>
        <v>4.5181905310099192E-3</v>
      </c>
      <c r="K39" s="2"/>
      <c r="L39" s="2">
        <f t="shared" si="9"/>
        <v>-194.51</v>
      </c>
      <c r="M39" s="2"/>
      <c r="N39" s="19">
        <f t="shared" si="10"/>
        <v>-1</v>
      </c>
      <c r="O39" s="11"/>
      <c r="P39" s="2"/>
      <c r="Q39" s="2"/>
      <c r="R39" s="19">
        <f t="shared" si="11"/>
        <v>0</v>
      </c>
      <c r="S39" s="2"/>
      <c r="T39" s="2">
        <v>3273.34</v>
      </c>
      <c r="U39" s="2"/>
      <c r="V39" s="19">
        <f t="shared" si="12"/>
        <v>1.5934838004121793E-2</v>
      </c>
      <c r="W39" s="2"/>
      <c r="X39" s="2">
        <f t="shared" si="13"/>
        <v>-3273.34</v>
      </c>
      <c r="Y39" s="2"/>
      <c r="Z39" s="19">
        <f t="shared" si="14"/>
        <v>-1</v>
      </c>
    </row>
    <row r="40" spans="1:26" s="24" customFormat="1" hidden="1" outlineLevel="1" x14ac:dyDescent="0.25">
      <c r="A40" s="44"/>
      <c r="B40" s="11" t="str">
        <f>CONCATENATE("          ", "5031", " - ", "PURCHASES @ COST-FOOD")</f>
        <v xml:space="preserve">          5031 - PURCHASES @ COST-FOOD</v>
      </c>
      <c r="C40" s="11"/>
      <c r="D40" s="2"/>
      <c r="E40" s="2"/>
      <c r="F40" s="19">
        <f t="shared" si="7"/>
        <v>0</v>
      </c>
      <c r="G40" s="2"/>
      <c r="H40" s="2">
        <v>18.190000000000001</v>
      </c>
      <c r="I40" s="2"/>
      <c r="J40" s="19">
        <f t="shared" si="8"/>
        <v>4.2252781738250187E-4</v>
      </c>
      <c r="K40" s="2"/>
      <c r="L40" s="2">
        <f t="shared" si="9"/>
        <v>-18.190000000000001</v>
      </c>
      <c r="M40" s="2"/>
      <c r="N40" s="19">
        <f t="shared" si="10"/>
        <v>-1</v>
      </c>
      <c r="O40" s="11"/>
      <c r="P40" s="2"/>
      <c r="Q40" s="2"/>
      <c r="R40" s="19">
        <f t="shared" si="11"/>
        <v>0</v>
      </c>
      <c r="S40" s="2"/>
      <c r="T40" s="2">
        <v>167.3</v>
      </c>
      <c r="U40" s="2"/>
      <c r="V40" s="19">
        <f t="shared" si="12"/>
        <v>8.1442758714022245E-4</v>
      </c>
      <c r="W40" s="2"/>
      <c r="X40" s="2">
        <f t="shared" si="13"/>
        <v>-167.3</v>
      </c>
      <c r="Y40" s="2"/>
      <c r="Z40" s="19">
        <f t="shared" si="14"/>
        <v>-1</v>
      </c>
    </row>
    <row r="41" spans="1:26" s="24" customFormat="1" hidden="1" outlineLevel="1" x14ac:dyDescent="0.25">
      <c r="A41" s="44"/>
      <c r="B41" s="11" t="str">
        <f>CONCATENATE("          ", "5033", " - ", "PURCHASES @ COST-CANDY")</f>
        <v xml:space="preserve">          5033 - PURCHASES @ COST-CANDY</v>
      </c>
      <c r="C41" s="11"/>
      <c r="D41" s="2"/>
      <c r="E41" s="2"/>
      <c r="F41" s="19">
        <f t="shared" si="7"/>
        <v>0</v>
      </c>
      <c r="G41" s="2"/>
      <c r="H41" s="2">
        <v>73.040000000000006</v>
      </c>
      <c r="I41" s="2"/>
      <c r="J41" s="19">
        <f t="shared" si="8"/>
        <v>1.6966152711169837E-3</v>
      </c>
      <c r="K41" s="2"/>
      <c r="L41" s="2">
        <f t="shared" si="9"/>
        <v>-73.040000000000006</v>
      </c>
      <c r="M41" s="2"/>
      <c r="N41" s="19">
        <f t="shared" si="10"/>
        <v>-1</v>
      </c>
      <c r="O41" s="11"/>
      <c r="P41" s="2"/>
      <c r="Q41" s="2"/>
      <c r="R41" s="19">
        <f t="shared" si="11"/>
        <v>0</v>
      </c>
      <c r="S41" s="2"/>
      <c r="T41" s="2">
        <v>153.99</v>
      </c>
      <c r="U41" s="2"/>
      <c r="V41" s="19">
        <f t="shared" si="12"/>
        <v>7.496336171172915E-4</v>
      </c>
      <c r="W41" s="2"/>
      <c r="X41" s="2">
        <f t="shared" si="13"/>
        <v>-153.99</v>
      </c>
      <c r="Y41" s="2"/>
      <c r="Z41" s="19">
        <f t="shared" si="14"/>
        <v>-1</v>
      </c>
    </row>
    <row r="42" spans="1:26" s="24" customFormat="1" hidden="1" outlineLevel="1" x14ac:dyDescent="0.25">
      <c r="A42" s="44"/>
      <c r="B42" s="11" t="str">
        <f>CONCATENATE("          ", "5035", " - ", "PURCHASES @ COST-HEALTH &amp; BEAU")</f>
        <v xml:space="preserve">          5035 - PURCHASES @ COST-HEALTH &amp; BEAU</v>
      </c>
      <c r="C42" s="11"/>
      <c r="D42" s="2"/>
      <c r="E42" s="2"/>
      <c r="F42" s="19">
        <f t="shared" si="7"/>
        <v>0</v>
      </c>
      <c r="G42" s="2"/>
      <c r="H42" s="2"/>
      <c r="I42" s="2"/>
      <c r="J42" s="19">
        <f t="shared" si="8"/>
        <v>0</v>
      </c>
      <c r="K42" s="2"/>
      <c r="L42" s="2">
        <f t="shared" si="9"/>
        <v>0</v>
      </c>
      <c r="M42" s="2"/>
      <c r="N42" s="19">
        <f t="shared" si="10"/>
        <v>0</v>
      </c>
      <c r="O42" s="11"/>
      <c r="P42" s="2"/>
      <c r="Q42" s="2"/>
      <c r="R42" s="19">
        <f t="shared" si="11"/>
        <v>0</v>
      </c>
      <c r="S42" s="2"/>
      <c r="T42" s="2">
        <v>34.49</v>
      </c>
      <c r="U42" s="2"/>
      <c r="V42" s="19">
        <f t="shared" si="12"/>
        <v>1.6789962630284682E-4</v>
      </c>
      <c r="W42" s="2"/>
      <c r="X42" s="2">
        <f t="shared" si="13"/>
        <v>-34.49</v>
      </c>
      <c r="Y42" s="2"/>
      <c r="Z42" s="19">
        <f t="shared" si="14"/>
        <v>-1</v>
      </c>
    </row>
    <row r="43" spans="1:26" s="24" customFormat="1" hidden="1" outlineLevel="1" x14ac:dyDescent="0.25">
      <c r="A43" s="44"/>
      <c r="B43" s="11" t="str">
        <f>CONCATENATE("          ", "5200", " - ", "PURCHASES OFFSET")</f>
        <v xml:space="preserve">          5200 - PURCHASES OFFSET</v>
      </c>
      <c r="C43" s="11"/>
      <c r="D43" s="2"/>
      <c r="E43" s="2"/>
      <c r="F43" s="19">
        <f t="shared" si="7"/>
        <v>0</v>
      </c>
      <c r="G43" s="2"/>
      <c r="H43" s="2">
        <v>-18395</v>
      </c>
      <c r="I43" s="2"/>
      <c r="J43" s="19">
        <f t="shared" si="8"/>
        <v>-0.4272896756872524</v>
      </c>
      <c r="K43" s="2"/>
      <c r="L43" s="2">
        <f t="shared" si="9"/>
        <v>18395</v>
      </c>
      <c r="M43" s="2"/>
      <c r="N43" s="19">
        <f t="shared" si="10"/>
        <v>-1</v>
      </c>
      <c r="O43" s="11"/>
      <c r="P43" s="2"/>
      <c r="Q43" s="2"/>
      <c r="R43" s="19">
        <f t="shared" si="11"/>
        <v>0</v>
      </c>
      <c r="S43" s="2"/>
      <c r="T43" s="2">
        <v>-101022</v>
      </c>
      <c r="U43" s="2"/>
      <c r="V43" s="19">
        <f t="shared" si="12"/>
        <v>-0.49178185121386464</v>
      </c>
      <c r="W43" s="2"/>
      <c r="X43" s="2">
        <f t="shared" si="13"/>
        <v>101022</v>
      </c>
      <c r="Y43" s="2"/>
      <c r="Z43" s="19">
        <f t="shared" si="14"/>
        <v>-1</v>
      </c>
    </row>
    <row r="44" spans="1:26" s="24" customFormat="1" hidden="1" outlineLevel="1" x14ac:dyDescent="0.25">
      <c r="A44" s="44"/>
      <c r="B44" s="11" t="str">
        <f>CONCATENATE("          ", "5300", " - ", "COG$ OFFSET")</f>
        <v xml:space="preserve">          5300 - COG$ OFFSET</v>
      </c>
      <c r="C44" s="11"/>
      <c r="D44" s="2"/>
      <c r="E44" s="2"/>
      <c r="F44" s="19">
        <f t="shared" si="7"/>
        <v>0</v>
      </c>
      <c r="G44" s="2"/>
      <c r="H44" s="2">
        <v>20545</v>
      </c>
      <c r="I44" s="2"/>
      <c r="J44" s="19">
        <f t="shared" si="8"/>
        <v>0.47723111644439253</v>
      </c>
      <c r="K44" s="2"/>
      <c r="L44" s="2">
        <f t="shared" si="9"/>
        <v>-20545</v>
      </c>
      <c r="M44" s="2"/>
      <c r="N44" s="19">
        <f t="shared" si="10"/>
        <v>-1</v>
      </c>
      <c r="O44" s="11"/>
      <c r="P44" s="2"/>
      <c r="Q44" s="2"/>
      <c r="R44" s="19">
        <f t="shared" si="11"/>
        <v>0</v>
      </c>
      <c r="S44" s="2"/>
      <c r="T44" s="2">
        <v>95173</v>
      </c>
      <c r="U44" s="2"/>
      <c r="V44" s="19">
        <f t="shared" si="12"/>
        <v>0.46330852809860368</v>
      </c>
      <c r="W44" s="2"/>
      <c r="X44" s="2">
        <f t="shared" si="13"/>
        <v>-95173</v>
      </c>
      <c r="Y44" s="2"/>
      <c r="Z44" s="19">
        <f t="shared" si="14"/>
        <v>-1</v>
      </c>
    </row>
    <row r="45" spans="1:26" s="24" customFormat="1" hidden="1" outlineLevel="1" x14ac:dyDescent="0.25">
      <c r="A45" s="44"/>
      <c r="B45" s="11" t="str">
        <f>CONCATENATE("          ", "5500", " - ", "FREIGHT-IN")</f>
        <v xml:space="preserve">          5500 - FREIGHT-IN</v>
      </c>
      <c r="C45" s="11"/>
      <c r="D45" s="2"/>
      <c r="E45" s="2"/>
      <c r="F45" s="19">
        <f t="shared" si="7"/>
        <v>0</v>
      </c>
      <c r="G45" s="2"/>
      <c r="H45" s="2">
        <v>6</v>
      </c>
      <c r="I45" s="2"/>
      <c r="J45" s="19">
        <f t="shared" si="8"/>
        <v>1.3937146257806546E-4</v>
      </c>
      <c r="K45" s="2"/>
      <c r="L45" s="2">
        <f t="shared" si="9"/>
        <v>-6</v>
      </c>
      <c r="M45" s="2"/>
      <c r="N45" s="19">
        <f t="shared" si="10"/>
        <v>-1</v>
      </c>
      <c r="O45" s="11"/>
      <c r="P45" s="2"/>
      <c r="Q45" s="2"/>
      <c r="R45" s="19">
        <f t="shared" si="11"/>
        <v>0</v>
      </c>
      <c r="S45" s="2"/>
      <c r="T45" s="2">
        <v>6</v>
      </c>
      <c r="U45" s="2"/>
      <c r="V45" s="19">
        <f t="shared" si="12"/>
        <v>2.9208401212440734E-5</v>
      </c>
      <c r="W45" s="2"/>
      <c r="X45" s="2">
        <f t="shared" si="13"/>
        <v>-6</v>
      </c>
      <c r="Y45" s="2"/>
      <c r="Z45" s="19">
        <f t="shared" si="14"/>
        <v>-1</v>
      </c>
    </row>
    <row r="46" spans="1:26" s="24" customFormat="1" hidden="1" outlineLevel="1" x14ac:dyDescent="0.25">
      <c r="A46" s="44"/>
      <c r="B46" s="11" t="str">
        <f>CONCATENATE("          ", "5525", " - ", "FREIGHT-IN-TEST FORMS")</f>
        <v xml:space="preserve">          5525 - FREIGHT-IN-TEST FORMS</v>
      </c>
      <c r="C46" s="11"/>
      <c r="D46" s="2"/>
      <c r="E46" s="2"/>
      <c r="F46" s="19">
        <f t="shared" si="7"/>
        <v>0</v>
      </c>
      <c r="G46" s="2"/>
      <c r="H46" s="2">
        <v>39.22</v>
      </c>
      <c r="I46" s="2"/>
      <c r="J46" s="19">
        <f t="shared" si="8"/>
        <v>9.1102479371862129E-4</v>
      </c>
      <c r="K46" s="2"/>
      <c r="L46" s="2">
        <f t="shared" si="9"/>
        <v>-39.22</v>
      </c>
      <c r="M46" s="2"/>
      <c r="N46" s="19">
        <f t="shared" si="10"/>
        <v>-1</v>
      </c>
      <c r="O46" s="11"/>
      <c r="P46" s="2"/>
      <c r="Q46" s="2"/>
      <c r="R46" s="19">
        <f t="shared" si="11"/>
        <v>0</v>
      </c>
      <c r="S46" s="2"/>
      <c r="T46" s="2">
        <v>39.22</v>
      </c>
      <c r="U46" s="2"/>
      <c r="V46" s="19">
        <f t="shared" si="12"/>
        <v>1.9092558259198758E-4</v>
      </c>
      <c r="W46" s="2"/>
      <c r="X46" s="2">
        <f t="shared" si="13"/>
        <v>-39.22</v>
      </c>
      <c r="Y46" s="2"/>
      <c r="Z46" s="19">
        <f t="shared" si="14"/>
        <v>-1</v>
      </c>
    </row>
    <row r="47" spans="1:26" s="24" customFormat="1" hidden="1" outlineLevel="1" x14ac:dyDescent="0.25">
      <c r="A47" s="44"/>
      <c r="B47" s="11" t="str">
        <f>CONCATENATE("          ", "5526", " - ", "FREIGHT-IN-WRITING INSTRUMENTS")</f>
        <v xml:space="preserve">          5526 - FREIGHT-IN-WRITING INSTRUMENTS</v>
      </c>
      <c r="C47" s="11"/>
      <c r="D47" s="2"/>
      <c r="E47" s="2"/>
      <c r="F47" s="19">
        <f t="shared" si="7"/>
        <v>0</v>
      </c>
      <c r="G47" s="2"/>
      <c r="H47" s="2"/>
      <c r="I47" s="2"/>
      <c r="J47" s="19">
        <f t="shared" si="8"/>
        <v>0</v>
      </c>
      <c r="K47" s="2"/>
      <c r="L47" s="2">
        <f t="shared" si="9"/>
        <v>0</v>
      </c>
      <c r="M47" s="2"/>
      <c r="N47" s="19">
        <f t="shared" si="10"/>
        <v>0</v>
      </c>
      <c r="O47" s="11"/>
      <c r="P47" s="2"/>
      <c r="Q47" s="2"/>
      <c r="R47" s="19">
        <f t="shared" si="11"/>
        <v>0</v>
      </c>
      <c r="S47" s="2"/>
      <c r="T47" s="2">
        <v>56.57</v>
      </c>
      <c r="U47" s="2"/>
      <c r="V47" s="19">
        <f t="shared" si="12"/>
        <v>2.7538654276462873E-4</v>
      </c>
      <c r="W47" s="2"/>
      <c r="X47" s="2">
        <f t="shared" si="13"/>
        <v>-56.57</v>
      </c>
      <c r="Y47" s="2"/>
      <c r="Z47" s="19">
        <f t="shared" si="14"/>
        <v>-1</v>
      </c>
    </row>
    <row r="48" spans="1:26" s="24" customFormat="1" hidden="1" outlineLevel="1" x14ac:dyDescent="0.25">
      <c r="A48" s="44"/>
      <c r="B48" s="11" t="str">
        <f>CONCATENATE("          ", "5527", " - ", "FREIGHT-IN-SCHOOL SUPPLIES")</f>
        <v xml:space="preserve">          5527 - FREIGHT-IN-SCHOOL SUPPLIES</v>
      </c>
      <c r="C48" s="11"/>
      <c r="D48" s="2"/>
      <c r="E48" s="2"/>
      <c r="F48" s="19">
        <f t="shared" si="7"/>
        <v>0</v>
      </c>
      <c r="G48" s="2"/>
      <c r="H48" s="2">
        <v>332.07</v>
      </c>
      <c r="I48" s="2"/>
      <c r="J48" s="19">
        <f t="shared" si="8"/>
        <v>7.7135135963830332E-3</v>
      </c>
      <c r="K48" s="2"/>
      <c r="L48" s="2">
        <f t="shared" si="9"/>
        <v>-332.07</v>
      </c>
      <c r="M48" s="2"/>
      <c r="N48" s="19">
        <f t="shared" si="10"/>
        <v>-1</v>
      </c>
      <c r="O48" s="11"/>
      <c r="P48" s="2"/>
      <c r="Q48" s="2"/>
      <c r="R48" s="19">
        <f t="shared" si="11"/>
        <v>0</v>
      </c>
      <c r="S48" s="2"/>
      <c r="T48" s="2">
        <v>725.97</v>
      </c>
      <c r="U48" s="2"/>
      <c r="V48" s="19">
        <f t="shared" si="12"/>
        <v>3.5340705046992666E-3</v>
      </c>
      <c r="W48" s="2"/>
      <c r="X48" s="2">
        <f t="shared" si="13"/>
        <v>-725.97</v>
      </c>
      <c r="Y48" s="2"/>
      <c r="Z48" s="19">
        <f t="shared" si="14"/>
        <v>-1</v>
      </c>
    </row>
    <row r="49" spans="1:26" s="24" customFormat="1" hidden="1" outlineLevel="1" x14ac:dyDescent="0.25">
      <c r="A49" s="44"/>
      <c r="B49" s="11" t="str">
        <f>CONCATENATE("          ", "5528", " - ", "FREIGHT-IN-ART/TECH")</f>
        <v xml:space="preserve">          5528 - FREIGHT-IN-ART/TECH</v>
      </c>
      <c r="C49" s="11"/>
      <c r="D49" s="2"/>
      <c r="E49" s="2"/>
      <c r="F49" s="19">
        <f t="shared" si="7"/>
        <v>0</v>
      </c>
      <c r="G49" s="2"/>
      <c r="H49" s="2"/>
      <c r="I49" s="2"/>
      <c r="J49" s="19">
        <f t="shared" si="8"/>
        <v>0</v>
      </c>
      <c r="K49" s="2"/>
      <c r="L49" s="2">
        <f t="shared" si="9"/>
        <v>0</v>
      </c>
      <c r="M49" s="2"/>
      <c r="N49" s="19">
        <f t="shared" si="10"/>
        <v>0</v>
      </c>
      <c r="O49" s="11"/>
      <c r="P49" s="2"/>
      <c r="Q49" s="2"/>
      <c r="R49" s="19">
        <f t="shared" si="11"/>
        <v>0</v>
      </c>
      <c r="S49" s="2"/>
      <c r="T49" s="2">
        <v>44</v>
      </c>
      <c r="U49" s="2"/>
      <c r="V49" s="19">
        <f t="shared" si="12"/>
        <v>2.1419494222456537E-4</v>
      </c>
      <c r="W49" s="2"/>
      <c r="X49" s="2">
        <f t="shared" si="13"/>
        <v>-44</v>
      </c>
      <c r="Y49" s="2"/>
      <c r="Z49" s="19">
        <f t="shared" si="14"/>
        <v>-1</v>
      </c>
    </row>
    <row r="50" spans="1:26" x14ac:dyDescent="0.25">
      <c r="A50" s="9"/>
      <c r="B50" s="10"/>
      <c r="C50" s="10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O50" s="10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3" customFormat="1" x14ac:dyDescent="0.25">
      <c r="A51" s="10"/>
      <c r="B51" s="25" t="s">
        <v>6</v>
      </c>
      <c r="C51" s="25"/>
      <c r="D51" s="20">
        <f>D12-D34</f>
        <v>0</v>
      </c>
      <c r="E51" s="13"/>
      <c r="F51" s="21">
        <f>IF(D$12=0,0,D51/D$12)</f>
        <v>0</v>
      </c>
      <c r="G51" s="13"/>
      <c r="H51" s="20">
        <f>H12-H34</f>
        <v>22499.169999999991</v>
      </c>
      <c r="I51" s="13"/>
      <c r="J51" s="21">
        <f>IF(H$12=0,0,H51/H$12)</f>
        <v>0.52262370494875532</v>
      </c>
      <c r="K51" s="15"/>
      <c r="L51" s="20">
        <f>+D51-H51</f>
        <v>-22499.169999999991</v>
      </c>
      <c r="M51" s="15"/>
      <c r="N51" s="21">
        <f>IF(H51=0,0,L51/H51)</f>
        <v>-1</v>
      </c>
      <c r="O51" s="26"/>
      <c r="P51" s="20">
        <f>P12-P34</f>
        <v>0</v>
      </c>
      <c r="Q51" s="13"/>
      <c r="R51" s="21">
        <f>IF(P$12=0,0,P51/P$12)</f>
        <v>0</v>
      </c>
      <c r="S51" s="13"/>
      <c r="T51" s="20">
        <f>T12-T34</f>
        <v>110241.33999999998</v>
      </c>
      <c r="U51" s="13"/>
      <c r="V51" s="21">
        <f>IF(T$12=0,0,T51/T$12)</f>
        <v>0.53666221481951515</v>
      </c>
      <c r="W51" s="15"/>
      <c r="X51" s="20">
        <f>+P51-T51</f>
        <v>-110241.33999999998</v>
      </c>
      <c r="Y51" s="15"/>
      <c r="Z51" s="21">
        <f>IF(T51=0,0,X51/T51)</f>
        <v>-1</v>
      </c>
    </row>
    <row r="52" spans="1:26" x14ac:dyDescent="0.25">
      <c r="A52" s="9"/>
      <c r="B52" s="10"/>
      <c r="C52" s="9"/>
      <c r="D52" s="1"/>
      <c r="E52" s="1"/>
      <c r="F52" s="5"/>
      <c r="G52" s="1"/>
      <c r="H52" s="1"/>
      <c r="I52" s="1"/>
      <c r="J52" s="5"/>
      <c r="K52" s="1"/>
      <c r="L52" s="1"/>
      <c r="M52" s="1"/>
      <c r="N52" s="5"/>
      <c r="O52" s="37"/>
      <c r="P52" s="1"/>
      <c r="Q52" s="1"/>
      <c r="R52" s="5"/>
      <c r="S52" s="1"/>
      <c r="T52" s="1"/>
      <c r="U52" s="1"/>
      <c r="V52" s="5"/>
      <c r="W52" s="1"/>
      <c r="X52" s="1"/>
      <c r="Y52" s="1"/>
      <c r="Z52" s="5"/>
    </row>
    <row r="53" spans="1:26" s="23" customFormat="1" x14ac:dyDescent="0.25">
      <c r="A53" s="10"/>
      <c r="B53" s="26" t="s">
        <v>9</v>
      </c>
      <c r="C53" s="10"/>
      <c r="D53" s="22">
        <f>SUM(OSRRefD22x_0)</f>
        <v>0</v>
      </c>
      <c r="E53" s="22"/>
      <c r="F53" s="36">
        <f t="shared" ref="F53:F61" si="15">IF(D$12=0,0,D53/D$12)</f>
        <v>0</v>
      </c>
      <c r="G53" s="22"/>
      <c r="H53" s="22">
        <f>SUM(OSRRefH22x_0)</f>
        <v>9968.7199999999993</v>
      </c>
      <c r="I53" s="22"/>
      <c r="J53" s="36">
        <f t="shared" ref="J53:J61" si="16">IF(H$12=0,0,H53/H$12)</f>
        <v>0.23155918107186879</v>
      </c>
      <c r="K53" s="4"/>
      <c r="L53" s="22">
        <f t="shared" ref="L53:L61" si="17">+D53-H53</f>
        <v>-9968.7199999999993</v>
      </c>
      <c r="M53" s="4"/>
      <c r="N53" s="36">
        <f t="shared" ref="N53:N61" si="18">IF(H53=0,0,L53/H53)</f>
        <v>-1</v>
      </c>
      <c r="O53" s="10"/>
      <c r="P53" s="22">
        <f>SUM(OSRRefP22x_0)</f>
        <v>0</v>
      </c>
      <c r="Q53" s="22"/>
      <c r="R53" s="36">
        <f t="shared" ref="R53:R61" si="19">IF(P$12=0,0,P53/P$12)</f>
        <v>0</v>
      </c>
      <c r="S53" s="22"/>
      <c r="T53" s="22">
        <f>SUM(OSRRefT22x_0)</f>
        <v>40971.119999999995</v>
      </c>
      <c r="U53" s="22"/>
      <c r="V53" s="36">
        <f t="shared" ref="V53:V61" si="20">IF(T$12=0,0,T53/T$12)</f>
        <v>0.19945015184717577</v>
      </c>
      <c r="W53" s="4"/>
      <c r="X53" s="22">
        <f t="shared" ref="X53:X61" si="21">+P53-T53</f>
        <v>-40971.119999999995</v>
      </c>
      <c r="Y53" s="4"/>
      <c r="Z53" s="36">
        <f t="shared" ref="Z53:Z61" si="22">IF(T53=0,0,X53/T53)</f>
        <v>-1</v>
      </c>
    </row>
    <row r="54" spans="1:26" s="29" customFormat="1" outlineLevel="1" collapsed="1" x14ac:dyDescent="0.25">
      <c r="A54" s="27"/>
      <c r="B54" s="14" t="str">
        <f>CONCATENATE("     ","*Benefits                                         ")</f>
        <v xml:space="preserve">     *Benefits                                         </v>
      </c>
      <c r="C54" s="14"/>
      <c r="D54" s="1">
        <f>SUM(OSRRefD22_0x_0)</f>
        <v>0</v>
      </c>
      <c r="E54" s="1"/>
      <c r="F54" s="5">
        <f t="shared" si="15"/>
        <v>0</v>
      </c>
      <c r="G54" s="1"/>
      <c r="H54" s="1">
        <f>SUM(OSRRefH22_0x_0)</f>
        <v>1001.9300000000001</v>
      </c>
      <c r="I54" s="1"/>
      <c r="J54" s="5">
        <f t="shared" si="16"/>
        <v>2.3273408250140192E-2</v>
      </c>
      <c r="K54" s="1"/>
      <c r="L54" s="1">
        <f t="shared" si="17"/>
        <v>-1001.9300000000001</v>
      </c>
      <c r="M54" s="1"/>
      <c r="N54" s="5">
        <f t="shared" si="18"/>
        <v>-1</v>
      </c>
      <c r="O54" s="14"/>
      <c r="P54" s="1">
        <f>SUM(OSRRefP22_0x_0)</f>
        <v>0</v>
      </c>
      <c r="Q54" s="1"/>
      <c r="R54" s="5">
        <f t="shared" si="19"/>
        <v>0</v>
      </c>
      <c r="S54" s="1"/>
      <c r="T54" s="1">
        <f>SUM(OSRRefT22_0x_0)</f>
        <v>6796.5599999999995</v>
      </c>
      <c r="U54" s="1"/>
      <c r="V54" s="5">
        <f t="shared" si="20"/>
        <v>3.3086108557404362E-2</v>
      </c>
      <c r="W54" s="1"/>
      <c r="X54" s="1">
        <f t="shared" si="21"/>
        <v>-6796.5599999999995</v>
      </c>
      <c r="Y54" s="1"/>
      <c r="Z54" s="5">
        <f t="shared" si="22"/>
        <v>-1</v>
      </c>
    </row>
    <row r="55" spans="1:26" s="24" customFormat="1" hidden="1" outlineLevel="2" x14ac:dyDescent="0.25">
      <c r="A55" s="28"/>
      <c r="B55" s="11" t="str">
        <f>CONCATENATE("          ", "6111", " - ", "F.I.C.A.")</f>
        <v xml:space="preserve">          6111 - F.I.C.A.</v>
      </c>
      <c r="C55" s="11"/>
      <c r="D55" s="6"/>
      <c r="E55" s="2"/>
      <c r="F55" s="7">
        <f t="shared" si="15"/>
        <v>0</v>
      </c>
      <c r="G55" s="2"/>
      <c r="H55" s="6">
        <v>161.19</v>
      </c>
      <c r="I55" s="2"/>
      <c r="J55" s="7">
        <f t="shared" si="16"/>
        <v>3.744214342159729E-3</v>
      </c>
      <c r="K55" s="2"/>
      <c r="L55" s="6">
        <f t="shared" si="17"/>
        <v>-161.19</v>
      </c>
      <c r="M55" s="2"/>
      <c r="N55" s="7">
        <f t="shared" si="18"/>
        <v>-1</v>
      </c>
      <c r="O55" s="11"/>
      <c r="P55" s="6"/>
      <c r="Q55" s="2"/>
      <c r="R55" s="7">
        <f t="shared" si="19"/>
        <v>0</v>
      </c>
      <c r="S55" s="2"/>
      <c r="T55" s="6">
        <v>1234.27</v>
      </c>
      <c r="U55" s="2"/>
      <c r="V55" s="7">
        <f t="shared" si="20"/>
        <v>6.008508894079871E-3</v>
      </c>
      <c r="W55" s="2"/>
      <c r="X55" s="6">
        <f t="shared" si="21"/>
        <v>-1234.27</v>
      </c>
      <c r="Y55" s="2"/>
      <c r="Z55" s="7">
        <f t="shared" si="22"/>
        <v>-1</v>
      </c>
    </row>
    <row r="56" spans="1:26" s="24" customFormat="1" hidden="1" outlineLevel="2" x14ac:dyDescent="0.25">
      <c r="A56" s="28"/>
      <c r="B56" s="11" t="str">
        <f>CONCATENATE("          ", "6112", " - ", "COMPENSATION INSURANCE")</f>
        <v xml:space="preserve">          6112 - COMPENSATION INSURANCE</v>
      </c>
      <c r="C56" s="11"/>
      <c r="D56" s="6"/>
      <c r="E56" s="2"/>
      <c r="F56" s="7">
        <f t="shared" si="15"/>
        <v>0</v>
      </c>
      <c r="G56" s="2"/>
      <c r="H56" s="6">
        <v>33.31</v>
      </c>
      <c r="I56" s="2"/>
      <c r="J56" s="7">
        <f t="shared" si="16"/>
        <v>7.7374390307922687E-4</v>
      </c>
      <c r="K56" s="2"/>
      <c r="L56" s="6">
        <f t="shared" si="17"/>
        <v>-33.31</v>
      </c>
      <c r="M56" s="2"/>
      <c r="N56" s="7">
        <f t="shared" si="18"/>
        <v>-1</v>
      </c>
      <c r="O56" s="11"/>
      <c r="P56" s="6"/>
      <c r="Q56" s="2"/>
      <c r="R56" s="7">
        <f t="shared" si="19"/>
        <v>0</v>
      </c>
      <c r="S56" s="2"/>
      <c r="T56" s="6">
        <v>409.06</v>
      </c>
      <c r="U56" s="2"/>
      <c r="V56" s="7">
        <f t="shared" si="20"/>
        <v>1.9913314333268343E-3</v>
      </c>
      <c r="W56" s="2"/>
      <c r="X56" s="6">
        <f t="shared" si="21"/>
        <v>-409.06</v>
      </c>
      <c r="Y56" s="2"/>
      <c r="Z56" s="7">
        <f t="shared" si="22"/>
        <v>-1</v>
      </c>
    </row>
    <row r="57" spans="1:26" s="24" customFormat="1" hidden="1" outlineLevel="2" x14ac:dyDescent="0.25">
      <c r="A57" s="28"/>
      <c r="B57" s="11" t="str">
        <f>CONCATENATE("          ", "6113", " - ", "GROUP INSURANCE")</f>
        <v xml:space="preserve">          6113 - GROUP INSURANCE</v>
      </c>
      <c r="C57" s="11"/>
      <c r="D57" s="6"/>
      <c r="E57" s="2"/>
      <c r="F57" s="7">
        <f t="shared" si="15"/>
        <v>0</v>
      </c>
      <c r="G57" s="2"/>
      <c r="H57" s="6">
        <v>462.13</v>
      </c>
      <c r="I57" s="2"/>
      <c r="J57" s="7">
        <f t="shared" si="16"/>
        <v>1.0734622333533566E-2</v>
      </c>
      <c r="K57" s="2"/>
      <c r="L57" s="6">
        <f t="shared" si="17"/>
        <v>-462.13</v>
      </c>
      <c r="M57" s="2"/>
      <c r="N57" s="7">
        <f t="shared" si="18"/>
        <v>-1</v>
      </c>
      <c r="O57" s="11"/>
      <c r="P57" s="6"/>
      <c r="Q57" s="2"/>
      <c r="R57" s="7">
        <f t="shared" si="19"/>
        <v>0</v>
      </c>
      <c r="S57" s="2"/>
      <c r="T57" s="6">
        <v>2772.76</v>
      </c>
      <c r="U57" s="2"/>
      <c r="V57" s="7">
        <f t="shared" si="20"/>
        <v>1.3497981090967863E-2</v>
      </c>
      <c r="W57" s="2"/>
      <c r="X57" s="6">
        <f t="shared" si="21"/>
        <v>-2772.76</v>
      </c>
      <c r="Y57" s="2"/>
      <c r="Z57" s="7">
        <f t="shared" si="22"/>
        <v>-1</v>
      </c>
    </row>
    <row r="58" spans="1:26" s="24" customFormat="1" hidden="1" outlineLevel="2" x14ac:dyDescent="0.25">
      <c r="A58" s="28"/>
      <c r="B58" s="11" t="str">
        <f>CONCATENATE("          ", "6114", " - ", "STATE UNEMPLOYMENT INSURANCE")</f>
        <v xml:space="preserve">          6114 - STATE UNEMPLOYMENT INSURANCE</v>
      </c>
      <c r="C58" s="11"/>
      <c r="D58" s="6"/>
      <c r="E58" s="2"/>
      <c r="F58" s="7">
        <f t="shared" si="15"/>
        <v>0</v>
      </c>
      <c r="G58" s="2"/>
      <c r="H58" s="6">
        <v>23.11</v>
      </c>
      <c r="I58" s="2"/>
      <c r="J58" s="7">
        <f t="shared" si="16"/>
        <v>5.3681241669651552E-4</v>
      </c>
      <c r="K58" s="2"/>
      <c r="L58" s="6">
        <f t="shared" si="17"/>
        <v>-23.11</v>
      </c>
      <c r="M58" s="2"/>
      <c r="N58" s="7">
        <f t="shared" si="18"/>
        <v>-1</v>
      </c>
      <c r="O58" s="11"/>
      <c r="P58" s="6"/>
      <c r="Q58" s="2"/>
      <c r="R58" s="7">
        <f t="shared" si="19"/>
        <v>0</v>
      </c>
      <c r="S58" s="2"/>
      <c r="T58" s="6">
        <v>74.53</v>
      </c>
      <c r="U58" s="2"/>
      <c r="V58" s="7">
        <f t="shared" si="20"/>
        <v>3.6281702372720133E-4</v>
      </c>
      <c r="W58" s="2"/>
      <c r="X58" s="6">
        <f t="shared" si="21"/>
        <v>-74.53</v>
      </c>
      <c r="Y58" s="2"/>
      <c r="Z58" s="7">
        <f t="shared" si="22"/>
        <v>-1</v>
      </c>
    </row>
    <row r="59" spans="1:26" s="24" customFormat="1" hidden="1" outlineLevel="2" x14ac:dyDescent="0.25">
      <c r="A59" s="28"/>
      <c r="B59" s="11" t="str">
        <f>CONCATENATE("          ", "6115", " - ", "P.E.R.S.")</f>
        <v xml:space="preserve">          6115 - P.E.R.S.</v>
      </c>
      <c r="C59" s="11"/>
      <c r="D59" s="6"/>
      <c r="E59" s="2"/>
      <c r="F59" s="7">
        <f t="shared" si="15"/>
        <v>0</v>
      </c>
      <c r="G59" s="2"/>
      <c r="H59" s="6">
        <v>98.12</v>
      </c>
      <c r="I59" s="2"/>
      <c r="J59" s="7">
        <f t="shared" si="16"/>
        <v>2.2791879846932976E-3</v>
      </c>
      <c r="K59" s="2"/>
      <c r="L59" s="6">
        <f t="shared" si="17"/>
        <v>-98.12</v>
      </c>
      <c r="M59" s="2"/>
      <c r="N59" s="7">
        <f t="shared" si="18"/>
        <v>-1</v>
      </c>
      <c r="O59" s="11"/>
      <c r="P59" s="6"/>
      <c r="Q59" s="2"/>
      <c r="R59" s="7">
        <f t="shared" si="19"/>
        <v>0</v>
      </c>
      <c r="S59" s="2"/>
      <c r="T59" s="6">
        <v>563.04</v>
      </c>
      <c r="U59" s="2"/>
      <c r="V59" s="7">
        <f t="shared" si="20"/>
        <v>2.7409163697754381E-3</v>
      </c>
      <c r="W59" s="2"/>
      <c r="X59" s="6">
        <f t="shared" si="21"/>
        <v>-563.04</v>
      </c>
      <c r="Y59" s="2"/>
      <c r="Z59" s="7">
        <f t="shared" si="22"/>
        <v>-1</v>
      </c>
    </row>
    <row r="60" spans="1:26" s="24" customFormat="1" hidden="1" outlineLevel="2" x14ac:dyDescent="0.25">
      <c r="A60" s="28"/>
      <c r="B60" s="11" t="str">
        <f>CONCATENATE("          ", "6118", " - ", "VACATION")</f>
        <v xml:space="preserve">          6118 - VACATION</v>
      </c>
      <c r="C60" s="11"/>
      <c r="D60" s="6"/>
      <c r="E60" s="2"/>
      <c r="F60" s="7">
        <f t="shared" si="15"/>
        <v>0</v>
      </c>
      <c r="G60" s="2"/>
      <c r="H60" s="6">
        <v>126.87</v>
      </c>
      <c r="I60" s="2"/>
      <c r="J60" s="7">
        <f t="shared" si="16"/>
        <v>2.9470095762131943E-3</v>
      </c>
      <c r="K60" s="2"/>
      <c r="L60" s="6">
        <f t="shared" si="17"/>
        <v>-126.87</v>
      </c>
      <c r="M60" s="2"/>
      <c r="N60" s="7">
        <f t="shared" si="18"/>
        <v>-1</v>
      </c>
      <c r="O60" s="11"/>
      <c r="P60" s="6"/>
      <c r="Q60" s="2"/>
      <c r="R60" s="7">
        <f t="shared" si="19"/>
        <v>0</v>
      </c>
      <c r="S60" s="2"/>
      <c r="T60" s="6">
        <v>877.82</v>
      </c>
      <c r="U60" s="2"/>
      <c r="V60" s="7">
        <f t="shared" si="20"/>
        <v>4.2732864587174541E-3</v>
      </c>
      <c r="W60" s="2"/>
      <c r="X60" s="6">
        <f t="shared" si="21"/>
        <v>-877.82</v>
      </c>
      <c r="Y60" s="2"/>
      <c r="Z60" s="7">
        <f t="shared" si="22"/>
        <v>-1</v>
      </c>
    </row>
    <row r="61" spans="1:26" s="24" customFormat="1" hidden="1" outlineLevel="2" x14ac:dyDescent="0.25">
      <c r="A61" s="28"/>
      <c r="B61" s="11" t="str">
        <f>CONCATENATE("          ", "6119", " - ", "SICK LEAVE")</f>
        <v xml:space="preserve">          6119 - SICK LEAVE</v>
      </c>
      <c r="C61" s="11"/>
      <c r="D61" s="6"/>
      <c r="E61" s="2"/>
      <c r="F61" s="7">
        <f t="shared" si="15"/>
        <v>0</v>
      </c>
      <c r="G61" s="2"/>
      <c r="H61" s="6">
        <v>97.2</v>
      </c>
      <c r="I61" s="2"/>
      <c r="J61" s="7">
        <f t="shared" si="16"/>
        <v>2.2578176937646608E-3</v>
      </c>
      <c r="K61" s="2"/>
      <c r="L61" s="6">
        <f t="shared" si="17"/>
        <v>-97.2</v>
      </c>
      <c r="M61" s="2"/>
      <c r="N61" s="7">
        <f t="shared" si="18"/>
        <v>-1</v>
      </c>
      <c r="O61" s="11"/>
      <c r="P61" s="6"/>
      <c r="Q61" s="2"/>
      <c r="R61" s="7">
        <f t="shared" si="19"/>
        <v>0</v>
      </c>
      <c r="S61" s="2"/>
      <c r="T61" s="6">
        <v>865.08</v>
      </c>
      <c r="U61" s="2"/>
      <c r="V61" s="7">
        <f t="shared" si="20"/>
        <v>4.2112672868097048E-3</v>
      </c>
      <c r="W61" s="2"/>
      <c r="X61" s="6">
        <f t="shared" si="21"/>
        <v>-865.08</v>
      </c>
      <c r="Y61" s="2"/>
      <c r="Z61" s="7">
        <f t="shared" si="22"/>
        <v>-1</v>
      </c>
    </row>
    <row r="62" spans="1:26" s="29" customFormat="1" outlineLevel="1" collapsed="1" x14ac:dyDescent="0.25">
      <c r="A62" s="27"/>
      <c r="B62" s="14" t="str">
        <f>CONCATENATE("     ","*Payroll                                          ")</f>
        <v xml:space="preserve">     *Payroll                                          </v>
      </c>
      <c r="C62" s="14"/>
      <c r="D62" s="1">
        <f>SUM(OSRRefD22_1x_0)</f>
        <v>0</v>
      </c>
      <c r="E62" s="1"/>
      <c r="F62" s="5">
        <f t="shared" ref="F62:F64" si="23">IF(D$12=0,0,D62/D$12)</f>
        <v>0</v>
      </c>
      <c r="G62" s="1"/>
      <c r="H62" s="1">
        <f>SUM(OSRRefH22_1x_0)</f>
        <v>8318.8000000000011</v>
      </c>
      <c r="I62" s="1"/>
      <c r="J62" s="5">
        <f t="shared" ref="J62:J64" si="24">IF(H$12=0,0,H62/H$12)</f>
        <v>0.19323388714906853</v>
      </c>
      <c r="K62" s="1"/>
      <c r="L62" s="1">
        <f t="shared" ref="L62:L64" si="25">+D62-H62</f>
        <v>-8318.8000000000011</v>
      </c>
      <c r="M62" s="1"/>
      <c r="N62" s="5">
        <f t="shared" ref="N62:N64" si="26">IF(H62=0,0,L62/H62)</f>
        <v>-1</v>
      </c>
      <c r="O62" s="14"/>
      <c r="P62" s="1">
        <f>SUM(OSRRefP22_1x_0)</f>
        <v>0</v>
      </c>
      <c r="Q62" s="1"/>
      <c r="R62" s="5">
        <f t="shared" ref="R62:R64" si="27">IF(P$12=0,0,P62/P$12)</f>
        <v>0</v>
      </c>
      <c r="S62" s="1"/>
      <c r="T62" s="1">
        <f>SUM(OSRRefT22_1x_0)</f>
        <v>29779.97</v>
      </c>
      <c r="U62" s="1"/>
      <c r="V62" s="5">
        <f t="shared" ref="V62:V64" si="28">IF(T$12=0,0,T62/T$12)</f>
        <v>0.14497088530907479</v>
      </c>
      <c r="W62" s="1"/>
      <c r="X62" s="1">
        <f t="shared" ref="X62:X64" si="29">+P62-T62</f>
        <v>-29779.97</v>
      </c>
      <c r="Y62" s="1"/>
      <c r="Z62" s="5">
        <f t="shared" ref="Z62:Z64" si="30">IF(T62=0,0,X62/T62)</f>
        <v>-1</v>
      </c>
    </row>
    <row r="63" spans="1:26" s="24" customFormat="1" hidden="1" outlineLevel="2" x14ac:dyDescent="0.25">
      <c r="A63" s="28"/>
      <c r="B63" s="11" t="str">
        <f>CONCATENATE("          ", "6002", " - ", "STAFF SALARIES")</f>
        <v xml:space="preserve">          6002 - STAFF SALARIES</v>
      </c>
      <c r="C63" s="11"/>
      <c r="D63" s="6"/>
      <c r="E63" s="2"/>
      <c r="F63" s="7">
        <f t="shared" si="23"/>
        <v>0</v>
      </c>
      <c r="G63" s="2"/>
      <c r="H63" s="6">
        <v>1756.2</v>
      </c>
      <c r="I63" s="2"/>
      <c r="J63" s="7">
        <f t="shared" si="24"/>
        <v>4.0794027096599766E-2</v>
      </c>
      <c r="K63" s="2"/>
      <c r="L63" s="6">
        <f t="shared" si="25"/>
        <v>-1756.2</v>
      </c>
      <c r="M63" s="2"/>
      <c r="N63" s="7">
        <f t="shared" si="26"/>
        <v>-1</v>
      </c>
      <c r="O63" s="11"/>
      <c r="P63" s="6"/>
      <c r="Q63" s="2"/>
      <c r="R63" s="7">
        <f t="shared" si="27"/>
        <v>0</v>
      </c>
      <c r="S63" s="2"/>
      <c r="T63" s="6">
        <v>8632.11</v>
      </c>
      <c r="U63" s="2"/>
      <c r="V63" s="7">
        <f t="shared" si="28"/>
        <v>4.2021688698320299E-2</v>
      </c>
      <c r="W63" s="2"/>
      <c r="X63" s="6">
        <f t="shared" si="29"/>
        <v>-8632.11</v>
      </c>
      <c r="Y63" s="2"/>
      <c r="Z63" s="7">
        <f t="shared" si="30"/>
        <v>-1</v>
      </c>
    </row>
    <row r="64" spans="1:26" s="24" customFormat="1" hidden="1" outlineLevel="2" x14ac:dyDescent="0.25">
      <c r="A64" s="28"/>
      <c r="B64" s="11" t="str">
        <f>CONCATENATE("          ", "6007", " - ", "STUDENT HOURLY")</f>
        <v xml:space="preserve">          6007 - STUDENT HOURLY</v>
      </c>
      <c r="C64" s="11"/>
      <c r="D64" s="6"/>
      <c r="E64" s="2"/>
      <c r="F64" s="7">
        <f t="shared" si="23"/>
        <v>0</v>
      </c>
      <c r="G64" s="2"/>
      <c r="H64" s="6">
        <v>6562.6</v>
      </c>
      <c r="I64" s="2"/>
      <c r="J64" s="7">
        <f t="shared" si="24"/>
        <v>0.15243986005246876</v>
      </c>
      <c r="K64" s="2"/>
      <c r="L64" s="6">
        <f t="shared" si="25"/>
        <v>-6562.6</v>
      </c>
      <c r="M64" s="2"/>
      <c r="N64" s="7">
        <f t="shared" si="26"/>
        <v>-1</v>
      </c>
      <c r="O64" s="11"/>
      <c r="P64" s="6"/>
      <c r="Q64" s="2"/>
      <c r="R64" s="7">
        <f t="shared" si="27"/>
        <v>0</v>
      </c>
      <c r="S64" s="2"/>
      <c r="T64" s="6">
        <v>21147.86</v>
      </c>
      <c r="U64" s="2"/>
      <c r="V64" s="7">
        <f t="shared" si="28"/>
        <v>0.10294919661075448</v>
      </c>
      <c r="W64" s="2"/>
      <c r="X64" s="6">
        <f t="shared" si="29"/>
        <v>-21147.86</v>
      </c>
      <c r="Y64" s="2"/>
      <c r="Z64" s="7">
        <f t="shared" si="30"/>
        <v>-1</v>
      </c>
    </row>
    <row r="65" spans="1:26" s="29" customFormat="1" outlineLevel="1" collapsed="1" x14ac:dyDescent="0.25">
      <c r="A65" s="27"/>
      <c r="B65" s="14" t="str">
        <f>CONCATENATE("     ","Advertising/Promo                                 ")</f>
        <v xml:space="preserve">     Advertising/Promo                                 </v>
      </c>
      <c r="C65" s="14"/>
      <c r="D65" s="1">
        <f>SUM(OSRRefD22_2x_0)</f>
        <v>0</v>
      </c>
      <c r="E65" s="1"/>
      <c r="F65" s="5">
        <f t="shared" ref="F65:F69" si="31">IF(D$12=0,0,D65/D$12)</f>
        <v>0</v>
      </c>
      <c r="G65" s="1"/>
      <c r="H65" s="1">
        <f>SUM(OSRRefH22_2x_0)</f>
        <v>291</v>
      </c>
      <c r="I65" s="1"/>
      <c r="J65" s="5">
        <f t="shared" ref="J65:J69" si="32">IF(H$12=0,0,H65/H$12)</f>
        <v>6.759515935036175E-3</v>
      </c>
      <c r="K65" s="1"/>
      <c r="L65" s="1">
        <f t="shared" ref="L65:L69" si="33">+D65-H65</f>
        <v>-291</v>
      </c>
      <c r="M65" s="1"/>
      <c r="N65" s="5">
        <f t="shared" ref="N65:N69" si="34">IF(H65=0,0,L65/H65)</f>
        <v>-1</v>
      </c>
      <c r="O65" s="14"/>
      <c r="P65" s="1">
        <f>SUM(OSRRefP22_2x_0)</f>
        <v>0</v>
      </c>
      <c r="Q65" s="1"/>
      <c r="R65" s="5">
        <f t="shared" ref="R65:R69" si="35">IF(P$12=0,0,P65/P$12)</f>
        <v>0</v>
      </c>
      <c r="S65" s="1"/>
      <c r="T65" s="1">
        <f>SUM(OSRRefT22_2x_0)</f>
        <v>336.86</v>
      </c>
      <c r="U65" s="1"/>
      <c r="V65" s="5">
        <f t="shared" ref="V65:V69" si="36">IF(T$12=0,0,T65/T$12)</f>
        <v>1.6398570054037976E-3</v>
      </c>
      <c r="W65" s="1"/>
      <c r="X65" s="1">
        <f t="shared" ref="X65:X69" si="37">+P65-T65</f>
        <v>-336.86</v>
      </c>
      <c r="Y65" s="1"/>
      <c r="Z65" s="5">
        <f t="shared" ref="Z65:Z69" si="38">IF(T65=0,0,X65/T65)</f>
        <v>-1</v>
      </c>
    </row>
    <row r="66" spans="1:26" s="24" customFormat="1" hidden="1" outlineLevel="2" x14ac:dyDescent="0.25">
      <c r="A66" s="28"/>
      <c r="B66" s="11" t="str">
        <f>CONCATENATE("          ", "6362", " - ", "ADVERTISING EXPENSE")</f>
        <v xml:space="preserve">          6362 - ADVERTISING EXPENSE</v>
      </c>
      <c r="C66" s="11"/>
      <c r="D66" s="6"/>
      <c r="E66" s="2"/>
      <c r="F66" s="7">
        <f t="shared" si="31"/>
        <v>0</v>
      </c>
      <c r="G66" s="2"/>
      <c r="H66" s="6">
        <v>291</v>
      </c>
      <c r="I66" s="2"/>
      <c r="J66" s="7">
        <f t="shared" si="32"/>
        <v>6.759515935036175E-3</v>
      </c>
      <c r="K66" s="2"/>
      <c r="L66" s="6">
        <f t="shared" si="33"/>
        <v>-291</v>
      </c>
      <c r="M66" s="2"/>
      <c r="N66" s="7">
        <f t="shared" si="34"/>
        <v>-1</v>
      </c>
      <c r="O66" s="11"/>
      <c r="P66" s="6"/>
      <c r="Q66" s="2"/>
      <c r="R66" s="7">
        <f t="shared" si="35"/>
        <v>0</v>
      </c>
      <c r="S66" s="2"/>
      <c r="T66" s="6">
        <v>336.86</v>
      </c>
      <c r="U66" s="2"/>
      <c r="V66" s="7">
        <f t="shared" si="36"/>
        <v>1.6398570054037976E-3</v>
      </c>
      <c r="W66" s="2"/>
      <c r="X66" s="6">
        <f t="shared" si="37"/>
        <v>-336.86</v>
      </c>
      <c r="Y66" s="2"/>
      <c r="Z66" s="7">
        <f t="shared" si="38"/>
        <v>-1</v>
      </c>
    </row>
    <row r="67" spans="1:26" s="29" customFormat="1" outlineLevel="1" collapsed="1" x14ac:dyDescent="0.25">
      <c r="A67" s="27"/>
      <c r="B67" s="14" t="str">
        <f>CONCATENATE("     ","Discounts and Markdowns                           ")</f>
        <v xml:space="preserve">     Discounts and Markdowns                           </v>
      </c>
      <c r="C67" s="14"/>
      <c r="D67" s="1">
        <f>SUM(OSRRefD22_3x_0)</f>
        <v>0</v>
      </c>
      <c r="E67" s="1"/>
      <c r="F67" s="5">
        <f t="shared" si="31"/>
        <v>0</v>
      </c>
      <c r="G67" s="1"/>
      <c r="H67" s="1">
        <f>SUM(OSRRefH22_3x_0)</f>
        <v>338.11</v>
      </c>
      <c r="I67" s="1"/>
      <c r="J67" s="5">
        <f t="shared" si="32"/>
        <v>7.8538142020449526E-3</v>
      </c>
      <c r="K67" s="1"/>
      <c r="L67" s="1">
        <f t="shared" si="33"/>
        <v>-338.11</v>
      </c>
      <c r="M67" s="1"/>
      <c r="N67" s="5">
        <f t="shared" si="34"/>
        <v>-1</v>
      </c>
      <c r="O67" s="14"/>
      <c r="P67" s="1">
        <f>SUM(OSRRefP22_3x_0)</f>
        <v>0</v>
      </c>
      <c r="Q67" s="1"/>
      <c r="R67" s="5">
        <f t="shared" si="35"/>
        <v>0</v>
      </c>
      <c r="S67" s="1"/>
      <c r="T67" s="1">
        <f>SUM(OSRRefT22_3x_0)</f>
        <v>3720.52</v>
      </c>
      <c r="U67" s="1"/>
      <c r="V67" s="5">
        <f t="shared" si="36"/>
        <v>1.8111740146484999E-2</v>
      </c>
      <c r="W67" s="1"/>
      <c r="X67" s="1">
        <f t="shared" si="37"/>
        <v>-3720.52</v>
      </c>
      <c r="Y67" s="1"/>
      <c r="Z67" s="5">
        <f t="shared" si="38"/>
        <v>-1</v>
      </c>
    </row>
    <row r="68" spans="1:26" s="24" customFormat="1" hidden="1" outlineLevel="2" x14ac:dyDescent="0.25">
      <c r="A68" s="28"/>
      <c r="B68" s="11" t="str">
        <f>CONCATENATE("          ", "6382", " - ", "DISCOUNTS/MARK DOWNS")</f>
        <v xml:space="preserve">          6382 - DISCOUNTS/MARK DOWNS</v>
      </c>
      <c r="C68" s="11"/>
      <c r="D68" s="6"/>
      <c r="E68" s="2"/>
      <c r="F68" s="7">
        <f t="shared" si="31"/>
        <v>0</v>
      </c>
      <c r="G68" s="2"/>
      <c r="H68" s="6">
        <v>420.76</v>
      </c>
      <c r="I68" s="2"/>
      <c r="J68" s="7">
        <f t="shared" si="32"/>
        <v>9.773656099057804E-3</v>
      </c>
      <c r="K68" s="2"/>
      <c r="L68" s="6">
        <f t="shared" si="33"/>
        <v>-420.76</v>
      </c>
      <c r="M68" s="2"/>
      <c r="N68" s="7">
        <f t="shared" si="34"/>
        <v>-1</v>
      </c>
      <c r="O68" s="11"/>
      <c r="P68" s="6"/>
      <c r="Q68" s="2"/>
      <c r="R68" s="7">
        <f t="shared" si="35"/>
        <v>0</v>
      </c>
      <c r="S68" s="2"/>
      <c r="T68" s="6">
        <v>3909.09</v>
      </c>
      <c r="U68" s="2"/>
      <c r="V68" s="7">
        <f t="shared" si="36"/>
        <v>1.9029711515923326E-2</v>
      </c>
      <c r="W68" s="2"/>
      <c r="X68" s="6">
        <f t="shared" si="37"/>
        <v>-3909.09</v>
      </c>
      <c r="Y68" s="2"/>
      <c r="Z68" s="7">
        <f t="shared" si="38"/>
        <v>-1</v>
      </c>
    </row>
    <row r="69" spans="1:26" s="24" customFormat="1" hidden="1" outlineLevel="2" x14ac:dyDescent="0.25">
      <c r="A69" s="28"/>
      <c r="B69" s="11" t="str">
        <f>CONCATENATE("          ", "9175", " - ", "EARNED DISCOUNTS")</f>
        <v xml:space="preserve">          9175 - EARNED DISCOUNTS</v>
      </c>
      <c r="C69" s="11"/>
      <c r="D69" s="6"/>
      <c r="E69" s="2"/>
      <c r="F69" s="7">
        <f t="shared" si="31"/>
        <v>0</v>
      </c>
      <c r="G69" s="2"/>
      <c r="H69" s="6">
        <v>-82.65</v>
      </c>
      <c r="I69" s="2"/>
      <c r="J69" s="7">
        <f t="shared" si="32"/>
        <v>-1.9198418970128521E-3</v>
      </c>
      <c r="K69" s="2"/>
      <c r="L69" s="6">
        <f t="shared" si="33"/>
        <v>82.65</v>
      </c>
      <c r="M69" s="2"/>
      <c r="N69" s="7">
        <f t="shared" si="34"/>
        <v>-1</v>
      </c>
      <c r="O69" s="11"/>
      <c r="P69" s="6"/>
      <c r="Q69" s="2"/>
      <c r="R69" s="7">
        <f t="shared" si="35"/>
        <v>0</v>
      </c>
      <c r="S69" s="2"/>
      <c r="T69" s="6">
        <v>-188.57</v>
      </c>
      <c r="U69" s="2"/>
      <c r="V69" s="7">
        <f t="shared" si="36"/>
        <v>-9.1797136943832483E-4</v>
      </c>
      <c r="W69" s="2"/>
      <c r="X69" s="6">
        <f t="shared" si="37"/>
        <v>188.57</v>
      </c>
      <c r="Y69" s="2"/>
      <c r="Z69" s="7">
        <f t="shared" si="38"/>
        <v>-1</v>
      </c>
    </row>
    <row r="70" spans="1:26" s="29" customFormat="1" outlineLevel="1" collapsed="1" x14ac:dyDescent="0.25">
      <c r="A70" s="27"/>
      <c r="B70" s="14" t="str">
        <f>CONCATENATE("     ","Subscriptions &amp; Dues                              ")</f>
        <v xml:space="preserve">     Subscriptions &amp; Dues                              </v>
      </c>
      <c r="C70" s="14"/>
      <c r="D70" s="1">
        <f>SUM(OSRRefD22_4x_0)</f>
        <v>0</v>
      </c>
      <c r="E70" s="1"/>
      <c r="F70" s="5">
        <f t="shared" ref="F70:F73" si="39">IF(D$12=0,0,D70/D$12)</f>
        <v>0</v>
      </c>
      <c r="G70" s="1"/>
      <c r="H70" s="1">
        <f>SUM(OSRRefH22_4x_0)</f>
        <v>0</v>
      </c>
      <c r="I70" s="1"/>
      <c r="J70" s="5">
        <f t="shared" ref="J70:J73" si="40">IF(H$12=0,0,H70/H$12)</f>
        <v>0</v>
      </c>
      <c r="K70" s="1"/>
      <c r="L70" s="1">
        <f t="shared" ref="L70:L73" si="41">+D70-H70</f>
        <v>0</v>
      </c>
      <c r="M70" s="1"/>
      <c r="N70" s="5">
        <f t="shared" ref="N70:N73" si="42">IF(H70=0,0,L70/H70)</f>
        <v>0</v>
      </c>
      <c r="O70" s="14"/>
      <c r="P70" s="1">
        <f>SUM(OSRRefP22_4x_0)</f>
        <v>0</v>
      </c>
      <c r="Q70" s="1"/>
      <c r="R70" s="5">
        <f t="shared" ref="R70:R73" si="43">IF(P$12=0,0,P70/P$12)</f>
        <v>0</v>
      </c>
      <c r="S70" s="1"/>
      <c r="T70" s="1">
        <f>SUM(OSRRefT22_4x_0)</f>
        <v>120</v>
      </c>
      <c r="U70" s="1"/>
      <c r="V70" s="5">
        <f t="shared" ref="V70:V73" si="44">IF(T$12=0,0,T70/T$12)</f>
        <v>5.8416802424881469E-4</v>
      </c>
      <c r="W70" s="1"/>
      <c r="X70" s="1">
        <f t="shared" ref="X70:X73" si="45">+P70-T70</f>
        <v>-120</v>
      </c>
      <c r="Y70" s="1"/>
      <c r="Z70" s="5">
        <f t="shared" ref="Z70:Z73" si="46">IF(T70=0,0,X70/T70)</f>
        <v>-1</v>
      </c>
    </row>
    <row r="71" spans="1:26" s="24" customFormat="1" hidden="1" outlineLevel="2" x14ac:dyDescent="0.25">
      <c r="A71" s="28"/>
      <c r="B71" s="11" t="str">
        <f>CONCATENATE("          ", "6258", " - ", "MEMBERSHIP DUES")</f>
        <v xml:space="preserve">          6258 - MEMBERSHIP DUES</v>
      </c>
      <c r="C71" s="11"/>
      <c r="D71" s="6"/>
      <c r="E71" s="2"/>
      <c r="F71" s="7">
        <f t="shared" si="39"/>
        <v>0</v>
      </c>
      <c r="G71" s="2"/>
      <c r="H71" s="6"/>
      <c r="I71" s="2"/>
      <c r="J71" s="7">
        <f t="shared" si="40"/>
        <v>0</v>
      </c>
      <c r="K71" s="2"/>
      <c r="L71" s="6">
        <f t="shared" si="41"/>
        <v>0</v>
      </c>
      <c r="M71" s="2"/>
      <c r="N71" s="7">
        <f t="shared" si="42"/>
        <v>0</v>
      </c>
      <c r="O71" s="11"/>
      <c r="P71" s="6"/>
      <c r="Q71" s="2"/>
      <c r="R71" s="7">
        <f t="shared" si="43"/>
        <v>0</v>
      </c>
      <c r="S71" s="2"/>
      <c r="T71" s="6">
        <v>120</v>
      </c>
      <c r="U71" s="2"/>
      <c r="V71" s="7">
        <f t="shared" si="44"/>
        <v>5.8416802424881469E-4</v>
      </c>
      <c r="W71" s="2"/>
      <c r="X71" s="6">
        <f t="shared" si="45"/>
        <v>-120</v>
      </c>
      <c r="Y71" s="2"/>
      <c r="Z71" s="7">
        <f t="shared" si="46"/>
        <v>-1</v>
      </c>
    </row>
    <row r="72" spans="1:26" s="29" customFormat="1" outlineLevel="1" collapsed="1" x14ac:dyDescent="0.25">
      <c r="A72" s="27"/>
      <c r="B72" s="14" t="str">
        <f>CONCATENATE("     ","Supplies                                          ")</f>
        <v xml:space="preserve">     Supplies                                          </v>
      </c>
      <c r="C72" s="14"/>
      <c r="D72" s="1">
        <f>SUM(OSRRefD22_5x_0)</f>
        <v>0</v>
      </c>
      <c r="E72" s="1"/>
      <c r="F72" s="5">
        <f t="shared" si="39"/>
        <v>0</v>
      </c>
      <c r="G72" s="1"/>
      <c r="H72" s="1">
        <f>SUM(OSRRefH22_5x_0)</f>
        <v>18.88</v>
      </c>
      <c r="I72" s="1"/>
      <c r="J72" s="5">
        <f t="shared" si="40"/>
        <v>4.3855553557897931E-4</v>
      </c>
      <c r="K72" s="1"/>
      <c r="L72" s="1">
        <f t="shared" si="41"/>
        <v>-18.88</v>
      </c>
      <c r="M72" s="1"/>
      <c r="N72" s="5">
        <f t="shared" si="42"/>
        <v>-1</v>
      </c>
      <c r="O72" s="14"/>
      <c r="P72" s="1">
        <f>SUM(OSRRefP22_5x_0)</f>
        <v>0</v>
      </c>
      <c r="Q72" s="1"/>
      <c r="R72" s="5">
        <f t="shared" si="43"/>
        <v>0</v>
      </c>
      <c r="S72" s="1"/>
      <c r="T72" s="1">
        <f>SUM(OSRRefT22_5x_0)</f>
        <v>217.21</v>
      </c>
      <c r="U72" s="1"/>
      <c r="V72" s="5">
        <f t="shared" si="44"/>
        <v>1.0573928045590421E-3</v>
      </c>
      <c r="W72" s="1"/>
      <c r="X72" s="1">
        <f t="shared" si="45"/>
        <v>-217.21</v>
      </c>
      <c r="Y72" s="1"/>
      <c r="Z72" s="5">
        <f t="shared" si="46"/>
        <v>-1</v>
      </c>
    </row>
    <row r="73" spans="1:26" s="24" customFormat="1" hidden="1" outlineLevel="2" x14ac:dyDescent="0.25">
      <c r="A73" s="28"/>
      <c r="B73" s="11" t="str">
        <f>CONCATENATE("          ", "6241", " - ", "OFFICE EXPENSE")</f>
        <v xml:space="preserve">          6241 - OFFICE EXPENSE</v>
      </c>
      <c r="C73" s="11"/>
      <c r="D73" s="6"/>
      <c r="E73" s="2"/>
      <c r="F73" s="7">
        <f t="shared" si="39"/>
        <v>0</v>
      </c>
      <c r="G73" s="2"/>
      <c r="H73" s="6">
        <v>18.88</v>
      </c>
      <c r="I73" s="2"/>
      <c r="J73" s="7">
        <f t="shared" si="40"/>
        <v>4.3855553557897931E-4</v>
      </c>
      <c r="K73" s="2"/>
      <c r="L73" s="6">
        <f t="shared" si="41"/>
        <v>-18.88</v>
      </c>
      <c r="M73" s="2"/>
      <c r="N73" s="7">
        <f t="shared" si="42"/>
        <v>-1</v>
      </c>
      <c r="O73" s="11"/>
      <c r="P73" s="6"/>
      <c r="Q73" s="2"/>
      <c r="R73" s="7">
        <f t="shared" si="43"/>
        <v>0</v>
      </c>
      <c r="S73" s="2"/>
      <c r="T73" s="6">
        <v>217.21</v>
      </c>
      <c r="U73" s="2"/>
      <c r="V73" s="7">
        <f t="shared" si="44"/>
        <v>1.0573928045590421E-3</v>
      </c>
      <c r="W73" s="2"/>
      <c r="X73" s="6">
        <f t="shared" si="45"/>
        <v>-217.21</v>
      </c>
      <c r="Y73" s="2"/>
      <c r="Z73" s="7">
        <f t="shared" si="46"/>
        <v>-1</v>
      </c>
    </row>
    <row r="74" spans="1:26" s="57" customFormat="1" x14ac:dyDescent="0.25">
      <c r="A74" s="37"/>
      <c r="B74" s="37"/>
      <c r="C74" s="37"/>
      <c r="D74" s="1"/>
      <c r="E74" s="1"/>
      <c r="F74" s="5"/>
      <c r="G74" s="1"/>
      <c r="H74" s="1"/>
      <c r="I74" s="1"/>
      <c r="J74" s="5"/>
      <c r="K74" s="1"/>
      <c r="L74" s="1"/>
      <c r="M74" s="1"/>
      <c r="N74" s="5"/>
      <c r="O74" s="37"/>
      <c r="P74" s="1"/>
      <c r="Q74" s="1"/>
      <c r="R74" s="5"/>
      <c r="S74" s="1"/>
      <c r="T74" s="1"/>
      <c r="U74" s="1"/>
      <c r="V74" s="5"/>
      <c r="W74" s="1"/>
      <c r="X74" s="1"/>
      <c r="Y74" s="1"/>
      <c r="Z74" s="5"/>
    </row>
    <row r="75" spans="1:26" s="23" customFormat="1" x14ac:dyDescent="0.25">
      <c r="A75" s="10"/>
      <c r="B75" s="26" t="s">
        <v>0</v>
      </c>
      <c r="C75" s="10"/>
      <c r="D75" s="4">
        <f>SUM(0)</f>
        <v>0</v>
      </c>
      <c r="E75" s="4"/>
      <c r="F75" s="12">
        <f>IF(D$12=0,0,D75/D$12)</f>
        <v>0</v>
      </c>
      <c r="G75" s="4"/>
      <c r="H75" s="4">
        <f>SUM(0)</f>
        <v>0</v>
      </c>
      <c r="I75" s="4"/>
      <c r="J75" s="12">
        <f>IF(H$12=0,0,H75/H$12)</f>
        <v>0</v>
      </c>
      <c r="K75" s="4"/>
      <c r="L75" s="4">
        <f>+D75-H75</f>
        <v>0</v>
      </c>
      <c r="M75" s="4"/>
      <c r="N75" s="12">
        <f>IF(H75=0,0,L75/H75)</f>
        <v>0</v>
      </c>
      <c r="O75" s="10"/>
      <c r="P75" s="4">
        <f>SUM(0)</f>
        <v>0</v>
      </c>
      <c r="Q75" s="4"/>
      <c r="R75" s="12">
        <f>IF(P$12=0,0,P75/P$12)</f>
        <v>0</v>
      </c>
      <c r="S75" s="4"/>
      <c r="T75" s="4">
        <f>SUM(0)</f>
        <v>0</v>
      </c>
      <c r="U75" s="4"/>
      <c r="V75" s="12">
        <f>IF(T$12=0,0,T75/T$12)</f>
        <v>0</v>
      </c>
      <c r="W75" s="4"/>
      <c r="X75" s="4">
        <f>+P75-T75</f>
        <v>0</v>
      </c>
      <c r="Y75" s="4"/>
      <c r="Z75" s="12">
        <f>IF(T75=0,0,X75/T75)</f>
        <v>0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x14ac:dyDescent="0.25">
      <c r="A77" s="10"/>
      <c r="B77" s="25" t="s">
        <v>3</v>
      </c>
      <c r="C77" s="25"/>
      <c r="D77" s="20">
        <f>+D51-D53+D75</f>
        <v>0</v>
      </c>
      <c r="E77" s="13"/>
      <c r="F77" s="21">
        <f>IF(D$12=0,0,D77/D$12)</f>
        <v>0</v>
      </c>
      <c r="G77" s="13"/>
      <c r="H77" s="20">
        <f>+H51-H53+H75</f>
        <v>12530.449999999992</v>
      </c>
      <c r="I77" s="13"/>
      <c r="J77" s="21">
        <f>IF(H$12=0,0,H77/H$12)</f>
        <v>0.29106452387688653</v>
      </c>
      <c r="K77" s="15"/>
      <c r="L77" s="20">
        <f>+D77-H77</f>
        <v>-12530.449999999992</v>
      </c>
      <c r="M77" s="15"/>
      <c r="N77" s="21">
        <f>IF(H77=0,0,L77/H77)</f>
        <v>-1</v>
      </c>
      <c r="O77" s="26"/>
      <c r="P77" s="20">
        <f>+P51-P53+P75</f>
        <v>0</v>
      </c>
      <c r="Q77" s="13"/>
      <c r="R77" s="21">
        <f>IF(P$12=0,0,P77/P$12)</f>
        <v>0</v>
      </c>
      <c r="S77" s="13"/>
      <c r="T77" s="20">
        <f>+T51-T53+T75</f>
        <v>69270.219999999987</v>
      </c>
      <c r="U77" s="13"/>
      <c r="V77" s="21">
        <f>IF(T$12=0,0,T77/T$12)</f>
        <v>0.3372120629723393</v>
      </c>
      <c r="W77" s="15"/>
      <c r="X77" s="20">
        <f>+P77-T77</f>
        <v>-69270.219999999987</v>
      </c>
      <c r="Y77" s="15"/>
      <c r="Z77" s="21">
        <f>IF(T77=0,0,X77/T77)</f>
        <v>-1</v>
      </c>
    </row>
    <row r="78" spans="1:26" x14ac:dyDescent="0.25">
      <c r="A78" s="9"/>
      <c r="B78" s="10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x14ac:dyDescent="0.25">
      <c r="A79" s="51"/>
      <c r="B79" s="10" t="s">
        <v>13</v>
      </c>
      <c r="C79" s="10"/>
      <c r="D79" s="4"/>
      <c r="E79" s="4"/>
      <c r="F79" s="12">
        <f>IF(D$12=0,0,D79/D$12)</f>
        <v>0</v>
      </c>
      <c r="G79" s="4"/>
      <c r="H79" s="4">
        <v>3237.46</v>
      </c>
      <c r="I79" s="4"/>
      <c r="J79" s="12">
        <f>IF(H$12=0,0,H79/H$12)</f>
        <v>7.5201589206330646E-2</v>
      </c>
      <c r="K79" s="4"/>
      <c r="L79" s="4">
        <f>+D79-H79</f>
        <v>-3237.46</v>
      </c>
      <c r="M79" s="4"/>
      <c r="N79" s="12">
        <f>IF(H79=0,0,L79/H79)</f>
        <v>-1</v>
      </c>
      <c r="O79" s="10"/>
      <c r="P79" s="4"/>
      <c r="Q79" s="4"/>
      <c r="R79" s="12">
        <f>IF(P$12=0,0,P79/P$12)</f>
        <v>0</v>
      </c>
      <c r="S79" s="4"/>
      <c r="T79" s="4">
        <v>20678.14</v>
      </c>
      <c r="U79" s="4"/>
      <c r="V79" s="12">
        <f>IF(T$12=0,0,T79/T$12)</f>
        <v>0.10066256824116987</v>
      </c>
      <c r="W79" s="4"/>
      <c r="X79" s="4">
        <f>+P79-T79</f>
        <v>-20678.14</v>
      </c>
      <c r="Y79" s="4"/>
      <c r="Z79" s="12">
        <f>IF(T79=0,0,X79/T79)</f>
        <v>-1</v>
      </c>
    </row>
    <row r="80" spans="1:26" x14ac:dyDescent="0.25">
      <c r="A80" s="9"/>
      <c r="B80" s="10"/>
      <c r="C80" s="10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O80" s="10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ht="15.75" thickBot="1" x14ac:dyDescent="0.3">
      <c r="A81" s="10"/>
      <c r="B81" s="25" t="s">
        <v>4</v>
      </c>
      <c r="C81" s="25"/>
      <c r="D81" s="30">
        <f>+D77-D79</f>
        <v>0</v>
      </c>
      <c r="E81" s="13"/>
      <c r="F81" s="33">
        <f>IF(D$12=0,0,D81/D$12)</f>
        <v>0</v>
      </c>
      <c r="G81" s="13"/>
      <c r="H81" s="30">
        <f>+H77-H79</f>
        <v>9292.9899999999907</v>
      </c>
      <c r="I81" s="13"/>
      <c r="J81" s="33">
        <f>IF(H$12=0,0,H81/H$12)</f>
        <v>0.21586293467055589</v>
      </c>
      <c r="K81" s="15"/>
      <c r="L81" s="30">
        <f>D81-H81</f>
        <v>-9292.9899999999907</v>
      </c>
      <c r="M81" s="15"/>
      <c r="N81" s="33">
        <f>IF(H81=0,0,L81/H81)</f>
        <v>-1</v>
      </c>
      <c r="O81" s="26"/>
      <c r="P81" s="30">
        <f>+P77-P79</f>
        <v>0</v>
      </c>
      <c r="Q81" s="13"/>
      <c r="R81" s="33">
        <f>IF(P$12=0,0,P81/P$12)</f>
        <v>0</v>
      </c>
      <c r="S81" s="13"/>
      <c r="T81" s="30">
        <f>+T77-T79</f>
        <v>48592.079999999987</v>
      </c>
      <c r="U81" s="13"/>
      <c r="V81" s="33">
        <f>IF(T$12=0,0,T81/T$12)</f>
        <v>0.23654949473116946</v>
      </c>
      <c r="W81" s="15"/>
      <c r="X81" s="30">
        <f>P81-T81</f>
        <v>-48592.079999999987</v>
      </c>
      <c r="Y81" s="15"/>
      <c r="Z81" s="33">
        <f>IF(T81=0,0,X81/T81)</f>
        <v>-1</v>
      </c>
    </row>
    <row r="82" spans="1:26" ht="15.75" thickTop="1" x14ac:dyDescent="0.25">
      <c r="A82" s="9"/>
      <c r="B82" s="9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x14ac:dyDescent="0.25">
      <c r="A83" s="9"/>
      <c r="B83" s="9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ht="15.75" thickBot="1" x14ac:dyDescent="0.3">
      <c r="A84" s="10"/>
      <c r="B84" s="25" t="s">
        <v>5</v>
      </c>
      <c r="C84" s="25"/>
      <c r="D84" s="34">
        <f>SUM(D81:D83)</f>
        <v>0</v>
      </c>
      <c r="E84" s="13"/>
      <c r="F84" s="35">
        <f>IF(D$12=0,0,D84/D$12)</f>
        <v>0</v>
      </c>
      <c r="G84" s="13"/>
      <c r="H84" s="34">
        <f>SUM(H81:H83)</f>
        <v>9292.9899999999907</v>
      </c>
      <c r="I84" s="13"/>
      <c r="J84" s="35">
        <f>IF(H$12=0,0,H84/H$12)</f>
        <v>0.21586293467055589</v>
      </c>
      <c r="K84" s="15"/>
      <c r="L84" s="34">
        <f>+D84-H84</f>
        <v>-9292.9899999999907</v>
      </c>
      <c r="M84" s="15"/>
      <c r="N84" s="35">
        <f>IF(H84=0,0,L84/H84)</f>
        <v>-1</v>
      </c>
      <c r="O84" s="26"/>
      <c r="P84" s="34">
        <f>SUM(P81:P83)</f>
        <v>0</v>
      </c>
      <c r="Q84" s="13"/>
      <c r="R84" s="35">
        <f>IF(P$12=0,0,P84/P$12)</f>
        <v>0</v>
      </c>
      <c r="S84" s="13"/>
      <c r="T84" s="34">
        <f>SUM(T81:T83)</f>
        <v>48592.079999999987</v>
      </c>
      <c r="U84" s="13"/>
      <c r="V84" s="35">
        <f>IF(T$12=0,0,T84/T$12)</f>
        <v>0.23654949473116946</v>
      </c>
      <c r="W84" s="15"/>
      <c r="X84" s="34">
        <f>+P84-T84</f>
        <v>-48592.079999999987</v>
      </c>
      <c r="Y84" s="15"/>
      <c r="Z84" s="35">
        <f>IF(T84=0,0,X84/T84)</f>
        <v>-1</v>
      </c>
    </row>
    <row r="85" spans="1:26" ht="15.75" thickTop="1" x14ac:dyDescent="0.25">
      <c r="A85" s="9"/>
      <c r="C85" s="9"/>
      <c r="D85" s="18"/>
      <c r="E85" s="18"/>
      <c r="G85" s="18"/>
      <c r="H85" s="18"/>
      <c r="I85" s="18"/>
      <c r="J85" s="43"/>
      <c r="K85" s="18"/>
      <c r="L85" s="18"/>
      <c r="M85" s="18"/>
      <c r="P85" s="18"/>
      <c r="Q85" s="18"/>
      <c r="R85" s="43"/>
      <c r="S85" s="18"/>
      <c r="T85" s="18"/>
      <c r="U85" s="18"/>
      <c r="V85" s="43"/>
      <c r="W85" s="18"/>
      <c r="X85" s="18"/>
    </row>
    <row r="86" spans="1:26" x14ac:dyDescent="0.25">
      <c r="A86" s="9"/>
      <c r="B86" s="56">
        <v>44151.572441585646</v>
      </c>
      <c r="D86" s="18"/>
      <c r="E86" s="18"/>
      <c r="G86" s="18"/>
      <c r="H86" s="18"/>
      <c r="I86" s="18"/>
      <c r="J86" s="43"/>
      <c r="K86" s="18"/>
      <c r="L86" s="18"/>
      <c r="M86" s="18"/>
      <c r="P86" s="18"/>
      <c r="Q86" s="18"/>
      <c r="R86" s="43"/>
      <c r="S86" s="18"/>
      <c r="T86" s="18"/>
      <c r="U86" s="18"/>
      <c r="V86" s="43"/>
      <c r="W86" s="18"/>
      <c r="X86" s="18"/>
    </row>
    <row r="87" spans="1:26" x14ac:dyDescent="0.25">
      <c r="A87" s="9"/>
      <c r="B87" s="62" t="s">
        <v>313</v>
      </c>
      <c r="D87" s="18"/>
      <c r="E87" s="18"/>
      <c r="G87" s="18"/>
      <c r="H87" s="18"/>
      <c r="I87" s="18"/>
      <c r="J87" s="43"/>
      <c r="K87" s="18"/>
      <c r="L87" s="18"/>
      <c r="M87" s="18"/>
      <c r="P87" s="18"/>
      <c r="Q87" s="18"/>
      <c r="R87" s="43"/>
      <c r="S87" s="18"/>
      <c r="T87" s="18"/>
      <c r="U87" s="18"/>
      <c r="V87" s="43"/>
      <c r="W87" s="18"/>
      <c r="X87" s="18"/>
    </row>
    <row r="88" spans="1:26" x14ac:dyDescent="0.25">
      <c r="A88" s="9"/>
      <c r="B88" s="54"/>
      <c r="D88" s="18"/>
      <c r="E88" s="18"/>
      <c r="G88" s="18"/>
      <c r="H88" s="18"/>
      <c r="I88" s="18"/>
      <c r="J88" s="43"/>
      <c r="K88" s="18"/>
      <c r="L88" s="18"/>
      <c r="M88" s="18"/>
      <c r="P88" s="18"/>
      <c r="Q88" s="18"/>
      <c r="R88" s="43"/>
      <c r="S88" s="18"/>
      <c r="T88" s="18"/>
      <c r="U88" s="18"/>
      <c r="V88" s="43"/>
      <c r="W88" s="18"/>
      <c r="X88" s="18"/>
    </row>
    <row r="89" spans="1:26" x14ac:dyDescent="0.25">
      <c r="D89" s="18"/>
      <c r="E89" s="18"/>
      <c r="G89" s="18"/>
      <c r="H89" s="18"/>
      <c r="I89" s="18"/>
      <c r="J89" s="43"/>
      <c r="K89" s="18"/>
      <c r="L89" s="18"/>
      <c r="M89" s="18"/>
      <c r="P89" s="18"/>
      <c r="Q89" s="18"/>
      <c r="R89" s="43"/>
      <c r="S89" s="18"/>
      <c r="T89" s="18"/>
      <c r="U89" s="18"/>
      <c r="V89" s="43"/>
      <c r="W89" s="18"/>
      <c r="X89" s="18"/>
    </row>
  </sheetData>
  <pageMargins left="0.25" right="0.25" top="0.75" bottom="0.75" header="0.3" footer="0.3"/>
  <pageSetup scale="55" fitToWidth="2" orientation="landscape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27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",RIGHT(202104,2),", ",2021)</f>
        <v>Period 04,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44135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301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61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50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50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2"/>
      <c r="F10" s="31" t="s">
        <v>14</v>
      </c>
      <c r="G10" s="32"/>
      <c r="H10" s="49" t="s">
        <v>306</v>
      </c>
      <c r="I10" s="32"/>
      <c r="J10" s="31" t="s">
        <v>14</v>
      </c>
      <c r="K10" s="10"/>
      <c r="L10" s="42" t="s">
        <v>11</v>
      </c>
      <c r="M10" s="10"/>
      <c r="N10" s="31" t="s">
        <v>15</v>
      </c>
      <c r="O10" s="10"/>
      <c r="P10" s="59" t="s">
        <v>10</v>
      </c>
      <c r="Q10" s="32"/>
      <c r="R10" s="31" t="s">
        <v>14</v>
      </c>
      <c r="S10" s="32"/>
      <c r="T10" s="49" t="s">
        <v>306</v>
      </c>
      <c r="U10" s="32"/>
      <c r="V10" s="31" t="s">
        <v>14</v>
      </c>
      <c r="W10" s="10"/>
      <c r="X10" s="42" t="s">
        <v>11</v>
      </c>
      <c r="Y10" s="10"/>
      <c r="Z10" s="31" t="s">
        <v>15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34183.24</v>
      </c>
      <c r="E12" s="4"/>
      <c r="F12" s="12"/>
      <c r="G12" s="4"/>
      <c r="H12" s="4">
        <f>SUM(OSRRefH13x_0)</f>
        <v>42668.74</v>
      </c>
      <c r="I12" s="4"/>
      <c r="J12" s="12"/>
      <c r="K12" s="4"/>
      <c r="L12" s="4">
        <f t="shared" ref="L12:L40" si="0">+D12-H12</f>
        <v>-8485.5</v>
      </c>
      <c r="M12" s="4"/>
      <c r="N12" s="12">
        <f t="shared" ref="N12:N40" si="1">IF(H12=0,0,L12/H12)</f>
        <v>-0.19886924244774981</v>
      </c>
      <c r="O12" s="10"/>
      <c r="P12" s="4">
        <f>SUM(OSRRefP13x_0)</f>
        <v>1545706.0299999996</v>
      </c>
      <c r="Q12" s="4"/>
      <c r="R12" s="12"/>
      <c r="S12" s="4"/>
      <c r="T12" s="4">
        <f>SUM(OSRRefT13x_0)</f>
        <v>2862395.4400000004</v>
      </c>
      <c r="U12" s="4"/>
      <c r="V12" s="12"/>
      <c r="W12" s="4"/>
      <c r="X12" s="4">
        <f t="shared" ref="X12:X40" si="2">+P12-T12</f>
        <v>-1316689.4100000008</v>
      </c>
      <c r="Y12" s="4"/>
      <c r="Z12" s="12">
        <f t="shared" ref="Z12:Z40" si="3">IF(T12=0,0,X12/T12)</f>
        <v>-0.45999563568337737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-1377.28</f>
        <v>-1377.28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-1377.28</v>
      </c>
      <c r="M13" s="2"/>
      <c r="N13" s="19">
        <f t="shared" si="1"/>
        <v>0</v>
      </c>
      <c r="O13" s="11"/>
      <c r="P13" s="2">
        <f>-6370.82</f>
        <v>-6370.82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-6370.82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--17630.93</f>
        <v>17630.93</v>
      </c>
      <c r="E14" s="2"/>
      <c r="F14" s="19"/>
      <c r="G14" s="2"/>
      <c r="H14" s="2">
        <f>--31204.32</f>
        <v>31204.32</v>
      </c>
      <c r="I14" s="2"/>
      <c r="J14" s="19"/>
      <c r="K14" s="2"/>
      <c r="L14" s="2">
        <f t="shared" si="0"/>
        <v>-13573.39</v>
      </c>
      <c r="M14" s="2"/>
      <c r="N14" s="19">
        <f t="shared" si="1"/>
        <v>-0.43498432268352588</v>
      </c>
      <c r="O14" s="11"/>
      <c r="P14" s="2">
        <f>--712327.57</f>
        <v>712327.57</v>
      </c>
      <c r="Q14" s="2"/>
      <c r="R14" s="19"/>
      <c r="S14" s="2"/>
      <c r="T14" s="2">
        <f>--1495159.74</f>
        <v>1495159.74</v>
      </c>
      <c r="U14" s="2"/>
      <c r="V14" s="19"/>
      <c r="W14" s="2"/>
      <c r="X14" s="2">
        <f t="shared" si="2"/>
        <v>-782832.17</v>
      </c>
      <c r="Y14" s="2"/>
      <c r="Z14" s="19">
        <f t="shared" si="3"/>
        <v>-0.52357761452298068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--2483.62</f>
        <v>2483.62</v>
      </c>
      <c r="E15" s="2"/>
      <c r="F15" s="19"/>
      <c r="G15" s="2"/>
      <c r="H15" s="2">
        <f>--8985.78</f>
        <v>8985.7800000000007</v>
      </c>
      <c r="I15" s="2"/>
      <c r="J15" s="19"/>
      <c r="K15" s="2"/>
      <c r="L15" s="2">
        <f t="shared" si="0"/>
        <v>-6502.1600000000008</v>
      </c>
      <c r="M15" s="2"/>
      <c r="N15" s="19">
        <f t="shared" si="1"/>
        <v>-0.72360551894215086</v>
      </c>
      <c r="O15" s="11"/>
      <c r="P15" s="2">
        <f>--319139.52</f>
        <v>319139.52</v>
      </c>
      <c r="Q15" s="2"/>
      <c r="R15" s="19"/>
      <c r="S15" s="2"/>
      <c r="T15" s="2">
        <f>--666296.36</f>
        <v>666296.36</v>
      </c>
      <c r="U15" s="2"/>
      <c r="V15" s="19"/>
      <c r="W15" s="2"/>
      <c r="X15" s="2">
        <f t="shared" si="2"/>
        <v>-347156.83999999997</v>
      </c>
      <c r="Y15" s="2"/>
      <c r="Z15" s="19">
        <f t="shared" si="3"/>
        <v>-0.52102466836228845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--70</f>
        <v>70</v>
      </c>
      <c r="E16" s="2"/>
      <c r="F16" s="19"/>
      <c r="G16" s="2"/>
      <c r="H16" s="2">
        <f>--307.97</f>
        <v>307.97000000000003</v>
      </c>
      <c r="I16" s="2"/>
      <c r="J16" s="19"/>
      <c r="K16" s="2"/>
      <c r="L16" s="2">
        <f t="shared" si="0"/>
        <v>-237.97000000000003</v>
      </c>
      <c r="M16" s="2"/>
      <c r="N16" s="19">
        <f t="shared" si="1"/>
        <v>-0.77270513361691073</v>
      </c>
      <c r="O16" s="11"/>
      <c r="P16" s="2">
        <f>--10665.63</f>
        <v>10665.63</v>
      </c>
      <c r="Q16" s="2"/>
      <c r="R16" s="19"/>
      <c r="S16" s="2"/>
      <c r="T16" s="2">
        <f>--15844.66</f>
        <v>15844.66</v>
      </c>
      <c r="U16" s="2"/>
      <c r="V16" s="19"/>
      <c r="W16" s="2"/>
      <c r="X16" s="2">
        <f t="shared" si="2"/>
        <v>-5179.0300000000007</v>
      </c>
      <c r="Y16" s="2"/>
      <c r="Z16" s="19">
        <f t="shared" si="3"/>
        <v>-0.32686280425076969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>--354.45</f>
        <v>354.45</v>
      </c>
      <c r="E17" s="2"/>
      <c r="F17" s="19"/>
      <c r="G17" s="2"/>
      <c r="H17" s="2">
        <f>--460.04</f>
        <v>460.04</v>
      </c>
      <c r="I17" s="2"/>
      <c r="J17" s="19"/>
      <c r="K17" s="2"/>
      <c r="L17" s="2">
        <f t="shared" si="0"/>
        <v>-105.59000000000003</v>
      </c>
      <c r="M17" s="2"/>
      <c r="N17" s="19">
        <f t="shared" si="1"/>
        <v>-0.22952351969393972</v>
      </c>
      <c r="O17" s="11"/>
      <c r="P17" s="2">
        <f>--2459.56</f>
        <v>2459.56</v>
      </c>
      <c r="Q17" s="2"/>
      <c r="R17" s="19"/>
      <c r="S17" s="2"/>
      <c r="T17" s="2">
        <f>--30160.48</f>
        <v>30160.48</v>
      </c>
      <c r="U17" s="2"/>
      <c r="V17" s="19"/>
      <c r="W17" s="2"/>
      <c r="X17" s="2">
        <f t="shared" si="2"/>
        <v>-27700.92</v>
      </c>
      <c r="Y17" s="2"/>
      <c r="Z17" s="19">
        <f t="shared" si="3"/>
        <v>-0.91845089998567653</v>
      </c>
    </row>
    <row r="18" spans="1:26" s="24" customFormat="1" hidden="1" outlineLevel="1" x14ac:dyDescent="0.25">
      <c r="A18" s="44"/>
      <c r="B18" s="11" t="str">
        <f>CONCATENATE("          ", "4011", " - ", "TAXABLE SALES-NO VALUE TEXT")</f>
        <v xml:space="preserve">          4011 - TAXABLE SALES-NO VALUE TEXT</v>
      </c>
      <c r="C18" s="11"/>
      <c r="D18" s="2">
        <f>0</f>
        <v>0</v>
      </c>
      <c r="E18" s="2"/>
      <c r="F18" s="19"/>
      <c r="G18" s="2"/>
      <c r="H18" s="2">
        <f>0</f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0</f>
        <v>0</v>
      </c>
      <c r="Q18" s="2"/>
      <c r="R18" s="19"/>
      <c r="S18" s="2"/>
      <c r="T18" s="2">
        <f>--9.6</f>
        <v>9.6</v>
      </c>
      <c r="U18" s="2"/>
      <c r="V18" s="19"/>
      <c r="W18" s="2"/>
      <c r="X18" s="2">
        <f t="shared" si="2"/>
        <v>-9.6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"4013", " - ", "TAXABLE SALES-TRADE BOOKS")</f>
        <v xml:space="preserve">          4013 - TAXABLE SALES-TRADE BOOKS</v>
      </c>
      <c r="C19" s="11"/>
      <c r="D19" s="2">
        <f>--157.47</f>
        <v>157.47</v>
      </c>
      <c r="E19" s="2"/>
      <c r="F19" s="19"/>
      <c r="G19" s="2"/>
      <c r="H19" s="2">
        <f>--686.63</f>
        <v>686.63</v>
      </c>
      <c r="I19" s="2"/>
      <c r="J19" s="19"/>
      <c r="K19" s="2"/>
      <c r="L19" s="2">
        <f t="shared" si="0"/>
        <v>-529.16</v>
      </c>
      <c r="M19" s="2"/>
      <c r="N19" s="19">
        <f t="shared" si="1"/>
        <v>-0.77066251110496187</v>
      </c>
      <c r="O19" s="11"/>
      <c r="P19" s="2">
        <f>--197.37</f>
        <v>197.37</v>
      </c>
      <c r="Q19" s="2"/>
      <c r="R19" s="19"/>
      <c r="S19" s="2"/>
      <c r="T19" s="2">
        <f>--827.39</f>
        <v>827.39</v>
      </c>
      <c r="U19" s="2"/>
      <c r="V19" s="19"/>
      <c r="W19" s="2"/>
      <c r="X19" s="2">
        <f t="shared" si="2"/>
        <v>-630.02</v>
      </c>
      <c r="Y19" s="2"/>
      <c r="Z19" s="19">
        <f t="shared" si="3"/>
        <v>-0.76145469488391204</v>
      </c>
    </row>
    <row r="20" spans="1:26" s="24" customFormat="1" hidden="1" outlineLevel="1" x14ac:dyDescent="0.25">
      <c r="A20" s="44"/>
      <c r="B20" s="11" t="str">
        <f>CONCATENATE("          ", "4014", " - ", "TAXABLE SALES-REMAINDERS")</f>
        <v xml:space="preserve">          4014 - TAXABLE SALES-REMAINDERS</v>
      </c>
      <c r="C20" s="11"/>
      <c r="D20" s="2">
        <f>--35.8</f>
        <v>35.799999999999997</v>
      </c>
      <c r="E20" s="2"/>
      <c r="F20" s="19"/>
      <c r="G20" s="2"/>
      <c r="H20" s="2">
        <f>--171.13</f>
        <v>171.13</v>
      </c>
      <c r="I20" s="2"/>
      <c r="J20" s="19"/>
      <c r="K20" s="2"/>
      <c r="L20" s="2">
        <f t="shared" si="0"/>
        <v>-135.32999999999998</v>
      </c>
      <c r="M20" s="2"/>
      <c r="N20" s="19">
        <f t="shared" si="1"/>
        <v>-0.79080231403026935</v>
      </c>
      <c r="O20" s="11"/>
      <c r="P20" s="2">
        <f>--340.24</f>
        <v>340.24</v>
      </c>
      <c r="Q20" s="2"/>
      <c r="R20" s="19"/>
      <c r="S20" s="2"/>
      <c r="T20" s="2">
        <f>--694.22</f>
        <v>694.22</v>
      </c>
      <c r="U20" s="2"/>
      <c r="V20" s="19"/>
      <c r="W20" s="2"/>
      <c r="X20" s="2">
        <f t="shared" si="2"/>
        <v>-353.98</v>
      </c>
      <c r="Y20" s="2"/>
      <c r="Z20" s="19">
        <f t="shared" si="3"/>
        <v>-0.50989599838667854</v>
      </c>
    </row>
    <row r="21" spans="1:26" s="24" customFormat="1" hidden="1" outlineLevel="1" x14ac:dyDescent="0.25">
      <c r="A21" s="44"/>
      <c r="B21" s="11" t="str">
        <f>CONCATENATE("          ", "4018", " - ", "TAXABLE SALES-STUDY GUIDES")</f>
        <v xml:space="preserve">          4018 - TAXABLE SALES-STUDY GUIDES</v>
      </c>
      <c r="C21" s="11"/>
      <c r="D21" s="2">
        <f>0</f>
        <v>0</v>
      </c>
      <c r="E21" s="2"/>
      <c r="F21" s="19"/>
      <c r="G21" s="2"/>
      <c r="H21" s="2">
        <f>--394.68</f>
        <v>394.68</v>
      </c>
      <c r="I21" s="2"/>
      <c r="J21" s="19"/>
      <c r="K21" s="2"/>
      <c r="L21" s="2">
        <f t="shared" si="0"/>
        <v>-394.68</v>
      </c>
      <c r="M21" s="2"/>
      <c r="N21" s="19">
        <f t="shared" si="1"/>
        <v>-1</v>
      </c>
      <c r="O21" s="11"/>
      <c r="P21" s="2">
        <f>--183.89</f>
        <v>183.89</v>
      </c>
      <c r="Q21" s="2"/>
      <c r="R21" s="19"/>
      <c r="S21" s="2"/>
      <c r="T21" s="2">
        <f>--2454.83</f>
        <v>2454.83</v>
      </c>
      <c r="U21" s="2"/>
      <c r="V21" s="19"/>
      <c r="W21" s="2"/>
      <c r="X21" s="2">
        <f t="shared" si="2"/>
        <v>-2270.94</v>
      </c>
      <c r="Y21" s="2"/>
      <c r="Z21" s="19">
        <f t="shared" si="3"/>
        <v>-0.92509053580084977</v>
      </c>
    </row>
    <row r="22" spans="1:26" s="24" customFormat="1" hidden="1" outlineLevel="1" x14ac:dyDescent="0.25">
      <c r="A22" s="44"/>
      <c r="B22" s="11" t="str">
        <f>CONCATENATE("          ", "4100", " - ", "NON-TAXABLE SALES")</f>
        <v xml:space="preserve">          4100 - NON-TAXABLE SALES</v>
      </c>
      <c r="C22" s="11"/>
      <c r="D22" s="2">
        <f>--135.79</f>
        <v>135.79</v>
      </c>
      <c r="E22" s="2"/>
      <c r="F22" s="19"/>
      <c r="G22" s="2"/>
      <c r="H22" s="2">
        <f>--3713.9</f>
        <v>3713.9</v>
      </c>
      <c r="I22" s="2"/>
      <c r="J22" s="19"/>
      <c r="K22" s="2"/>
      <c r="L22" s="2">
        <f t="shared" si="0"/>
        <v>-3578.11</v>
      </c>
      <c r="M22" s="2"/>
      <c r="N22" s="19">
        <f t="shared" si="1"/>
        <v>-0.96343735695629928</v>
      </c>
      <c r="O22" s="11"/>
      <c r="P22" s="2">
        <f>--164479.81</f>
        <v>164479.81</v>
      </c>
      <c r="Q22" s="2"/>
      <c r="R22" s="19"/>
      <c r="S22" s="2"/>
      <c r="T22" s="2">
        <f>--335381.67</f>
        <v>335381.67</v>
      </c>
      <c r="U22" s="2"/>
      <c r="V22" s="19"/>
      <c r="W22" s="2"/>
      <c r="X22" s="2">
        <f t="shared" si="2"/>
        <v>-170901.86</v>
      </c>
      <c r="Y22" s="2"/>
      <c r="Z22" s="19">
        <f t="shared" si="3"/>
        <v>-0.5095742411921319</v>
      </c>
    </row>
    <row r="23" spans="1:26" s="24" customFormat="1" hidden="1" outlineLevel="1" x14ac:dyDescent="0.25">
      <c r="A23" s="44"/>
      <c r="B23" s="11" t="str">
        <f>CONCATENATE("          ", "4101", " - ", "NON-TAXABLE SALES-NEW TEXT")</f>
        <v xml:space="preserve">          4101 - NON-TAXABLE SALES-NEW TEXT</v>
      </c>
      <c r="C23" s="11"/>
      <c r="D23" s="2">
        <f>--7260.05</f>
        <v>7260.05</v>
      </c>
      <c r="E23" s="2"/>
      <c r="F23" s="19"/>
      <c r="G23" s="2"/>
      <c r="H23" s="2">
        <f>--8438.54</f>
        <v>8438.5400000000009</v>
      </c>
      <c r="I23" s="2"/>
      <c r="J23" s="19"/>
      <c r="K23" s="2"/>
      <c r="L23" s="2">
        <f t="shared" si="0"/>
        <v>-1178.4900000000007</v>
      </c>
      <c r="M23" s="2"/>
      <c r="N23" s="19">
        <f t="shared" si="1"/>
        <v>-0.13965567503383294</v>
      </c>
      <c r="O23" s="11"/>
      <c r="P23" s="2">
        <f>--77664.89</f>
        <v>77664.89</v>
      </c>
      <c r="Q23" s="2"/>
      <c r="R23" s="19"/>
      <c r="S23" s="2"/>
      <c r="T23" s="2">
        <f>--92331.09</f>
        <v>92331.09</v>
      </c>
      <c r="U23" s="2"/>
      <c r="V23" s="19"/>
      <c r="W23" s="2"/>
      <c r="X23" s="2">
        <f t="shared" si="2"/>
        <v>-14666.199999999997</v>
      </c>
      <c r="Y23" s="2"/>
      <c r="Z23" s="19">
        <f t="shared" si="3"/>
        <v>-0.15884357045931113</v>
      </c>
    </row>
    <row r="24" spans="1:26" s="24" customFormat="1" hidden="1" outlineLevel="1" x14ac:dyDescent="0.25">
      <c r="A24" s="44"/>
      <c r="B24" s="11" t="str">
        <f>CONCATENATE("          ", "4102", " - ", "NON-TAXABLE SALES-USED TEXT")</f>
        <v xml:space="preserve">          4102 - NON-TAXABLE SALES-USED TEXT</v>
      </c>
      <c r="C24" s="11"/>
      <c r="D24" s="2">
        <f>--2341.65</f>
        <v>2341.65</v>
      </c>
      <c r="E24" s="2"/>
      <c r="F24" s="19"/>
      <c r="G24" s="2"/>
      <c r="H24" s="2">
        <f>--578.81</f>
        <v>578.80999999999995</v>
      </c>
      <c r="I24" s="2"/>
      <c r="J24" s="19"/>
      <c r="K24" s="2"/>
      <c r="L24" s="2">
        <f t="shared" si="0"/>
        <v>1762.8400000000001</v>
      </c>
      <c r="M24" s="2"/>
      <c r="N24" s="19">
        <f t="shared" si="1"/>
        <v>3.0456280990307705</v>
      </c>
      <c r="O24" s="11"/>
      <c r="P24" s="2">
        <f>--32712.47</f>
        <v>32712.47</v>
      </c>
      <c r="Q24" s="2"/>
      <c r="R24" s="19"/>
      <c r="S24" s="2"/>
      <c r="T24" s="2">
        <f>--37022.32</f>
        <v>37022.32</v>
      </c>
      <c r="U24" s="2"/>
      <c r="V24" s="19"/>
      <c r="W24" s="2"/>
      <c r="X24" s="2">
        <f t="shared" si="2"/>
        <v>-4309.8499999999985</v>
      </c>
      <c r="Y24" s="2"/>
      <c r="Z24" s="19">
        <f t="shared" si="3"/>
        <v>-0.11641220755479394</v>
      </c>
    </row>
    <row r="25" spans="1:26" s="24" customFormat="1" hidden="1" outlineLevel="1" x14ac:dyDescent="0.25">
      <c r="A25" s="44"/>
      <c r="B25" s="11" t="str">
        <f>CONCATENATE("          ", "4103", " - ", "NON-TAXABLE SALES-RENTAL TEXT")</f>
        <v xml:space="preserve">          4103 - NON-TAXABLE SALES-RENTAL TEXT</v>
      </c>
      <c r="C25" s="11"/>
      <c r="D25" s="2">
        <f>0</f>
        <v>0</v>
      </c>
      <c r="E25" s="2"/>
      <c r="F25" s="19"/>
      <c r="G25" s="2"/>
      <c r="H25" s="2">
        <f>0</f>
        <v>0</v>
      </c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--284.97</f>
        <v>284.97000000000003</v>
      </c>
      <c r="Q25" s="2"/>
      <c r="R25" s="19"/>
      <c r="S25" s="2"/>
      <c r="T25" s="2">
        <f>--329.98</f>
        <v>329.98</v>
      </c>
      <c r="U25" s="2"/>
      <c r="V25" s="19"/>
      <c r="W25" s="2"/>
      <c r="X25" s="2">
        <f t="shared" si="2"/>
        <v>-45.009999999999991</v>
      </c>
      <c r="Y25" s="2"/>
      <c r="Z25" s="19">
        <f t="shared" si="3"/>
        <v>-0.13640220619431478</v>
      </c>
    </row>
    <row r="26" spans="1:26" s="24" customFormat="1" hidden="1" outlineLevel="1" x14ac:dyDescent="0.25">
      <c r="A26" s="44"/>
      <c r="B26" s="11" t="str">
        <f>CONCATENATE("          ", "4104", " - ", "NON-TAXABLE SALES-DIGITAL TEXT")</f>
        <v xml:space="preserve">          4104 - NON-TAXABLE SALES-DIGITAL TEXT</v>
      </c>
      <c r="C26" s="11"/>
      <c r="D26" s="2">
        <f>--6767.67</f>
        <v>6767.67</v>
      </c>
      <c r="E26" s="2"/>
      <c r="F26" s="19"/>
      <c r="G26" s="2"/>
      <c r="H26" s="2">
        <f>--1559.03</f>
        <v>1559.03</v>
      </c>
      <c r="I26" s="2"/>
      <c r="J26" s="19"/>
      <c r="K26" s="2"/>
      <c r="L26" s="2">
        <f t="shared" si="0"/>
        <v>5208.6400000000003</v>
      </c>
      <c r="M26" s="2"/>
      <c r="N26" s="19">
        <f t="shared" si="1"/>
        <v>3.3409491799388085</v>
      </c>
      <c r="O26" s="11"/>
      <c r="P26" s="2">
        <f>--293475.52</f>
        <v>293475.52</v>
      </c>
      <c r="Q26" s="2"/>
      <c r="R26" s="19"/>
      <c r="S26" s="2"/>
      <c r="T26" s="2">
        <f>--320492.85</f>
        <v>320492.84999999998</v>
      </c>
      <c r="U26" s="2"/>
      <c r="V26" s="19"/>
      <c r="W26" s="2"/>
      <c r="X26" s="2">
        <f t="shared" si="2"/>
        <v>-27017.329999999958</v>
      </c>
      <c r="Y26" s="2"/>
      <c r="Z26" s="19">
        <f t="shared" si="3"/>
        <v>-8.4299322122162665E-2</v>
      </c>
    </row>
    <row r="27" spans="1:26" s="24" customFormat="1" hidden="1" outlineLevel="1" x14ac:dyDescent="0.25">
      <c r="A27" s="44"/>
      <c r="B27" s="11" t="str">
        <f>CONCATENATE("          ", "4111", " - ", "NON-TAXABLE SALES-NO VALUE TEX")</f>
        <v xml:space="preserve">          4111 - NON-TAXABLE SALES-NO VALUE TEX</v>
      </c>
      <c r="C27" s="11"/>
      <c r="D27" s="2">
        <f>0</f>
        <v>0</v>
      </c>
      <c r="E27" s="2"/>
      <c r="F27" s="19"/>
      <c r="G27" s="2"/>
      <c r="H27" s="2">
        <f>--757.3</f>
        <v>757.3</v>
      </c>
      <c r="I27" s="2"/>
      <c r="J27" s="19"/>
      <c r="K27" s="2"/>
      <c r="L27" s="2">
        <f t="shared" si="0"/>
        <v>-757.3</v>
      </c>
      <c r="M27" s="2"/>
      <c r="N27" s="19">
        <f t="shared" si="1"/>
        <v>-1</v>
      </c>
      <c r="O27" s="11"/>
      <c r="P27" s="2">
        <f>0</f>
        <v>0</v>
      </c>
      <c r="Q27" s="2"/>
      <c r="R27" s="19"/>
      <c r="S27" s="2"/>
      <c r="T27" s="2">
        <f>--7099.47</f>
        <v>7099.47</v>
      </c>
      <c r="U27" s="2"/>
      <c r="V27" s="19"/>
      <c r="W27" s="2"/>
      <c r="X27" s="2">
        <f t="shared" si="2"/>
        <v>-7099.47</v>
      </c>
      <c r="Y27" s="2"/>
      <c r="Z27" s="19">
        <f t="shared" si="3"/>
        <v>-1</v>
      </c>
    </row>
    <row r="28" spans="1:26" s="24" customFormat="1" hidden="1" outlineLevel="1" x14ac:dyDescent="0.25">
      <c r="A28" s="44"/>
      <c r="B28" s="11" t="str">
        <f>CONCATENATE("          ", "4113", " - ", "NON-TAXABLE SALES-TRADE BOOKS")</f>
        <v xml:space="preserve">          4113 - NON-TAXABLE SALES-TRADE BOOKS</v>
      </c>
      <c r="C28" s="11"/>
      <c r="D28" s="2">
        <f>--1655.95</f>
        <v>1655.95</v>
      </c>
      <c r="E28" s="2"/>
      <c r="F28" s="19"/>
      <c r="G28" s="2"/>
      <c r="H28" s="2">
        <f t="shared" ref="H28:H29" si="4">0</f>
        <v>0</v>
      </c>
      <c r="I28" s="2"/>
      <c r="J28" s="19"/>
      <c r="K28" s="2"/>
      <c r="L28" s="2">
        <f t="shared" si="0"/>
        <v>1655.95</v>
      </c>
      <c r="M28" s="2"/>
      <c r="N28" s="19">
        <f t="shared" si="1"/>
        <v>0</v>
      </c>
      <c r="O28" s="11"/>
      <c r="P28" s="2">
        <f>--1655.95</f>
        <v>1655.95</v>
      </c>
      <c r="Q28" s="2"/>
      <c r="R28" s="19"/>
      <c r="S28" s="2"/>
      <c r="T28" s="2">
        <f>--1146.72</f>
        <v>1146.72</v>
      </c>
      <c r="U28" s="2"/>
      <c r="V28" s="19"/>
      <c r="W28" s="2"/>
      <c r="X28" s="2">
        <f t="shared" si="2"/>
        <v>509.23</v>
      </c>
      <c r="Y28" s="2"/>
      <c r="Z28" s="19">
        <f t="shared" si="3"/>
        <v>0.44407527556857823</v>
      </c>
    </row>
    <row r="29" spans="1:26" s="24" customFormat="1" hidden="1" outlineLevel="1" x14ac:dyDescent="0.25">
      <c r="A29" s="44"/>
      <c r="B29" s="11" t="str">
        <f>CONCATENATE("          ", "4118", " - ", "NON-TAXABLE SALES-STUDY GUIDES")</f>
        <v xml:space="preserve">          4118 - NON-TAXABLE SALES-STUDY GUIDES</v>
      </c>
      <c r="C29" s="11"/>
      <c r="D29" s="2">
        <f>--97.3</f>
        <v>97.3</v>
      </c>
      <c r="E29" s="2"/>
      <c r="F29" s="19"/>
      <c r="G29" s="2"/>
      <c r="H29" s="2">
        <f t="shared" si="4"/>
        <v>0</v>
      </c>
      <c r="I29" s="2"/>
      <c r="J29" s="19"/>
      <c r="K29" s="2"/>
      <c r="L29" s="2">
        <f t="shared" si="0"/>
        <v>97.3</v>
      </c>
      <c r="M29" s="2"/>
      <c r="N29" s="19">
        <f t="shared" si="1"/>
        <v>0</v>
      </c>
      <c r="O29" s="11"/>
      <c r="P29" s="2">
        <f>--205.63</f>
        <v>205.63</v>
      </c>
      <c r="Q29" s="2"/>
      <c r="R29" s="19"/>
      <c r="S29" s="2"/>
      <c r="T29" s="2">
        <f>--20.92</f>
        <v>20.92</v>
      </c>
      <c r="U29" s="2"/>
      <c r="V29" s="19"/>
      <c r="W29" s="2"/>
      <c r="X29" s="2">
        <f t="shared" si="2"/>
        <v>184.70999999999998</v>
      </c>
      <c r="Y29" s="2"/>
      <c r="Z29" s="19">
        <f t="shared" si="3"/>
        <v>8.829349904397704</v>
      </c>
    </row>
    <row r="30" spans="1:26" s="24" customFormat="1" hidden="1" outlineLevel="1" x14ac:dyDescent="0.25">
      <c r="A30" s="44"/>
      <c r="B30" s="11" t="str">
        <f>CONCATENATE("          ", "4201", " - ", "SALES RETURN TAXABLE-NEW TEXT")</f>
        <v xml:space="preserve">          4201 - SALES RETURN TAXABLE-NEW TEXT</v>
      </c>
      <c r="C30" s="11"/>
      <c r="D30" s="2">
        <f>-1512.25</f>
        <v>-1512.25</v>
      </c>
      <c r="E30" s="2"/>
      <c r="F30" s="19"/>
      <c r="G30" s="2"/>
      <c r="H30" s="2">
        <f>-4543.92</f>
        <v>-4543.92</v>
      </c>
      <c r="I30" s="2"/>
      <c r="J30" s="19"/>
      <c r="K30" s="2"/>
      <c r="L30" s="2">
        <f t="shared" si="0"/>
        <v>3031.67</v>
      </c>
      <c r="M30" s="2"/>
      <c r="N30" s="19">
        <f t="shared" si="1"/>
        <v>-0.66719264423669433</v>
      </c>
      <c r="O30" s="11"/>
      <c r="P30" s="2">
        <f>-33761.24</f>
        <v>-33761.24</v>
      </c>
      <c r="Q30" s="2"/>
      <c r="R30" s="19"/>
      <c r="S30" s="2"/>
      <c r="T30" s="2">
        <f>-77783.67</f>
        <v>-77783.67</v>
      </c>
      <c r="U30" s="2"/>
      <c r="V30" s="19"/>
      <c r="W30" s="2"/>
      <c r="X30" s="2">
        <f t="shared" si="2"/>
        <v>44022.43</v>
      </c>
      <c r="Y30" s="2"/>
      <c r="Z30" s="19">
        <f t="shared" si="3"/>
        <v>-0.56595979593145962</v>
      </c>
    </row>
    <row r="31" spans="1:26" s="24" customFormat="1" hidden="1" outlineLevel="1" x14ac:dyDescent="0.25">
      <c r="A31" s="44"/>
      <c r="B31" s="11" t="str">
        <f>CONCATENATE("          ", "4202", " - ", "SALES RETURN TAXABLE-USED TEXT")</f>
        <v xml:space="preserve">          4202 - SALES RETURN TAXABLE-USED TEXT</v>
      </c>
      <c r="C31" s="11"/>
      <c r="D31" s="2">
        <f>-136.05</f>
        <v>-136.05000000000001</v>
      </c>
      <c r="E31" s="2"/>
      <c r="F31" s="19"/>
      <c r="G31" s="2"/>
      <c r="H31" s="2">
        <f>-3577.9</f>
        <v>-3577.9</v>
      </c>
      <c r="I31" s="2"/>
      <c r="J31" s="19"/>
      <c r="K31" s="2"/>
      <c r="L31" s="2">
        <f t="shared" si="0"/>
        <v>3441.85</v>
      </c>
      <c r="M31" s="2"/>
      <c r="N31" s="19">
        <f t="shared" si="1"/>
        <v>-0.96197490147852083</v>
      </c>
      <c r="O31" s="11"/>
      <c r="P31" s="2">
        <f>-10529</f>
        <v>-10529</v>
      </c>
      <c r="Q31" s="2"/>
      <c r="R31" s="19"/>
      <c r="S31" s="2"/>
      <c r="T31" s="2">
        <f>-26929</f>
        <v>-26929</v>
      </c>
      <c r="U31" s="2"/>
      <c r="V31" s="19"/>
      <c r="W31" s="2"/>
      <c r="X31" s="2">
        <f t="shared" si="2"/>
        <v>16400</v>
      </c>
      <c r="Y31" s="2"/>
      <c r="Z31" s="19">
        <f t="shared" si="3"/>
        <v>-0.60900887519031532</v>
      </c>
    </row>
    <row r="32" spans="1:26" s="24" customFormat="1" hidden="1" outlineLevel="1" x14ac:dyDescent="0.25">
      <c r="A32" s="44"/>
      <c r="B32" s="11" t="str">
        <f>CONCATENATE("          ", "4203", " - ", "SALES RETURN TAXABLE-RENTAL TE")</f>
        <v xml:space="preserve">          4203 - SALES RETURN TAXABLE-RENTAL TE</v>
      </c>
      <c r="C32" s="11"/>
      <c r="D32" s="2">
        <f>0</f>
        <v>0</v>
      </c>
      <c r="E32" s="2"/>
      <c r="F32" s="19"/>
      <c r="G32" s="2"/>
      <c r="H32" s="2">
        <f>0</f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0</f>
        <v>0</v>
      </c>
      <c r="Q32" s="2"/>
      <c r="R32" s="19"/>
      <c r="S32" s="2"/>
      <c r="T32" s="2">
        <f>-144.99</f>
        <v>-144.99</v>
      </c>
      <c r="U32" s="2"/>
      <c r="V32" s="19"/>
      <c r="W32" s="2"/>
      <c r="X32" s="2">
        <f t="shared" si="2"/>
        <v>144.99</v>
      </c>
      <c r="Y32" s="2"/>
      <c r="Z32" s="19">
        <f t="shared" si="3"/>
        <v>-1</v>
      </c>
    </row>
    <row r="33" spans="1:26" s="24" customFormat="1" hidden="1" outlineLevel="1" x14ac:dyDescent="0.25">
      <c r="A33" s="44"/>
      <c r="B33" s="11" t="str">
        <f>CONCATENATE("          ", "4204", " - ", "SALES RETURN TAXABLE-DIGITAL T")</f>
        <v xml:space="preserve">          4204 - SALES RETURN TAXABLE-DIGITAL T</v>
      </c>
      <c r="C33" s="11"/>
      <c r="D33" s="2">
        <f>-383.9</f>
        <v>-383.9</v>
      </c>
      <c r="E33" s="2"/>
      <c r="F33" s="19"/>
      <c r="G33" s="2"/>
      <c r="H33" s="2">
        <f>-193.34</f>
        <v>-193.34</v>
      </c>
      <c r="I33" s="2"/>
      <c r="J33" s="19"/>
      <c r="K33" s="2"/>
      <c r="L33" s="2">
        <f t="shared" si="0"/>
        <v>-190.55999999999997</v>
      </c>
      <c r="M33" s="2"/>
      <c r="N33" s="19">
        <f t="shared" si="1"/>
        <v>0.98562118547636268</v>
      </c>
      <c r="O33" s="11"/>
      <c r="P33" s="2">
        <f>-1630.85</f>
        <v>-1630.85</v>
      </c>
      <c r="Q33" s="2"/>
      <c r="R33" s="19"/>
      <c r="S33" s="2"/>
      <c r="T33" s="2">
        <f>-11250.06</f>
        <v>-11250.06</v>
      </c>
      <c r="U33" s="2"/>
      <c r="V33" s="19"/>
      <c r="W33" s="2"/>
      <c r="X33" s="2">
        <f t="shared" si="2"/>
        <v>9619.2099999999991</v>
      </c>
      <c r="Y33" s="2"/>
      <c r="Z33" s="19">
        <f t="shared" si="3"/>
        <v>-0.85503632869513579</v>
      </c>
    </row>
    <row r="34" spans="1:26" s="24" customFormat="1" hidden="1" outlineLevel="1" x14ac:dyDescent="0.25">
      <c r="A34" s="44"/>
      <c r="B34" s="11" t="str">
        <f>CONCATENATE("          ", "4213", " - ", "NON-TAXABLE SALES-TRADE BOOKS")</f>
        <v xml:space="preserve">          4213 - NON-TAXABLE SALES-TRADE BOOKS</v>
      </c>
      <c r="C34" s="11"/>
      <c r="D34" s="2">
        <f t="shared" ref="D34:D35" si="5">0</f>
        <v>0</v>
      </c>
      <c r="E34" s="2"/>
      <c r="F34" s="19"/>
      <c r="G34" s="2"/>
      <c r="H34" s="2">
        <f>-35.37</f>
        <v>-35.369999999999997</v>
      </c>
      <c r="I34" s="2"/>
      <c r="J34" s="19"/>
      <c r="K34" s="2"/>
      <c r="L34" s="2">
        <f t="shared" si="0"/>
        <v>35.369999999999997</v>
      </c>
      <c r="M34" s="2"/>
      <c r="N34" s="19">
        <f t="shared" si="1"/>
        <v>-1</v>
      </c>
      <c r="O34" s="11"/>
      <c r="P34" s="2">
        <f t="shared" ref="P34:P35" si="6">0</f>
        <v>0</v>
      </c>
      <c r="Q34" s="2"/>
      <c r="R34" s="19"/>
      <c r="S34" s="2"/>
      <c r="T34" s="2">
        <f>-35.37</f>
        <v>-35.369999999999997</v>
      </c>
      <c r="U34" s="2"/>
      <c r="V34" s="19"/>
      <c r="W34" s="2"/>
      <c r="X34" s="2">
        <f t="shared" si="2"/>
        <v>35.369999999999997</v>
      </c>
      <c r="Y34" s="2"/>
      <c r="Z34" s="19">
        <f t="shared" si="3"/>
        <v>-1</v>
      </c>
    </row>
    <row r="35" spans="1:26" s="24" customFormat="1" hidden="1" outlineLevel="1" x14ac:dyDescent="0.25">
      <c r="A35" s="44"/>
      <c r="B35" s="11" t="str">
        <f>CONCATENATE("          ", "4218", " - ", "SALES RETURN TAXABLE-STUDY GUI")</f>
        <v xml:space="preserve">          4218 - SALES RETURN TAXABLE-STUDY GUI</v>
      </c>
      <c r="C35" s="11"/>
      <c r="D35" s="2">
        <f t="shared" si="5"/>
        <v>0</v>
      </c>
      <c r="E35" s="2"/>
      <c r="F35" s="19"/>
      <c r="G35" s="2"/>
      <c r="H35" s="2">
        <f>0</f>
        <v>0</v>
      </c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1"/>
      <c r="P35" s="2">
        <f t="shared" si="6"/>
        <v>0</v>
      </c>
      <c r="Q35" s="2"/>
      <c r="R35" s="19"/>
      <c r="S35" s="2"/>
      <c r="T35" s="2">
        <f>-32.75</f>
        <v>-32.75</v>
      </c>
      <c r="U35" s="2"/>
      <c r="V35" s="19"/>
      <c r="W35" s="2"/>
      <c r="X35" s="2">
        <f t="shared" si="2"/>
        <v>32.75</v>
      </c>
      <c r="Y35" s="2"/>
      <c r="Z35" s="19">
        <f t="shared" si="3"/>
        <v>-1</v>
      </c>
    </row>
    <row r="36" spans="1:26" s="24" customFormat="1" hidden="1" outlineLevel="1" x14ac:dyDescent="0.25">
      <c r="A36" s="44"/>
      <c r="B36" s="11" t="str">
        <f>CONCATENATE("          ", "4301", " - ", "SALES RETURN NON TAXABLE-NEW T")</f>
        <v xml:space="preserve">          4301 - SALES RETURN NON TAXABLE-NEW T</v>
      </c>
      <c r="C36" s="11"/>
      <c r="D36" s="2">
        <f>-535.49</f>
        <v>-535.49</v>
      </c>
      <c r="E36" s="2"/>
      <c r="F36" s="19"/>
      <c r="G36" s="2"/>
      <c r="H36" s="2">
        <f>-5585.76</f>
        <v>-5585.76</v>
      </c>
      <c r="I36" s="2"/>
      <c r="J36" s="19"/>
      <c r="K36" s="2"/>
      <c r="L36" s="2">
        <f t="shared" si="0"/>
        <v>5050.2700000000004</v>
      </c>
      <c r="M36" s="2"/>
      <c r="N36" s="19">
        <f t="shared" si="1"/>
        <v>-0.90413300965311794</v>
      </c>
      <c r="O36" s="11"/>
      <c r="P36" s="2">
        <f>-2376.17</f>
        <v>-2376.17</v>
      </c>
      <c r="Q36" s="2"/>
      <c r="R36" s="19"/>
      <c r="S36" s="2"/>
      <c r="T36" s="2">
        <f>-12310.98</f>
        <v>-12310.98</v>
      </c>
      <c r="U36" s="2"/>
      <c r="V36" s="19"/>
      <c r="W36" s="2"/>
      <c r="X36" s="2">
        <f t="shared" si="2"/>
        <v>9934.81</v>
      </c>
      <c r="Y36" s="2"/>
      <c r="Z36" s="19">
        <f t="shared" si="3"/>
        <v>-0.80698774589837685</v>
      </c>
    </row>
    <row r="37" spans="1:26" s="24" customFormat="1" hidden="1" outlineLevel="1" x14ac:dyDescent="0.25">
      <c r="A37" s="44"/>
      <c r="B37" s="11" t="str">
        <f>CONCATENATE("          ", "4302", " - ", "SALES RETURN NON TAXABLE-TEXT")</f>
        <v xml:space="preserve">          4302 - SALES RETURN NON TAXABLE-TEXT</v>
      </c>
      <c r="C37" s="11"/>
      <c r="D37" s="2">
        <f>-169.72</f>
        <v>-169.72</v>
      </c>
      <c r="E37" s="2"/>
      <c r="F37" s="19"/>
      <c r="G37" s="2"/>
      <c r="H37" s="2">
        <f>-35.1</f>
        <v>-35.1</v>
      </c>
      <c r="I37" s="2"/>
      <c r="J37" s="19"/>
      <c r="K37" s="2"/>
      <c r="L37" s="2">
        <f t="shared" si="0"/>
        <v>-134.62</v>
      </c>
      <c r="M37" s="2"/>
      <c r="N37" s="19">
        <f t="shared" si="1"/>
        <v>3.8353276353276353</v>
      </c>
      <c r="O37" s="11"/>
      <c r="P37" s="2">
        <f>-1316.8</f>
        <v>-1316.8</v>
      </c>
      <c r="Q37" s="2"/>
      <c r="R37" s="19"/>
      <c r="S37" s="2"/>
      <c r="T37" s="2">
        <f>-683.8</f>
        <v>-683.8</v>
      </c>
      <c r="U37" s="2"/>
      <c r="V37" s="19"/>
      <c r="W37" s="2"/>
      <c r="X37" s="2">
        <f t="shared" si="2"/>
        <v>-633</v>
      </c>
      <c r="Y37" s="2"/>
      <c r="Z37" s="19">
        <f t="shared" si="3"/>
        <v>0.92570927171687634</v>
      </c>
    </row>
    <row r="38" spans="1:26" s="24" customFormat="1" hidden="1" outlineLevel="1" x14ac:dyDescent="0.25">
      <c r="A38" s="44"/>
      <c r="B38" s="11" t="str">
        <f>CONCATENATE("          ", "4303", " - ", "SALES RETURN NON-TAXABLE-RENTA")</f>
        <v xml:space="preserve">          4303 - SALES RETURN NON-TAXABLE-RENTA</v>
      </c>
      <c r="C38" s="11"/>
      <c r="D38" s="2">
        <f>0</f>
        <v>0</v>
      </c>
      <c r="E38" s="2"/>
      <c r="F38" s="19"/>
      <c r="G38" s="2"/>
      <c r="H38" s="2">
        <f>0</f>
        <v>0</v>
      </c>
      <c r="I38" s="2"/>
      <c r="J38" s="19"/>
      <c r="K38" s="2"/>
      <c r="L38" s="2">
        <f t="shared" si="0"/>
        <v>0</v>
      </c>
      <c r="M38" s="2"/>
      <c r="N38" s="19">
        <f t="shared" si="1"/>
        <v>0</v>
      </c>
      <c r="O38" s="11"/>
      <c r="P38" s="2">
        <f>0</f>
        <v>0</v>
      </c>
      <c r="Q38" s="2"/>
      <c r="R38" s="19"/>
      <c r="S38" s="2"/>
      <c r="T38" s="2">
        <f>-184.99</f>
        <v>-184.99</v>
      </c>
      <c r="U38" s="2"/>
      <c r="V38" s="19"/>
      <c r="W38" s="2"/>
      <c r="X38" s="2">
        <f t="shared" si="2"/>
        <v>184.99</v>
      </c>
      <c r="Y38" s="2"/>
      <c r="Z38" s="19">
        <f t="shared" si="3"/>
        <v>-1</v>
      </c>
    </row>
    <row r="39" spans="1:26" s="24" customFormat="1" hidden="1" outlineLevel="1" x14ac:dyDescent="0.25">
      <c r="A39" s="44"/>
      <c r="B39" s="11" t="str">
        <f>CONCATENATE("          ", "4304", " - ", "SALES RETURN NON TAXABLE-DIGIT")</f>
        <v xml:space="preserve">          4304 - SALES RETURN NON TAXABLE-DIGIT</v>
      </c>
      <c r="C39" s="11"/>
      <c r="D39" s="2">
        <f>-692.75</f>
        <v>-692.75</v>
      </c>
      <c r="E39" s="2"/>
      <c r="F39" s="19"/>
      <c r="G39" s="2"/>
      <c r="H39" s="2">
        <f>-617.98</f>
        <v>-617.98</v>
      </c>
      <c r="I39" s="2"/>
      <c r="J39" s="19"/>
      <c r="K39" s="2"/>
      <c r="L39" s="2">
        <f t="shared" si="0"/>
        <v>-74.769999999999982</v>
      </c>
      <c r="M39" s="2"/>
      <c r="N39" s="19">
        <f t="shared" si="1"/>
        <v>0.12099097058157218</v>
      </c>
      <c r="O39" s="11"/>
      <c r="P39" s="2">
        <f>-14102.11</f>
        <v>-14102.11</v>
      </c>
      <c r="Q39" s="2"/>
      <c r="R39" s="19"/>
      <c r="S39" s="2"/>
      <c r="T39" s="2">
        <f>-13133.29</f>
        <v>-13133.29</v>
      </c>
      <c r="U39" s="2"/>
      <c r="V39" s="19"/>
      <c r="W39" s="2"/>
      <c r="X39" s="2">
        <f t="shared" si="2"/>
        <v>-968.81999999999971</v>
      </c>
      <c r="Y39" s="2"/>
      <c r="Z39" s="19">
        <f t="shared" si="3"/>
        <v>7.3768263702392894E-2</v>
      </c>
    </row>
    <row r="40" spans="1:26" s="24" customFormat="1" hidden="1" outlineLevel="1" x14ac:dyDescent="0.25">
      <c r="A40" s="44"/>
      <c r="B40" s="11" t="str">
        <f>CONCATENATE("          ", "4311", " - ", "SALES RETURN NON TAXABLE-NO VA")</f>
        <v xml:space="preserve">          4311 - SALES RETURN NON TAXABLE-NO VA</v>
      </c>
      <c r="C40" s="11"/>
      <c r="D40" s="2">
        <f>0</f>
        <v>0</v>
      </c>
      <c r="E40" s="2"/>
      <c r="F40" s="19"/>
      <c r="G40" s="2"/>
      <c r="H40" s="2">
        <f>-0.02</f>
        <v>-0.02</v>
      </c>
      <c r="I40" s="2"/>
      <c r="J40" s="19"/>
      <c r="K40" s="2"/>
      <c r="L40" s="2">
        <f t="shared" si="0"/>
        <v>0.02</v>
      </c>
      <c r="M40" s="2"/>
      <c r="N40" s="19">
        <f t="shared" si="1"/>
        <v>-1</v>
      </c>
      <c r="O40" s="11"/>
      <c r="P40" s="2">
        <f>0</f>
        <v>0</v>
      </c>
      <c r="Q40" s="2"/>
      <c r="R40" s="19"/>
      <c r="S40" s="2"/>
      <c r="T40" s="2">
        <f>-387.96</f>
        <v>-387.96</v>
      </c>
      <c r="U40" s="2"/>
      <c r="V40" s="19"/>
      <c r="W40" s="2"/>
      <c r="X40" s="2">
        <f t="shared" si="2"/>
        <v>387.96</v>
      </c>
      <c r="Y40" s="2"/>
      <c r="Z40" s="19">
        <f t="shared" si="3"/>
        <v>-1</v>
      </c>
    </row>
    <row r="41" spans="1:26" x14ac:dyDescent="0.25">
      <c r="A41" s="9"/>
      <c r="B41" s="10"/>
      <c r="C41" s="9"/>
      <c r="D41" s="3"/>
      <c r="E41" s="3"/>
      <c r="F41" s="8"/>
      <c r="G41" s="3"/>
      <c r="H41" s="3"/>
      <c r="I41" s="3"/>
      <c r="J41" s="8"/>
      <c r="K41" s="3"/>
      <c r="L41" s="3"/>
      <c r="M41" s="3"/>
      <c r="N41" s="8"/>
      <c r="P41" s="3"/>
      <c r="Q41" s="3"/>
      <c r="R41" s="8"/>
      <c r="S41" s="3"/>
      <c r="T41" s="3"/>
      <c r="U41" s="3"/>
      <c r="V41" s="8"/>
      <c r="W41" s="3"/>
      <c r="X41" s="3"/>
      <c r="Y41" s="3"/>
      <c r="Z41" s="8"/>
    </row>
    <row r="42" spans="1:26" s="23" customFormat="1" collapsed="1" x14ac:dyDescent="0.25">
      <c r="A42" s="10"/>
      <c r="B42" s="26" t="s">
        <v>8</v>
      </c>
      <c r="C42" s="10"/>
      <c r="D42" s="4">
        <f>SUM(OSRRefD16x_0)</f>
        <v>26221.499999999985</v>
      </c>
      <c r="E42" s="4"/>
      <c r="F42" s="12">
        <f t="shared" ref="F42:F55" si="7">IF(D$12=0,0,D42/D$12)</f>
        <v>0.76708644353197608</v>
      </c>
      <c r="G42" s="4"/>
      <c r="H42" s="4">
        <f>SUM(OSRRefH16x_0)</f>
        <v>32914.55999999999</v>
      </c>
      <c r="I42" s="4"/>
      <c r="J42" s="12">
        <f t="shared" ref="J42:J55" si="8">IF(H$12=0,0,H42/H$12)</f>
        <v>0.77139751490201003</v>
      </c>
      <c r="K42" s="4"/>
      <c r="L42" s="4">
        <f t="shared" ref="L42:L55" si="9">+D42-H42</f>
        <v>-6693.0600000000049</v>
      </c>
      <c r="M42" s="4"/>
      <c r="N42" s="12">
        <f t="shared" ref="N42:N55" si="10">IF(H42=0,0,L42/H42)</f>
        <v>-0.20334648252931248</v>
      </c>
      <c r="O42" s="10"/>
      <c r="P42" s="4">
        <f>SUM(OSRRefP16x_0)</f>
        <v>1106717.3399999999</v>
      </c>
      <c r="Q42" s="4"/>
      <c r="R42" s="12">
        <f t="shared" ref="R42:R55" si="11">IF(P$12=0,0,P42/P$12)</f>
        <v>0.71599470955030187</v>
      </c>
      <c r="S42" s="4"/>
      <c r="T42" s="4">
        <f>SUM(OSRRefT16x_0)</f>
        <v>2101156.09</v>
      </c>
      <c r="U42" s="4"/>
      <c r="V42" s="12">
        <f t="shared" ref="V42:V55" si="12">IF(T$12=0,0,T42/T$12)</f>
        <v>0.73405514159147756</v>
      </c>
      <c r="W42" s="4"/>
      <c r="X42" s="4">
        <f t="shared" ref="X42:X55" si="13">+P42-T42</f>
        <v>-994438.75</v>
      </c>
      <c r="Y42" s="4"/>
      <c r="Z42" s="12">
        <f t="shared" ref="Z42:Z55" si="14">IF(T42=0,0,X42/T42)</f>
        <v>-0.47328171130779728</v>
      </c>
    </row>
    <row r="43" spans="1:26" s="24" customFormat="1" hidden="1" outlineLevel="1" x14ac:dyDescent="0.25">
      <c r="A43" s="44"/>
      <c r="B43" s="11" t="str">
        <f>CONCATENATE("          ", "5001", " - ", "PURCHASES @ COST-NEW TEXT")</f>
        <v xml:space="preserve">          5001 - PURCHASES @ COST-NEW TEXT</v>
      </c>
      <c r="C43" s="11"/>
      <c r="D43" s="2">
        <v>55775.07</v>
      </c>
      <c r="E43" s="2"/>
      <c r="F43" s="19">
        <f t="shared" si="7"/>
        <v>1.6316496037239303</v>
      </c>
      <c r="G43" s="2"/>
      <c r="H43" s="2">
        <v>-175502.53</v>
      </c>
      <c r="I43" s="2"/>
      <c r="J43" s="19">
        <f t="shared" si="8"/>
        <v>-4.1131406739453755</v>
      </c>
      <c r="K43" s="2"/>
      <c r="L43" s="2">
        <f t="shared" si="9"/>
        <v>231277.6</v>
      </c>
      <c r="M43" s="2"/>
      <c r="N43" s="19">
        <f t="shared" si="10"/>
        <v>-1.3178020852462926</v>
      </c>
      <c r="O43" s="11"/>
      <c r="P43" s="2">
        <v>1349196.8299999998</v>
      </c>
      <c r="Q43" s="2"/>
      <c r="R43" s="19">
        <f t="shared" si="11"/>
        <v>0.87286767588012848</v>
      </c>
      <c r="S43" s="2"/>
      <c r="T43" s="2">
        <v>1757148.42</v>
      </c>
      <c r="U43" s="2"/>
      <c r="V43" s="19">
        <f t="shared" si="12"/>
        <v>0.61387339968652255</v>
      </c>
      <c r="W43" s="2"/>
      <c r="X43" s="2">
        <f t="shared" si="13"/>
        <v>-407951.59000000008</v>
      </c>
      <c r="Y43" s="2"/>
      <c r="Z43" s="19">
        <f t="shared" si="14"/>
        <v>-0.23216683653848666</v>
      </c>
    </row>
    <row r="44" spans="1:26" s="24" customFormat="1" hidden="1" outlineLevel="1" x14ac:dyDescent="0.25">
      <c r="A44" s="44"/>
      <c r="B44" s="11" t="str">
        <f>CONCATENATE("          ", "5002", " - ", "PURCHASES @ COST-USED TEXT")</f>
        <v xml:space="preserve">          5002 - PURCHASES @ COST-USED TEXT</v>
      </c>
      <c r="C44" s="11"/>
      <c r="D44" s="2">
        <v>6331.95</v>
      </c>
      <c r="E44" s="2"/>
      <c r="F44" s="19">
        <f t="shared" si="7"/>
        <v>0.18523551307599864</v>
      </c>
      <c r="G44" s="2"/>
      <c r="H44" s="2">
        <v>14221.93</v>
      </c>
      <c r="I44" s="2"/>
      <c r="J44" s="19">
        <f t="shared" si="8"/>
        <v>0.33331028757821302</v>
      </c>
      <c r="K44" s="2"/>
      <c r="L44" s="2">
        <f t="shared" si="9"/>
        <v>-7889.9800000000005</v>
      </c>
      <c r="M44" s="2"/>
      <c r="N44" s="19">
        <f t="shared" si="10"/>
        <v>-0.55477561765526906</v>
      </c>
      <c r="O44" s="11"/>
      <c r="P44" s="2">
        <v>303063.33</v>
      </c>
      <c r="Q44" s="2"/>
      <c r="R44" s="19">
        <f t="shared" si="11"/>
        <v>0.19606789655857143</v>
      </c>
      <c r="S44" s="2"/>
      <c r="T44" s="2">
        <v>368033.17</v>
      </c>
      <c r="U44" s="2"/>
      <c r="V44" s="19">
        <f t="shared" si="12"/>
        <v>0.12857523627133779</v>
      </c>
      <c r="W44" s="2"/>
      <c r="X44" s="2">
        <f t="shared" si="13"/>
        <v>-64969.839999999967</v>
      </c>
      <c r="Y44" s="2"/>
      <c r="Z44" s="19">
        <f t="shared" si="14"/>
        <v>-0.17653256634449543</v>
      </c>
    </row>
    <row r="45" spans="1:26" s="24" customFormat="1" hidden="1" outlineLevel="1" x14ac:dyDescent="0.25">
      <c r="A45" s="44"/>
      <c r="B45" s="11" t="str">
        <f>CONCATENATE("          ", "5003", " - ", "PURCHASES @ COST-RENTAL TEXT")</f>
        <v xml:space="preserve">          5003 - PURCHASES @ COST-RENTAL TEXT</v>
      </c>
      <c r="C45" s="11"/>
      <c r="D45" s="2">
        <v>10600.69</v>
      </c>
      <c r="E45" s="2"/>
      <c r="F45" s="19">
        <f t="shared" si="7"/>
        <v>0.31011366973990767</v>
      </c>
      <c r="G45" s="2"/>
      <c r="H45" s="2"/>
      <c r="I45" s="2"/>
      <c r="J45" s="19">
        <f t="shared" si="8"/>
        <v>0</v>
      </c>
      <c r="K45" s="2"/>
      <c r="L45" s="2">
        <f t="shared" si="9"/>
        <v>10600.69</v>
      </c>
      <c r="M45" s="2"/>
      <c r="N45" s="19">
        <f t="shared" si="10"/>
        <v>0</v>
      </c>
      <c r="O45" s="11"/>
      <c r="P45" s="2">
        <v>-485.41</v>
      </c>
      <c r="Q45" s="2"/>
      <c r="R45" s="19">
        <f t="shared" si="11"/>
        <v>-3.1403772164879251E-4</v>
      </c>
      <c r="S45" s="2"/>
      <c r="T45" s="2">
        <v>-78.400000000000006</v>
      </c>
      <c r="U45" s="2"/>
      <c r="V45" s="19">
        <f t="shared" si="12"/>
        <v>-2.7389646763830783E-5</v>
      </c>
      <c r="W45" s="2"/>
      <c r="X45" s="2">
        <f t="shared" si="13"/>
        <v>-407.01</v>
      </c>
      <c r="Y45" s="2"/>
      <c r="Z45" s="19">
        <f t="shared" si="14"/>
        <v>5.1914540816326529</v>
      </c>
    </row>
    <row r="46" spans="1:26" s="24" customFormat="1" hidden="1" outlineLevel="1" x14ac:dyDescent="0.25">
      <c r="A46" s="44"/>
      <c r="B46" s="11" t="str">
        <f>CONCATENATE("          ", "5004", " - ", "PURCHASES @ COST-DIGITAL TEXT")</f>
        <v xml:space="preserve">          5004 - PURCHASES @ COST-DIGITAL TEXT</v>
      </c>
      <c r="C46" s="11"/>
      <c r="D46" s="2">
        <v>12903.46</v>
      </c>
      <c r="E46" s="2"/>
      <c r="F46" s="19">
        <f t="shared" si="7"/>
        <v>0.3774791388996479</v>
      </c>
      <c r="G46" s="2"/>
      <c r="H46" s="2">
        <v>-30949.360000000001</v>
      </c>
      <c r="I46" s="2"/>
      <c r="J46" s="19">
        <f t="shared" si="8"/>
        <v>-0.72534037799100703</v>
      </c>
      <c r="K46" s="2"/>
      <c r="L46" s="2">
        <f t="shared" si="9"/>
        <v>43852.82</v>
      </c>
      <c r="M46" s="2"/>
      <c r="N46" s="19">
        <f t="shared" si="10"/>
        <v>-1.416921706943213</v>
      </c>
      <c r="O46" s="11"/>
      <c r="P46" s="2">
        <v>195519.53</v>
      </c>
      <c r="Q46" s="2"/>
      <c r="R46" s="19">
        <f t="shared" si="11"/>
        <v>0.12649205360219759</v>
      </c>
      <c r="S46" s="2"/>
      <c r="T46" s="2">
        <v>322779.02999999997</v>
      </c>
      <c r="U46" s="2"/>
      <c r="V46" s="19">
        <f t="shared" si="12"/>
        <v>0.11276535222540737</v>
      </c>
      <c r="W46" s="2"/>
      <c r="X46" s="2">
        <f t="shared" si="13"/>
        <v>-127259.49999999997</v>
      </c>
      <c r="Y46" s="2"/>
      <c r="Z46" s="19">
        <f t="shared" si="14"/>
        <v>-0.39426198164112453</v>
      </c>
    </row>
    <row r="47" spans="1:26" s="24" customFormat="1" hidden="1" outlineLevel="1" x14ac:dyDescent="0.25">
      <c r="A47" s="44"/>
      <c r="B47" s="11" t="str">
        <f>CONCATENATE("          ", "5011", " - ", "PURCHASES @ COST-NO VALUE TEXT")</f>
        <v xml:space="preserve">          5011 - PURCHASES @ COST-NO VALUE TEXT</v>
      </c>
      <c r="C47" s="11"/>
      <c r="D47" s="2">
        <v>67.17</v>
      </c>
      <c r="E47" s="2"/>
      <c r="F47" s="19">
        <f t="shared" si="7"/>
        <v>1.9649980516767869E-3</v>
      </c>
      <c r="G47" s="2"/>
      <c r="H47" s="2">
        <v>90</v>
      </c>
      <c r="I47" s="2"/>
      <c r="J47" s="19">
        <f t="shared" si="8"/>
        <v>2.1092725025393297E-3</v>
      </c>
      <c r="K47" s="2"/>
      <c r="L47" s="2">
        <f t="shared" si="9"/>
        <v>-22.83</v>
      </c>
      <c r="M47" s="2"/>
      <c r="N47" s="19">
        <f t="shared" si="10"/>
        <v>-0.25366666666666665</v>
      </c>
      <c r="O47" s="11"/>
      <c r="P47" s="2">
        <v>67.17</v>
      </c>
      <c r="Q47" s="2"/>
      <c r="R47" s="19">
        <f t="shared" si="11"/>
        <v>4.3455869807275078E-5</v>
      </c>
      <c r="S47" s="2"/>
      <c r="T47" s="2">
        <v>3675</v>
      </c>
      <c r="U47" s="2"/>
      <c r="V47" s="19">
        <f t="shared" si="12"/>
        <v>1.283889692054568E-3</v>
      </c>
      <c r="W47" s="2"/>
      <c r="X47" s="2">
        <f t="shared" si="13"/>
        <v>-3607.83</v>
      </c>
      <c r="Y47" s="2"/>
      <c r="Z47" s="19">
        <f t="shared" si="14"/>
        <v>-0.98172244897959182</v>
      </c>
    </row>
    <row r="48" spans="1:26" s="24" customFormat="1" hidden="1" outlineLevel="1" x14ac:dyDescent="0.25">
      <c r="A48" s="44"/>
      <c r="B48" s="11" t="str">
        <f>CONCATENATE("          ", "5013", " - ", "PURCHASES @ COST-TRADE BOOKS")</f>
        <v xml:space="preserve">          5013 - PURCHASES @ COST-TRADE BOOKS</v>
      </c>
      <c r="C48" s="11"/>
      <c r="D48" s="2">
        <v>1384.46</v>
      </c>
      <c r="E48" s="2"/>
      <c r="F48" s="19">
        <f t="shared" si="7"/>
        <v>4.0501134474087305E-2</v>
      </c>
      <c r="G48" s="2"/>
      <c r="H48" s="2">
        <v>212.56</v>
      </c>
      <c r="I48" s="2"/>
      <c r="J48" s="19">
        <f t="shared" si="8"/>
        <v>4.9816329237751108E-3</v>
      </c>
      <c r="K48" s="2"/>
      <c r="L48" s="2">
        <f t="shared" si="9"/>
        <v>1171.9000000000001</v>
      </c>
      <c r="M48" s="2"/>
      <c r="N48" s="19">
        <f t="shared" si="10"/>
        <v>5.5132668423033504</v>
      </c>
      <c r="O48" s="11"/>
      <c r="P48" s="2">
        <v>1483.64</v>
      </c>
      <c r="Q48" s="2"/>
      <c r="R48" s="19">
        <f t="shared" si="11"/>
        <v>9.5984616169220778E-4</v>
      </c>
      <c r="S48" s="2"/>
      <c r="T48" s="2">
        <v>687.35</v>
      </c>
      <c r="U48" s="2"/>
      <c r="V48" s="19">
        <f t="shared" si="12"/>
        <v>2.4013104213162104E-4</v>
      </c>
      <c r="W48" s="2"/>
      <c r="X48" s="2">
        <f t="shared" si="13"/>
        <v>796.29000000000008</v>
      </c>
      <c r="Y48" s="2"/>
      <c r="Z48" s="19">
        <f t="shared" si="14"/>
        <v>1.1584927620571761</v>
      </c>
    </row>
    <row r="49" spans="1:26" s="24" customFormat="1" hidden="1" outlineLevel="1" x14ac:dyDescent="0.25">
      <c r="A49" s="44"/>
      <c r="B49" s="11" t="str">
        <f>CONCATENATE("          ", "5014", " - ", "PURCHASES @ COST-REMAINDERS")</f>
        <v xml:space="preserve">          5014 - PURCHASES @ COST-REMAINDERS</v>
      </c>
      <c r="C49" s="11"/>
      <c r="D49" s="2">
        <v>102.92</v>
      </c>
      <c r="E49" s="2"/>
      <c r="F49" s="19">
        <f t="shared" si="7"/>
        <v>3.0108322090006685E-3</v>
      </c>
      <c r="G49" s="2"/>
      <c r="H49" s="2">
        <v>37.54</v>
      </c>
      <c r="I49" s="2"/>
      <c r="J49" s="19">
        <f t="shared" si="8"/>
        <v>8.7980099717029374E-4</v>
      </c>
      <c r="K49" s="2"/>
      <c r="L49" s="2">
        <f t="shared" si="9"/>
        <v>65.38</v>
      </c>
      <c r="M49" s="2"/>
      <c r="N49" s="19">
        <f t="shared" si="10"/>
        <v>1.7416089504528502</v>
      </c>
      <c r="O49" s="11"/>
      <c r="P49" s="2">
        <v>90.41</v>
      </c>
      <c r="Q49" s="2"/>
      <c r="R49" s="19">
        <f t="shared" si="11"/>
        <v>5.8491070258683033E-5</v>
      </c>
      <c r="S49" s="2"/>
      <c r="T49" s="2">
        <v>327.51</v>
      </c>
      <c r="U49" s="2"/>
      <c r="V49" s="19">
        <f t="shared" si="12"/>
        <v>1.1441815320946709E-4</v>
      </c>
      <c r="W49" s="2"/>
      <c r="X49" s="2">
        <f t="shared" si="13"/>
        <v>-237.1</v>
      </c>
      <c r="Y49" s="2"/>
      <c r="Z49" s="19">
        <f t="shared" si="14"/>
        <v>-0.72394736038594243</v>
      </c>
    </row>
    <row r="50" spans="1:26" s="24" customFormat="1" hidden="1" outlineLevel="1" x14ac:dyDescent="0.25">
      <c r="A50" s="44"/>
      <c r="B50" s="11" t="str">
        <f>CONCATENATE("          ", "5018", " - ", "PURCHASES @ COST-STUDY GUIDES")</f>
        <v xml:space="preserve">          5018 - PURCHASES @ COST-STUDY GUIDES</v>
      </c>
      <c r="C50" s="11"/>
      <c r="D50" s="2"/>
      <c r="E50" s="2"/>
      <c r="F50" s="19">
        <f t="shared" si="7"/>
        <v>0</v>
      </c>
      <c r="G50" s="2"/>
      <c r="H50" s="2">
        <v>298.16000000000003</v>
      </c>
      <c r="I50" s="2"/>
      <c r="J50" s="19">
        <f t="shared" si="8"/>
        <v>6.9877854373014067E-3</v>
      </c>
      <c r="K50" s="2"/>
      <c r="L50" s="2">
        <f t="shared" si="9"/>
        <v>-298.16000000000003</v>
      </c>
      <c r="M50" s="2"/>
      <c r="N50" s="19">
        <f t="shared" si="10"/>
        <v>-1</v>
      </c>
      <c r="O50" s="11"/>
      <c r="P50" s="2"/>
      <c r="Q50" s="2"/>
      <c r="R50" s="19">
        <f t="shared" si="11"/>
        <v>0</v>
      </c>
      <c r="S50" s="2"/>
      <c r="T50" s="2">
        <v>802.09</v>
      </c>
      <c r="U50" s="2"/>
      <c r="V50" s="19">
        <f t="shared" si="12"/>
        <v>2.8021634914287034E-4</v>
      </c>
      <c r="W50" s="2"/>
      <c r="X50" s="2">
        <f t="shared" si="13"/>
        <v>-802.09</v>
      </c>
      <c r="Y50" s="2"/>
      <c r="Z50" s="19">
        <f t="shared" si="14"/>
        <v>-1</v>
      </c>
    </row>
    <row r="51" spans="1:26" s="24" customFormat="1" hidden="1" outlineLevel="1" x14ac:dyDescent="0.25">
      <c r="A51" s="44"/>
      <c r="B51" s="11" t="str">
        <f>CONCATENATE("          ", "5200", " - ", "PURCHASES OFFSET")</f>
        <v xml:space="preserve">          5200 - PURCHASES OFFSET</v>
      </c>
      <c r="C51" s="11"/>
      <c r="D51" s="2">
        <v>-111446.85</v>
      </c>
      <c r="E51" s="2"/>
      <c r="F51" s="19">
        <f t="shared" si="7"/>
        <v>-3.2602775512210083</v>
      </c>
      <c r="G51" s="2"/>
      <c r="H51" s="2">
        <v>191884</v>
      </c>
      <c r="I51" s="2"/>
      <c r="J51" s="19">
        <f t="shared" si="8"/>
        <v>4.4970627208584082</v>
      </c>
      <c r="K51" s="2"/>
      <c r="L51" s="2">
        <f t="shared" si="9"/>
        <v>-303330.84999999998</v>
      </c>
      <c r="M51" s="2"/>
      <c r="N51" s="19">
        <f t="shared" si="10"/>
        <v>-1.5808032457109502</v>
      </c>
      <c r="O51" s="11"/>
      <c r="P51" s="2">
        <v>-1549974.48</v>
      </c>
      <c r="Q51" s="2"/>
      <c r="R51" s="19">
        <f t="shared" si="11"/>
        <v>-1.0027614888712055</v>
      </c>
      <c r="S51" s="2"/>
      <c r="T51" s="2">
        <v>-1811575</v>
      </c>
      <c r="U51" s="2"/>
      <c r="V51" s="19">
        <f t="shared" si="12"/>
        <v>-0.63288774663503511</v>
      </c>
      <c r="W51" s="2"/>
      <c r="X51" s="2">
        <f t="shared" si="13"/>
        <v>261600.52000000002</v>
      </c>
      <c r="Y51" s="2"/>
      <c r="Z51" s="19">
        <f t="shared" si="14"/>
        <v>-0.14440501773318798</v>
      </c>
    </row>
    <row r="52" spans="1:26" s="24" customFormat="1" hidden="1" outlineLevel="1" x14ac:dyDescent="0.25">
      <c r="A52" s="44"/>
      <c r="B52" s="11" t="str">
        <f>CONCATENATE("          ", "5300", " - ", "COG$ OFFSET")</f>
        <v xml:space="preserve">          5300 - COG$ OFFSET</v>
      </c>
      <c r="C52" s="11"/>
      <c r="D52" s="2">
        <v>24962</v>
      </c>
      <c r="E52" s="2"/>
      <c r="F52" s="19">
        <f t="shared" si="7"/>
        <v>0.73024090168164291</v>
      </c>
      <c r="G52" s="2"/>
      <c r="H52" s="2">
        <v>24503</v>
      </c>
      <c r="I52" s="2"/>
      <c r="J52" s="19">
        <f t="shared" si="8"/>
        <v>0.57426115699690217</v>
      </c>
      <c r="K52" s="2"/>
      <c r="L52" s="2">
        <f t="shared" si="9"/>
        <v>459</v>
      </c>
      <c r="M52" s="2"/>
      <c r="N52" s="19">
        <f t="shared" si="10"/>
        <v>1.873240011427172E-2</v>
      </c>
      <c r="O52" s="11"/>
      <c r="P52" s="2">
        <v>762931</v>
      </c>
      <c r="Q52" s="2"/>
      <c r="R52" s="19">
        <f t="shared" si="11"/>
        <v>0.4935809171941965</v>
      </c>
      <c r="S52" s="2"/>
      <c r="T52" s="2">
        <v>1418386</v>
      </c>
      <c r="U52" s="2"/>
      <c r="V52" s="19">
        <f t="shared" si="12"/>
        <v>0.49552412646381233</v>
      </c>
      <c r="W52" s="2"/>
      <c r="X52" s="2">
        <f t="shared" si="13"/>
        <v>-655455</v>
      </c>
      <c r="Y52" s="2"/>
      <c r="Z52" s="19">
        <f t="shared" si="14"/>
        <v>-0.46211327522973294</v>
      </c>
    </row>
    <row r="53" spans="1:26" s="24" customFormat="1" hidden="1" outlineLevel="1" x14ac:dyDescent="0.25">
      <c r="A53" s="44"/>
      <c r="B53" s="11" t="str">
        <f>CONCATENATE("          ", "5501", " - ", "FREIGHT-IN-NEW TEXT")</f>
        <v xml:space="preserve">          5501 - FREIGHT-IN-NEW TEXT</v>
      </c>
      <c r="C53" s="11"/>
      <c r="D53" s="2">
        <v>23295.74</v>
      </c>
      <c r="E53" s="2"/>
      <c r="F53" s="19">
        <f t="shared" si="7"/>
        <v>0.6814959611786362</v>
      </c>
      <c r="G53" s="2"/>
      <c r="H53" s="2">
        <v>7434.02</v>
      </c>
      <c r="I53" s="2"/>
      <c r="J53" s="19">
        <f t="shared" si="8"/>
        <v>0.17422637743697145</v>
      </c>
      <c r="K53" s="2"/>
      <c r="L53" s="2">
        <f t="shared" si="9"/>
        <v>15861.720000000001</v>
      </c>
      <c r="M53" s="2"/>
      <c r="N53" s="19">
        <f t="shared" si="10"/>
        <v>2.1336665760920739</v>
      </c>
      <c r="O53" s="11"/>
      <c r="P53" s="2">
        <v>34058.620000000003</v>
      </c>
      <c r="Q53" s="2"/>
      <c r="R53" s="19">
        <f t="shared" si="11"/>
        <v>2.2034345042957496E-2</v>
      </c>
      <c r="S53" s="2"/>
      <c r="T53" s="2">
        <v>34017.480000000003</v>
      </c>
      <c r="U53" s="2"/>
      <c r="V53" s="19">
        <f t="shared" si="12"/>
        <v>1.1884269910659164E-2</v>
      </c>
      <c r="W53" s="2"/>
      <c r="X53" s="2">
        <f t="shared" si="13"/>
        <v>41.139999999999418</v>
      </c>
      <c r="Y53" s="2"/>
      <c r="Z53" s="19">
        <f t="shared" si="14"/>
        <v>1.2093782373062147E-3</v>
      </c>
    </row>
    <row r="54" spans="1:26" s="24" customFormat="1" hidden="1" outlineLevel="1" x14ac:dyDescent="0.25">
      <c r="A54" s="44"/>
      <c r="B54" s="11" t="str">
        <f>CONCATENATE("          ", "5502", " - ", "FREIGHT-IN-USED TEXT")</f>
        <v xml:space="preserve">          5502 - FREIGHT-IN-USED TEXT</v>
      </c>
      <c r="C54" s="11"/>
      <c r="D54" s="2">
        <v>2233.9</v>
      </c>
      <c r="E54" s="2"/>
      <c r="F54" s="19">
        <f t="shared" si="7"/>
        <v>6.5350739134148794E-2</v>
      </c>
      <c r="G54" s="2"/>
      <c r="H54" s="2">
        <v>591.29999999999995</v>
      </c>
      <c r="I54" s="2"/>
      <c r="J54" s="19">
        <f t="shared" si="8"/>
        <v>1.3857920341683396E-2</v>
      </c>
      <c r="K54" s="2"/>
      <c r="L54" s="2">
        <f t="shared" si="9"/>
        <v>1642.6000000000001</v>
      </c>
      <c r="M54" s="2"/>
      <c r="N54" s="19">
        <f t="shared" si="10"/>
        <v>2.7779468966683583</v>
      </c>
      <c r="O54" s="11"/>
      <c r="P54" s="2">
        <v>10744.72</v>
      </c>
      <c r="Q54" s="2"/>
      <c r="R54" s="19">
        <f t="shared" si="11"/>
        <v>6.9513347243654105E-3</v>
      </c>
      <c r="S54" s="2"/>
      <c r="T54" s="2">
        <v>6852.47</v>
      </c>
      <c r="U54" s="2"/>
      <c r="V54" s="19">
        <f t="shared" si="12"/>
        <v>2.3939634280580042E-3</v>
      </c>
      <c r="W54" s="2"/>
      <c r="X54" s="2">
        <f t="shared" si="13"/>
        <v>3892.2499999999991</v>
      </c>
      <c r="Y54" s="2"/>
      <c r="Z54" s="19">
        <f t="shared" si="14"/>
        <v>0.56800686467799189</v>
      </c>
    </row>
    <row r="55" spans="1:26" s="24" customFormat="1" hidden="1" outlineLevel="1" x14ac:dyDescent="0.25">
      <c r="A55" s="44"/>
      <c r="B55" s="11" t="str">
        <f>CONCATENATE("          ", "5504", " - ", "FREIGHT-IN-DIGITAL TEXT")</f>
        <v xml:space="preserve">          5504 - FREIGHT-IN-DIGITAL TEXT</v>
      </c>
      <c r="C55" s="11"/>
      <c r="D55" s="2">
        <v>10.99</v>
      </c>
      <c r="E55" s="2"/>
      <c r="F55" s="19">
        <f t="shared" si="7"/>
        <v>3.2150258430739743E-4</v>
      </c>
      <c r="G55" s="2"/>
      <c r="H55" s="2">
        <v>93.94</v>
      </c>
      <c r="I55" s="2"/>
      <c r="J55" s="19">
        <f t="shared" si="8"/>
        <v>2.2016117654282737E-3</v>
      </c>
      <c r="K55" s="2"/>
      <c r="L55" s="2">
        <f t="shared" si="9"/>
        <v>-82.95</v>
      </c>
      <c r="M55" s="2"/>
      <c r="N55" s="19">
        <f t="shared" si="10"/>
        <v>-0.88301043219076014</v>
      </c>
      <c r="O55" s="11"/>
      <c r="P55" s="2">
        <v>21.98</v>
      </c>
      <c r="Q55" s="2"/>
      <c r="R55" s="19">
        <f t="shared" si="11"/>
        <v>1.4220038981150902E-5</v>
      </c>
      <c r="S55" s="2"/>
      <c r="T55" s="2">
        <v>100.97</v>
      </c>
      <c r="U55" s="2"/>
      <c r="V55" s="19">
        <f t="shared" si="12"/>
        <v>3.5274650940612171E-5</v>
      </c>
      <c r="W55" s="2"/>
      <c r="X55" s="2">
        <f t="shared" si="13"/>
        <v>-78.989999999999995</v>
      </c>
      <c r="Y55" s="2"/>
      <c r="Z55" s="19">
        <f t="shared" si="14"/>
        <v>-0.78231157769634541</v>
      </c>
    </row>
    <row r="56" spans="1:26" x14ac:dyDescent="0.25">
      <c r="A56" s="9"/>
      <c r="B56" s="10"/>
      <c r="C56" s="10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O56" s="10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3" customFormat="1" x14ac:dyDescent="0.25">
      <c r="A57" s="10"/>
      <c r="B57" s="25" t="s">
        <v>6</v>
      </c>
      <c r="C57" s="25"/>
      <c r="D57" s="20">
        <f>D12-D42</f>
        <v>7961.7400000000125</v>
      </c>
      <c r="E57" s="13"/>
      <c r="F57" s="21">
        <f>IF(D$12=0,0,D57/D$12)</f>
        <v>0.23291355646802389</v>
      </c>
      <c r="G57" s="13"/>
      <c r="H57" s="20">
        <f>H12-H42</f>
        <v>9754.1800000000076</v>
      </c>
      <c r="I57" s="13"/>
      <c r="J57" s="21">
        <f>IF(H$12=0,0,H57/H$12)</f>
        <v>0.22860248509798997</v>
      </c>
      <c r="K57" s="15"/>
      <c r="L57" s="20">
        <f>+D57-H57</f>
        <v>-1792.4399999999951</v>
      </c>
      <c r="M57" s="15"/>
      <c r="N57" s="21">
        <f>IF(H57=0,0,L57/H57)</f>
        <v>-0.18376121826744982</v>
      </c>
      <c r="O57" s="26"/>
      <c r="P57" s="20">
        <f>P12-P42</f>
        <v>438988.68999999971</v>
      </c>
      <c r="Q57" s="13"/>
      <c r="R57" s="21">
        <f>IF(P$12=0,0,P57/P$12)</f>
        <v>0.28400529044969813</v>
      </c>
      <c r="S57" s="13"/>
      <c r="T57" s="20">
        <f>T12-T42</f>
        <v>761239.35000000056</v>
      </c>
      <c r="U57" s="13"/>
      <c r="V57" s="21">
        <f>IF(T$12=0,0,T57/T$12)</f>
        <v>0.2659448584085225</v>
      </c>
      <c r="W57" s="15"/>
      <c r="X57" s="20">
        <f>+P57-T57</f>
        <v>-322250.66000000085</v>
      </c>
      <c r="Y57" s="15"/>
      <c r="Z57" s="21">
        <f>IF(T57=0,0,X57/T57)</f>
        <v>-0.42332370232831579</v>
      </c>
    </row>
    <row r="58" spans="1:26" x14ac:dyDescent="0.25">
      <c r="A58" s="9"/>
      <c r="B58" s="10"/>
      <c r="C58" s="9"/>
      <c r="D58" s="1"/>
      <c r="E58" s="1"/>
      <c r="F58" s="5"/>
      <c r="G58" s="1"/>
      <c r="H58" s="1"/>
      <c r="I58" s="1"/>
      <c r="J58" s="5"/>
      <c r="K58" s="1"/>
      <c r="L58" s="1"/>
      <c r="M58" s="1"/>
      <c r="N58" s="5"/>
      <c r="O58" s="37"/>
      <c r="P58" s="1"/>
      <c r="Q58" s="1"/>
      <c r="R58" s="5"/>
      <c r="S58" s="1"/>
      <c r="T58" s="1"/>
      <c r="U58" s="1"/>
      <c r="V58" s="5"/>
      <c r="W58" s="1"/>
      <c r="X58" s="1"/>
      <c r="Y58" s="1"/>
      <c r="Z58" s="5"/>
    </row>
    <row r="59" spans="1:26" s="23" customFormat="1" x14ac:dyDescent="0.25">
      <c r="A59" s="10"/>
      <c r="B59" s="26" t="s">
        <v>9</v>
      </c>
      <c r="C59" s="10"/>
      <c r="D59" s="22">
        <f>SUM(OSRRefD22x_0)</f>
        <v>41286.30999999999</v>
      </c>
      <c r="E59" s="22"/>
      <c r="F59" s="36">
        <f t="shared" ref="F59:F69" si="15">IF(D$12=0,0,D59/D$12)</f>
        <v>1.2077939364437074</v>
      </c>
      <c r="G59" s="22"/>
      <c r="H59" s="22">
        <f>SUM(OSRRefH22x_0)</f>
        <v>43533.96</v>
      </c>
      <c r="I59" s="22"/>
      <c r="J59" s="36">
        <f t="shared" ref="J59:J69" si="16">IF(H$12=0,0,H59/H$12)</f>
        <v>1.0202776083849676</v>
      </c>
      <c r="K59" s="4"/>
      <c r="L59" s="22">
        <f t="shared" ref="L59:L69" si="17">+D59-H59</f>
        <v>-2247.6500000000087</v>
      </c>
      <c r="M59" s="4"/>
      <c r="N59" s="36">
        <f t="shared" ref="N59:N69" si="18">IF(H59=0,0,L59/H59)</f>
        <v>-5.1629808085458084E-2</v>
      </c>
      <c r="O59" s="10"/>
      <c r="P59" s="22">
        <f>SUM(OSRRefP22x_0)</f>
        <v>169717.31999999998</v>
      </c>
      <c r="Q59" s="22"/>
      <c r="R59" s="36">
        <f t="shared" ref="R59:R69" si="19">IF(P$12=0,0,P59/P$12)</f>
        <v>0.1097992223010219</v>
      </c>
      <c r="S59" s="22"/>
      <c r="T59" s="22">
        <f>SUM(OSRRefT22x_0)</f>
        <v>160525.72999999995</v>
      </c>
      <c r="U59" s="22"/>
      <c r="V59" s="36">
        <f t="shared" ref="V59:V69" si="20">IF(T$12=0,0,T59/T$12)</f>
        <v>5.6080906137832558E-2</v>
      </c>
      <c r="W59" s="4"/>
      <c r="X59" s="22">
        <f t="shared" ref="X59:X69" si="21">+P59-T59</f>
        <v>9191.5900000000256</v>
      </c>
      <c r="Y59" s="4"/>
      <c r="Z59" s="36">
        <f t="shared" ref="Z59:Z69" si="22">IF(T59=0,0,X59/T59)</f>
        <v>5.7259294195391781E-2</v>
      </c>
    </row>
    <row r="60" spans="1:26" s="29" customFormat="1" outlineLevel="1" collapsed="1" x14ac:dyDescent="0.25">
      <c r="A60" s="27"/>
      <c r="B60" s="14" t="str">
        <f>CONCATENATE("     ","*Benefits                                         ")</f>
        <v xml:space="preserve">     *Benefits                                         </v>
      </c>
      <c r="C60" s="14"/>
      <c r="D60" s="1">
        <f>SUM(OSRRefD22_0x_0)</f>
        <v>13021.619999999999</v>
      </c>
      <c r="E60" s="1"/>
      <c r="F60" s="5">
        <f t="shared" si="15"/>
        <v>0.38093580362774271</v>
      </c>
      <c r="G60" s="1"/>
      <c r="H60" s="1">
        <f>SUM(OSRRefH22_0x_0)</f>
        <v>12250.08</v>
      </c>
      <c r="I60" s="1"/>
      <c r="J60" s="5">
        <f t="shared" si="16"/>
        <v>0.28709729886563323</v>
      </c>
      <c r="K60" s="1"/>
      <c r="L60" s="1">
        <f t="shared" si="17"/>
        <v>771.53999999999905</v>
      </c>
      <c r="M60" s="1"/>
      <c r="N60" s="5">
        <f t="shared" si="18"/>
        <v>6.2982445828925121E-2</v>
      </c>
      <c r="O60" s="14"/>
      <c r="P60" s="1">
        <f>SUM(OSRRefP22_0x_0)</f>
        <v>45612.71</v>
      </c>
      <c r="Q60" s="1"/>
      <c r="R60" s="5">
        <f t="shared" si="19"/>
        <v>2.9509304560324457E-2</v>
      </c>
      <c r="S60" s="1"/>
      <c r="T60" s="1">
        <f>SUM(OSRRefT22_0x_0)</f>
        <v>42583.29</v>
      </c>
      <c r="U60" s="1"/>
      <c r="V60" s="5">
        <f t="shared" si="20"/>
        <v>1.487680192782867E-2</v>
      </c>
      <c r="W60" s="1"/>
      <c r="X60" s="1">
        <f t="shared" si="21"/>
        <v>3029.4199999999983</v>
      </c>
      <c r="Y60" s="1"/>
      <c r="Z60" s="5">
        <f t="shared" si="22"/>
        <v>7.114105086760554E-2</v>
      </c>
    </row>
    <row r="61" spans="1:26" s="24" customFormat="1" hidden="1" outlineLevel="2" x14ac:dyDescent="0.25">
      <c r="A61" s="28"/>
      <c r="B61" s="11" t="str">
        <f>CONCATENATE("          ", "6111", " - ", "F.I.C.A.")</f>
        <v xml:space="preserve">          6111 - F.I.C.A.</v>
      </c>
      <c r="C61" s="11"/>
      <c r="D61" s="6">
        <v>3122.76</v>
      </c>
      <c r="E61" s="2"/>
      <c r="F61" s="7">
        <f t="shared" si="15"/>
        <v>9.1353540506985312E-2</v>
      </c>
      <c r="G61" s="2"/>
      <c r="H61" s="6">
        <v>2806.9</v>
      </c>
      <c r="I61" s="2"/>
      <c r="J61" s="7">
        <f t="shared" si="16"/>
        <v>6.5783522081973828E-2</v>
      </c>
      <c r="K61" s="2"/>
      <c r="L61" s="6">
        <f t="shared" si="17"/>
        <v>315.86000000000013</v>
      </c>
      <c r="M61" s="2"/>
      <c r="N61" s="7">
        <f t="shared" si="18"/>
        <v>0.11252983718693224</v>
      </c>
      <c r="O61" s="11"/>
      <c r="P61" s="6">
        <v>9222.64</v>
      </c>
      <c r="Q61" s="2"/>
      <c r="R61" s="7">
        <f t="shared" si="19"/>
        <v>5.9666196682948841E-3</v>
      </c>
      <c r="S61" s="2"/>
      <c r="T61" s="6">
        <v>7603.05</v>
      </c>
      <c r="U61" s="2"/>
      <c r="V61" s="7">
        <f t="shared" si="20"/>
        <v>2.6561843600477505E-3</v>
      </c>
      <c r="W61" s="2"/>
      <c r="X61" s="6">
        <f t="shared" si="21"/>
        <v>1619.5899999999992</v>
      </c>
      <c r="Y61" s="2"/>
      <c r="Z61" s="7">
        <f t="shared" si="22"/>
        <v>0.21301845969709515</v>
      </c>
    </row>
    <row r="62" spans="1:26" s="24" customFormat="1" hidden="1" outlineLevel="2" x14ac:dyDescent="0.25">
      <c r="A62" s="28"/>
      <c r="B62" s="11" t="str">
        <f>CONCATENATE("          ", "6112", " - ", "COMPENSATION INSURANCE")</f>
        <v xml:space="preserve">          6112 - COMPENSATION INSURANCE</v>
      </c>
      <c r="C62" s="11"/>
      <c r="D62" s="6">
        <v>89.88</v>
      </c>
      <c r="E62" s="2"/>
      <c r="F62" s="7">
        <f t="shared" si="15"/>
        <v>2.6293587149726007E-3</v>
      </c>
      <c r="G62" s="2"/>
      <c r="H62" s="6">
        <v>-62.53</v>
      </c>
      <c r="I62" s="2"/>
      <c r="J62" s="7">
        <f t="shared" si="16"/>
        <v>-1.4654756620420476E-3</v>
      </c>
      <c r="K62" s="2"/>
      <c r="L62" s="6">
        <f t="shared" si="17"/>
        <v>152.41</v>
      </c>
      <c r="M62" s="2"/>
      <c r="N62" s="7">
        <f t="shared" si="18"/>
        <v>-2.4373900527746679</v>
      </c>
      <c r="O62" s="11"/>
      <c r="P62" s="6">
        <v>523.16999999999996</v>
      </c>
      <c r="Q62" s="2"/>
      <c r="R62" s="7">
        <f t="shared" si="19"/>
        <v>3.3846668761459129E-4</v>
      </c>
      <c r="S62" s="2"/>
      <c r="T62" s="6">
        <v>193.58</v>
      </c>
      <c r="U62" s="2"/>
      <c r="V62" s="7">
        <f t="shared" si="20"/>
        <v>6.762867118038728E-5</v>
      </c>
      <c r="W62" s="2"/>
      <c r="X62" s="6">
        <f t="shared" si="21"/>
        <v>329.58999999999992</v>
      </c>
      <c r="Y62" s="2"/>
      <c r="Z62" s="7">
        <f t="shared" si="22"/>
        <v>1.702603574749457</v>
      </c>
    </row>
    <row r="63" spans="1:26" s="24" customFormat="1" hidden="1" outlineLevel="2" x14ac:dyDescent="0.25">
      <c r="A63" s="28"/>
      <c r="B63" s="11" t="str">
        <f>CONCATENATE("          ", "6113", " - ", "GROUP INSURANCE")</f>
        <v xml:space="preserve">          6113 - GROUP INSURANCE</v>
      </c>
      <c r="C63" s="11"/>
      <c r="D63" s="6">
        <v>4248.21</v>
      </c>
      <c r="E63" s="2"/>
      <c r="F63" s="7">
        <f t="shared" si="15"/>
        <v>0.1242775699436332</v>
      </c>
      <c r="G63" s="2"/>
      <c r="H63" s="6">
        <v>4168.57</v>
      </c>
      <c r="I63" s="2"/>
      <c r="J63" s="7">
        <f t="shared" si="16"/>
        <v>9.7696111954559711E-2</v>
      </c>
      <c r="K63" s="2"/>
      <c r="L63" s="6">
        <f t="shared" si="17"/>
        <v>79.640000000000327</v>
      </c>
      <c r="M63" s="2"/>
      <c r="N63" s="7">
        <f t="shared" si="18"/>
        <v>1.9104872894062073E-2</v>
      </c>
      <c r="O63" s="11"/>
      <c r="P63" s="6">
        <v>16858.63</v>
      </c>
      <c r="Q63" s="2"/>
      <c r="R63" s="7">
        <f t="shared" si="19"/>
        <v>1.0906750489936308E-2</v>
      </c>
      <c r="S63" s="2"/>
      <c r="T63" s="6">
        <v>16674.28</v>
      </c>
      <c r="U63" s="2"/>
      <c r="V63" s="7">
        <f t="shared" si="20"/>
        <v>5.8252887658317388E-3</v>
      </c>
      <c r="W63" s="2"/>
      <c r="X63" s="6">
        <f t="shared" si="21"/>
        <v>184.35000000000218</v>
      </c>
      <c r="Y63" s="2"/>
      <c r="Z63" s="7">
        <f t="shared" si="22"/>
        <v>1.1055949642203574E-2</v>
      </c>
    </row>
    <row r="64" spans="1:26" s="24" customFormat="1" hidden="1" outlineLevel="2" x14ac:dyDescent="0.25">
      <c r="A64" s="28"/>
      <c r="B64" s="11" t="str">
        <f>CONCATENATE("          ", "6114", " - ", "STATE UNEMPLOYMENT INSURANCE")</f>
        <v xml:space="preserve">          6114 - STATE UNEMPLOYMENT INSURANCE</v>
      </c>
      <c r="C64" s="11"/>
      <c r="D64" s="6">
        <v>60.94</v>
      </c>
      <c r="E64" s="2"/>
      <c r="F64" s="7">
        <f t="shared" si="15"/>
        <v>1.7827449943305549E-3</v>
      </c>
      <c r="G64" s="2"/>
      <c r="H64" s="6">
        <v>75.959999999999994</v>
      </c>
      <c r="I64" s="2"/>
      <c r="J64" s="7">
        <f t="shared" si="16"/>
        <v>1.7802259921431943E-3</v>
      </c>
      <c r="K64" s="2"/>
      <c r="L64" s="6">
        <f t="shared" si="17"/>
        <v>-15.019999999999996</v>
      </c>
      <c r="M64" s="2"/>
      <c r="N64" s="7">
        <f t="shared" si="18"/>
        <v>-0.19773565034228538</v>
      </c>
      <c r="O64" s="11"/>
      <c r="P64" s="6">
        <v>269.16000000000003</v>
      </c>
      <c r="Q64" s="2"/>
      <c r="R64" s="7">
        <f t="shared" si="19"/>
        <v>1.7413401693205539E-4</v>
      </c>
      <c r="S64" s="2"/>
      <c r="T64" s="6">
        <v>246.49</v>
      </c>
      <c r="U64" s="2"/>
      <c r="V64" s="7">
        <f t="shared" si="20"/>
        <v>8.611318916857972E-5</v>
      </c>
      <c r="W64" s="2"/>
      <c r="X64" s="6">
        <f t="shared" si="21"/>
        <v>22.670000000000016</v>
      </c>
      <c r="Y64" s="2"/>
      <c r="Z64" s="7">
        <f t="shared" si="22"/>
        <v>9.1971276725222179E-2</v>
      </c>
    </row>
    <row r="65" spans="1:26" s="24" customFormat="1" hidden="1" outlineLevel="2" x14ac:dyDescent="0.25">
      <c r="A65" s="28"/>
      <c r="B65" s="11" t="str">
        <f>CONCATENATE("          ", "6115", " - ", "P.E.R.S.")</f>
        <v xml:space="preserve">          6115 - P.E.R.S.</v>
      </c>
      <c r="C65" s="11"/>
      <c r="D65" s="6">
        <v>1480.2</v>
      </c>
      <c r="E65" s="2"/>
      <c r="F65" s="7">
        <f t="shared" si="15"/>
        <v>4.3301922228554113E-2</v>
      </c>
      <c r="G65" s="2"/>
      <c r="H65" s="6">
        <v>1803.1</v>
      </c>
      <c r="I65" s="2"/>
      <c r="J65" s="7">
        <f t="shared" si="16"/>
        <v>4.2258102770318502E-2</v>
      </c>
      <c r="K65" s="2"/>
      <c r="L65" s="6">
        <f t="shared" si="17"/>
        <v>-322.89999999999986</v>
      </c>
      <c r="M65" s="2"/>
      <c r="N65" s="7">
        <f t="shared" si="18"/>
        <v>-0.17908047251954959</v>
      </c>
      <c r="O65" s="11"/>
      <c r="P65" s="6">
        <v>6660.92</v>
      </c>
      <c r="Q65" s="2"/>
      <c r="R65" s="7">
        <f t="shared" si="19"/>
        <v>4.3093058257655898E-3</v>
      </c>
      <c r="S65" s="2"/>
      <c r="T65" s="6">
        <v>5780.68</v>
      </c>
      <c r="U65" s="2"/>
      <c r="V65" s="7">
        <f t="shared" si="20"/>
        <v>2.0195252966165988E-3</v>
      </c>
      <c r="W65" s="2"/>
      <c r="X65" s="6">
        <f t="shared" si="21"/>
        <v>880.23999999999978</v>
      </c>
      <c r="Y65" s="2"/>
      <c r="Z65" s="7">
        <f t="shared" si="22"/>
        <v>0.15227274299909349</v>
      </c>
    </row>
    <row r="66" spans="1:26" s="24" customFormat="1" hidden="1" outlineLevel="2" x14ac:dyDescent="0.25">
      <c r="A66" s="28"/>
      <c r="B66" s="11" t="str">
        <f>CONCATENATE("          ", "6117", " - ", "RETIREMENT STAFF HOURLY")</f>
        <v xml:space="preserve">          6117 - RETIREMENT STAFF HOURLY</v>
      </c>
      <c r="C66" s="11"/>
      <c r="D66" s="6">
        <v>222.97</v>
      </c>
      <c r="E66" s="2"/>
      <c r="F66" s="7">
        <f t="shared" si="15"/>
        <v>6.522787190447717E-3</v>
      </c>
      <c r="G66" s="2"/>
      <c r="H66" s="6">
        <v>91.29</v>
      </c>
      <c r="I66" s="2"/>
      <c r="J66" s="7">
        <f t="shared" si="16"/>
        <v>2.1395054084090604E-3</v>
      </c>
      <c r="K66" s="2"/>
      <c r="L66" s="6">
        <f t="shared" si="17"/>
        <v>131.68</v>
      </c>
      <c r="M66" s="2"/>
      <c r="N66" s="7">
        <f t="shared" si="18"/>
        <v>1.4424361923540365</v>
      </c>
      <c r="O66" s="11"/>
      <c r="P66" s="6">
        <v>1060.74</v>
      </c>
      <c r="Q66" s="2"/>
      <c r="R66" s="7">
        <f t="shared" si="19"/>
        <v>6.8624950631783477E-4</v>
      </c>
      <c r="S66" s="2"/>
      <c r="T66" s="6">
        <v>552.63</v>
      </c>
      <c r="U66" s="2"/>
      <c r="V66" s="7">
        <f t="shared" si="20"/>
        <v>1.9306556748846691E-4</v>
      </c>
      <c r="W66" s="2"/>
      <c r="X66" s="6">
        <f t="shared" si="21"/>
        <v>508.11</v>
      </c>
      <c r="Y66" s="2"/>
      <c r="Z66" s="7">
        <f t="shared" si="22"/>
        <v>0.91943976982791387</v>
      </c>
    </row>
    <row r="67" spans="1:26" s="24" customFormat="1" hidden="1" outlineLevel="2" x14ac:dyDescent="0.25">
      <c r="A67" s="28"/>
      <c r="B67" s="11" t="str">
        <f>CONCATENATE("          ", "6118", " - ", "VACATION")</f>
        <v xml:space="preserve">          6118 - VACATION</v>
      </c>
      <c r="C67" s="11"/>
      <c r="D67" s="6">
        <v>1853.32</v>
      </c>
      <c r="E67" s="2"/>
      <c r="F67" s="7">
        <f t="shared" si="15"/>
        <v>5.4217212879762132E-2</v>
      </c>
      <c r="G67" s="2"/>
      <c r="H67" s="6">
        <v>1542.87</v>
      </c>
      <c r="I67" s="2"/>
      <c r="J67" s="7">
        <f t="shared" si="16"/>
        <v>3.615925851103173E-2</v>
      </c>
      <c r="K67" s="2"/>
      <c r="L67" s="6">
        <f t="shared" si="17"/>
        <v>310.45000000000005</v>
      </c>
      <c r="M67" s="2"/>
      <c r="N67" s="7">
        <f t="shared" si="18"/>
        <v>0.20121591579329437</v>
      </c>
      <c r="O67" s="11"/>
      <c r="P67" s="6">
        <v>4884.7</v>
      </c>
      <c r="Q67" s="2"/>
      <c r="R67" s="7">
        <f t="shared" si="19"/>
        <v>3.1601739950513109E-3</v>
      </c>
      <c r="S67" s="2"/>
      <c r="T67" s="6">
        <v>4637.22</v>
      </c>
      <c r="U67" s="2"/>
      <c r="V67" s="7">
        <f t="shared" si="20"/>
        <v>1.620048695997084E-3</v>
      </c>
      <c r="W67" s="2"/>
      <c r="X67" s="6">
        <f t="shared" si="21"/>
        <v>247.47999999999956</v>
      </c>
      <c r="Y67" s="2"/>
      <c r="Z67" s="7">
        <f t="shared" si="22"/>
        <v>5.3368181798577496E-2</v>
      </c>
    </row>
    <row r="68" spans="1:26" s="24" customFormat="1" hidden="1" outlineLevel="2" x14ac:dyDescent="0.25">
      <c r="A68" s="28"/>
      <c r="B68" s="11" t="str">
        <f>CONCATENATE("          ", "6119", " - ", "SICK LEAVE")</f>
        <v xml:space="preserve">          6119 - SICK LEAVE</v>
      </c>
      <c r="C68" s="11"/>
      <c r="D68" s="6">
        <v>1416.9</v>
      </c>
      <c r="E68" s="2"/>
      <c r="F68" s="7">
        <f t="shared" si="15"/>
        <v>4.1450137552789035E-2</v>
      </c>
      <c r="G68" s="2"/>
      <c r="H68" s="6">
        <v>1202.6099999999999</v>
      </c>
      <c r="I68" s="2"/>
      <c r="J68" s="7">
        <f t="shared" si="16"/>
        <v>2.8184802269764702E-2</v>
      </c>
      <c r="K68" s="2"/>
      <c r="L68" s="6">
        <f t="shared" si="17"/>
        <v>214.29000000000019</v>
      </c>
      <c r="M68" s="2"/>
      <c r="N68" s="7">
        <f t="shared" si="18"/>
        <v>0.17818744231296946</v>
      </c>
      <c r="O68" s="11"/>
      <c r="P68" s="6">
        <v>4250.7</v>
      </c>
      <c r="Q68" s="2"/>
      <c r="R68" s="7">
        <f t="shared" si="19"/>
        <v>2.7500054457314893E-3</v>
      </c>
      <c r="S68" s="2"/>
      <c r="T68" s="6">
        <v>4516.63</v>
      </c>
      <c r="U68" s="2"/>
      <c r="V68" s="7">
        <f t="shared" si="20"/>
        <v>1.5779196462107274E-3</v>
      </c>
      <c r="W68" s="2"/>
      <c r="X68" s="6">
        <f t="shared" si="21"/>
        <v>-265.93000000000029</v>
      </c>
      <c r="Y68" s="2"/>
      <c r="Z68" s="7">
        <f t="shared" si="22"/>
        <v>-5.8877968751037894E-2</v>
      </c>
    </row>
    <row r="69" spans="1:26" s="24" customFormat="1" hidden="1" outlineLevel="2" x14ac:dyDescent="0.25">
      <c r="A69" s="28"/>
      <c r="B69" s="11" t="str">
        <f>CONCATENATE("          ", "6156", " - ", "EMPLOYEE MEALS")</f>
        <v xml:space="preserve">          6156 - EMPLOYEE MEALS</v>
      </c>
      <c r="C69" s="11"/>
      <c r="D69" s="6">
        <v>526.44000000000005</v>
      </c>
      <c r="E69" s="2"/>
      <c r="F69" s="7">
        <f t="shared" si="15"/>
        <v>1.5400529616268092E-2</v>
      </c>
      <c r="G69" s="2"/>
      <c r="H69" s="6">
        <v>621.30999999999995</v>
      </c>
      <c r="I69" s="2"/>
      <c r="J69" s="7">
        <f t="shared" si="16"/>
        <v>1.4561245539474566E-2</v>
      </c>
      <c r="K69" s="2"/>
      <c r="L69" s="6">
        <f t="shared" si="17"/>
        <v>-94.869999999999891</v>
      </c>
      <c r="M69" s="2"/>
      <c r="N69" s="7">
        <f t="shared" si="18"/>
        <v>-0.15269350243839613</v>
      </c>
      <c r="O69" s="11"/>
      <c r="P69" s="6">
        <v>1882.05</v>
      </c>
      <c r="Q69" s="2"/>
      <c r="R69" s="7">
        <f t="shared" si="19"/>
        <v>1.2175989246803937E-3</v>
      </c>
      <c r="S69" s="2"/>
      <c r="T69" s="6">
        <v>2378.73</v>
      </c>
      <c r="U69" s="2"/>
      <c r="V69" s="7">
        <f t="shared" si="20"/>
        <v>8.3102773528733668E-4</v>
      </c>
      <c r="W69" s="2"/>
      <c r="X69" s="6">
        <f t="shared" si="21"/>
        <v>-496.68000000000006</v>
      </c>
      <c r="Y69" s="2"/>
      <c r="Z69" s="7">
        <f t="shared" si="22"/>
        <v>-0.20880049438145568</v>
      </c>
    </row>
    <row r="70" spans="1:26" s="29" customFormat="1" outlineLevel="1" collapsed="1" x14ac:dyDescent="0.25">
      <c r="A70" s="27"/>
      <c r="B70" s="14" t="str">
        <f>CONCATENATE("     ","*Payroll                                          ")</f>
        <v xml:space="preserve">     *Payroll                                          </v>
      </c>
      <c r="C70" s="14"/>
      <c r="D70" s="1">
        <f>SUM(OSRRefD22_1x_0)</f>
        <v>26770.510000000002</v>
      </c>
      <c r="E70" s="1"/>
      <c r="F70" s="5">
        <f t="shared" ref="F70:F76" si="23">IF(D$12=0,0,D70/D$12)</f>
        <v>0.7831472382372181</v>
      </c>
      <c r="G70" s="1"/>
      <c r="H70" s="1">
        <f>SUM(OSRRefH22_1x_0)</f>
        <v>26399.489999999998</v>
      </c>
      <c r="I70" s="1"/>
      <c r="J70" s="5">
        <f t="shared" ref="J70:J76" si="24">IF(H$12=0,0,H70/H$12)</f>
        <v>0.61870798153402229</v>
      </c>
      <c r="K70" s="1"/>
      <c r="L70" s="1">
        <f t="shared" ref="L70:L76" si="25">+D70-H70</f>
        <v>371.02000000000407</v>
      </c>
      <c r="M70" s="1"/>
      <c r="N70" s="5">
        <f t="shared" ref="N70:N76" si="26">IF(H70=0,0,L70/H70)</f>
        <v>1.4054059377662376E-2</v>
      </c>
      <c r="O70" s="14"/>
      <c r="P70" s="1">
        <f>SUM(OSRRefP22_1x_0)</f>
        <v>116444.83</v>
      </c>
      <c r="Q70" s="1"/>
      <c r="R70" s="5">
        <f t="shared" ref="R70:R76" si="27">IF(P$12=0,0,P70/P$12)</f>
        <v>7.5334395894153319E-2</v>
      </c>
      <c r="S70" s="1"/>
      <c r="T70" s="1">
        <f>SUM(OSRRefT22_1x_0)</f>
        <v>96461.27</v>
      </c>
      <c r="U70" s="1"/>
      <c r="V70" s="5">
        <f t="shared" ref="V70:V76" si="28">IF(T$12=0,0,T70/T$12)</f>
        <v>3.3699491220542187E-2</v>
      </c>
      <c r="W70" s="1"/>
      <c r="X70" s="1">
        <f t="shared" ref="X70:X76" si="29">+P70-T70</f>
        <v>19983.559999999998</v>
      </c>
      <c r="Y70" s="1"/>
      <c r="Z70" s="5">
        <f t="shared" ref="Z70:Z76" si="30">IF(T70=0,0,X70/T70)</f>
        <v>0.20716666906832137</v>
      </c>
    </row>
    <row r="71" spans="1:26" s="24" customFormat="1" hidden="1" outlineLevel="2" x14ac:dyDescent="0.25">
      <c r="A71" s="28"/>
      <c r="B71" s="11" t="str">
        <f>CONCATENATE("          ", "6001", " - ", "ADMINISTRATIVE SALARIES")</f>
        <v xml:space="preserve">          6001 - ADMINISTRATIVE SALARIES</v>
      </c>
      <c r="C71" s="11"/>
      <c r="D71" s="6"/>
      <c r="E71" s="2"/>
      <c r="F71" s="7">
        <f t="shared" si="23"/>
        <v>0</v>
      </c>
      <c r="G71" s="2"/>
      <c r="H71" s="6"/>
      <c r="I71" s="2"/>
      <c r="J71" s="7">
        <f t="shared" si="24"/>
        <v>0</v>
      </c>
      <c r="K71" s="2"/>
      <c r="L71" s="6">
        <f t="shared" si="25"/>
        <v>0</v>
      </c>
      <c r="M71" s="2"/>
      <c r="N71" s="7">
        <f t="shared" si="26"/>
        <v>0</v>
      </c>
      <c r="O71" s="11"/>
      <c r="P71" s="6">
        <v>-311.32</v>
      </c>
      <c r="Q71" s="2"/>
      <c r="R71" s="7">
        <f t="shared" si="27"/>
        <v>-2.0140957850827565E-4</v>
      </c>
      <c r="S71" s="2"/>
      <c r="T71" s="6"/>
      <c r="U71" s="2"/>
      <c r="V71" s="7">
        <f t="shared" si="28"/>
        <v>0</v>
      </c>
      <c r="W71" s="2"/>
      <c r="X71" s="6">
        <f t="shared" si="29"/>
        <v>-311.32</v>
      </c>
      <c r="Y71" s="2"/>
      <c r="Z71" s="7">
        <f t="shared" si="30"/>
        <v>0</v>
      </c>
    </row>
    <row r="72" spans="1:26" s="24" customFormat="1" hidden="1" outlineLevel="2" x14ac:dyDescent="0.25">
      <c r="A72" s="28"/>
      <c r="B72" s="11" t="str">
        <f>CONCATENATE("          ", "6002", " - ", "STAFF SALARIES")</f>
        <v xml:space="preserve">          6002 - STAFF SALARIES</v>
      </c>
      <c r="C72" s="11"/>
      <c r="D72" s="6">
        <v>16701.230000000003</v>
      </c>
      <c r="E72" s="2"/>
      <c r="F72" s="7">
        <f t="shared" si="23"/>
        <v>0.48857949100202336</v>
      </c>
      <c r="G72" s="2"/>
      <c r="H72" s="6">
        <v>16310.289999999999</v>
      </c>
      <c r="I72" s="2"/>
      <c r="J72" s="7">
        <f t="shared" si="24"/>
        <v>0.38225384672713558</v>
      </c>
      <c r="K72" s="2"/>
      <c r="L72" s="6">
        <f t="shared" si="25"/>
        <v>390.94000000000415</v>
      </c>
      <c r="M72" s="2"/>
      <c r="N72" s="7">
        <f t="shared" si="26"/>
        <v>2.3968917781351781E-2</v>
      </c>
      <c r="O72" s="11"/>
      <c r="P72" s="6">
        <v>64144.15</v>
      </c>
      <c r="Q72" s="2"/>
      <c r="R72" s="7">
        <f t="shared" si="27"/>
        <v>4.149828541459466E-2</v>
      </c>
      <c r="S72" s="2"/>
      <c r="T72" s="6">
        <v>60889.53</v>
      </c>
      <c r="U72" s="2"/>
      <c r="V72" s="7">
        <f t="shared" si="28"/>
        <v>2.1272228549944865E-2</v>
      </c>
      <c r="W72" s="2"/>
      <c r="X72" s="6">
        <f t="shared" si="29"/>
        <v>3254.6200000000026</v>
      </c>
      <c r="Y72" s="2"/>
      <c r="Z72" s="7">
        <f t="shared" si="30"/>
        <v>5.3451225522680217E-2</v>
      </c>
    </row>
    <row r="73" spans="1:26" s="24" customFormat="1" hidden="1" outlineLevel="2" x14ac:dyDescent="0.25">
      <c r="A73" s="28"/>
      <c r="B73" s="11" t="str">
        <f>CONCATENATE("          ", "6004", " - ", "STAFF HOURLY")</f>
        <v xml:space="preserve">          6004 - STAFF HOURLY</v>
      </c>
      <c r="C73" s="11"/>
      <c r="D73" s="6">
        <v>8733.7900000000009</v>
      </c>
      <c r="E73" s="2"/>
      <c r="F73" s="7">
        <f t="shared" si="23"/>
        <v>0.25549918615087397</v>
      </c>
      <c r="G73" s="2"/>
      <c r="H73" s="6">
        <v>4439.95</v>
      </c>
      <c r="I73" s="2"/>
      <c r="J73" s="7">
        <f t="shared" si="24"/>
        <v>0.10405627164054997</v>
      </c>
      <c r="K73" s="2"/>
      <c r="L73" s="6">
        <f t="shared" si="25"/>
        <v>4293.8400000000011</v>
      </c>
      <c r="M73" s="2"/>
      <c r="N73" s="7">
        <f t="shared" si="26"/>
        <v>0.96709197175643902</v>
      </c>
      <c r="O73" s="11"/>
      <c r="P73" s="6">
        <v>27311.52</v>
      </c>
      <c r="Q73" s="2"/>
      <c r="R73" s="7">
        <f t="shared" si="27"/>
        <v>1.7669284760440513E-2</v>
      </c>
      <c r="S73" s="2"/>
      <c r="T73" s="6">
        <v>12189.17</v>
      </c>
      <c r="U73" s="2"/>
      <c r="V73" s="7">
        <f t="shared" si="28"/>
        <v>4.2583808755648376E-3</v>
      </c>
      <c r="W73" s="2"/>
      <c r="X73" s="6">
        <f t="shared" si="29"/>
        <v>15122.35</v>
      </c>
      <c r="Y73" s="2"/>
      <c r="Z73" s="7">
        <f t="shared" si="30"/>
        <v>1.2406382058827632</v>
      </c>
    </row>
    <row r="74" spans="1:26" s="24" customFormat="1" hidden="1" outlineLevel="2" x14ac:dyDescent="0.25">
      <c r="A74" s="28"/>
      <c r="B74" s="11" t="str">
        <f>CONCATENATE("          ", "6005", " - ", "TEMPORARY WAGES-HOURLY")</f>
        <v xml:space="preserve">          6005 - TEMPORARY WAGES-HOURLY</v>
      </c>
      <c r="C74" s="11"/>
      <c r="D74" s="6">
        <v>1498.67</v>
      </c>
      <c r="E74" s="2"/>
      <c r="F74" s="7">
        <f t="shared" si="23"/>
        <v>4.3842245498086199E-2</v>
      </c>
      <c r="G74" s="2"/>
      <c r="H74" s="6">
        <v>3432.62</v>
      </c>
      <c r="I74" s="2"/>
      <c r="J74" s="7">
        <f t="shared" si="24"/>
        <v>8.044812197407282E-2</v>
      </c>
      <c r="K74" s="2"/>
      <c r="L74" s="6">
        <f t="shared" si="25"/>
        <v>-1933.9499999999998</v>
      </c>
      <c r="M74" s="2"/>
      <c r="N74" s="7">
        <f t="shared" si="26"/>
        <v>-0.56340346440911016</v>
      </c>
      <c r="O74" s="11"/>
      <c r="P74" s="6">
        <v>12838</v>
      </c>
      <c r="Q74" s="2"/>
      <c r="R74" s="7">
        <f t="shared" si="27"/>
        <v>8.3055896469524694E-3</v>
      </c>
      <c r="S74" s="2"/>
      <c r="T74" s="6">
        <v>7694.1</v>
      </c>
      <c r="U74" s="2"/>
      <c r="V74" s="7">
        <f t="shared" si="28"/>
        <v>2.6879933822141636E-3</v>
      </c>
      <c r="W74" s="2"/>
      <c r="X74" s="6">
        <f t="shared" si="29"/>
        <v>5143.8999999999996</v>
      </c>
      <c r="Y74" s="2"/>
      <c r="Z74" s="7">
        <f t="shared" si="30"/>
        <v>0.66855122756397756</v>
      </c>
    </row>
    <row r="75" spans="1:26" s="24" customFormat="1" hidden="1" outlineLevel="2" x14ac:dyDescent="0.25">
      <c r="A75" s="28"/>
      <c r="B75" s="11" t="str">
        <f>CONCATENATE("          ", "6006", " - ", "TEMPORARY PART TIME")</f>
        <v xml:space="preserve">          6006 - TEMPORARY PART TIME</v>
      </c>
      <c r="C75" s="11"/>
      <c r="D75" s="6"/>
      <c r="E75" s="2"/>
      <c r="F75" s="7">
        <f t="shared" si="23"/>
        <v>0</v>
      </c>
      <c r="G75" s="2"/>
      <c r="H75" s="6"/>
      <c r="I75" s="2"/>
      <c r="J75" s="7">
        <f t="shared" si="24"/>
        <v>0</v>
      </c>
      <c r="K75" s="2"/>
      <c r="L75" s="6">
        <f t="shared" si="25"/>
        <v>0</v>
      </c>
      <c r="M75" s="2"/>
      <c r="N75" s="7">
        <f t="shared" si="26"/>
        <v>0</v>
      </c>
      <c r="O75" s="11"/>
      <c r="P75" s="6">
        <v>502.29</v>
      </c>
      <c r="Q75" s="2"/>
      <c r="R75" s="7">
        <f t="shared" si="27"/>
        <v>3.249582975360458E-4</v>
      </c>
      <c r="S75" s="2"/>
      <c r="T75" s="6"/>
      <c r="U75" s="2"/>
      <c r="V75" s="7">
        <f t="shared" si="28"/>
        <v>0</v>
      </c>
      <c r="W75" s="2"/>
      <c r="X75" s="6">
        <f t="shared" si="29"/>
        <v>502.29</v>
      </c>
      <c r="Y75" s="2"/>
      <c r="Z75" s="7">
        <f t="shared" si="30"/>
        <v>0</v>
      </c>
    </row>
    <row r="76" spans="1:26" s="24" customFormat="1" hidden="1" outlineLevel="2" x14ac:dyDescent="0.25">
      <c r="A76" s="28"/>
      <c r="B76" s="11" t="str">
        <f>CONCATENATE("          ", "6007", " - ", "STUDENT HOURLY")</f>
        <v xml:space="preserve">          6007 - STUDENT HOURLY</v>
      </c>
      <c r="C76" s="11"/>
      <c r="D76" s="6">
        <v>-163.18</v>
      </c>
      <c r="E76" s="2"/>
      <c r="F76" s="7">
        <f t="shared" si="23"/>
        <v>-4.7736844137653426E-3</v>
      </c>
      <c r="G76" s="2"/>
      <c r="H76" s="6">
        <v>2216.63</v>
      </c>
      <c r="I76" s="2"/>
      <c r="J76" s="7">
        <f t="shared" si="24"/>
        <v>5.1949741192263942E-2</v>
      </c>
      <c r="K76" s="2"/>
      <c r="L76" s="6">
        <f t="shared" si="25"/>
        <v>-2379.81</v>
      </c>
      <c r="M76" s="2"/>
      <c r="N76" s="7">
        <f t="shared" si="26"/>
        <v>-1.0736162553064788</v>
      </c>
      <c r="O76" s="11"/>
      <c r="P76" s="6">
        <v>11960.19</v>
      </c>
      <c r="Q76" s="2"/>
      <c r="R76" s="7">
        <f t="shared" si="27"/>
        <v>7.7376873531379078E-3</v>
      </c>
      <c r="S76" s="2"/>
      <c r="T76" s="6">
        <v>15688.470000000001</v>
      </c>
      <c r="U76" s="2"/>
      <c r="V76" s="7">
        <f t="shared" si="28"/>
        <v>5.4808884128183209E-3</v>
      </c>
      <c r="W76" s="2"/>
      <c r="X76" s="6">
        <f t="shared" si="29"/>
        <v>-3728.2800000000007</v>
      </c>
      <c r="Y76" s="2"/>
      <c r="Z76" s="7">
        <f t="shared" si="30"/>
        <v>-0.23764458866925842</v>
      </c>
    </row>
    <row r="77" spans="1:26" s="29" customFormat="1" outlineLevel="1" collapsed="1" x14ac:dyDescent="0.25">
      <c r="A77" s="27"/>
      <c r="B77" s="14" t="str">
        <f>CONCATENATE("     ","Advertising/Promo                                 ")</f>
        <v xml:space="preserve">     Advertising/Promo                                 </v>
      </c>
      <c r="C77" s="14"/>
      <c r="D77" s="1">
        <f>SUM(OSRRefD22_2x_0)</f>
        <v>0</v>
      </c>
      <c r="E77" s="1"/>
      <c r="F77" s="5">
        <f t="shared" ref="F77:F81" si="31">IF(D$12=0,0,D77/D$12)</f>
        <v>0</v>
      </c>
      <c r="G77" s="1"/>
      <c r="H77" s="1">
        <f>SUM(OSRRefH22_2x_0)</f>
        <v>81</v>
      </c>
      <c r="I77" s="1"/>
      <c r="J77" s="5">
        <f t="shared" ref="J77:J81" si="32">IF(H$12=0,0,H77/H$12)</f>
        <v>1.8983452522853969E-3</v>
      </c>
      <c r="K77" s="1"/>
      <c r="L77" s="1">
        <f t="shared" ref="L77:L81" si="33">+D77-H77</f>
        <v>-81</v>
      </c>
      <c r="M77" s="1"/>
      <c r="N77" s="5">
        <f t="shared" ref="N77:N81" si="34">IF(H77=0,0,L77/H77)</f>
        <v>-1</v>
      </c>
      <c r="O77" s="14"/>
      <c r="P77" s="1">
        <f>SUM(OSRRefP22_2x_0)</f>
        <v>1359.88</v>
      </c>
      <c r="Q77" s="1"/>
      <c r="R77" s="5">
        <f t="shared" ref="R77:R81" si="35">IF(P$12=0,0,P77/P$12)</f>
        <v>8.797791906136256E-4</v>
      </c>
      <c r="S77" s="1"/>
      <c r="T77" s="1">
        <f>SUM(OSRRefT22_2x_0)</f>
        <v>3136.02</v>
      </c>
      <c r="U77" s="1"/>
      <c r="V77" s="5">
        <f t="shared" ref="V77:V81" si="36">IF(T$12=0,0,T77/T$12)</f>
        <v>1.0955928577080179E-3</v>
      </c>
      <c r="W77" s="1"/>
      <c r="X77" s="1">
        <f t="shared" ref="X77:X81" si="37">+P77-T77</f>
        <v>-1776.1399999999999</v>
      </c>
      <c r="Y77" s="1"/>
      <c r="Z77" s="5">
        <f t="shared" ref="Z77:Z81" si="38">IF(T77=0,0,X77/T77)</f>
        <v>-0.56636756143136835</v>
      </c>
    </row>
    <row r="78" spans="1:26" s="24" customFormat="1" hidden="1" outlineLevel="2" x14ac:dyDescent="0.25">
      <c r="A78" s="28"/>
      <c r="B78" s="11" t="str">
        <f>CONCATENATE("          ", "6362", " - ", "ADVERTISING EXPENSE")</f>
        <v xml:space="preserve">          6362 - ADVERTISING EXPENSE</v>
      </c>
      <c r="C78" s="11"/>
      <c r="D78" s="6"/>
      <c r="E78" s="2"/>
      <c r="F78" s="7">
        <f t="shared" si="31"/>
        <v>0</v>
      </c>
      <c r="G78" s="2"/>
      <c r="H78" s="6">
        <v>81</v>
      </c>
      <c r="I78" s="2"/>
      <c r="J78" s="7">
        <f t="shared" si="32"/>
        <v>1.8983452522853969E-3</v>
      </c>
      <c r="K78" s="2"/>
      <c r="L78" s="6">
        <f t="shared" si="33"/>
        <v>-81</v>
      </c>
      <c r="M78" s="2"/>
      <c r="N78" s="7">
        <f t="shared" si="34"/>
        <v>-1</v>
      </c>
      <c r="O78" s="11"/>
      <c r="P78" s="6">
        <v>1359.88</v>
      </c>
      <c r="Q78" s="2"/>
      <c r="R78" s="7">
        <f t="shared" si="35"/>
        <v>8.797791906136256E-4</v>
      </c>
      <c r="S78" s="2"/>
      <c r="T78" s="6">
        <v>3136.02</v>
      </c>
      <c r="U78" s="2"/>
      <c r="V78" s="7">
        <f t="shared" si="36"/>
        <v>1.0955928577080179E-3</v>
      </c>
      <c r="W78" s="2"/>
      <c r="X78" s="6">
        <f t="shared" si="37"/>
        <v>-1776.1399999999999</v>
      </c>
      <c r="Y78" s="2"/>
      <c r="Z78" s="7">
        <f t="shared" si="38"/>
        <v>-0.56636756143136835</v>
      </c>
    </row>
    <row r="79" spans="1:26" s="29" customFormat="1" outlineLevel="1" collapsed="1" x14ac:dyDescent="0.25">
      <c r="A79" s="27"/>
      <c r="B79" s="14" t="str">
        <f>CONCATENATE("     ","Discounts and Markdowns                           ")</f>
        <v xml:space="preserve">     Discounts and Markdowns                           </v>
      </c>
      <c r="C79" s="14"/>
      <c r="D79" s="1">
        <f>SUM(OSRRefD22_3x_0)</f>
        <v>0</v>
      </c>
      <c r="E79" s="1"/>
      <c r="F79" s="5">
        <f t="shared" si="31"/>
        <v>0</v>
      </c>
      <c r="G79" s="1"/>
      <c r="H79" s="1">
        <f>SUM(OSRRefH22_3x_0)</f>
        <v>441.38</v>
      </c>
      <c r="I79" s="1"/>
      <c r="J79" s="5">
        <f t="shared" si="32"/>
        <v>1.034434107967566E-2</v>
      </c>
      <c r="K79" s="1"/>
      <c r="L79" s="1">
        <f t="shared" si="33"/>
        <v>-441.38</v>
      </c>
      <c r="M79" s="1"/>
      <c r="N79" s="5">
        <f t="shared" si="34"/>
        <v>-1</v>
      </c>
      <c r="O79" s="14"/>
      <c r="P79" s="1">
        <f>SUM(OSRRefP22_3x_0)</f>
        <v>0</v>
      </c>
      <c r="Q79" s="1"/>
      <c r="R79" s="5">
        <f t="shared" si="35"/>
        <v>0</v>
      </c>
      <c r="S79" s="1"/>
      <c r="T79" s="1">
        <f>SUM(OSRRefT22_3x_0)</f>
        <v>-2756.05</v>
      </c>
      <c r="U79" s="1"/>
      <c r="V79" s="5">
        <f t="shared" si="36"/>
        <v>-9.6284739749305905E-4</v>
      </c>
      <c r="W79" s="1"/>
      <c r="X79" s="1">
        <f t="shared" si="37"/>
        <v>2756.05</v>
      </c>
      <c r="Y79" s="1"/>
      <c r="Z79" s="5">
        <f t="shared" si="38"/>
        <v>-1</v>
      </c>
    </row>
    <row r="80" spans="1:26" s="24" customFormat="1" hidden="1" outlineLevel="2" x14ac:dyDescent="0.25">
      <c r="A80" s="28"/>
      <c r="B80" s="11" t="str">
        <f>CONCATENATE("          ", "6382", " - ", "DISCOUNTS/MARK DOWNS")</f>
        <v xml:space="preserve">          6382 - DISCOUNTS/MARK DOWNS</v>
      </c>
      <c r="C80" s="11"/>
      <c r="D80" s="6"/>
      <c r="E80" s="2"/>
      <c r="F80" s="7">
        <f t="shared" si="31"/>
        <v>0</v>
      </c>
      <c r="G80" s="2"/>
      <c r="H80" s="6">
        <v>434.52</v>
      </c>
      <c r="I80" s="2"/>
      <c r="J80" s="7">
        <f t="shared" si="32"/>
        <v>1.0183567642259883E-2</v>
      </c>
      <c r="K80" s="2"/>
      <c r="L80" s="6">
        <f t="shared" si="33"/>
        <v>-434.52</v>
      </c>
      <c r="M80" s="2"/>
      <c r="N80" s="7">
        <f t="shared" si="34"/>
        <v>-1</v>
      </c>
      <c r="O80" s="11"/>
      <c r="P80" s="6"/>
      <c r="Q80" s="2"/>
      <c r="R80" s="7">
        <f t="shared" si="35"/>
        <v>0</v>
      </c>
      <c r="S80" s="2"/>
      <c r="T80" s="6">
        <v>-2322.42</v>
      </c>
      <c r="U80" s="2"/>
      <c r="V80" s="7">
        <f t="shared" si="36"/>
        <v>-8.113554009854067E-4</v>
      </c>
      <c r="W80" s="2"/>
      <c r="X80" s="6">
        <f t="shared" si="37"/>
        <v>2322.42</v>
      </c>
      <c r="Y80" s="2"/>
      <c r="Z80" s="7">
        <f t="shared" si="38"/>
        <v>-1</v>
      </c>
    </row>
    <row r="81" spans="1:26" s="24" customFormat="1" hidden="1" outlineLevel="2" x14ac:dyDescent="0.25">
      <c r="A81" s="28"/>
      <c r="B81" s="11" t="str">
        <f>CONCATENATE("          ", "9175", " - ", "EARNED DISCOUNTS")</f>
        <v xml:space="preserve">          9175 - EARNED DISCOUNTS</v>
      </c>
      <c r="C81" s="11"/>
      <c r="D81" s="6"/>
      <c r="E81" s="2"/>
      <c r="F81" s="7">
        <f t="shared" si="31"/>
        <v>0</v>
      </c>
      <c r="G81" s="2"/>
      <c r="H81" s="6">
        <v>6.86</v>
      </c>
      <c r="I81" s="2"/>
      <c r="J81" s="7">
        <f t="shared" si="32"/>
        <v>1.607734374157756E-4</v>
      </c>
      <c r="K81" s="2"/>
      <c r="L81" s="6">
        <f t="shared" si="33"/>
        <v>-6.86</v>
      </c>
      <c r="M81" s="2"/>
      <c r="N81" s="7">
        <f t="shared" si="34"/>
        <v>-1</v>
      </c>
      <c r="O81" s="11"/>
      <c r="P81" s="6"/>
      <c r="Q81" s="2"/>
      <c r="R81" s="7">
        <f t="shared" si="35"/>
        <v>0</v>
      </c>
      <c r="S81" s="2"/>
      <c r="T81" s="6">
        <v>-433.63</v>
      </c>
      <c r="U81" s="2"/>
      <c r="V81" s="7">
        <f t="shared" si="36"/>
        <v>-1.5149199650765232E-4</v>
      </c>
      <c r="W81" s="2"/>
      <c r="X81" s="6">
        <f t="shared" si="37"/>
        <v>433.63</v>
      </c>
      <c r="Y81" s="2"/>
      <c r="Z81" s="7">
        <f t="shared" si="38"/>
        <v>-1</v>
      </c>
    </row>
    <row r="82" spans="1:26" s="29" customFormat="1" outlineLevel="1" collapsed="1" x14ac:dyDescent="0.25">
      <c r="A82" s="27"/>
      <c r="B82" s="14" t="str">
        <f>CONCATENATE("     ","Employees' Appreciation                           ")</f>
        <v xml:space="preserve">     Employees' Appreciation                           </v>
      </c>
      <c r="C82" s="14"/>
      <c r="D82" s="1">
        <f>SUM(OSRRefD22_4x_0)</f>
        <v>0</v>
      </c>
      <c r="E82" s="1"/>
      <c r="F82" s="5">
        <f t="shared" ref="F82:F88" si="39">IF(D$12=0,0,D82/D$12)</f>
        <v>0</v>
      </c>
      <c r="G82" s="1"/>
      <c r="H82" s="1">
        <f>SUM(OSRRefH22_4x_0)</f>
        <v>0</v>
      </c>
      <c r="I82" s="1"/>
      <c r="J82" s="5">
        <f t="shared" ref="J82:J88" si="40">IF(H$12=0,0,H82/H$12)</f>
        <v>0</v>
      </c>
      <c r="K82" s="1"/>
      <c r="L82" s="1">
        <f t="shared" ref="L82:L88" si="41">+D82-H82</f>
        <v>0</v>
      </c>
      <c r="M82" s="1"/>
      <c r="N82" s="5">
        <f t="shared" ref="N82:N88" si="42">IF(H82=0,0,L82/H82)</f>
        <v>0</v>
      </c>
      <c r="O82" s="14"/>
      <c r="P82" s="1">
        <f>SUM(OSRRefP22_4x_0)</f>
        <v>107.7</v>
      </c>
      <c r="Q82" s="1"/>
      <c r="R82" s="5">
        <f t="shared" ref="R82:R88" si="43">IF(P$12=0,0,P82/P$12)</f>
        <v>6.9676897100543782E-5</v>
      </c>
      <c r="S82" s="1"/>
      <c r="T82" s="1">
        <f>SUM(OSRRefT22_4x_0)</f>
        <v>0</v>
      </c>
      <c r="U82" s="1"/>
      <c r="V82" s="5">
        <f t="shared" ref="V82:V88" si="44">IF(T$12=0,0,T82/T$12)</f>
        <v>0</v>
      </c>
      <c r="W82" s="1"/>
      <c r="X82" s="1">
        <f t="shared" ref="X82:X88" si="45">+P82-T82</f>
        <v>107.7</v>
      </c>
      <c r="Y82" s="1"/>
      <c r="Z82" s="5">
        <f t="shared" ref="Z82:Z88" si="46">IF(T82=0,0,X82/T82)</f>
        <v>0</v>
      </c>
    </row>
    <row r="83" spans="1:26" s="24" customFormat="1" hidden="1" outlineLevel="2" x14ac:dyDescent="0.25">
      <c r="A83" s="28"/>
      <c r="B83" s="11" t="str">
        <f>CONCATENATE("          ", "6277", " - ", "EMPLOYEE APPRECIATION")</f>
        <v xml:space="preserve">          6277 - EMPLOYEE APPRECIATION</v>
      </c>
      <c r="C83" s="11"/>
      <c r="D83" s="6"/>
      <c r="E83" s="2"/>
      <c r="F83" s="7">
        <f t="shared" si="39"/>
        <v>0</v>
      </c>
      <c r="G83" s="2"/>
      <c r="H83" s="6"/>
      <c r="I83" s="2"/>
      <c r="J83" s="7">
        <f t="shared" si="40"/>
        <v>0</v>
      </c>
      <c r="K83" s="2"/>
      <c r="L83" s="6">
        <f t="shared" si="41"/>
        <v>0</v>
      </c>
      <c r="M83" s="2"/>
      <c r="N83" s="7">
        <f t="shared" si="42"/>
        <v>0</v>
      </c>
      <c r="O83" s="11"/>
      <c r="P83" s="6">
        <v>107.7</v>
      </c>
      <c r="Q83" s="2"/>
      <c r="R83" s="7">
        <f t="shared" si="43"/>
        <v>6.9676897100543782E-5</v>
      </c>
      <c r="S83" s="2"/>
      <c r="T83" s="6"/>
      <c r="U83" s="2"/>
      <c r="V83" s="7">
        <f t="shared" si="44"/>
        <v>0</v>
      </c>
      <c r="W83" s="2"/>
      <c r="X83" s="6">
        <f t="shared" si="45"/>
        <v>107.7</v>
      </c>
      <c r="Y83" s="2"/>
      <c r="Z83" s="7">
        <f t="shared" si="46"/>
        <v>0</v>
      </c>
    </row>
    <row r="84" spans="1:26" s="29" customFormat="1" outlineLevel="1" collapsed="1" x14ac:dyDescent="0.25">
      <c r="A84" s="27"/>
      <c r="B84" s="14" t="str">
        <f>CONCATENATE("     ","Equipment Rental                                  ")</f>
        <v xml:space="preserve">     Equipment Rental                                  </v>
      </c>
      <c r="C84" s="14"/>
      <c r="D84" s="1">
        <f>SUM(OSRRefD22_5x_0)</f>
        <v>182.52</v>
      </c>
      <c r="E84" s="1"/>
      <c r="F84" s="5">
        <f t="shared" si="39"/>
        <v>5.3394587523008354E-3</v>
      </c>
      <c r="G84" s="1"/>
      <c r="H84" s="1">
        <f>SUM(OSRRefH22_5x_0)</f>
        <v>182.52</v>
      </c>
      <c r="I84" s="1"/>
      <c r="J84" s="5">
        <f t="shared" si="40"/>
        <v>4.2776046351497609E-3</v>
      </c>
      <c r="K84" s="1"/>
      <c r="L84" s="1">
        <f t="shared" si="41"/>
        <v>0</v>
      </c>
      <c r="M84" s="1"/>
      <c r="N84" s="5">
        <f t="shared" si="42"/>
        <v>0</v>
      </c>
      <c r="O84" s="14"/>
      <c r="P84" s="1">
        <f>SUM(OSRRefP22_5x_0)</f>
        <v>456.3</v>
      </c>
      <c r="Q84" s="1"/>
      <c r="R84" s="5">
        <f t="shared" si="43"/>
        <v>2.952049038716632E-4</v>
      </c>
      <c r="S84" s="1"/>
      <c r="T84" s="1">
        <f>SUM(OSRRefT22_5x_0)</f>
        <v>456.3</v>
      </c>
      <c r="U84" s="1"/>
      <c r="V84" s="5">
        <f t="shared" si="44"/>
        <v>1.5941193645836719E-4</v>
      </c>
      <c r="W84" s="1"/>
      <c r="X84" s="1">
        <f t="shared" si="45"/>
        <v>0</v>
      </c>
      <c r="Y84" s="1"/>
      <c r="Z84" s="5">
        <f t="shared" si="46"/>
        <v>0</v>
      </c>
    </row>
    <row r="85" spans="1:26" s="24" customFormat="1" hidden="1" outlineLevel="2" x14ac:dyDescent="0.25">
      <c r="A85" s="28"/>
      <c r="B85" s="11" t="str">
        <f>CONCATENATE("          ", "6351", " - ", "EQUIPMENT RENTAL")</f>
        <v xml:space="preserve">          6351 - EQUIPMENT RENTAL</v>
      </c>
      <c r="C85" s="11"/>
      <c r="D85" s="6">
        <v>182.52</v>
      </c>
      <c r="E85" s="2"/>
      <c r="F85" s="7">
        <f t="shared" si="39"/>
        <v>5.3394587523008354E-3</v>
      </c>
      <c r="G85" s="2"/>
      <c r="H85" s="6">
        <v>182.52</v>
      </c>
      <c r="I85" s="2"/>
      <c r="J85" s="7">
        <f t="shared" si="40"/>
        <v>4.2776046351497609E-3</v>
      </c>
      <c r="K85" s="2"/>
      <c r="L85" s="6">
        <f t="shared" si="41"/>
        <v>0</v>
      </c>
      <c r="M85" s="2"/>
      <c r="N85" s="7">
        <f t="shared" si="42"/>
        <v>0</v>
      </c>
      <c r="O85" s="11"/>
      <c r="P85" s="6">
        <v>456.3</v>
      </c>
      <c r="Q85" s="2"/>
      <c r="R85" s="7">
        <f t="shared" si="43"/>
        <v>2.952049038716632E-4</v>
      </c>
      <c r="S85" s="2"/>
      <c r="T85" s="6">
        <v>456.3</v>
      </c>
      <c r="U85" s="2"/>
      <c r="V85" s="7">
        <f t="shared" si="44"/>
        <v>1.5941193645836719E-4</v>
      </c>
      <c r="W85" s="2"/>
      <c r="X85" s="6">
        <f t="shared" si="45"/>
        <v>0</v>
      </c>
      <c r="Y85" s="2"/>
      <c r="Z85" s="7">
        <f t="shared" si="46"/>
        <v>0</v>
      </c>
    </row>
    <row r="86" spans="1:26" s="29" customFormat="1" outlineLevel="1" collapsed="1" x14ac:dyDescent="0.25">
      <c r="A86" s="27"/>
      <c r="B86" s="14" t="str">
        <f>CONCATENATE("     ","Freight out/Postage                               ")</f>
        <v xml:space="preserve">     Freight out/Postage                               </v>
      </c>
      <c r="C86" s="14"/>
      <c r="D86" s="1">
        <f>SUM(OSRRefD22_6x_0)</f>
        <v>29.84</v>
      </c>
      <c r="E86" s="1"/>
      <c r="F86" s="5">
        <f t="shared" si="39"/>
        <v>8.72942412714535E-4</v>
      </c>
      <c r="G86" s="1"/>
      <c r="H86" s="1">
        <f>SUM(OSRRefH22_6x_0)</f>
        <v>1312.76</v>
      </c>
      <c r="I86" s="1"/>
      <c r="J86" s="5">
        <f t="shared" si="40"/>
        <v>3.0766317449261452E-2</v>
      </c>
      <c r="K86" s="1"/>
      <c r="L86" s="1">
        <f t="shared" si="41"/>
        <v>-1282.92</v>
      </c>
      <c r="M86" s="1"/>
      <c r="N86" s="5">
        <f t="shared" si="42"/>
        <v>-0.9772692647551724</v>
      </c>
      <c r="O86" s="14"/>
      <c r="P86" s="1">
        <f>SUM(OSRRefP22_6x_0)</f>
        <v>566</v>
      </c>
      <c r="Q86" s="1"/>
      <c r="R86" s="5">
        <f t="shared" si="43"/>
        <v>3.661757080678531E-4</v>
      </c>
      <c r="S86" s="1"/>
      <c r="T86" s="1">
        <f>SUM(OSRRefT22_6x_0)</f>
        <v>4115.17</v>
      </c>
      <c r="U86" s="1"/>
      <c r="V86" s="5">
        <f t="shared" si="44"/>
        <v>1.4376664881774685E-3</v>
      </c>
      <c r="W86" s="1"/>
      <c r="X86" s="1">
        <f t="shared" si="45"/>
        <v>-3549.17</v>
      </c>
      <c r="Y86" s="1"/>
      <c r="Z86" s="5">
        <f t="shared" si="46"/>
        <v>-0.86246011707900283</v>
      </c>
    </row>
    <row r="87" spans="1:26" s="24" customFormat="1" hidden="1" outlineLevel="2" x14ac:dyDescent="0.25">
      <c r="A87" s="28"/>
      <c r="B87" s="11" t="str">
        <f>CONCATENATE("          ", "6305", " - ", "FREIGHT OUT")</f>
        <v xml:space="preserve">          6305 - FREIGHT OUT</v>
      </c>
      <c r="C87" s="11"/>
      <c r="D87" s="6">
        <v>29.84</v>
      </c>
      <c r="E87" s="2"/>
      <c r="F87" s="7">
        <f t="shared" si="39"/>
        <v>8.72942412714535E-4</v>
      </c>
      <c r="G87" s="2"/>
      <c r="H87" s="6">
        <v>1312.76</v>
      </c>
      <c r="I87" s="2"/>
      <c r="J87" s="7">
        <f t="shared" si="40"/>
        <v>3.0766317449261452E-2</v>
      </c>
      <c r="K87" s="2"/>
      <c r="L87" s="6">
        <f t="shared" si="41"/>
        <v>-1282.92</v>
      </c>
      <c r="M87" s="2"/>
      <c r="N87" s="7">
        <f t="shared" si="42"/>
        <v>-0.9772692647551724</v>
      </c>
      <c r="O87" s="11"/>
      <c r="P87" s="6">
        <v>566</v>
      </c>
      <c r="Q87" s="2"/>
      <c r="R87" s="7">
        <f t="shared" si="43"/>
        <v>3.661757080678531E-4</v>
      </c>
      <c r="S87" s="2"/>
      <c r="T87" s="6">
        <v>4114.67</v>
      </c>
      <c r="U87" s="2"/>
      <c r="V87" s="7">
        <f t="shared" si="44"/>
        <v>1.4374918093078011E-3</v>
      </c>
      <c r="W87" s="2"/>
      <c r="X87" s="6">
        <f t="shared" si="45"/>
        <v>-3548.67</v>
      </c>
      <c r="Y87" s="2"/>
      <c r="Z87" s="7">
        <f t="shared" si="46"/>
        <v>-0.86244340372374939</v>
      </c>
    </row>
    <row r="88" spans="1:26" s="24" customFormat="1" hidden="1" outlineLevel="2" x14ac:dyDescent="0.25">
      <c r="A88" s="28"/>
      <c r="B88" s="11" t="str">
        <f>CONCATENATE("          ", "6307", " - ", "POSTAGE")</f>
        <v xml:space="preserve">          6307 - POSTAGE</v>
      </c>
      <c r="C88" s="11"/>
      <c r="D88" s="6"/>
      <c r="E88" s="2"/>
      <c r="F88" s="7">
        <f t="shared" si="39"/>
        <v>0</v>
      </c>
      <c r="G88" s="2"/>
      <c r="H88" s="6"/>
      <c r="I88" s="2"/>
      <c r="J88" s="7">
        <f t="shared" si="40"/>
        <v>0</v>
      </c>
      <c r="K88" s="2"/>
      <c r="L88" s="6">
        <f t="shared" si="41"/>
        <v>0</v>
      </c>
      <c r="M88" s="2"/>
      <c r="N88" s="7">
        <f t="shared" si="42"/>
        <v>0</v>
      </c>
      <c r="O88" s="11"/>
      <c r="P88" s="6"/>
      <c r="Q88" s="2"/>
      <c r="R88" s="7">
        <f t="shared" si="43"/>
        <v>0</v>
      </c>
      <c r="S88" s="2"/>
      <c r="T88" s="6">
        <v>0.5</v>
      </c>
      <c r="U88" s="2"/>
      <c r="V88" s="7">
        <f t="shared" si="44"/>
        <v>1.7467886966728816E-7</v>
      </c>
      <c r="W88" s="2"/>
      <c r="X88" s="6">
        <f t="shared" si="45"/>
        <v>-0.5</v>
      </c>
      <c r="Y88" s="2"/>
      <c r="Z88" s="7">
        <f t="shared" si="46"/>
        <v>-1</v>
      </c>
    </row>
    <row r="89" spans="1:26" s="29" customFormat="1" outlineLevel="1" collapsed="1" x14ac:dyDescent="0.25">
      <c r="A89" s="27"/>
      <c r="B89" s="14" t="str">
        <f>CONCATENATE("     ","General                                           ")</f>
        <v xml:space="preserve">     General                                           </v>
      </c>
      <c r="C89" s="14"/>
      <c r="D89" s="1">
        <f>SUM(OSRRefD22_7x_0)</f>
        <v>-40</v>
      </c>
      <c r="E89" s="1"/>
      <c r="F89" s="5">
        <f t="shared" ref="F89:F95" si="47">IF(D$12=0,0,D89/D$12)</f>
        <v>-1.1701640921106368E-3</v>
      </c>
      <c r="G89" s="1"/>
      <c r="H89" s="1">
        <f>SUM(OSRRefH22_7x_0)</f>
        <v>0</v>
      </c>
      <c r="I89" s="1"/>
      <c r="J89" s="5">
        <f t="shared" ref="J89:J95" si="48">IF(H$12=0,0,H89/H$12)</f>
        <v>0</v>
      </c>
      <c r="K89" s="1"/>
      <c r="L89" s="1">
        <f t="shared" ref="L89:L95" si="49">+D89-H89</f>
        <v>-40</v>
      </c>
      <c r="M89" s="1"/>
      <c r="N89" s="5">
        <f t="shared" ref="N89:N95" si="50">IF(H89=0,0,L89/H89)</f>
        <v>0</v>
      </c>
      <c r="O89" s="14"/>
      <c r="P89" s="1">
        <f>SUM(OSRRefP22_7x_0)</f>
        <v>-4834.1899999999996</v>
      </c>
      <c r="Q89" s="1"/>
      <c r="R89" s="5">
        <f t="shared" ref="R89:R95" si="51">IF(P$12=0,0,P89/P$12)</f>
        <v>-3.1274963713507679E-3</v>
      </c>
      <c r="S89" s="1"/>
      <c r="T89" s="1">
        <f>SUM(OSRRefT22_7x_0)</f>
        <v>-1492.16</v>
      </c>
      <c r="U89" s="1"/>
      <c r="V89" s="5">
        <f t="shared" ref="V89:V95" si="52">IF(T$12=0,0,T89/T$12)</f>
        <v>-5.2129764432548142E-4</v>
      </c>
      <c r="W89" s="1"/>
      <c r="X89" s="1">
        <f t="shared" ref="X89:X95" si="53">+P89-T89</f>
        <v>-3342.0299999999997</v>
      </c>
      <c r="Y89" s="1"/>
      <c r="Z89" s="5">
        <f t="shared" ref="Z89:Z95" si="54">IF(T89=0,0,X89/T89)</f>
        <v>2.2397263028093497</v>
      </c>
    </row>
    <row r="90" spans="1:26" s="24" customFormat="1" hidden="1" outlineLevel="2" x14ac:dyDescent="0.25">
      <c r="A90" s="28"/>
      <c r="B90" s="11" t="str">
        <f>CONCATENATE("          ", "6279", " - ", "GENERAL EXPENSE")</f>
        <v xml:space="preserve">          6279 - GENERAL EXPENSE</v>
      </c>
      <c r="C90" s="11"/>
      <c r="D90" s="6">
        <v>-40</v>
      </c>
      <c r="E90" s="2"/>
      <c r="F90" s="7">
        <f t="shared" si="47"/>
        <v>-1.1701640921106368E-3</v>
      </c>
      <c r="G90" s="2"/>
      <c r="H90" s="6"/>
      <c r="I90" s="2"/>
      <c r="J90" s="7">
        <f t="shared" si="48"/>
        <v>0</v>
      </c>
      <c r="K90" s="2"/>
      <c r="L90" s="6">
        <f t="shared" si="49"/>
        <v>-40</v>
      </c>
      <c r="M90" s="2"/>
      <c r="N90" s="7">
        <f t="shared" si="50"/>
        <v>0</v>
      </c>
      <c r="O90" s="11"/>
      <c r="P90" s="6">
        <v>-4834.1899999999996</v>
      </c>
      <c r="Q90" s="2"/>
      <c r="R90" s="7">
        <f t="shared" si="51"/>
        <v>-3.1274963713507679E-3</v>
      </c>
      <c r="S90" s="2"/>
      <c r="T90" s="6">
        <v>-1492.16</v>
      </c>
      <c r="U90" s="2"/>
      <c r="V90" s="7">
        <f t="shared" si="52"/>
        <v>-5.2129764432548142E-4</v>
      </c>
      <c r="W90" s="2"/>
      <c r="X90" s="6">
        <f t="shared" si="53"/>
        <v>-3342.0299999999997</v>
      </c>
      <c r="Y90" s="2"/>
      <c r="Z90" s="7">
        <f t="shared" si="54"/>
        <v>2.2397263028093497</v>
      </c>
    </row>
    <row r="91" spans="1:26" s="29" customFormat="1" outlineLevel="1" collapsed="1" x14ac:dyDescent="0.25">
      <c r="A91" s="27"/>
      <c r="B91" s="14" t="str">
        <f>CONCATENATE("     ","Inventory Adjustment                              ")</f>
        <v xml:space="preserve">     Inventory Adjustment                              </v>
      </c>
      <c r="C91" s="14"/>
      <c r="D91" s="1">
        <f>SUM(OSRRefD22_8x_0)</f>
        <v>1000</v>
      </c>
      <c r="E91" s="1"/>
      <c r="F91" s="5">
        <f t="shared" si="47"/>
        <v>2.9254102302765917E-2</v>
      </c>
      <c r="G91" s="1"/>
      <c r="H91" s="1">
        <f>SUM(OSRRefH22_8x_0)</f>
        <v>1000</v>
      </c>
      <c r="I91" s="1"/>
      <c r="J91" s="5">
        <f t="shared" si="48"/>
        <v>2.3436361139325887E-2</v>
      </c>
      <c r="K91" s="1"/>
      <c r="L91" s="1">
        <f t="shared" si="49"/>
        <v>0</v>
      </c>
      <c r="M91" s="1"/>
      <c r="N91" s="5">
        <f t="shared" si="50"/>
        <v>0</v>
      </c>
      <c r="O91" s="14"/>
      <c r="P91" s="1">
        <f>SUM(OSRRefP22_8x_0)</f>
        <v>4000</v>
      </c>
      <c r="Q91" s="1"/>
      <c r="R91" s="5">
        <f t="shared" si="51"/>
        <v>2.587814191292248E-3</v>
      </c>
      <c r="S91" s="1"/>
      <c r="T91" s="1">
        <f>SUM(OSRRefT22_8x_0)</f>
        <v>4000</v>
      </c>
      <c r="U91" s="1"/>
      <c r="V91" s="5">
        <f t="shared" si="52"/>
        <v>1.3974309573383053E-3</v>
      </c>
      <c r="W91" s="1"/>
      <c r="X91" s="1">
        <f t="shared" si="53"/>
        <v>0</v>
      </c>
      <c r="Y91" s="1"/>
      <c r="Z91" s="5">
        <f t="shared" si="54"/>
        <v>0</v>
      </c>
    </row>
    <row r="92" spans="1:26" s="24" customFormat="1" hidden="1" outlineLevel="2" x14ac:dyDescent="0.25">
      <c r="A92" s="28"/>
      <c r="B92" s="11" t="str">
        <f>CONCATENATE("          ", "6408", " - ", "INVENTORY ADJUSTMENT")</f>
        <v xml:space="preserve">          6408 - INVENTORY ADJUSTMENT</v>
      </c>
      <c r="C92" s="11"/>
      <c r="D92" s="6">
        <v>1000</v>
      </c>
      <c r="E92" s="2"/>
      <c r="F92" s="7">
        <f t="shared" si="47"/>
        <v>2.9254102302765917E-2</v>
      </c>
      <c r="G92" s="2"/>
      <c r="H92" s="6">
        <v>1000</v>
      </c>
      <c r="I92" s="2"/>
      <c r="J92" s="7">
        <f t="shared" si="48"/>
        <v>2.3436361139325887E-2</v>
      </c>
      <c r="K92" s="2"/>
      <c r="L92" s="6">
        <f t="shared" si="49"/>
        <v>0</v>
      </c>
      <c r="M92" s="2"/>
      <c r="N92" s="7">
        <f t="shared" si="50"/>
        <v>0</v>
      </c>
      <c r="O92" s="11"/>
      <c r="P92" s="6">
        <v>4000</v>
      </c>
      <c r="Q92" s="2"/>
      <c r="R92" s="7">
        <f t="shared" si="51"/>
        <v>2.587814191292248E-3</v>
      </c>
      <c r="S92" s="2"/>
      <c r="T92" s="6">
        <v>4000</v>
      </c>
      <c r="U92" s="2"/>
      <c r="V92" s="7">
        <f t="shared" si="52"/>
        <v>1.3974309573383053E-3</v>
      </c>
      <c r="W92" s="2"/>
      <c r="X92" s="6">
        <f t="shared" si="53"/>
        <v>0</v>
      </c>
      <c r="Y92" s="2"/>
      <c r="Z92" s="7">
        <f t="shared" si="54"/>
        <v>0</v>
      </c>
    </row>
    <row r="93" spans="1:26" s="29" customFormat="1" outlineLevel="1" collapsed="1" x14ac:dyDescent="0.25">
      <c r="A93" s="27"/>
      <c r="B93" s="14" t="str">
        <f>CONCATENATE("     ","Repair and Maintenance                            ")</f>
        <v xml:space="preserve">     Repair and Maintenance                            </v>
      </c>
      <c r="C93" s="14"/>
      <c r="D93" s="1">
        <f>SUM(OSRRefD22_9x_0)</f>
        <v>19.670000000000002</v>
      </c>
      <c r="E93" s="1"/>
      <c r="F93" s="5">
        <f t="shared" si="47"/>
        <v>5.7542819229540563E-4</v>
      </c>
      <c r="G93" s="1"/>
      <c r="H93" s="1">
        <f>SUM(OSRRefH22_9x_0)</f>
        <v>27.74</v>
      </c>
      <c r="I93" s="1"/>
      <c r="J93" s="5">
        <f t="shared" si="48"/>
        <v>6.501246580049001E-4</v>
      </c>
      <c r="K93" s="1"/>
      <c r="L93" s="1">
        <f t="shared" si="49"/>
        <v>-8.0699999999999967</v>
      </c>
      <c r="M93" s="1"/>
      <c r="N93" s="5">
        <f t="shared" si="50"/>
        <v>-0.29091564527757741</v>
      </c>
      <c r="O93" s="14"/>
      <c r="P93" s="1">
        <f>SUM(OSRRefP22_9x_0)</f>
        <v>111.47</v>
      </c>
      <c r="Q93" s="1"/>
      <c r="R93" s="5">
        <f t="shared" si="51"/>
        <v>7.2115911975836723E-5</v>
      </c>
      <c r="S93" s="1"/>
      <c r="T93" s="1">
        <f>SUM(OSRRefT22_9x_0)</f>
        <v>97.94</v>
      </c>
      <c r="U93" s="1"/>
      <c r="V93" s="5">
        <f t="shared" si="52"/>
        <v>3.4216096990428403E-5</v>
      </c>
      <c r="W93" s="1"/>
      <c r="X93" s="1">
        <f t="shared" si="53"/>
        <v>13.530000000000001</v>
      </c>
      <c r="Y93" s="1"/>
      <c r="Z93" s="5">
        <f t="shared" si="54"/>
        <v>0.13814580355319586</v>
      </c>
    </row>
    <row r="94" spans="1:26" s="24" customFormat="1" hidden="1" outlineLevel="2" x14ac:dyDescent="0.25">
      <c r="A94" s="28"/>
      <c r="B94" s="11" t="str">
        <f>CONCATENATE("          ", "6373", " - ", "MAINTENANCE CONTRACTS")</f>
        <v xml:space="preserve">          6373 - MAINTENANCE CONTRACTS</v>
      </c>
      <c r="C94" s="11"/>
      <c r="D94" s="6">
        <v>19.670000000000002</v>
      </c>
      <c r="E94" s="2"/>
      <c r="F94" s="7">
        <f t="shared" si="47"/>
        <v>5.7542819229540563E-4</v>
      </c>
      <c r="G94" s="2"/>
      <c r="H94" s="6">
        <v>27.74</v>
      </c>
      <c r="I94" s="2"/>
      <c r="J94" s="7">
        <f t="shared" si="48"/>
        <v>6.501246580049001E-4</v>
      </c>
      <c r="K94" s="2"/>
      <c r="L94" s="6">
        <f t="shared" si="49"/>
        <v>-8.0699999999999967</v>
      </c>
      <c r="M94" s="2"/>
      <c r="N94" s="7">
        <f t="shared" si="50"/>
        <v>-0.29091564527757741</v>
      </c>
      <c r="O94" s="11"/>
      <c r="P94" s="6">
        <v>86.36</v>
      </c>
      <c r="Q94" s="2"/>
      <c r="R94" s="7">
        <f t="shared" si="51"/>
        <v>5.5870908389999633E-5</v>
      </c>
      <c r="S94" s="2"/>
      <c r="T94" s="6">
        <v>97.94</v>
      </c>
      <c r="U94" s="2"/>
      <c r="V94" s="7">
        <f t="shared" si="52"/>
        <v>3.4216096990428403E-5</v>
      </c>
      <c r="W94" s="2"/>
      <c r="X94" s="6">
        <f t="shared" si="53"/>
        <v>-11.579999999999998</v>
      </c>
      <c r="Y94" s="2"/>
      <c r="Z94" s="7">
        <f t="shared" si="54"/>
        <v>-0.11823565448233611</v>
      </c>
    </row>
    <row r="95" spans="1:26" s="24" customFormat="1" hidden="1" outlineLevel="2" x14ac:dyDescent="0.25">
      <c r="A95" s="28"/>
      <c r="B95" s="11" t="str">
        <f>CONCATENATE("          ", "6375", " - ", "OUTSIDE REPAIRS &amp; MAINTENANCE")</f>
        <v xml:space="preserve">          6375 - OUTSIDE REPAIRS &amp; MAINTENANCE</v>
      </c>
      <c r="C95" s="11"/>
      <c r="D95" s="6"/>
      <c r="E95" s="2"/>
      <c r="F95" s="7">
        <f t="shared" si="47"/>
        <v>0</v>
      </c>
      <c r="G95" s="2"/>
      <c r="H95" s="6"/>
      <c r="I95" s="2"/>
      <c r="J95" s="7">
        <f t="shared" si="48"/>
        <v>0</v>
      </c>
      <c r="K95" s="2"/>
      <c r="L95" s="6">
        <f t="shared" si="49"/>
        <v>0</v>
      </c>
      <c r="M95" s="2"/>
      <c r="N95" s="7">
        <f t="shared" si="50"/>
        <v>0</v>
      </c>
      <c r="O95" s="11"/>
      <c r="P95" s="6">
        <v>25.11</v>
      </c>
      <c r="Q95" s="2"/>
      <c r="R95" s="7">
        <f t="shared" si="51"/>
        <v>1.6245003585837086E-5</v>
      </c>
      <c r="S95" s="2"/>
      <c r="T95" s="6"/>
      <c r="U95" s="2"/>
      <c r="V95" s="7">
        <f t="shared" si="52"/>
        <v>0</v>
      </c>
      <c r="W95" s="2"/>
      <c r="X95" s="6">
        <f t="shared" si="53"/>
        <v>25.11</v>
      </c>
      <c r="Y95" s="2"/>
      <c r="Z95" s="7">
        <f t="shared" si="54"/>
        <v>0</v>
      </c>
    </row>
    <row r="96" spans="1:26" s="29" customFormat="1" outlineLevel="1" collapsed="1" x14ac:dyDescent="0.25">
      <c r="A96" s="27"/>
      <c r="B96" s="14" t="str">
        <f>CONCATENATE("     ","Subscriptions &amp; Dues                              ")</f>
        <v xml:space="preserve">     Subscriptions &amp; Dues                              </v>
      </c>
      <c r="C96" s="14"/>
      <c r="D96" s="1">
        <f>SUM(OSRRefD22_10x_0)</f>
        <v>790.32</v>
      </c>
      <c r="E96" s="1"/>
      <c r="F96" s="5">
        <f t="shared" ref="F96:F101" si="55">IF(D$12=0,0,D96/D$12)</f>
        <v>2.3120102131921963E-2</v>
      </c>
      <c r="G96" s="1"/>
      <c r="H96" s="1">
        <f>SUM(OSRRefH22_10x_0)</f>
        <v>268.55</v>
      </c>
      <c r="I96" s="1"/>
      <c r="J96" s="5">
        <f t="shared" ref="J96:J101" si="56">IF(H$12=0,0,H96/H$12)</f>
        <v>6.2938347839659676E-3</v>
      </c>
      <c r="K96" s="1"/>
      <c r="L96" s="1">
        <f t="shared" ref="L96:L101" si="57">+D96-H96</f>
        <v>521.77</v>
      </c>
      <c r="M96" s="1"/>
      <c r="N96" s="5">
        <f t="shared" ref="N96:N101" si="58">IF(H96=0,0,L96/H96)</f>
        <v>1.9429156581642151</v>
      </c>
      <c r="O96" s="14"/>
      <c r="P96" s="1">
        <f>SUM(OSRRefP22_10x_0)</f>
        <v>1423.36</v>
      </c>
      <c r="Q96" s="1"/>
      <c r="R96" s="5">
        <f t="shared" ref="R96:R101" si="59">IF(P$12=0,0,P96/P$12)</f>
        <v>9.2084780182943339E-4</v>
      </c>
      <c r="S96" s="1"/>
      <c r="T96" s="1">
        <f>SUM(OSRRefT22_10x_0)</f>
        <v>1057.4000000000001</v>
      </c>
      <c r="U96" s="1"/>
      <c r="V96" s="5">
        <f t="shared" ref="V96:V101" si="60">IF(T$12=0,0,T96/T$12)</f>
        <v>3.6941087357238102E-4</v>
      </c>
      <c r="W96" s="1"/>
      <c r="X96" s="1">
        <f t="shared" ref="X96:X101" si="61">+P96-T96</f>
        <v>365.95999999999981</v>
      </c>
      <c r="Y96" s="1"/>
      <c r="Z96" s="5">
        <f t="shared" ref="Z96:Z101" si="62">IF(T96=0,0,X96/T96)</f>
        <v>0.34609419330433117</v>
      </c>
    </row>
    <row r="97" spans="1:26" s="24" customFormat="1" hidden="1" outlineLevel="2" x14ac:dyDescent="0.25">
      <c r="A97" s="28"/>
      <c r="B97" s="11" t="str">
        <f>CONCATENATE("          ", "6258", " - ", "MEMBERSHIP DUES")</f>
        <v xml:space="preserve">          6258 - MEMBERSHIP DUES</v>
      </c>
      <c r="C97" s="11"/>
      <c r="D97" s="6">
        <v>790.32</v>
      </c>
      <c r="E97" s="2"/>
      <c r="F97" s="7">
        <f t="shared" si="55"/>
        <v>2.3120102131921963E-2</v>
      </c>
      <c r="G97" s="2"/>
      <c r="H97" s="6">
        <v>268.55</v>
      </c>
      <c r="I97" s="2"/>
      <c r="J97" s="7">
        <f t="shared" si="56"/>
        <v>6.2938347839659676E-3</v>
      </c>
      <c r="K97" s="2"/>
      <c r="L97" s="6">
        <f t="shared" si="57"/>
        <v>521.77</v>
      </c>
      <c r="M97" s="2"/>
      <c r="N97" s="7">
        <f t="shared" si="58"/>
        <v>1.9429156581642151</v>
      </c>
      <c r="O97" s="11"/>
      <c r="P97" s="6">
        <v>1423.36</v>
      </c>
      <c r="Q97" s="2"/>
      <c r="R97" s="7">
        <f t="shared" si="59"/>
        <v>9.2084780182943339E-4</v>
      </c>
      <c r="S97" s="2"/>
      <c r="T97" s="6">
        <v>1057.4000000000001</v>
      </c>
      <c r="U97" s="2"/>
      <c r="V97" s="7">
        <f t="shared" si="60"/>
        <v>3.6941087357238102E-4</v>
      </c>
      <c r="W97" s="2"/>
      <c r="X97" s="6">
        <f t="shared" si="61"/>
        <v>365.95999999999981</v>
      </c>
      <c r="Y97" s="2"/>
      <c r="Z97" s="7">
        <f t="shared" si="62"/>
        <v>0.34609419330433117</v>
      </c>
    </row>
    <row r="98" spans="1:26" s="29" customFormat="1" outlineLevel="1" collapsed="1" x14ac:dyDescent="0.25">
      <c r="A98" s="27"/>
      <c r="B98" s="14" t="str">
        <f>CONCATENATE("     ","Supplies                                          ")</f>
        <v xml:space="preserve">     Supplies                                          </v>
      </c>
      <c r="C98" s="14"/>
      <c r="D98" s="1">
        <f>SUM(OSRRefD22_11x_0)</f>
        <v>146.28</v>
      </c>
      <c r="E98" s="1"/>
      <c r="F98" s="5">
        <f t="shared" si="55"/>
        <v>4.2792900848485985E-3</v>
      </c>
      <c r="G98" s="1"/>
      <c r="H98" s="1">
        <f>SUM(OSRRefH22_11x_0)</f>
        <v>1787.4099999999999</v>
      </c>
      <c r="I98" s="1"/>
      <c r="J98" s="5">
        <f t="shared" si="56"/>
        <v>4.1890386264042477E-2</v>
      </c>
      <c r="K98" s="1"/>
      <c r="L98" s="1">
        <f t="shared" si="57"/>
        <v>-1641.1299999999999</v>
      </c>
      <c r="M98" s="1"/>
      <c r="N98" s="5">
        <f t="shared" si="58"/>
        <v>-0.91816091439568981</v>
      </c>
      <c r="O98" s="14"/>
      <c r="P98" s="1">
        <f>SUM(OSRRefP22_11x_0)</f>
        <v>1235.25</v>
      </c>
      <c r="Q98" s="1"/>
      <c r="R98" s="5">
        <f t="shared" si="59"/>
        <v>7.9914936994843731E-4</v>
      </c>
      <c r="S98" s="1"/>
      <c r="T98" s="1">
        <f>SUM(OSRRefT22_11x_0)</f>
        <v>9136.5499999999993</v>
      </c>
      <c r="U98" s="1"/>
      <c r="V98" s="5">
        <f t="shared" si="60"/>
        <v>3.191924453317323E-3</v>
      </c>
      <c r="W98" s="1"/>
      <c r="X98" s="1">
        <f t="shared" si="61"/>
        <v>-7901.2999999999993</v>
      </c>
      <c r="Y98" s="1"/>
      <c r="Z98" s="5">
        <f t="shared" si="62"/>
        <v>-0.8648012652478233</v>
      </c>
    </row>
    <row r="99" spans="1:26" s="24" customFormat="1" hidden="1" outlineLevel="2" x14ac:dyDescent="0.25">
      <c r="A99" s="28"/>
      <c r="B99" s="11" t="str">
        <f>CONCATENATE("          ", "6241", " - ", "OFFICE EXPENSE")</f>
        <v xml:space="preserve">          6241 - OFFICE EXPENSE</v>
      </c>
      <c r="C99" s="11"/>
      <c r="D99" s="6">
        <v>146.28</v>
      </c>
      <c r="E99" s="2"/>
      <c r="F99" s="7">
        <f t="shared" si="55"/>
        <v>4.2792900848485985E-3</v>
      </c>
      <c r="G99" s="2"/>
      <c r="H99" s="6">
        <v>959.61</v>
      </c>
      <c r="I99" s="2"/>
      <c r="J99" s="7">
        <f t="shared" si="56"/>
        <v>2.2489766512908516E-2</v>
      </c>
      <c r="K99" s="2"/>
      <c r="L99" s="6">
        <f t="shared" si="57"/>
        <v>-813.33</v>
      </c>
      <c r="M99" s="2"/>
      <c r="N99" s="7">
        <f t="shared" si="58"/>
        <v>-0.8475630724982024</v>
      </c>
      <c r="O99" s="11"/>
      <c r="P99" s="6">
        <v>602.15</v>
      </c>
      <c r="Q99" s="2"/>
      <c r="R99" s="7">
        <f t="shared" si="59"/>
        <v>3.8956307882165677E-4</v>
      </c>
      <c r="S99" s="2"/>
      <c r="T99" s="6">
        <v>3297.43</v>
      </c>
      <c r="U99" s="2"/>
      <c r="V99" s="7">
        <f t="shared" si="60"/>
        <v>1.1519826904140119E-3</v>
      </c>
      <c r="W99" s="2"/>
      <c r="X99" s="6">
        <f t="shared" si="61"/>
        <v>-2695.2799999999997</v>
      </c>
      <c r="Y99" s="2"/>
      <c r="Z99" s="7">
        <f t="shared" si="62"/>
        <v>-0.8173880870860033</v>
      </c>
    </row>
    <row r="100" spans="1:26" s="24" customFormat="1" hidden="1" outlineLevel="2" x14ac:dyDescent="0.25">
      <c r="A100" s="28"/>
      <c r="B100" s="11" t="str">
        <f>CONCATENATE("          ", "6245", " - ", "PRINTING")</f>
        <v xml:space="preserve">          6245 - PRINTING</v>
      </c>
      <c r="C100" s="11"/>
      <c r="D100" s="6"/>
      <c r="E100" s="2"/>
      <c r="F100" s="7">
        <f t="shared" si="55"/>
        <v>0</v>
      </c>
      <c r="G100" s="2"/>
      <c r="H100" s="6"/>
      <c r="I100" s="2"/>
      <c r="J100" s="7">
        <f t="shared" si="56"/>
        <v>0</v>
      </c>
      <c r="K100" s="2"/>
      <c r="L100" s="6">
        <f t="shared" si="57"/>
        <v>0</v>
      </c>
      <c r="M100" s="2"/>
      <c r="N100" s="7">
        <f t="shared" si="58"/>
        <v>0</v>
      </c>
      <c r="O100" s="11"/>
      <c r="P100" s="6"/>
      <c r="Q100" s="2"/>
      <c r="R100" s="7">
        <f t="shared" si="59"/>
        <v>0</v>
      </c>
      <c r="S100" s="2"/>
      <c r="T100" s="6">
        <v>4978.08</v>
      </c>
      <c r="U100" s="2"/>
      <c r="V100" s="7">
        <f t="shared" si="60"/>
        <v>1.7391307750266676E-3</v>
      </c>
      <c r="W100" s="2"/>
      <c r="X100" s="6">
        <f t="shared" si="61"/>
        <v>-4978.08</v>
      </c>
      <c r="Y100" s="2"/>
      <c r="Z100" s="7">
        <f t="shared" si="62"/>
        <v>-1</v>
      </c>
    </row>
    <row r="101" spans="1:26" s="24" customFormat="1" hidden="1" outlineLevel="2" x14ac:dyDescent="0.25">
      <c r="A101" s="28"/>
      <c r="B101" s="11" t="str">
        <f>CONCATENATE("          ", "6247", " - ", "STORE SUPPLIES")</f>
        <v xml:space="preserve">          6247 - STORE SUPPLIES</v>
      </c>
      <c r="C101" s="11"/>
      <c r="D101" s="6"/>
      <c r="E101" s="2"/>
      <c r="F101" s="7">
        <f t="shared" si="55"/>
        <v>0</v>
      </c>
      <c r="G101" s="2"/>
      <c r="H101" s="6">
        <v>827.8</v>
      </c>
      <c r="I101" s="2"/>
      <c r="J101" s="7">
        <f t="shared" si="56"/>
        <v>1.9400619751133968E-2</v>
      </c>
      <c r="K101" s="2"/>
      <c r="L101" s="6">
        <f t="shared" si="57"/>
        <v>-827.8</v>
      </c>
      <c r="M101" s="2"/>
      <c r="N101" s="7">
        <f t="shared" si="58"/>
        <v>-1</v>
      </c>
      <c r="O101" s="11"/>
      <c r="P101" s="6">
        <v>633.1</v>
      </c>
      <c r="Q101" s="2"/>
      <c r="R101" s="7">
        <f t="shared" si="59"/>
        <v>4.0958629112678054E-4</v>
      </c>
      <c r="S101" s="2"/>
      <c r="T101" s="6">
        <v>861.04</v>
      </c>
      <c r="U101" s="2"/>
      <c r="V101" s="7">
        <f t="shared" si="60"/>
        <v>3.0081098787664359E-4</v>
      </c>
      <c r="W101" s="2"/>
      <c r="X101" s="6">
        <f t="shared" si="61"/>
        <v>-227.93999999999994</v>
      </c>
      <c r="Y101" s="2"/>
      <c r="Z101" s="7">
        <f t="shared" si="62"/>
        <v>-0.26472637740406946</v>
      </c>
    </row>
    <row r="102" spans="1:26" s="29" customFormat="1" outlineLevel="1" collapsed="1" x14ac:dyDescent="0.25">
      <c r="A102" s="27"/>
      <c r="B102" s="14" t="str">
        <f>CONCATENATE("     ","Telephone/Data Lines                              ")</f>
        <v xml:space="preserve">     Telephone/Data Lines                              </v>
      </c>
      <c r="C102" s="14"/>
      <c r="D102" s="1">
        <f>SUM(OSRRefD22_12x_0)</f>
        <v>-634.45000000000005</v>
      </c>
      <c r="E102" s="1"/>
      <c r="F102" s="5">
        <f t="shared" ref="F102:F104" si="63">IF(D$12=0,0,D102/D$12)</f>
        <v>-1.8560265205989839E-2</v>
      </c>
      <c r="G102" s="1"/>
      <c r="H102" s="1">
        <f>SUM(OSRRefH22_12x_0)</f>
        <v>-300.89999999999998</v>
      </c>
      <c r="I102" s="1"/>
      <c r="J102" s="5">
        <f t="shared" ref="J102:J104" si="64">IF(H$12=0,0,H102/H$12)</f>
        <v>-7.0520010668231586E-3</v>
      </c>
      <c r="K102" s="1"/>
      <c r="L102" s="1">
        <f t="shared" ref="L102:L104" si="65">+D102-H102</f>
        <v>-333.55000000000007</v>
      </c>
      <c r="M102" s="1"/>
      <c r="N102" s="5">
        <f t="shared" ref="N102:N104" si="66">IF(H102=0,0,L102/H102)</f>
        <v>1.1085078099036227</v>
      </c>
      <c r="O102" s="14"/>
      <c r="P102" s="1">
        <f>SUM(OSRRefP22_12x_0)</f>
        <v>3233.85</v>
      </c>
      <c r="Q102" s="1"/>
      <c r="R102" s="5">
        <f t="shared" ref="R102:R104" si="67">IF(P$12=0,0,P102/P$12)</f>
        <v>2.0921507306276088E-3</v>
      </c>
      <c r="S102" s="1"/>
      <c r="T102" s="1">
        <f>SUM(OSRRefT22_12x_0)</f>
        <v>3098.6</v>
      </c>
      <c r="U102" s="1"/>
      <c r="V102" s="5">
        <f t="shared" ref="V102:V104" si="68">IF(T$12=0,0,T102/T$12)</f>
        <v>1.0825198911021182E-3</v>
      </c>
      <c r="W102" s="1"/>
      <c r="X102" s="1">
        <f t="shared" ref="X102:X104" si="69">+P102-T102</f>
        <v>135.25</v>
      </c>
      <c r="Y102" s="1"/>
      <c r="Z102" s="5">
        <f t="shared" ref="Z102:Z104" si="70">IF(T102=0,0,X102/T102)</f>
        <v>4.3648744594332926E-2</v>
      </c>
    </row>
    <row r="103" spans="1:26" s="24" customFormat="1" hidden="1" outlineLevel="2" x14ac:dyDescent="0.25">
      <c r="A103" s="28"/>
      <c r="B103" s="11" t="str">
        <f>CONCATENATE("          ", "6303", " - ", "DATA PHONE LINES")</f>
        <v xml:space="preserve">          6303 - DATA PHONE LINES</v>
      </c>
      <c r="C103" s="11"/>
      <c r="D103" s="6"/>
      <c r="E103" s="2"/>
      <c r="F103" s="7">
        <f t="shared" si="63"/>
        <v>0</v>
      </c>
      <c r="G103" s="2"/>
      <c r="H103" s="6">
        <v>295</v>
      </c>
      <c r="I103" s="2"/>
      <c r="J103" s="7">
        <f t="shared" si="64"/>
        <v>6.9137265361011368E-3</v>
      </c>
      <c r="K103" s="2"/>
      <c r="L103" s="6">
        <f t="shared" si="65"/>
        <v>-295</v>
      </c>
      <c r="M103" s="2"/>
      <c r="N103" s="7">
        <f t="shared" si="66"/>
        <v>-1</v>
      </c>
      <c r="O103" s="11"/>
      <c r="P103" s="6">
        <v>1180</v>
      </c>
      <c r="Q103" s="2"/>
      <c r="R103" s="7">
        <f t="shared" si="67"/>
        <v>7.6340518643121312E-4</v>
      </c>
      <c r="S103" s="2"/>
      <c r="T103" s="6">
        <v>1180</v>
      </c>
      <c r="U103" s="2"/>
      <c r="V103" s="7">
        <f t="shared" si="68"/>
        <v>4.1224213241480005E-4</v>
      </c>
      <c r="W103" s="2"/>
      <c r="X103" s="6">
        <f t="shared" si="69"/>
        <v>0</v>
      </c>
      <c r="Y103" s="2"/>
      <c r="Z103" s="7">
        <f t="shared" si="70"/>
        <v>0</v>
      </c>
    </row>
    <row r="104" spans="1:26" s="24" customFormat="1" hidden="1" outlineLevel="2" x14ac:dyDescent="0.25">
      <c r="A104" s="28"/>
      <c r="B104" s="11" t="str">
        <f>CONCATENATE("          ", "6309", " - ", "TELEPHONE")</f>
        <v xml:space="preserve">          6309 - TELEPHONE</v>
      </c>
      <c r="C104" s="11"/>
      <c r="D104" s="6">
        <v>-634.45000000000005</v>
      </c>
      <c r="E104" s="2"/>
      <c r="F104" s="7">
        <f t="shared" si="63"/>
        <v>-1.8560265205989839E-2</v>
      </c>
      <c r="G104" s="2"/>
      <c r="H104" s="6">
        <v>-595.9</v>
      </c>
      <c r="I104" s="2"/>
      <c r="J104" s="7">
        <f t="shared" si="64"/>
        <v>-1.3965727602924296E-2</v>
      </c>
      <c r="K104" s="2"/>
      <c r="L104" s="6">
        <f t="shared" si="65"/>
        <v>-38.550000000000068</v>
      </c>
      <c r="M104" s="2"/>
      <c r="N104" s="7">
        <f t="shared" si="66"/>
        <v>6.4692062426581765E-2</v>
      </c>
      <c r="O104" s="11"/>
      <c r="P104" s="6">
        <v>2053.85</v>
      </c>
      <c r="Q104" s="2"/>
      <c r="R104" s="7">
        <f t="shared" si="67"/>
        <v>1.3287455441963957E-3</v>
      </c>
      <c r="S104" s="2"/>
      <c r="T104" s="6">
        <v>1918.6</v>
      </c>
      <c r="U104" s="2"/>
      <c r="V104" s="7">
        <f t="shared" si="68"/>
        <v>6.702777586873181E-4</v>
      </c>
      <c r="W104" s="2"/>
      <c r="X104" s="6">
        <f t="shared" si="69"/>
        <v>135.25</v>
      </c>
      <c r="Y104" s="2"/>
      <c r="Z104" s="7">
        <f t="shared" si="70"/>
        <v>7.0494110288752215E-2</v>
      </c>
    </row>
    <row r="105" spans="1:26" s="29" customFormat="1" outlineLevel="1" collapsed="1" x14ac:dyDescent="0.25">
      <c r="A105" s="27"/>
      <c r="B105" s="14" t="str">
        <f>CONCATENATE("     ","Training                                          ")</f>
        <v xml:space="preserve">     Training                                          </v>
      </c>
      <c r="C105" s="14"/>
      <c r="D105" s="1">
        <f>SUM(OSRRefD22_13x_0)</f>
        <v>0</v>
      </c>
      <c r="E105" s="1"/>
      <c r="F105" s="5">
        <f t="shared" ref="F105:F108" si="71">IF(D$12=0,0,D105/D$12)</f>
        <v>0</v>
      </c>
      <c r="G105" s="1"/>
      <c r="H105" s="1">
        <f>SUM(OSRRefH22_13x_0)</f>
        <v>0</v>
      </c>
      <c r="I105" s="1"/>
      <c r="J105" s="5">
        <f t="shared" ref="J105:J108" si="72">IF(H$12=0,0,H105/H$12)</f>
        <v>0</v>
      </c>
      <c r="K105" s="1"/>
      <c r="L105" s="1">
        <f t="shared" ref="L105:L108" si="73">+D105-H105</f>
        <v>0</v>
      </c>
      <c r="M105" s="1"/>
      <c r="N105" s="5">
        <f t="shared" ref="N105:N108" si="74">IF(H105=0,0,L105/H105)</f>
        <v>0</v>
      </c>
      <c r="O105" s="14"/>
      <c r="P105" s="1">
        <f>SUM(OSRRefP22_13x_0)</f>
        <v>0</v>
      </c>
      <c r="Q105" s="1"/>
      <c r="R105" s="5">
        <f t="shared" ref="R105:R108" si="75">IF(P$12=0,0,P105/P$12)</f>
        <v>0</v>
      </c>
      <c r="S105" s="1"/>
      <c r="T105" s="1">
        <f>SUM(OSRRefT22_13x_0)</f>
        <v>547.47</v>
      </c>
      <c r="U105" s="1"/>
      <c r="V105" s="5">
        <f t="shared" ref="V105:V108" si="76">IF(T$12=0,0,T105/T$12)</f>
        <v>1.9126288155350051E-4</v>
      </c>
      <c r="W105" s="1"/>
      <c r="X105" s="1">
        <f t="shared" ref="X105:X108" si="77">+P105-T105</f>
        <v>-547.47</v>
      </c>
      <c r="Y105" s="1"/>
      <c r="Z105" s="5">
        <f t="shared" ref="Z105:Z108" si="78">IF(T105=0,0,X105/T105)</f>
        <v>-1</v>
      </c>
    </row>
    <row r="106" spans="1:26" s="24" customFormat="1" hidden="1" outlineLevel="2" x14ac:dyDescent="0.25">
      <c r="A106" s="28"/>
      <c r="B106" s="11" t="str">
        <f>CONCATENATE("          ", "6376", " - ", "TRAINING")</f>
        <v xml:space="preserve">          6376 - TRAINING</v>
      </c>
      <c r="C106" s="11"/>
      <c r="D106" s="6"/>
      <c r="E106" s="2"/>
      <c r="F106" s="7">
        <f t="shared" si="71"/>
        <v>0</v>
      </c>
      <c r="G106" s="2"/>
      <c r="H106" s="6"/>
      <c r="I106" s="2"/>
      <c r="J106" s="7">
        <f t="shared" si="72"/>
        <v>0</v>
      </c>
      <c r="K106" s="2"/>
      <c r="L106" s="6">
        <f t="shared" si="73"/>
        <v>0</v>
      </c>
      <c r="M106" s="2"/>
      <c r="N106" s="7">
        <f t="shared" si="74"/>
        <v>0</v>
      </c>
      <c r="O106" s="11"/>
      <c r="P106" s="6"/>
      <c r="Q106" s="2"/>
      <c r="R106" s="7">
        <f t="shared" si="75"/>
        <v>0</v>
      </c>
      <c r="S106" s="2"/>
      <c r="T106" s="6">
        <v>547.47</v>
      </c>
      <c r="U106" s="2"/>
      <c r="V106" s="7">
        <f t="shared" si="76"/>
        <v>1.9126288155350051E-4</v>
      </c>
      <c r="W106" s="2"/>
      <c r="X106" s="6">
        <f t="shared" si="77"/>
        <v>-547.47</v>
      </c>
      <c r="Y106" s="2"/>
      <c r="Z106" s="7">
        <f t="shared" si="78"/>
        <v>-1</v>
      </c>
    </row>
    <row r="107" spans="1:26" s="29" customFormat="1" outlineLevel="1" collapsed="1" x14ac:dyDescent="0.25">
      <c r="A107" s="27"/>
      <c r="B107" s="14" t="str">
        <f>CONCATENATE("     ","Travel                                            ")</f>
        <v xml:space="preserve">     Travel                                            </v>
      </c>
      <c r="C107" s="14"/>
      <c r="D107" s="1">
        <f>SUM(OSRRefD22_14x_0)</f>
        <v>0</v>
      </c>
      <c r="E107" s="1"/>
      <c r="F107" s="5">
        <f t="shared" si="71"/>
        <v>0</v>
      </c>
      <c r="G107" s="1"/>
      <c r="H107" s="1">
        <f>SUM(OSRRefH22_14x_0)</f>
        <v>83.93</v>
      </c>
      <c r="I107" s="1"/>
      <c r="J107" s="5">
        <f t="shared" si="72"/>
        <v>1.967013790423622E-3</v>
      </c>
      <c r="K107" s="1"/>
      <c r="L107" s="1">
        <f t="shared" si="73"/>
        <v>-83.93</v>
      </c>
      <c r="M107" s="1"/>
      <c r="N107" s="5">
        <f t="shared" si="74"/>
        <v>-1</v>
      </c>
      <c r="O107" s="14"/>
      <c r="P107" s="1">
        <f>SUM(OSRRefP22_14x_0)</f>
        <v>0.16</v>
      </c>
      <c r="Q107" s="1"/>
      <c r="R107" s="5">
        <f t="shared" si="75"/>
        <v>1.0351256765168992E-7</v>
      </c>
      <c r="S107" s="1"/>
      <c r="T107" s="1">
        <f>SUM(OSRRefT22_14x_0)</f>
        <v>83.93</v>
      </c>
      <c r="U107" s="1"/>
      <c r="V107" s="5">
        <f t="shared" si="76"/>
        <v>2.9321595062350993E-5</v>
      </c>
      <c r="W107" s="1"/>
      <c r="X107" s="1">
        <f t="shared" si="77"/>
        <v>-83.77000000000001</v>
      </c>
      <c r="Y107" s="1"/>
      <c r="Z107" s="5">
        <f t="shared" si="78"/>
        <v>-0.99809364946979628</v>
      </c>
    </row>
    <row r="108" spans="1:26" s="24" customFormat="1" hidden="1" outlineLevel="2" x14ac:dyDescent="0.25">
      <c r="A108" s="28"/>
      <c r="B108" s="11" t="str">
        <f>CONCATENATE("          ", "6292", " - ", "TRAVEL/CONFERENCE")</f>
        <v xml:space="preserve">          6292 - TRAVEL/CONFERENCE</v>
      </c>
      <c r="C108" s="11"/>
      <c r="D108" s="6"/>
      <c r="E108" s="2"/>
      <c r="F108" s="7">
        <f t="shared" si="71"/>
        <v>0</v>
      </c>
      <c r="G108" s="2"/>
      <c r="H108" s="6">
        <v>83.93</v>
      </c>
      <c r="I108" s="2"/>
      <c r="J108" s="7">
        <f t="shared" si="72"/>
        <v>1.967013790423622E-3</v>
      </c>
      <c r="K108" s="2"/>
      <c r="L108" s="6">
        <f t="shared" si="73"/>
        <v>-83.93</v>
      </c>
      <c r="M108" s="2"/>
      <c r="N108" s="7">
        <f t="shared" si="74"/>
        <v>-1</v>
      </c>
      <c r="O108" s="11"/>
      <c r="P108" s="6">
        <v>0.16</v>
      </c>
      <c r="Q108" s="2"/>
      <c r="R108" s="7">
        <f t="shared" si="75"/>
        <v>1.0351256765168992E-7</v>
      </c>
      <c r="S108" s="2"/>
      <c r="T108" s="6">
        <v>83.93</v>
      </c>
      <c r="U108" s="2"/>
      <c r="V108" s="7">
        <f t="shared" si="76"/>
        <v>2.9321595062350993E-5</v>
      </c>
      <c r="W108" s="2"/>
      <c r="X108" s="6">
        <f t="shared" si="77"/>
        <v>-83.77000000000001</v>
      </c>
      <c r="Y108" s="2"/>
      <c r="Z108" s="7">
        <f t="shared" si="78"/>
        <v>-0.99809364946979628</v>
      </c>
    </row>
    <row r="109" spans="1:26" s="57" customFormat="1" x14ac:dyDescent="0.25">
      <c r="A109" s="37"/>
      <c r="B109" s="37"/>
      <c r="C109" s="37"/>
      <c r="D109" s="1"/>
      <c r="E109" s="1"/>
      <c r="F109" s="5"/>
      <c r="G109" s="1"/>
      <c r="H109" s="1"/>
      <c r="I109" s="1"/>
      <c r="J109" s="5"/>
      <c r="K109" s="1"/>
      <c r="L109" s="1"/>
      <c r="M109" s="1"/>
      <c r="N109" s="5"/>
      <c r="O109" s="37"/>
      <c r="P109" s="1"/>
      <c r="Q109" s="1"/>
      <c r="R109" s="5"/>
      <c r="S109" s="1"/>
      <c r="T109" s="1"/>
      <c r="U109" s="1"/>
      <c r="V109" s="5"/>
      <c r="W109" s="1"/>
      <c r="X109" s="1"/>
      <c r="Y109" s="1"/>
      <c r="Z109" s="5"/>
    </row>
    <row r="110" spans="1:26" s="23" customFormat="1" collapsed="1" x14ac:dyDescent="0.25">
      <c r="A110" s="10"/>
      <c r="B110" s="26" t="s">
        <v>0</v>
      </c>
      <c r="C110" s="10"/>
      <c r="D110" s="4">
        <f>SUM(OSRRefD25x_0)</f>
        <v>267.40999999999997</v>
      </c>
      <c r="E110" s="4"/>
      <c r="F110" s="12">
        <f t="shared" ref="F110:F113" si="79">IF(D$12=0,0,D110/D$12)</f>
        <v>7.822839496782634E-3</v>
      </c>
      <c r="G110" s="4"/>
      <c r="H110" s="4">
        <f>SUM(OSRRefH25x_0)</f>
        <v>44861.23</v>
      </c>
      <c r="I110" s="4"/>
      <c r="J110" s="12">
        <f t="shared" ref="J110:J113" si="80">IF(H$12=0,0,H110/H$12)</f>
        <v>1.0513839874343607</v>
      </c>
      <c r="K110" s="4"/>
      <c r="L110" s="4">
        <f t="shared" ref="L110:L113" si="81">+D110-H110</f>
        <v>-44593.82</v>
      </c>
      <c r="M110" s="4"/>
      <c r="N110" s="12">
        <f t="shared" ref="N110:N113" si="82">IF(H110=0,0,L110/H110)</f>
        <v>-0.99403917369184924</v>
      </c>
      <c r="O110" s="10"/>
      <c r="P110" s="4">
        <f>SUM(OSRRefP25x_0)</f>
        <v>161168.19</v>
      </c>
      <c r="Q110" s="4"/>
      <c r="R110" s="12">
        <f t="shared" ref="R110:R113" si="83">IF(P$12=0,0,P110/P$12)</f>
        <v>0.10426833231672133</v>
      </c>
      <c r="S110" s="4"/>
      <c r="T110" s="4">
        <f>SUM(OSRRefT25x_0)</f>
        <v>142244.4</v>
      </c>
      <c r="U110" s="4"/>
      <c r="V110" s="12">
        <f t="shared" ref="V110:V113" si="84">IF(T$12=0,0,T110/T$12)</f>
        <v>4.9694182017003201E-2</v>
      </c>
      <c r="W110" s="4"/>
      <c r="X110" s="4">
        <f t="shared" ref="X110:X113" si="85">+P110-T110</f>
        <v>18923.790000000008</v>
      </c>
      <c r="Y110" s="4"/>
      <c r="Z110" s="12">
        <f t="shared" ref="Z110:Z113" si="86">IF(T110=0,0,X110/T110)</f>
        <v>0.1330371529564609</v>
      </c>
    </row>
    <row r="111" spans="1:26" s="24" customFormat="1" hidden="1" outlineLevel="1" x14ac:dyDescent="0.25">
      <c r="A111" s="44"/>
      <c r="B111" s="11" t="str">
        <f>CONCATENATE("          ", "9150", " - ", "MISC. INCOME")</f>
        <v xml:space="preserve">          9150 - MISC. INCOME</v>
      </c>
      <c r="C111" s="11"/>
      <c r="D111" s="2">
        <f>--5.33</f>
        <v>5.33</v>
      </c>
      <c r="E111" s="2"/>
      <c r="F111" s="19">
        <f t="shared" si="79"/>
        <v>1.5592436527374234E-4</v>
      </c>
      <c r="G111" s="2"/>
      <c r="H111" s="2">
        <f>--44808.15</f>
        <v>44808.15</v>
      </c>
      <c r="I111" s="2"/>
      <c r="J111" s="19">
        <f t="shared" si="80"/>
        <v>1.0501399853850852</v>
      </c>
      <c r="K111" s="2"/>
      <c r="L111" s="2">
        <f t="shared" si="81"/>
        <v>-44802.82</v>
      </c>
      <c r="M111" s="2"/>
      <c r="N111" s="19">
        <f t="shared" si="82"/>
        <v>-0.9998810484253422</v>
      </c>
      <c r="O111" s="11"/>
      <c r="P111" s="2">
        <f>--11531.78</f>
        <v>11531.78</v>
      </c>
      <c r="Q111" s="2"/>
      <c r="R111" s="19">
        <f t="shared" si="83"/>
        <v>7.4605259837150304E-3</v>
      </c>
      <c r="S111" s="2"/>
      <c r="T111" s="2">
        <f>--53874.1</f>
        <v>53874.1</v>
      </c>
      <c r="U111" s="2"/>
      <c r="V111" s="19">
        <f t="shared" si="84"/>
        <v>1.8821333784684896E-2</v>
      </c>
      <c r="W111" s="2"/>
      <c r="X111" s="2">
        <f t="shared" si="85"/>
        <v>-42342.32</v>
      </c>
      <c r="Y111" s="2"/>
      <c r="Z111" s="19">
        <f t="shared" si="86"/>
        <v>-0.78594946365693352</v>
      </c>
    </row>
    <row r="112" spans="1:26" s="24" customFormat="1" hidden="1" outlineLevel="1" x14ac:dyDescent="0.25">
      <c r="A112" s="44"/>
      <c r="B112" s="11" t="str">
        <f>CONCATENATE("          ", "9151", " - ", "MISC. INCOME")</f>
        <v xml:space="preserve">          9151 - MISC. INCOME</v>
      </c>
      <c r="C112" s="11"/>
      <c r="D112" s="2">
        <f>0</f>
        <v>0</v>
      </c>
      <c r="E112" s="2"/>
      <c r="F112" s="19">
        <f t="shared" si="79"/>
        <v>0</v>
      </c>
      <c r="G112" s="2"/>
      <c r="H112" s="2">
        <f>0</f>
        <v>0</v>
      </c>
      <c r="I112" s="2"/>
      <c r="J112" s="19">
        <f t="shared" si="80"/>
        <v>0</v>
      </c>
      <c r="K112" s="2"/>
      <c r="L112" s="2">
        <f t="shared" si="81"/>
        <v>0</v>
      </c>
      <c r="M112" s="2"/>
      <c r="N112" s="19">
        <f t="shared" si="82"/>
        <v>0</v>
      </c>
      <c r="O112" s="11"/>
      <c r="P112" s="2">
        <f>--147285.39</f>
        <v>147285.39000000001</v>
      </c>
      <c r="Q112" s="2"/>
      <c r="R112" s="19">
        <f t="shared" si="83"/>
        <v>9.5286805603003344E-2</v>
      </c>
      <c r="S112" s="2"/>
      <c r="T112" s="2">
        <f>--87676.2</f>
        <v>87676.2</v>
      </c>
      <c r="U112" s="2"/>
      <c r="V112" s="19">
        <f t="shared" si="84"/>
        <v>3.0630359025446179E-2</v>
      </c>
      <c r="W112" s="2"/>
      <c r="X112" s="2">
        <f t="shared" si="85"/>
        <v>59609.190000000017</v>
      </c>
      <c r="Y112" s="2"/>
      <c r="Z112" s="19">
        <f t="shared" si="86"/>
        <v>0.67987880405400802</v>
      </c>
    </row>
    <row r="113" spans="1:26" s="24" customFormat="1" hidden="1" outlineLevel="1" x14ac:dyDescent="0.25">
      <c r="A113" s="44"/>
      <c r="B113" s="11" t="str">
        <f>CONCATENATE("          ", "9152", " - ", "MISC. INCOME")</f>
        <v xml:space="preserve">          9152 - MISC. INCOME</v>
      </c>
      <c r="C113" s="11"/>
      <c r="D113" s="2">
        <f>--262.08</f>
        <v>262.08</v>
      </c>
      <c r="E113" s="2"/>
      <c r="F113" s="19">
        <f t="shared" si="79"/>
        <v>7.6669151315088913E-3</v>
      </c>
      <c r="G113" s="2"/>
      <c r="H113" s="2">
        <f>--53.08</f>
        <v>53.08</v>
      </c>
      <c r="I113" s="2"/>
      <c r="J113" s="19">
        <f t="shared" si="80"/>
        <v>1.2440020492754181E-3</v>
      </c>
      <c r="K113" s="2"/>
      <c r="L113" s="2">
        <f t="shared" si="81"/>
        <v>209</v>
      </c>
      <c r="M113" s="2"/>
      <c r="N113" s="19">
        <f t="shared" si="82"/>
        <v>3.9374529012810853</v>
      </c>
      <c r="O113" s="11"/>
      <c r="P113" s="2">
        <f>--2351.02</f>
        <v>2351.02</v>
      </c>
      <c r="Q113" s="2"/>
      <c r="R113" s="19">
        <f t="shared" si="83"/>
        <v>1.5210007300029752E-3</v>
      </c>
      <c r="S113" s="2"/>
      <c r="T113" s="2">
        <f>--694.1</f>
        <v>694.1</v>
      </c>
      <c r="U113" s="2"/>
      <c r="V113" s="19">
        <f t="shared" si="84"/>
        <v>2.4248920687212943E-4</v>
      </c>
      <c r="W113" s="2"/>
      <c r="X113" s="2">
        <f t="shared" si="85"/>
        <v>1656.92</v>
      </c>
      <c r="Y113" s="2"/>
      <c r="Z113" s="19">
        <f t="shared" si="86"/>
        <v>2.3871488258176057</v>
      </c>
    </row>
    <row r="114" spans="1:26" x14ac:dyDescent="0.25">
      <c r="A114" s="9"/>
      <c r="B114" s="10"/>
      <c r="C114" s="10"/>
      <c r="D114" s="3"/>
      <c r="E114" s="3"/>
      <c r="F114" s="8"/>
      <c r="G114" s="3"/>
      <c r="H114" s="3"/>
      <c r="I114" s="3"/>
      <c r="J114" s="8"/>
      <c r="K114" s="3"/>
      <c r="L114" s="3"/>
      <c r="M114" s="3"/>
      <c r="N114" s="8"/>
      <c r="O114" s="10"/>
      <c r="P114" s="3"/>
      <c r="Q114" s="3"/>
      <c r="R114" s="8"/>
      <c r="S114" s="3"/>
      <c r="T114" s="3"/>
      <c r="U114" s="3"/>
      <c r="V114" s="8"/>
      <c r="W114" s="3"/>
      <c r="X114" s="3"/>
      <c r="Y114" s="3"/>
      <c r="Z114" s="8"/>
    </row>
    <row r="115" spans="1:26" s="23" customFormat="1" x14ac:dyDescent="0.25">
      <c r="A115" s="10"/>
      <c r="B115" s="25" t="s">
        <v>3</v>
      </c>
      <c r="C115" s="25"/>
      <c r="D115" s="20">
        <f>+D57-D59+D110</f>
        <v>-33057.159999999974</v>
      </c>
      <c r="E115" s="13"/>
      <c r="F115" s="21">
        <f>IF(D$12=0,0,D115/D$12)</f>
        <v>-0.96705754047890069</v>
      </c>
      <c r="G115" s="13"/>
      <c r="H115" s="20">
        <f>+H57-H59+H110</f>
        <v>11081.450000000012</v>
      </c>
      <c r="I115" s="13"/>
      <c r="J115" s="21">
        <f>IF(H$12=0,0,H115/H$12)</f>
        <v>0.25970886414738314</v>
      </c>
      <c r="K115" s="15"/>
      <c r="L115" s="20">
        <f>+D115-H115</f>
        <v>-44138.609999999986</v>
      </c>
      <c r="M115" s="15"/>
      <c r="N115" s="21">
        <f>IF(H115=0,0,L115/H115)</f>
        <v>-3.9831078062888827</v>
      </c>
      <c r="O115" s="26"/>
      <c r="P115" s="20">
        <f>+P57-P59+P110</f>
        <v>430439.55999999976</v>
      </c>
      <c r="Q115" s="13"/>
      <c r="R115" s="21">
        <f>IF(P$12=0,0,P115/P$12)</f>
        <v>0.27847440046539762</v>
      </c>
      <c r="S115" s="13"/>
      <c r="T115" s="20">
        <f>+T57-T59+T110</f>
        <v>742958.0200000006</v>
      </c>
      <c r="U115" s="13"/>
      <c r="V115" s="21">
        <f>IF(T$12=0,0,T115/T$12)</f>
        <v>0.25955813428769314</v>
      </c>
      <c r="W115" s="15"/>
      <c r="X115" s="20">
        <f>+P115-T115</f>
        <v>-312518.46000000084</v>
      </c>
      <c r="Y115" s="15"/>
      <c r="Z115" s="21">
        <f>IF(T115=0,0,X115/T115)</f>
        <v>-0.42064080551953742</v>
      </c>
    </row>
    <row r="116" spans="1:26" x14ac:dyDescent="0.25">
      <c r="A116" s="9"/>
      <c r="B116" s="10"/>
      <c r="C116" s="9"/>
      <c r="D116" s="3"/>
      <c r="E116" s="3"/>
      <c r="F116" s="8"/>
      <c r="G116" s="3"/>
      <c r="H116" s="3"/>
      <c r="I116" s="3"/>
      <c r="J116" s="8"/>
      <c r="K116" s="3"/>
      <c r="L116" s="3"/>
      <c r="M116" s="3"/>
      <c r="N116" s="8"/>
      <c r="P116" s="3"/>
      <c r="Q116" s="3"/>
      <c r="R116" s="8"/>
      <c r="S116" s="3"/>
      <c r="T116" s="3"/>
      <c r="U116" s="3"/>
      <c r="V116" s="8"/>
      <c r="W116" s="3"/>
      <c r="X116" s="3"/>
      <c r="Y116" s="3"/>
      <c r="Z116" s="8"/>
    </row>
    <row r="117" spans="1:26" s="23" customFormat="1" x14ac:dyDescent="0.25">
      <c r="A117" s="51"/>
      <c r="B117" s="10" t="s">
        <v>13</v>
      </c>
      <c r="C117" s="10"/>
      <c r="D117" s="4">
        <v>54816.07</v>
      </c>
      <c r="E117" s="4"/>
      <c r="F117" s="12">
        <f>IF(D$12=0,0,D117/D$12)</f>
        <v>1.6035949196155779</v>
      </c>
      <c r="G117" s="4"/>
      <c r="H117" s="4">
        <v>-14739.98</v>
      </c>
      <c r="I117" s="4"/>
      <c r="J117" s="12">
        <f>IF(H$12=0,0,H117/H$12)</f>
        <v>-0.3454514944664408</v>
      </c>
      <c r="K117" s="4"/>
      <c r="L117" s="4">
        <f>+D117-H117</f>
        <v>69556.05</v>
      </c>
      <c r="M117" s="4"/>
      <c r="N117" s="12">
        <f>IF(H117=0,0,L117/H117)</f>
        <v>-4.7188700391723737</v>
      </c>
      <c r="O117" s="10"/>
      <c r="P117" s="4">
        <v>334833.21000000002</v>
      </c>
      <c r="Q117" s="4"/>
      <c r="R117" s="12">
        <f>IF(P$12=0,0,P117/P$12)</f>
        <v>0.21662153313848437</v>
      </c>
      <c r="S117" s="4"/>
      <c r="T117" s="4">
        <v>288136.03000000003</v>
      </c>
      <c r="U117" s="4"/>
      <c r="V117" s="12">
        <f>IF(T$12=0,0,T117/T$12)</f>
        <v>0.10066255206163967</v>
      </c>
      <c r="W117" s="4"/>
      <c r="X117" s="4">
        <f>+P117-T117</f>
        <v>46697.179999999993</v>
      </c>
      <c r="Y117" s="4"/>
      <c r="Z117" s="12">
        <f>IF(T117=0,0,X117/T117)</f>
        <v>0.16206643785575858</v>
      </c>
    </row>
    <row r="118" spans="1:26" x14ac:dyDescent="0.25">
      <c r="A118" s="9"/>
      <c r="B118" s="10"/>
      <c r="C118" s="10"/>
      <c r="D118" s="3"/>
      <c r="E118" s="3"/>
      <c r="F118" s="8"/>
      <c r="G118" s="3"/>
      <c r="H118" s="3"/>
      <c r="I118" s="3"/>
      <c r="J118" s="8"/>
      <c r="K118" s="3"/>
      <c r="L118" s="3"/>
      <c r="M118" s="3"/>
      <c r="N118" s="8"/>
      <c r="O118" s="10"/>
      <c r="P118" s="3"/>
      <c r="Q118" s="3"/>
      <c r="R118" s="8"/>
      <c r="S118" s="3"/>
      <c r="T118" s="3"/>
      <c r="U118" s="3"/>
      <c r="V118" s="8"/>
      <c r="W118" s="3"/>
      <c r="X118" s="3"/>
      <c r="Y118" s="3"/>
      <c r="Z118" s="8"/>
    </row>
    <row r="119" spans="1:26" s="23" customFormat="1" ht="15.75" thickBot="1" x14ac:dyDescent="0.3">
      <c r="A119" s="10"/>
      <c r="B119" s="25" t="s">
        <v>4</v>
      </c>
      <c r="C119" s="25"/>
      <c r="D119" s="30">
        <f>+D115-D117</f>
        <v>-87873.229999999981</v>
      </c>
      <c r="E119" s="13"/>
      <c r="F119" s="33">
        <f>IF(D$12=0,0,D119/D$12)</f>
        <v>-2.5706524600944785</v>
      </c>
      <c r="G119" s="13"/>
      <c r="H119" s="30">
        <f>+H115-H117</f>
        <v>25821.430000000011</v>
      </c>
      <c r="I119" s="13"/>
      <c r="J119" s="33">
        <f>IF(H$12=0,0,H119/H$12)</f>
        <v>0.60516035861382389</v>
      </c>
      <c r="K119" s="15"/>
      <c r="L119" s="30">
        <f>D119-H119</f>
        <v>-113694.65999999999</v>
      </c>
      <c r="M119" s="15"/>
      <c r="N119" s="33">
        <f>IF(H119=0,0,L119/H119)</f>
        <v>-4.403112453493085</v>
      </c>
      <c r="O119" s="26"/>
      <c r="P119" s="30">
        <f>+P115-P117</f>
        <v>95606.349999999744</v>
      </c>
      <c r="Q119" s="13"/>
      <c r="R119" s="33">
        <f>IF(P$12=0,0,P119/P$12)</f>
        <v>6.1852867326913238E-2</v>
      </c>
      <c r="S119" s="13"/>
      <c r="T119" s="30">
        <f>+T115-T117</f>
        <v>454821.99000000057</v>
      </c>
      <c r="U119" s="13"/>
      <c r="V119" s="33">
        <f>IF(T$12=0,0,T119/T$12)</f>
        <v>0.15889558222605346</v>
      </c>
      <c r="W119" s="15"/>
      <c r="X119" s="30">
        <f>P119-T119</f>
        <v>-359215.64000000083</v>
      </c>
      <c r="Y119" s="15"/>
      <c r="Z119" s="33">
        <f>IF(T119=0,0,X119/T119)</f>
        <v>-0.78979391475772831</v>
      </c>
    </row>
    <row r="120" spans="1:26" ht="15.75" thickTop="1" x14ac:dyDescent="0.25">
      <c r="A120" s="9"/>
      <c r="B120" s="9"/>
      <c r="C120" s="9"/>
      <c r="D120" s="3"/>
      <c r="E120" s="3"/>
      <c r="F120" s="8"/>
      <c r="G120" s="3"/>
      <c r="H120" s="3"/>
      <c r="I120" s="3"/>
      <c r="J120" s="8"/>
      <c r="K120" s="3"/>
      <c r="L120" s="3"/>
      <c r="M120" s="3"/>
      <c r="N120" s="8"/>
      <c r="P120" s="3"/>
      <c r="Q120" s="3"/>
      <c r="R120" s="8"/>
      <c r="S120" s="3"/>
      <c r="T120" s="3"/>
      <c r="U120" s="3"/>
      <c r="V120" s="8"/>
      <c r="W120" s="3"/>
      <c r="X120" s="3"/>
      <c r="Y120" s="3"/>
      <c r="Z120" s="8"/>
    </row>
    <row r="121" spans="1:26" x14ac:dyDescent="0.25">
      <c r="A121" s="9"/>
      <c r="B121" s="9"/>
      <c r="C121" s="9"/>
      <c r="D121" s="3"/>
      <c r="E121" s="3"/>
      <c r="F121" s="8"/>
      <c r="G121" s="3"/>
      <c r="H121" s="3"/>
      <c r="I121" s="3"/>
      <c r="J121" s="8"/>
      <c r="K121" s="3"/>
      <c r="L121" s="3"/>
      <c r="M121" s="3"/>
      <c r="N121" s="8"/>
      <c r="P121" s="3"/>
      <c r="Q121" s="3"/>
      <c r="R121" s="8"/>
      <c r="S121" s="3"/>
      <c r="T121" s="3"/>
      <c r="U121" s="3"/>
      <c r="V121" s="8"/>
      <c r="W121" s="3"/>
      <c r="X121" s="3"/>
      <c r="Y121" s="3"/>
      <c r="Z121" s="8"/>
    </row>
    <row r="122" spans="1:26" s="23" customFormat="1" ht="15.75" thickBot="1" x14ac:dyDescent="0.3">
      <c r="A122" s="10"/>
      <c r="B122" s="25" t="s">
        <v>5</v>
      </c>
      <c r="C122" s="25"/>
      <c r="D122" s="34">
        <f>SUM(D119:D121)</f>
        <v>-87873.229999999981</v>
      </c>
      <c r="E122" s="13"/>
      <c r="F122" s="35">
        <f>IF(D$12=0,0,D122/D$12)</f>
        <v>-2.5706524600944785</v>
      </c>
      <c r="G122" s="13"/>
      <c r="H122" s="34">
        <f>SUM(H119:H121)</f>
        <v>25821.430000000011</v>
      </c>
      <c r="I122" s="13"/>
      <c r="J122" s="35">
        <f>IF(H$12=0,0,H122/H$12)</f>
        <v>0.60516035861382389</v>
      </c>
      <c r="K122" s="15"/>
      <c r="L122" s="34">
        <f>+D122-H122</f>
        <v>-113694.65999999999</v>
      </c>
      <c r="M122" s="15"/>
      <c r="N122" s="35">
        <f>IF(H122=0,0,L122/H122)</f>
        <v>-4.403112453493085</v>
      </c>
      <c r="O122" s="26"/>
      <c r="P122" s="34">
        <f>SUM(P119:P121)</f>
        <v>95606.349999999744</v>
      </c>
      <c r="Q122" s="13"/>
      <c r="R122" s="35">
        <f>IF(P$12=0,0,P122/P$12)</f>
        <v>6.1852867326913238E-2</v>
      </c>
      <c r="S122" s="13"/>
      <c r="T122" s="34">
        <f>SUM(T119:T121)</f>
        <v>454821.99000000057</v>
      </c>
      <c r="U122" s="13"/>
      <c r="V122" s="35">
        <f>IF(T$12=0,0,T122/T$12)</f>
        <v>0.15889558222605346</v>
      </c>
      <c r="W122" s="15"/>
      <c r="X122" s="34">
        <f>+P122-T122</f>
        <v>-359215.64000000083</v>
      </c>
      <c r="Y122" s="15"/>
      <c r="Z122" s="35">
        <f>IF(T122=0,0,X122/T122)</f>
        <v>-0.78979391475772831</v>
      </c>
    </row>
    <row r="123" spans="1:26" ht="15.75" thickTop="1" x14ac:dyDescent="0.25">
      <c r="A123" s="9"/>
      <c r="C123" s="9"/>
      <c r="D123" s="18"/>
      <c r="E123" s="18"/>
      <c r="G123" s="18"/>
      <c r="H123" s="18"/>
      <c r="I123" s="18"/>
      <c r="J123" s="43"/>
      <c r="K123" s="18"/>
      <c r="L123" s="18"/>
      <c r="M123" s="18"/>
      <c r="P123" s="18"/>
      <c r="Q123" s="18"/>
      <c r="R123" s="43"/>
      <c r="S123" s="18"/>
      <c r="T123" s="18"/>
      <c r="U123" s="18"/>
      <c r="V123" s="43"/>
      <c r="W123" s="18"/>
      <c r="X123" s="18"/>
    </row>
    <row r="124" spans="1:26" x14ac:dyDescent="0.25">
      <c r="A124" s="9"/>
      <c r="B124" s="56">
        <v>44151.571948842589</v>
      </c>
      <c r="D124" s="18"/>
      <c r="E124" s="18"/>
      <c r="G124" s="18"/>
      <c r="H124" s="18"/>
      <c r="I124" s="18"/>
      <c r="J124" s="43"/>
      <c r="K124" s="18"/>
      <c r="L124" s="18"/>
      <c r="M124" s="18"/>
      <c r="P124" s="18"/>
      <c r="Q124" s="18"/>
      <c r="R124" s="43"/>
      <c r="S124" s="18"/>
      <c r="T124" s="18"/>
      <c r="U124" s="18"/>
      <c r="V124" s="43"/>
      <c r="W124" s="18"/>
      <c r="X124" s="18"/>
    </row>
    <row r="125" spans="1:26" x14ac:dyDescent="0.25">
      <c r="A125" s="9"/>
      <c r="B125" s="62" t="s">
        <v>313</v>
      </c>
      <c r="D125" s="18"/>
      <c r="E125" s="18"/>
      <c r="G125" s="18"/>
      <c r="H125" s="18"/>
      <c r="I125" s="18"/>
      <c r="J125" s="43"/>
      <c r="K125" s="18"/>
      <c r="L125" s="18"/>
      <c r="M125" s="18"/>
      <c r="P125" s="18"/>
      <c r="Q125" s="18"/>
      <c r="R125" s="43"/>
      <c r="S125" s="18"/>
      <c r="T125" s="18"/>
      <c r="U125" s="18"/>
      <c r="V125" s="43"/>
      <c r="W125" s="18"/>
      <c r="X125" s="18"/>
    </row>
    <row r="126" spans="1:26" x14ac:dyDescent="0.25">
      <c r="A126" s="9"/>
      <c r="B126" s="54"/>
      <c r="D126" s="18"/>
      <c r="E126" s="18"/>
      <c r="G126" s="18"/>
      <c r="H126" s="18"/>
      <c r="I126" s="18"/>
      <c r="J126" s="43"/>
      <c r="K126" s="18"/>
      <c r="L126" s="18"/>
      <c r="M126" s="18"/>
      <c r="P126" s="18"/>
      <c r="Q126" s="18"/>
      <c r="R126" s="43"/>
      <c r="S126" s="18"/>
      <c r="T126" s="18"/>
      <c r="U126" s="18"/>
      <c r="V126" s="43"/>
      <c r="W126" s="18"/>
      <c r="X126" s="18"/>
    </row>
    <row r="127" spans="1:26" x14ac:dyDescent="0.25">
      <c r="D127" s="18"/>
      <c r="E127" s="18"/>
      <c r="G127" s="18"/>
      <c r="H127" s="18"/>
      <c r="I127" s="18"/>
      <c r="J127" s="43"/>
      <c r="K127" s="18"/>
      <c r="L127" s="18"/>
      <c r="M127" s="18"/>
      <c r="P127" s="18"/>
      <c r="Q127" s="18"/>
      <c r="R127" s="43"/>
      <c r="S127" s="18"/>
      <c r="T127" s="18"/>
      <c r="U127" s="18"/>
      <c r="V127" s="43"/>
      <c r="W127" s="18"/>
      <c r="X127" s="18"/>
    </row>
  </sheetData>
  <pageMargins left="0.25" right="0.25" top="0.75" bottom="0.75" header="0.3" footer="0.3"/>
  <pageSetup scale="55" fitToWidth="2" orientation="landscape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2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",RIGHT(202104,2),", ",2021)</f>
        <v>Period 04,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44135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","311", " - ", "Textbooks")</f>
        <v>Department 311 - Textbooks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61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50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50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2"/>
      <c r="F10" s="31" t="s">
        <v>14</v>
      </c>
      <c r="G10" s="32"/>
      <c r="H10" s="49" t="s">
        <v>306</v>
      </c>
      <c r="I10" s="32"/>
      <c r="J10" s="31" t="s">
        <v>14</v>
      </c>
      <c r="K10" s="10"/>
      <c r="L10" s="42" t="s">
        <v>11</v>
      </c>
      <c r="M10" s="10"/>
      <c r="N10" s="31" t="s">
        <v>15</v>
      </c>
      <c r="O10" s="10"/>
      <c r="P10" s="59" t="s">
        <v>10</v>
      </c>
      <c r="Q10" s="32"/>
      <c r="R10" s="31" t="s">
        <v>14</v>
      </c>
      <c r="S10" s="32"/>
      <c r="T10" s="49" t="s">
        <v>306</v>
      </c>
      <c r="U10" s="32"/>
      <c r="V10" s="31" t="s">
        <v>14</v>
      </c>
      <c r="W10" s="10"/>
      <c r="X10" s="42" t="s">
        <v>11</v>
      </c>
      <c r="Y10" s="10"/>
      <c r="Z10" s="31" t="s">
        <v>15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31874.179999999997</v>
      </c>
      <c r="E12" s="4"/>
      <c r="F12" s="12"/>
      <c r="G12" s="4"/>
      <c r="H12" s="4">
        <f>SUM(OSRRefH13x_0)</f>
        <v>31429.559999999998</v>
      </c>
      <c r="I12" s="4"/>
      <c r="J12" s="12"/>
      <c r="K12" s="4"/>
      <c r="L12" s="4">
        <f t="shared" ref="L12:L39" si="0">+D12-H12</f>
        <v>444.61999999999898</v>
      </c>
      <c r="M12" s="4"/>
      <c r="N12" s="12">
        <f t="shared" ref="N12:N39" si="1">IF(H12=0,0,L12/H12)</f>
        <v>1.4146555026541861E-2</v>
      </c>
      <c r="O12" s="10"/>
      <c r="P12" s="4">
        <f>SUM(OSRRefP13x_0)</f>
        <v>1075665.5799999996</v>
      </c>
      <c r="Q12" s="4"/>
      <c r="R12" s="12"/>
      <c r="S12" s="4"/>
      <c r="T12" s="4">
        <f>SUM(OSRRefT13x_0)</f>
        <v>1961109.7500000002</v>
      </c>
      <c r="U12" s="4"/>
      <c r="V12" s="12"/>
      <c r="W12" s="4"/>
      <c r="X12" s="4">
        <f t="shared" ref="X12:X39" si="2">+P12-T12</f>
        <v>-885444.17000000062</v>
      </c>
      <c r="Y12" s="4"/>
      <c r="Z12" s="12">
        <f t="shared" ref="Z12:Z39" si="3">IF(T12=0,0,X12/T12)</f>
        <v>-0.45150158985237848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-1377.28</f>
        <v>-1377.28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-1377.28</v>
      </c>
      <c r="M13" s="2"/>
      <c r="N13" s="19">
        <f t="shared" si="1"/>
        <v>0</v>
      </c>
      <c r="O13" s="11"/>
      <c r="P13" s="2">
        <f>-6370.82</f>
        <v>-6370.82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-6370.82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--16356.63</f>
        <v>16356.63</v>
      </c>
      <c r="E14" s="2"/>
      <c r="F14" s="19"/>
      <c r="G14" s="2"/>
      <c r="H14" s="2">
        <f>--26539.62</f>
        <v>26539.62</v>
      </c>
      <c r="I14" s="2"/>
      <c r="J14" s="19"/>
      <c r="K14" s="2"/>
      <c r="L14" s="2">
        <f t="shared" si="0"/>
        <v>-10182.99</v>
      </c>
      <c r="M14" s="2"/>
      <c r="N14" s="19">
        <f t="shared" si="1"/>
        <v>-0.38369012065734176</v>
      </c>
      <c r="O14" s="11"/>
      <c r="P14" s="2">
        <f>--540098.61</f>
        <v>540098.61</v>
      </c>
      <c r="Q14" s="2"/>
      <c r="R14" s="19"/>
      <c r="S14" s="2"/>
      <c r="T14" s="2">
        <f>--1238789.43</f>
        <v>1238789.43</v>
      </c>
      <c r="U14" s="2"/>
      <c r="V14" s="19"/>
      <c r="W14" s="2"/>
      <c r="X14" s="2">
        <f t="shared" si="2"/>
        <v>-698690.82</v>
      </c>
      <c r="Y14" s="2"/>
      <c r="Z14" s="19">
        <f t="shared" si="3"/>
        <v>-0.56401096350975488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--1584.65</f>
        <v>1584.65</v>
      </c>
      <c r="E15" s="2"/>
      <c r="F15" s="19"/>
      <c r="G15" s="2"/>
      <c r="H15" s="2">
        <f>--6125.2</f>
        <v>6125.2</v>
      </c>
      <c r="I15" s="2"/>
      <c r="J15" s="19"/>
      <c r="K15" s="2"/>
      <c r="L15" s="2">
        <f t="shared" si="0"/>
        <v>-4540.5499999999993</v>
      </c>
      <c r="M15" s="2"/>
      <c r="N15" s="19">
        <f t="shared" si="1"/>
        <v>-0.74129008032390764</v>
      </c>
      <c r="O15" s="11"/>
      <c r="P15" s="2">
        <f>--185807.84</f>
        <v>185807.84</v>
      </c>
      <c r="Q15" s="2"/>
      <c r="R15" s="19"/>
      <c r="S15" s="2"/>
      <c r="T15" s="2">
        <f>--356762.65</f>
        <v>356762.65</v>
      </c>
      <c r="U15" s="2"/>
      <c r="V15" s="19"/>
      <c r="W15" s="2"/>
      <c r="X15" s="2">
        <f t="shared" si="2"/>
        <v>-170954.81000000003</v>
      </c>
      <c r="Y15" s="2"/>
      <c r="Z15" s="19">
        <f t="shared" si="3"/>
        <v>-0.47918359727398596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--70</f>
        <v>70</v>
      </c>
      <c r="E16" s="2"/>
      <c r="F16" s="19"/>
      <c r="G16" s="2"/>
      <c r="H16" s="2">
        <f>--307.97</f>
        <v>307.97000000000003</v>
      </c>
      <c r="I16" s="2"/>
      <c r="J16" s="19"/>
      <c r="K16" s="2"/>
      <c r="L16" s="2">
        <f t="shared" si="0"/>
        <v>-237.97000000000003</v>
      </c>
      <c r="M16" s="2"/>
      <c r="N16" s="19">
        <f t="shared" si="1"/>
        <v>-0.77270513361691073</v>
      </c>
      <c r="O16" s="11"/>
      <c r="P16" s="2">
        <f>--10665.63</f>
        <v>10665.63</v>
      </c>
      <c r="Q16" s="2"/>
      <c r="R16" s="19"/>
      <c r="S16" s="2"/>
      <c r="T16" s="2">
        <f>--15844.66</f>
        <v>15844.66</v>
      </c>
      <c r="U16" s="2"/>
      <c r="V16" s="19"/>
      <c r="W16" s="2"/>
      <c r="X16" s="2">
        <f t="shared" si="2"/>
        <v>-5179.0300000000007</v>
      </c>
      <c r="Y16" s="2"/>
      <c r="Z16" s="19">
        <f t="shared" si="3"/>
        <v>-0.32686280425076969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>--354.45</f>
        <v>354.45</v>
      </c>
      <c r="E17" s="2"/>
      <c r="F17" s="19"/>
      <c r="G17" s="2"/>
      <c r="H17" s="2">
        <f>--460.04</f>
        <v>460.04</v>
      </c>
      <c r="I17" s="2"/>
      <c r="J17" s="19"/>
      <c r="K17" s="2"/>
      <c r="L17" s="2">
        <f t="shared" si="0"/>
        <v>-105.59000000000003</v>
      </c>
      <c r="M17" s="2"/>
      <c r="N17" s="19">
        <f t="shared" si="1"/>
        <v>-0.22952351969393972</v>
      </c>
      <c r="O17" s="11"/>
      <c r="P17" s="2">
        <f>--2459.56</f>
        <v>2459.56</v>
      </c>
      <c r="Q17" s="2"/>
      <c r="R17" s="19"/>
      <c r="S17" s="2"/>
      <c r="T17" s="2">
        <f>--30160.48</f>
        <v>30160.48</v>
      </c>
      <c r="U17" s="2"/>
      <c r="V17" s="19"/>
      <c r="W17" s="2"/>
      <c r="X17" s="2">
        <f t="shared" si="2"/>
        <v>-27700.92</v>
      </c>
      <c r="Y17" s="2"/>
      <c r="Z17" s="19">
        <f t="shared" si="3"/>
        <v>-0.91845089998567653</v>
      </c>
    </row>
    <row r="18" spans="1:26" s="24" customFormat="1" hidden="1" outlineLevel="1" x14ac:dyDescent="0.25">
      <c r="A18" s="44"/>
      <c r="B18" s="11" t="str">
        <f>CONCATENATE("          ", "4011", " - ", "TAXABLE SALES-NO VALUE TEXT")</f>
        <v xml:space="preserve">          4011 - TAXABLE SALES-NO VALUE TEXT</v>
      </c>
      <c r="C18" s="11"/>
      <c r="D18" s="2">
        <f>0</f>
        <v>0</v>
      </c>
      <c r="E18" s="2"/>
      <c r="F18" s="19"/>
      <c r="G18" s="2"/>
      <c r="H18" s="2">
        <f>0</f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0</f>
        <v>0</v>
      </c>
      <c r="Q18" s="2"/>
      <c r="R18" s="19"/>
      <c r="S18" s="2"/>
      <c r="T18" s="2">
        <f>--9.6</f>
        <v>9.6</v>
      </c>
      <c r="U18" s="2"/>
      <c r="V18" s="19"/>
      <c r="W18" s="2"/>
      <c r="X18" s="2">
        <f t="shared" si="2"/>
        <v>-9.6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"4013", " - ", "TAXABLE SALES-TRADE BOOKS")</f>
        <v xml:space="preserve">          4013 - TAXABLE SALES-TRADE BOOKS</v>
      </c>
      <c r="C19" s="11"/>
      <c r="D19" s="2">
        <f>--157.47</f>
        <v>157.47</v>
      </c>
      <c r="E19" s="2"/>
      <c r="F19" s="19"/>
      <c r="G19" s="2"/>
      <c r="H19" s="2">
        <f>--686.63</f>
        <v>686.63</v>
      </c>
      <c r="I19" s="2"/>
      <c r="J19" s="19"/>
      <c r="K19" s="2"/>
      <c r="L19" s="2">
        <f t="shared" si="0"/>
        <v>-529.16</v>
      </c>
      <c r="M19" s="2"/>
      <c r="N19" s="19">
        <f t="shared" si="1"/>
        <v>-0.77066251110496187</v>
      </c>
      <c r="O19" s="11"/>
      <c r="P19" s="2">
        <f>--197.37</f>
        <v>197.37</v>
      </c>
      <c r="Q19" s="2"/>
      <c r="R19" s="19"/>
      <c r="S19" s="2"/>
      <c r="T19" s="2">
        <f>--827.39</f>
        <v>827.39</v>
      </c>
      <c r="U19" s="2"/>
      <c r="V19" s="19"/>
      <c r="W19" s="2"/>
      <c r="X19" s="2">
        <f t="shared" si="2"/>
        <v>-630.02</v>
      </c>
      <c r="Y19" s="2"/>
      <c r="Z19" s="19">
        <f t="shared" si="3"/>
        <v>-0.76145469488391204</v>
      </c>
    </row>
    <row r="20" spans="1:26" s="24" customFormat="1" hidden="1" outlineLevel="1" x14ac:dyDescent="0.25">
      <c r="A20" s="44"/>
      <c r="B20" s="11" t="str">
        <f>CONCATENATE("          ", "4014", " - ", "TAXABLE SALES-REMAINDERS")</f>
        <v xml:space="preserve">          4014 - TAXABLE SALES-REMAINDERS</v>
      </c>
      <c r="C20" s="11"/>
      <c r="D20" s="2">
        <f>--35.8</f>
        <v>35.799999999999997</v>
      </c>
      <c r="E20" s="2"/>
      <c r="F20" s="19"/>
      <c r="G20" s="2"/>
      <c r="H20" s="2">
        <f>--171.13</f>
        <v>171.13</v>
      </c>
      <c r="I20" s="2"/>
      <c r="J20" s="19"/>
      <c r="K20" s="2"/>
      <c r="L20" s="2">
        <f t="shared" si="0"/>
        <v>-135.32999999999998</v>
      </c>
      <c r="M20" s="2"/>
      <c r="N20" s="19">
        <f t="shared" si="1"/>
        <v>-0.79080231403026935</v>
      </c>
      <c r="O20" s="11"/>
      <c r="P20" s="2">
        <f>--340.24</f>
        <v>340.24</v>
      </c>
      <c r="Q20" s="2"/>
      <c r="R20" s="19"/>
      <c r="S20" s="2"/>
      <c r="T20" s="2">
        <f>--694.22</f>
        <v>694.22</v>
      </c>
      <c r="U20" s="2"/>
      <c r="V20" s="19"/>
      <c r="W20" s="2"/>
      <c r="X20" s="2">
        <f t="shared" si="2"/>
        <v>-353.98</v>
      </c>
      <c r="Y20" s="2"/>
      <c r="Z20" s="19">
        <f t="shared" si="3"/>
        <v>-0.50989599838667854</v>
      </c>
    </row>
    <row r="21" spans="1:26" s="24" customFormat="1" hidden="1" outlineLevel="1" x14ac:dyDescent="0.25">
      <c r="A21" s="44"/>
      <c r="B21" s="11" t="str">
        <f>CONCATENATE("          ", "4018", " - ", "TAXABLE SALES-STUDY GUIDES")</f>
        <v xml:space="preserve">          4018 - TAXABLE SALES-STUDY GUIDES</v>
      </c>
      <c r="C21" s="11"/>
      <c r="D21" s="2">
        <f>0</f>
        <v>0</v>
      </c>
      <c r="E21" s="2"/>
      <c r="F21" s="19"/>
      <c r="G21" s="2"/>
      <c r="H21" s="2">
        <f>--394.68</f>
        <v>394.68</v>
      </c>
      <c r="I21" s="2"/>
      <c r="J21" s="19"/>
      <c r="K21" s="2"/>
      <c r="L21" s="2">
        <f t="shared" si="0"/>
        <v>-394.68</v>
      </c>
      <c r="M21" s="2"/>
      <c r="N21" s="19">
        <f t="shared" si="1"/>
        <v>-1</v>
      </c>
      <c r="O21" s="11"/>
      <c r="P21" s="2">
        <f>--183.89</f>
        <v>183.89</v>
      </c>
      <c r="Q21" s="2"/>
      <c r="R21" s="19"/>
      <c r="S21" s="2"/>
      <c r="T21" s="2">
        <f>--2454.83</f>
        <v>2454.83</v>
      </c>
      <c r="U21" s="2"/>
      <c r="V21" s="19"/>
      <c r="W21" s="2"/>
      <c r="X21" s="2">
        <f t="shared" si="2"/>
        <v>-2270.94</v>
      </c>
      <c r="Y21" s="2"/>
      <c r="Z21" s="19">
        <f t="shared" si="3"/>
        <v>-0.92509053580084977</v>
      </c>
    </row>
    <row r="22" spans="1:26" s="24" customFormat="1" hidden="1" outlineLevel="1" x14ac:dyDescent="0.25">
      <c r="A22" s="44"/>
      <c r="B22" s="11" t="str">
        <f>CONCATENATE("          ", "4101", " - ", "NON-TAXABLE SALES-NEW TEXT")</f>
        <v xml:space="preserve">          4101 - NON-TAXABLE SALES-NEW TEXT</v>
      </c>
      <c r="C22" s="11"/>
      <c r="D22" s="2">
        <f>--7260.05</f>
        <v>7260.05</v>
      </c>
      <c r="E22" s="2"/>
      <c r="F22" s="19"/>
      <c r="G22" s="2"/>
      <c r="H22" s="2">
        <f>--8438.54</f>
        <v>8438.5400000000009</v>
      </c>
      <c r="I22" s="2"/>
      <c r="J22" s="19"/>
      <c r="K22" s="2"/>
      <c r="L22" s="2">
        <f t="shared" si="0"/>
        <v>-1178.4900000000007</v>
      </c>
      <c r="M22" s="2"/>
      <c r="N22" s="19">
        <f t="shared" si="1"/>
        <v>-0.13965567503383294</v>
      </c>
      <c r="O22" s="11"/>
      <c r="P22" s="2">
        <f>--77664.89</f>
        <v>77664.89</v>
      </c>
      <c r="Q22" s="2"/>
      <c r="R22" s="19"/>
      <c r="S22" s="2"/>
      <c r="T22" s="2">
        <f>--92331.09</f>
        <v>92331.09</v>
      </c>
      <c r="U22" s="2"/>
      <c r="V22" s="19"/>
      <c r="W22" s="2"/>
      <c r="X22" s="2">
        <f t="shared" si="2"/>
        <v>-14666.199999999997</v>
      </c>
      <c r="Y22" s="2"/>
      <c r="Z22" s="19">
        <f t="shared" si="3"/>
        <v>-0.15884357045931113</v>
      </c>
    </row>
    <row r="23" spans="1:26" s="24" customFormat="1" hidden="1" outlineLevel="1" x14ac:dyDescent="0.25">
      <c r="A23" s="44"/>
      <c r="B23" s="11" t="str">
        <f>CONCATENATE("          ", "4102", " - ", "NON-TAXABLE SALES-USED TEXT")</f>
        <v xml:space="preserve">          4102 - NON-TAXABLE SALES-USED TEXT</v>
      </c>
      <c r="C23" s="11"/>
      <c r="D23" s="2">
        <f>--2341.65</f>
        <v>2341.65</v>
      </c>
      <c r="E23" s="2"/>
      <c r="F23" s="19"/>
      <c r="G23" s="2"/>
      <c r="H23" s="2">
        <f>--578.81</f>
        <v>578.80999999999995</v>
      </c>
      <c r="I23" s="2"/>
      <c r="J23" s="19"/>
      <c r="K23" s="2"/>
      <c r="L23" s="2">
        <f t="shared" si="0"/>
        <v>1762.8400000000001</v>
      </c>
      <c r="M23" s="2"/>
      <c r="N23" s="19">
        <f t="shared" si="1"/>
        <v>3.0456280990307705</v>
      </c>
      <c r="O23" s="11"/>
      <c r="P23" s="2">
        <f>--32712.47</f>
        <v>32712.47</v>
      </c>
      <c r="Q23" s="2"/>
      <c r="R23" s="19"/>
      <c r="S23" s="2"/>
      <c r="T23" s="2">
        <f>--37022.32</f>
        <v>37022.32</v>
      </c>
      <c r="U23" s="2"/>
      <c r="V23" s="19"/>
      <c r="W23" s="2"/>
      <c r="X23" s="2">
        <f t="shared" si="2"/>
        <v>-4309.8499999999985</v>
      </c>
      <c r="Y23" s="2"/>
      <c r="Z23" s="19">
        <f t="shared" si="3"/>
        <v>-0.11641220755479394</v>
      </c>
    </row>
    <row r="24" spans="1:26" s="24" customFormat="1" hidden="1" outlineLevel="1" x14ac:dyDescent="0.25">
      <c r="A24" s="44"/>
      <c r="B24" s="11" t="str">
        <f>CONCATENATE("          ", "4103", " - ", "NON-TAXABLE SALES-RENTAL TEXT")</f>
        <v xml:space="preserve">          4103 - NON-TAXABLE SALES-RENTAL TEXT</v>
      </c>
      <c r="C24" s="11"/>
      <c r="D24" s="2">
        <f>0</f>
        <v>0</v>
      </c>
      <c r="E24" s="2"/>
      <c r="F24" s="19"/>
      <c r="G24" s="2"/>
      <c r="H24" s="2">
        <f>0</f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--284.97</f>
        <v>284.97000000000003</v>
      </c>
      <c r="Q24" s="2"/>
      <c r="R24" s="19"/>
      <c r="S24" s="2"/>
      <c r="T24" s="2">
        <f>--329.98</f>
        <v>329.98</v>
      </c>
      <c r="U24" s="2"/>
      <c r="V24" s="19"/>
      <c r="W24" s="2"/>
      <c r="X24" s="2">
        <f t="shared" si="2"/>
        <v>-45.009999999999991</v>
      </c>
      <c r="Y24" s="2"/>
      <c r="Z24" s="19">
        <f t="shared" si="3"/>
        <v>-0.13640220619431478</v>
      </c>
    </row>
    <row r="25" spans="1:26" s="24" customFormat="1" hidden="1" outlineLevel="1" x14ac:dyDescent="0.25">
      <c r="A25" s="44"/>
      <c r="B25" s="11" t="str">
        <f>CONCATENATE("          ", "4104", " - ", "NON-TAXABLE SALES-DIGITAL TEXT")</f>
        <v xml:space="preserve">          4104 - NON-TAXABLE SALES-DIGITAL TEXT</v>
      </c>
      <c r="C25" s="11"/>
      <c r="D25" s="2">
        <f>--6767.67</f>
        <v>6767.67</v>
      </c>
      <c r="E25" s="2"/>
      <c r="F25" s="19"/>
      <c r="G25" s="2"/>
      <c r="H25" s="2">
        <f>--1559.03</f>
        <v>1559.03</v>
      </c>
      <c r="I25" s="2"/>
      <c r="J25" s="19"/>
      <c r="K25" s="2"/>
      <c r="L25" s="2">
        <f t="shared" si="0"/>
        <v>5208.6400000000003</v>
      </c>
      <c r="M25" s="2"/>
      <c r="N25" s="19">
        <f t="shared" si="1"/>
        <v>3.3409491799388085</v>
      </c>
      <c r="O25" s="11"/>
      <c r="P25" s="2">
        <f>--293475.52</f>
        <v>293475.52</v>
      </c>
      <c r="Q25" s="2"/>
      <c r="R25" s="19"/>
      <c r="S25" s="2"/>
      <c r="T25" s="2">
        <f>--320492.85</f>
        <v>320492.84999999998</v>
      </c>
      <c r="U25" s="2"/>
      <c r="V25" s="19"/>
      <c r="W25" s="2"/>
      <c r="X25" s="2">
        <f t="shared" si="2"/>
        <v>-27017.329999999958</v>
      </c>
      <c r="Y25" s="2"/>
      <c r="Z25" s="19">
        <f t="shared" si="3"/>
        <v>-8.4299322122162665E-2</v>
      </c>
    </row>
    <row r="26" spans="1:26" s="24" customFormat="1" hidden="1" outlineLevel="1" x14ac:dyDescent="0.25">
      <c r="A26" s="44"/>
      <c r="B26" s="11" t="str">
        <f>CONCATENATE("          ", "4111", " - ", "NON-TAXABLE SALES-NO VALUE TEX")</f>
        <v xml:space="preserve">          4111 - NON-TAXABLE SALES-NO VALUE TEX</v>
      </c>
      <c r="C26" s="11"/>
      <c r="D26" s="2">
        <f>0</f>
        <v>0</v>
      </c>
      <c r="E26" s="2"/>
      <c r="F26" s="19"/>
      <c r="G26" s="2"/>
      <c r="H26" s="2">
        <f>--757.3</f>
        <v>757.3</v>
      </c>
      <c r="I26" s="2"/>
      <c r="J26" s="19"/>
      <c r="K26" s="2"/>
      <c r="L26" s="2">
        <f t="shared" si="0"/>
        <v>-757.3</v>
      </c>
      <c r="M26" s="2"/>
      <c r="N26" s="19">
        <f t="shared" si="1"/>
        <v>-1</v>
      </c>
      <c r="O26" s="11"/>
      <c r="P26" s="2">
        <f>0</f>
        <v>0</v>
      </c>
      <c r="Q26" s="2"/>
      <c r="R26" s="19"/>
      <c r="S26" s="2"/>
      <c r="T26" s="2">
        <f>--7099.47</f>
        <v>7099.47</v>
      </c>
      <c r="U26" s="2"/>
      <c r="V26" s="19"/>
      <c r="W26" s="2"/>
      <c r="X26" s="2">
        <f t="shared" si="2"/>
        <v>-7099.47</v>
      </c>
      <c r="Y26" s="2"/>
      <c r="Z26" s="19">
        <f t="shared" si="3"/>
        <v>-1</v>
      </c>
    </row>
    <row r="27" spans="1:26" s="24" customFormat="1" hidden="1" outlineLevel="1" x14ac:dyDescent="0.25">
      <c r="A27" s="44"/>
      <c r="B27" s="11" t="str">
        <f>CONCATENATE("          ", "4113", " - ", "NON-TAXABLE SALES-TRADE BOOKS")</f>
        <v xml:space="preserve">          4113 - NON-TAXABLE SALES-TRADE BOOKS</v>
      </c>
      <c r="C27" s="11"/>
      <c r="D27" s="2">
        <f>--1655.95</f>
        <v>1655.95</v>
      </c>
      <c r="E27" s="2"/>
      <c r="F27" s="19"/>
      <c r="G27" s="2"/>
      <c r="H27" s="2">
        <f t="shared" ref="H27:H28" si="4">0</f>
        <v>0</v>
      </c>
      <c r="I27" s="2"/>
      <c r="J27" s="19"/>
      <c r="K27" s="2"/>
      <c r="L27" s="2">
        <f t="shared" si="0"/>
        <v>1655.95</v>
      </c>
      <c r="M27" s="2"/>
      <c r="N27" s="19">
        <f t="shared" si="1"/>
        <v>0</v>
      </c>
      <c r="O27" s="11"/>
      <c r="P27" s="2">
        <f>--1655.95</f>
        <v>1655.95</v>
      </c>
      <c r="Q27" s="2"/>
      <c r="R27" s="19"/>
      <c r="S27" s="2"/>
      <c r="T27" s="2">
        <f>--1146.72</f>
        <v>1146.72</v>
      </c>
      <c r="U27" s="2"/>
      <c r="V27" s="19"/>
      <c r="W27" s="2"/>
      <c r="X27" s="2">
        <f t="shared" si="2"/>
        <v>509.23</v>
      </c>
      <c r="Y27" s="2"/>
      <c r="Z27" s="19">
        <f t="shared" si="3"/>
        <v>0.44407527556857823</v>
      </c>
    </row>
    <row r="28" spans="1:26" s="24" customFormat="1" hidden="1" outlineLevel="1" x14ac:dyDescent="0.25">
      <c r="A28" s="44"/>
      <c r="B28" s="11" t="str">
        <f>CONCATENATE("          ", "4118", " - ", "NON-TAXABLE SALES-STUDY GUIDES")</f>
        <v xml:space="preserve">          4118 - NON-TAXABLE SALES-STUDY GUIDES</v>
      </c>
      <c r="C28" s="11"/>
      <c r="D28" s="2">
        <f>--97.3</f>
        <v>97.3</v>
      </c>
      <c r="E28" s="2"/>
      <c r="F28" s="19"/>
      <c r="G28" s="2"/>
      <c r="H28" s="2">
        <f t="shared" si="4"/>
        <v>0</v>
      </c>
      <c r="I28" s="2"/>
      <c r="J28" s="19"/>
      <c r="K28" s="2"/>
      <c r="L28" s="2">
        <f t="shared" si="0"/>
        <v>97.3</v>
      </c>
      <c r="M28" s="2"/>
      <c r="N28" s="19">
        <f t="shared" si="1"/>
        <v>0</v>
      </c>
      <c r="O28" s="11"/>
      <c r="P28" s="2">
        <f>--205.63</f>
        <v>205.63</v>
      </c>
      <c r="Q28" s="2"/>
      <c r="R28" s="19"/>
      <c r="S28" s="2"/>
      <c r="T28" s="2">
        <f>--20.92</f>
        <v>20.92</v>
      </c>
      <c r="U28" s="2"/>
      <c r="V28" s="19"/>
      <c r="W28" s="2"/>
      <c r="X28" s="2">
        <f t="shared" si="2"/>
        <v>184.70999999999998</v>
      </c>
      <c r="Y28" s="2"/>
      <c r="Z28" s="19">
        <f t="shared" si="3"/>
        <v>8.829349904397704</v>
      </c>
    </row>
    <row r="29" spans="1:26" s="24" customFormat="1" hidden="1" outlineLevel="1" x14ac:dyDescent="0.25">
      <c r="A29" s="44"/>
      <c r="B29" s="11" t="str">
        <f>CONCATENATE("          ", "4201", " - ", "SALES RETURN TAXABLE-NEW TEXT")</f>
        <v xml:space="preserve">          4201 - SALES RETURN TAXABLE-NEW TEXT</v>
      </c>
      <c r="C29" s="11"/>
      <c r="D29" s="2">
        <f>-1512.25</f>
        <v>-1512.25</v>
      </c>
      <c r="E29" s="2"/>
      <c r="F29" s="19"/>
      <c r="G29" s="2"/>
      <c r="H29" s="2">
        <f>-4543.92</f>
        <v>-4543.92</v>
      </c>
      <c r="I29" s="2"/>
      <c r="J29" s="19"/>
      <c r="K29" s="2"/>
      <c r="L29" s="2">
        <f t="shared" si="0"/>
        <v>3031.67</v>
      </c>
      <c r="M29" s="2"/>
      <c r="N29" s="19">
        <f t="shared" si="1"/>
        <v>-0.66719264423669433</v>
      </c>
      <c r="O29" s="11"/>
      <c r="P29" s="2">
        <f>-33761.24</f>
        <v>-33761.24</v>
      </c>
      <c r="Q29" s="2"/>
      <c r="R29" s="19"/>
      <c r="S29" s="2"/>
      <c r="T29" s="2">
        <f>-77783.67</f>
        <v>-77783.67</v>
      </c>
      <c r="U29" s="2"/>
      <c r="V29" s="19"/>
      <c r="W29" s="2"/>
      <c r="X29" s="2">
        <f t="shared" si="2"/>
        <v>44022.43</v>
      </c>
      <c r="Y29" s="2"/>
      <c r="Z29" s="19">
        <f t="shared" si="3"/>
        <v>-0.56595979593145962</v>
      </c>
    </row>
    <row r="30" spans="1:26" s="24" customFormat="1" hidden="1" outlineLevel="1" x14ac:dyDescent="0.25">
      <c r="A30" s="44"/>
      <c r="B30" s="11" t="str">
        <f>CONCATENATE("          ", "4202", " - ", "SALES RETURN TAXABLE-USED TEXT")</f>
        <v xml:space="preserve">          4202 - SALES RETURN TAXABLE-USED TEXT</v>
      </c>
      <c r="C30" s="11"/>
      <c r="D30" s="2">
        <f>-136.05</f>
        <v>-136.05000000000001</v>
      </c>
      <c r="E30" s="2"/>
      <c r="F30" s="19"/>
      <c r="G30" s="2"/>
      <c r="H30" s="2">
        <f>-3577.9</f>
        <v>-3577.9</v>
      </c>
      <c r="I30" s="2"/>
      <c r="J30" s="19"/>
      <c r="K30" s="2"/>
      <c r="L30" s="2">
        <f t="shared" si="0"/>
        <v>3441.85</v>
      </c>
      <c r="M30" s="2"/>
      <c r="N30" s="19">
        <f t="shared" si="1"/>
        <v>-0.96197490147852083</v>
      </c>
      <c r="O30" s="11"/>
      <c r="P30" s="2">
        <f>-10529</f>
        <v>-10529</v>
      </c>
      <c r="Q30" s="2"/>
      <c r="R30" s="19"/>
      <c r="S30" s="2"/>
      <c r="T30" s="2">
        <f>-26929</f>
        <v>-26929</v>
      </c>
      <c r="U30" s="2"/>
      <c r="V30" s="19"/>
      <c r="W30" s="2"/>
      <c r="X30" s="2">
        <f t="shared" si="2"/>
        <v>16400</v>
      </c>
      <c r="Y30" s="2"/>
      <c r="Z30" s="19">
        <f t="shared" si="3"/>
        <v>-0.60900887519031532</v>
      </c>
    </row>
    <row r="31" spans="1:26" s="24" customFormat="1" hidden="1" outlineLevel="1" x14ac:dyDescent="0.25">
      <c r="A31" s="44"/>
      <c r="B31" s="11" t="str">
        <f>CONCATENATE("          ", "4203", " - ", "SALES RETURN TAXABLE-RENTAL TE")</f>
        <v xml:space="preserve">          4203 - SALES RETURN TAXABLE-RENTAL TE</v>
      </c>
      <c r="C31" s="11"/>
      <c r="D31" s="2">
        <f>0</f>
        <v>0</v>
      </c>
      <c r="E31" s="2"/>
      <c r="F31" s="19"/>
      <c r="G31" s="2"/>
      <c r="H31" s="2">
        <f>0</f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0</f>
        <v>0</v>
      </c>
      <c r="Q31" s="2"/>
      <c r="R31" s="19"/>
      <c r="S31" s="2"/>
      <c r="T31" s="2">
        <f>-144.99</f>
        <v>-144.99</v>
      </c>
      <c r="U31" s="2"/>
      <c r="V31" s="19"/>
      <c r="W31" s="2"/>
      <c r="X31" s="2">
        <f t="shared" si="2"/>
        <v>144.99</v>
      </c>
      <c r="Y31" s="2"/>
      <c r="Z31" s="19">
        <f t="shared" si="3"/>
        <v>-1</v>
      </c>
    </row>
    <row r="32" spans="1:26" s="24" customFormat="1" hidden="1" outlineLevel="1" x14ac:dyDescent="0.25">
      <c r="A32" s="44"/>
      <c r="B32" s="11" t="str">
        <f>CONCATENATE("          ", "4204", " - ", "SALES RETURN TAXABLE-DIGITAL T")</f>
        <v xml:space="preserve">          4204 - SALES RETURN TAXABLE-DIGITAL T</v>
      </c>
      <c r="C32" s="11"/>
      <c r="D32" s="2">
        <f>-383.9</f>
        <v>-383.9</v>
      </c>
      <c r="E32" s="2"/>
      <c r="F32" s="19"/>
      <c r="G32" s="2"/>
      <c r="H32" s="2">
        <f>-193.34</f>
        <v>-193.34</v>
      </c>
      <c r="I32" s="2"/>
      <c r="J32" s="19"/>
      <c r="K32" s="2"/>
      <c r="L32" s="2">
        <f t="shared" si="0"/>
        <v>-190.55999999999997</v>
      </c>
      <c r="M32" s="2"/>
      <c r="N32" s="19">
        <f t="shared" si="1"/>
        <v>0.98562118547636268</v>
      </c>
      <c r="O32" s="11"/>
      <c r="P32" s="2">
        <f>-1630.85</f>
        <v>-1630.85</v>
      </c>
      <c r="Q32" s="2"/>
      <c r="R32" s="19"/>
      <c r="S32" s="2"/>
      <c r="T32" s="2">
        <f>-11250.06</f>
        <v>-11250.06</v>
      </c>
      <c r="U32" s="2"/>
      <c r="V32" s="19"/>
      <c r="W32" s="2"/>
      <c r="X32" s="2">
        <f t="shared" si="2"/>
        <v>9619.2099999999991</v>
      </c>
      <c r="Y32" s="2"/>
      <c r="Z32" s="19">
        <f t="shared" si="3"/>
        <v>-0.85503632869513579</v>
      </c>
    </row>
    <row r="33" spans="1:26" s="24" customFormat="1" hidden="1" outlineLevel="1" x14ac:dyDescent="0.25">
      <c r="A33" s="44"/>
      <c r="B33" s="11" t="str">
        <f>CONCATENATE("          ", "4213", " - ", "NON-TAXABLE SALES-TRADE BOOKS")</f>
        <v xml:space="preserve">          4213 - NON-TAXABLE SALES-TRADE BOOKS</v>
      </c>
      <c r="C33" s="11"/>
      <c r="D33" s="2">
        <f t="shared" ref="D33:D34" si="5">0</f>
        <v>0</v>
      </c>
      <c r="E33" s="2"/>
      <c r="F33" s="19"/>
      <c r="G33" s="2"/>
      <c r="H33" s="2">
        <f>-35.37</f>
        <v>-35.369999999999997</v>
      </c>
      <c r="I33" s="2"/>
      <c r="J33" s="19"/>
      <c r="K33" s="2"/>
      <c r="L33" s="2">
        <f t="shared" si="0"/>
        <v>35.369999999999997</v>
      </c>
      <c r="M33" s="2"/>
      <c r="N33" s="19">
        <f t="shared" si="1"/>
        <v>-1</v>
      </c>
      <c r="O33" s="11"/>
      <c r="P33" s="2">
        <f t="shared" ref="P33:P34" si="6">0</f>
        <v>0</v>
      </c>
      <c r="Q33" s="2"/>
      <c r="R33" s="19"/>
      <c r="S33" s="2"/>
      <c r="T33" s="2">
        <f>-35.37</f>
        <v>-35.369999999999997</v>
      </c>
      <c r="U33" s="2"/>
      <c r="V33" s="19"/>
      <c r="W33" s="2"/>
      <c r="X33" s="2">
        <f t="shared" si="2"/>
        <v>35.369999999999997</v>
      </c>
      <c r="Y33" s="2"/>
      <c r="Z33" s="19">
        <f t="shared" si="3"/>
        <v>-1</v>
      </c>
    </row>
    <row r="34" spans="1:26" s="24" customFormat="1" hidden="1" outlineLevel="1" x14ac:dyDescent="0.25">
      <c r="A34" s="44"/>
      <c r="B34" s="11" t="str">
        <f>CONCATENATE("          ", "4218", " - ", "SALES RETURN TAXABLE-STUDY GUI")</f>
        <v xml:space="preserve">          4218 - SALES RETURN TAXABLE-STUDY GUI</v>
      </c>
      <c r="C34" s="11"/>
      <c r="D34" s="2">
        <f t="shared" si="5"/>
        <v>0</v>
      </c>
      <c r="E34" s="2"/>
      <c r="F34" s="19"/>
      <c r="G34" s="2"/>
      <c r="H34" s="2">
        <f>0</f>
        <v>0</v>
      </c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1"/>
      <c r="P34" s="2">
        <f t="shared" si="6"/>
        <v>0</v>
      </c>
      <c r="Q34" s="2"/>
      <c r="R34" s="19"/>
      <c r="S34" s="2"/>
      <c r="T34" s="2">
        <f>-32.75</f>
        <v>-32.75</v>
      </c>
      <c r="U34" s="2"/>
      <c r="V34" s="19"/>
      <c r="W34" s="2"/>
      <c r="X34" s="2">
        <f t="shared" si="2"/>
        <v>32.75</v>
      </c>
      <c r="Y34" s="2"/>
      <c r="Z34" s="19">
        <f t="shared" si="3"/>
        <v>-1</v>
      </c>
    </row>
    <row r="35" spans="1:26" s="24" customFormat="1" hidden="1" outlineLevel="1" x14ac:dyDescent="0.25">
      <c r="A35" s="44"/>
      <c r="B35" s="11" t="str">
        <f>CONCATENATE("          ", "4301", " - ", "SALES RETURN NON TAXABLE-NEW T")</f>
        <v xml:space="preserve">          4301 - SALES RETURN NON TAXABLE-NEW T</v>
      </c>
      <c r="C35" s="11"/>
      <c r="D35" s="2">
        <f>-535.49</f>
        <v>-535.49</v>
      </c>
      <c r="E35" s="2"/>
      <c r="F35" s="19"/>
      <c r="G35" s="2"/>
      <c r="H35" s="2">
        <f>-5585.76</f>
        <v>-5585.76</v>
      </c>
      <c r="I35" s="2"/>
      <c r="J35" s="19"/>
      <c r="K35" s="2"/>
      <c r="L35" s="2">
        <f t="shared" si="0"/>
        <v>5050.2700000000004</v>
      </c>
      <c r="M35" s="2"/>
      <c r="N35" s="19">
        <f t="shared" si="1"/>
        <v>-0.90413300965311794</v>
      </c>
      <c r="O35" s="11"/>
      <c r="P35" s="2">
        <f>-2376.17</f>
        <v>-2376.17</v>
      </c>
      <c r="Q35" s="2"/>
      <c r="R35" s="19"/>
      <c r="S35" s="2"/>
      <c r="T35" s="2">
        <f>-12310.98</f>
        <v>-12310.98</v>
      </c>
      <c r="U35" s="2"/>
      <c r="V35" s="19"/>
      <c r="W35" s="2"/>
      <c r="X35" s="2">
        <f t="shared" si="2"/>
        <v>9934.81</v>
      </c>
      <c r="Y35" s="2"/>
      <c r="Z35" s="19">
        <f t="shared" si="3"/>
        <v>-0.80698774589837685</v>
      </c>
    </row>
    <row r="36" spans="1:26" s="24" customFormat="1" hidden="1" outlineLevel="1" x14ac:dyDescent="0.25">
      <c r="A36" s="44"/>
      <c r="B36" s="11" t="str">
        <f>CONCATENATE("          ", "4302", " - ", "SALES RETURN NON TAXABLE-TEXT")</f>
        <v xml:space="preserve">          4302 - SALES RETURN NON TAXABLE-TEXT</v>
      </c>
      <c r="C36" s="11"/>
      <c r="D36" s="2">
        <f>-169.72</f>
        <v>-169.72</v>
      </c>
      <c r="E36" s="2"/>
      <c r="F36" s="19"/>
      <c r="G36" s="2"/>
      <c r="H36" s="2">
        <f>-35.1</f>
        <v>-35.1</v>
      </c>
      <c r="I36" s="2"/>
      <c r="J36" s="19"/>
      <c r="K36" s="2"/>
      <c r="L36" s="2">
        <f t="shared" si="0"/>
        <v>-134.62</v>
      </c>
      <c r="M36" s="2"/>
      <c r="N36" s="19">
        <f t="shared" si="1"/>
        <v>3.8353276353276353</v>
      </c>
      <c r="O36" s="11"/>
      <c r="P36" s="2">
        <f>-1316.8</f>
        <v>-1316.8</v>
      </c>
      <c r="Q36" s="2"/>
      <c r="R36" s="19"/>
      <c r="S36" s="2"/>
      <c r="T36" s="2">
        <f>-683.8</f>
        <v>-683.8</v>
      </c>
      <c r="U36" s="2"/>
      <c r="V36" s="19"/>
      <c r="W36" s="2"/>
      <c r="X36" s="2">
        <f t="shared" si="2"/>
        <v>-633</v>
      </c>
      <c r="Y36" s="2"/>
      <c r="Z36" s="19">
        <f t="shared" si="3"/>
        <v>0.92570927171687634</v>
      </c>
    </row>
    <row r="37" spans="1:26" s="24" customFormat="1" hidden="1" outlineLevel="1" x14ac:dyDescent="0.25">
      <c r="A37" s="44"/>
      <c r="B37" s="11" t="str">
        <f>CONCATENATE("          ", "4303", " - ", "SALES RETURN NON-TAXABLE-RENTA")</f>
        <v xml:space="preserve">          4303 - SALES RETURN NON-TAXABLE-RENTA</v>
      </c>
      <c r="C37" s="11"/>
      <c r="D37" s="2">
        <f>0</f>
        <v>0</v>
      </c>
      <c r="E37" s="2"/>
      <c r="F37" s="19"/>
      <c r="G37" s="2"/>
      <c r="H37" s="2">
        <f>0</f>
        <v>0</v>
      </c>
      <c r="I37" s="2"/>
      <c r="J37" s="19"/>
      <c r="K37" s="2"/>
      <c r="L37" s="2">
        <f t="shared" si="0"/>
        <v>0</v>
      </c>
      <c r="M37" s="2"/>
      <c r="N37" s="19">
        <f t="shared" si="1"/>
        <v>0</v>
      </c>
      <c r="O37" s="11"/>
      <c r="P37" s="2">
        <f>0</f>
        <v>0</v>
      </c>
      <c r="Q37" s="2"/>
      <c r="R37" s="19"/>
      <c r="S37" s="2"/>
      <c r="T37" s="2">
        <f>-184.99</f>
        <v>-184.99</v>
      </c>
      <c r="U37" s="2"/>
      <c r="V37" s="19"/>
      <c r="W37" s="2"/>
      <c r="X37" s="2">
        <f t="shared" si="2"/>
        <v>184.99</v>
      </c>
      <c r="Y37" s="2"/>
      <c r="Z37" s="19">
        <f t="shared" si="3"/>
        <v>-1</v>
      </c>
    </row>
    <row r="38" spans="1:26" s="24" customFormat="1" hidden="1" outlineLevel="1" x14ac:dyDescent="0.25">
      <c r="A38" s="44"/>
      <c r="B38" s="11" t="str">
        <f>CONCATENATE("          ", "4304", " - ", "SALES RETURN NON TAXABLE-DIGIT")</f>
        <v xml:space="preserve">          4304 - SALES RETURN NON TAXABLE-DIGIT</v>
      </c>
      <c r="C38" s="11"/>
      <c r="D38" s="2">
        <f>-692.75</f>
        <v>-692.75</v>
      </c>
      <c r="E38" s="2"/>
      <c r="F38" s="19"/>
      <c r="G38" s="2"/>
      <c r="H38" s="2">
        <f>-617.98</f>
        <v>-617.98</v>
      </c>
      <c r="I38" s="2"/>
      <c r="J38" s="19"/>
      <c r="K38" s="2"/>
      <c r="L38" s="2">
        <f t="shared" si="0"/>
        <v>-74.769999999999982</v>
      </c>
      <c r="M38" s="2"/>
      <c r="N38" s="19">
        <f t="shared" si="1"/>
        <v>0.12099097058157218</v>
      </c>
      <c r="O38" s="11"/>
      <c r="P38" s="2">
        <f>-14102.11</f>
        <v>-14102.11</v>
      </c>
      <c r="Q38" s="2"/>
      <c r="R38" s="19"/>
      <c r="S38" s="2"/>
      <c r="T38" s="2">
        <f>-13133.29</f>
        <v>-13133.29</v>
      </c>
      <c r="U38" s="2"/>
      <c r="V38" s="19"/>
      <c r="W38" s="2"/>
      <c r="X38" s="2">
        <f t="shared" si="2"/>
        <v>-968.81999999999971</v>
      </c>
      <c r="Y38" s="2"/>
      <c r="Z38" s="19">
        <f t="shared" si="3"/>
        <v>7.3768263702392894E-2</v>
      </c>
    </row>
    <row r="39" spans="1:26" s="24" customFormat="1" hidden="1" outlineLevel="1" x14ac:dyDescent="0.25">
      <c r="A39" s="44"/>
      <c r="B39" s="11" t="str">
        <f>CONCATENATE("          ", "4311", " - ", "SALES RETURN NON TAXABLE-NO VA")</f>
        <v xml:space="preserve">          4311 - SALES RETURN NON TAXABLE-NO VA</v>
      </c>
      <c r="C39" s="11"/>
      <c r="D39" s="2">
        <f>0</f>
        <v>0</v>
      </c>
      <c r="E39" s="2"/>
      <c r="F39" s="19"/>
      <c r="G39" s="2"/>
      <c r="H39" s="2">
        <f>-0.02</f>
        <v>-0.02</v>
      </c>
      <c r="I39" s="2"/>
      <c r="J39" s="19"/>
      <c r="K39" s="2"/>
      <c r="L39" s="2">
        <f t="shared" si="0"/>
        <v>0.02</v>
      </c>
      <c r="M39" s="2"/>
      <c r="N39" s="19">
        <f t="shared" si="1"/>
        <v>-1</v>
      </c>
      <c r="O39" s="11"/>
      <c r="P39" s="2">
        <f>0</f>
        <v>0</v>
      </c>
      <c r="Q39" s="2"/>
      <c r="R39" s="19"/>
      <c r="S39" s="2"/>
      <c r="T39" s="2">
        <f>-387.96</f>
        <v>-387.96</v>
      </c>
      <c r="U39" s="2"/>
      <c r="V39" s="19"/>
      <c r="W39" s="2"/>
      <c r="X39" s="2">
        <f t="shared" si="2"/>
        <v>387.96</v>
      </c>
      <c r="Y39" s="2"/>
      <c r="Z39" s="19">
        <f t="shared" si="3"/>
        <v>-1</v>
      </c>
    </row>
    <row r="40" spans="1:26" x14ac:dyDescent="0.25">
      <c r="A40" s="9"/>
      <c r="B40" s="10"/>
      <c r="C40" s="9"/>
      <c r="D40" s="3"/>
      <c r="E40" s="3"/>
      <c r="F40" s="8"/>
      <c r="G40" s="3"/>
      <c r="H40" s="3"/>
      <c r="I40" s="3"/>
      <c r="J40" s="8"/>
      <c r="K40" s="3"/>
      <c r="L40" s="3"/>
      <c r="M40" s="3"/>
      <c r="N40" s="8"/>
      <c r="P40" s="3"/>
      <c r="Q40" s="3"/>
      <c r="R40" s="8"/>
      <c r="S40" s="3"/>
      <c r="T40" s="3"/>
      <c r="U40" s="3"/>
      <c r="V40" s="8"/>
      <c r="W40" s="3"/>
      <c r="X40" s="3"/>
      <c r="Y40" s="3"/>
      <c r="Z40" s="8"/>
    </row>
    <row r="41" spans="1:26" s="23" customFormat="1" collapsed="1" x14ac:dyDescent="0.25">
      <c r="A41" s="10"/>
      <c r="B41" s="26" t="s">
        <v>8</v>
      </c>
      <c r="C41" s="10"/>
      <c r="D41" s="4">
        <f>SUM(OSRRefD16x_0)</f>
        <v>24961.999999999985</v>
      </c>
      <c r="E41" s="4"/>
      <c r="F41" s="12">
        <f t="shared" ref="F41:F54" si="7">IF(D$12=0,0,D41/D$12)</f>
        <v>0.78314171533197052</v>
      </c>
      <c r="G41" s="4"/>
      <c r="H41" s="4">
        <f>SUM(OSRRefH16x_0)</f>
        <v>24501.920000000031</v>
      </c>
      <c r="I41" s="4"/>
      <c r="J41" s="12">
        <f t="shared" ref="J41:J54" si="8">IF(H$12=0,0,H41/H$12)</f>
        <v>0.77958202405633525</v>
      </c>
      <c r="K41" s="4"/>
      <c r="L41" s="4">
        <f t="shared" ref="L41:L54" si="9">+D41-H41</f>
        <v>460.07999999995445</v>
      </c>
      <c r="M41" s="4"/>
      <c r="N41" s="12">
        <f t="shared" ref="N41:N54" si="10">IF(H41=0,0,L41/H41)</f>
        <v>1.8777303982706411E-2</v>
      </c>
      <c r="O41" s="10"/>
      <c r="P41" s="4">
        <f>SUM(OSRRefP16x_0)</f>
        <v>762930.99999999988</v>
      </c>
      <c r="Q41" s="4"/>
      <c r="R41" s="12">
        <f t="shared" ref="R41:R54" si="11">IF(P$12=0,0,P41/P$12)</f>
        <v>0.70926411905826736</v>
      </c>
      <c r="S41" s="4"/>
      <c r="T41" s="4">
        <f>SUM(OSRRefT16x_0)</f>
        <v>1418382.8200000003</v>
      </c>
      <c r="U41" s="4"/>
      <c r="V41" s="12">
        <f t="shared" ref="V41:V54" si="12">IF(T$12=0,0,T41/T$12)</f>
        <v>0.72325519772669533</v>
      </c>
      <c r="W41" s="4"/>
      <c r="X41" s="4">
        <f t="shared" ref="X41:X54" si="13">+P41-T41</f>
        <v>-655451.82000000041</v>
      </c>
      <c r="Y41" s="4"/>
      <c r="Z41" s="12">
        <f t="shared" ref="Z41:Z54" si="14">IF(T41=0,0,X41/T41)</f>
        <v>-0.46211206929311249</v>
      </c>
    </row>
    <row r="42" spans="1:26" s="24" customFormat="1" hidden="1" outlineLevel="1" x14ac:dyDescent="0.25">
      <c r="A42" s="44"/>
      <c r="B42" s="11" t="str">
        <f>CONCATENATE("          ", "5001", " - ", "PURCHASES @ COST-NEW TEXT")</f>
        <v xml:space="preserve">          5001 - PURCHASES @ COST-NEW TEXT</v>
      </c>
      <c r="C42" s="11"/>
      <c r="D42" s="2">
        <v>54515.57</v>
      </c>
      <c r="E42" s="2"/>
      <c r="F42" s="19">
        <f t="shared" si="7"/>
        <v>1.7103363913989318</v>
      </c>
      <c r="G42" s="2"/>
      <c r="H42" s="2">
        <v>-180845.3</v>
      </c>
      <c r="I42" s="2"/>
      <c r="J42" s="19">
        <f t="shared" si="8"/>
        <v>-5.7539876472976399</v>
      </c>
      <c r="K42" s="2"/>
      <c r="L42" s="2">
        <f t="shared" si="9"/>
        <v>235360.87</v>
      </c>
      <c r="M42" s="2"/>
      <c r="N42" s="19">
        <f t="shared" si="10"/>
        <v>-1.3014486414631732</v>
      </c>
      <c r="O42" s="11"/>
      <c r="P42" s="2">
        <v>1144744.97</v>
      </c>
      <c r="Q42" s="2"/>
      <c r="R42" s="19">
        <f t="shared" si="11"/>
        <v>1.0642201361504944</v>
      </c>
      <c r="S42" s="2"/>
      <c r="T42" s="2">
        <v>1448848.1500000001</v>
      </c>
      <c r="U42" s="2"/>
      <c r="V42" s="19">
        <f t="shared" si="12"/>
        <v>0.73878993768706724</v>
      </c>
      <c r="W42" s="2"/>
      <c r="X42" s="2">
        <f t="shared" si="13"/>
        <v>-304103.18000000017</v>
      </c>
      <c r="Y42" s="2"/>
      <c r="Z42" s="19">
        <f t="shared" si="14"/>
        <v>-0.20989306574329417</v>
      </c>
    </row>
    <row r="43" spans="1:26" s="24" customFormat="1" hidden="1" outlineLevel="1" x14ac:dyDescent="0.25">
      <c r="A43" s="44"/>
      <c r="B43" s="11" t="str">
        <f>CONCATENATE("          ", "5002", " - ", "PURCHASES @ COST-USED TEXT")</f>
        <v xml:space="preserve">          5002 - PURCHASES @ COST-USED TEXT</v>
      </c>
      <c r="C43" s="11"/>
      <c r="D43" s="2">
        <v>6331.95</v>
      </c>
      <c r="E43" s="2"/>
      <c r="F43" s="19">
        <f t="shared" si="7"/>
        <v>0.19865452224967045</v>
      </c>
      <c r="G43" s="2"/>
      <c r="H43" s="2">
        <v>11152.06</v>
      </c>
      <c r="I43" s="2"/>
      <c r="J43" s="19">
        <f t="shared" si="8"/>
        <v>0.35482711180175608</v>
      </c>
      <c r="K43" s="2"/>
      <c r="L43" s="2">
        <f t="shared" si="9"/>
        <v>-4820.1099999999997</v>
      </c>
      <c r="M43" s="2"/>
      <c r="N43" s="19">
        <f t="shared" si="10"/>
        <v>-0.43221700744077773</v>
      </c>
      <c r="O43" s="11"/>
      <c r="P43" s="2">
        <v>163728.85</v>
      </c>
      <c r="Q43" s="2"/>
      <c r="R43" s="19">
        <f t="shared" si="11"/>
        <v>0.15221166600868652</v>
      </c>
      <c r="S43" s="2"/>
      <c r="T43" s="2">
        <v>-6439.83</v>
      </c>
      <c r="U43" s="2"/>
      <c r="V43" s="19">
        <f t="shared" si="12"/>
        <v>-3.2837682847683559E-3</v>
      </c>
      <c r="W43" s="2"/>
      <c r="X43" s="2">
        <f t="shared" si="13"/>
        <v>170168.68</v>
      </c>
      <c r="Y43" s="2"/>
      <c r="Z43" s="19">
        <f t="shared" si="14"/>
        <v>-26.424405613191652</v>
      </c>
    </row>
    <row r="44" spans="1:26" s="24" customFormat="1" hidden="1" outlineLevel="1" x14ac:dyDescent="0.25">
      <c r="A44" s="44"/>
      <c r="B44" s="11" t="str">
        <f>CONCATENATE("          ", "5003", " - ", "PURCHASES @ COST-RENTAL TEXT")</f>
        <v xml:space="preserve">          5003 - PURCHASES @ COST-RENTAL TEXT</v>
      </c>
      <c r="C44" s="11"/>
      <c r="D44" s="2">
        <v>10600.69</v>
      </c>
      <c r="E44" s="2"/>
      <c r="F44" s="19">
        <f t="shared" si="7"/>
        <v>0.33257922243019278</v>
      </c>
      <c r="G44" s="2"/>
      <c r="H44" s="2"/>
      <c r="I44" s="2"/>
      <c r="J44" s="19">
        <f t="shared" si="8"/>
        <v>0</v>
      </c>
      <c r="K44" s="2"/>
      <c r="L44" s="2">
        <f t="shared" si="9"/>
        <v>10600.69</v>
      </c>
      <c r="M44" s="2"/>
      <c r="N44" s="19">
        <f t="shared" si="10"/>
        <v>0</v>
      </c>
      <c r="O44" s="11"/>
      <c r="P44" s="2">
        <v>-485.41</v>
      </c>
      <c r="Q44" s="2"/>
      <c r="R44" s="19">
        <f t="shared" si="11"/>
        <v>-4.5126478807660668E-4</v>
      </c>
      <c r="S44" s="2"/>
      <c r="T44" s="2">
        <v>-78.400000000000006</v>
      </c>
      <c r="U44" s="2"/>
      <c r="V44" s="19">
        <f t="shared" si="12"/>
        <v>-3.9977364856811302E-5</v>
      </c>
      <c r="W44" s="2"/>
      <c r="X44" s="2">
        <f t="shared" si="13"/>
        <v>-407.01</v>
      </c>
      <c r="Y44" s="2"/>
      <c r="Z44" s="19">
        <f t="shared" si="14"/>
        <v>5.1914540816326529</v>
      </c>
    </row>
    <row r="45" spans="1:26" s="24" customFormat="1" hidden="1" outlineLevel="1" x14ac:dyDescent="0.25">
      <c r="A45" s="44"/>
      <c r="B45" s="11" t="str">
        <f>CONCATENATE("          ", "5004", " - ", "PURCHASES @ COST-DIGITAL TEXT")</f>
        <v xml:space="preserve">          5004 - PURCHASES @ COST-DIGITAL TEXT</v>
      </c>
      <c r="C45" s="11"/>
      <c r="D45" s="2">
        <v>12903.46</v>
      </c>
      <c r="E45" s="2"/>
      <c r="F45" s="19">
        <f t="shared" si="7"/>
        <v>0.40482484569014798</v>
      </c>
      <c r="G45" s="2"/>
      <c r="H45" s="2">
        <v>-30949.360000000001</v>
      </c>
      <c r="I45" s="2"/>
      <c r="J45" s="19">
        <f t="shared" si="8"/>
        <v>-0.98472138967265221</v>
      </c>
      <c r="K45" s="2"/>
      <c r="L45" s="2">
        <f t="shared" si="9"/>
        <v>43852.82</v>
      </c>
      <c r="M45" s="2"/>
      <c r="N45" s="19">
        <f t="shared" si="10"/>
        <v>-1.416921706943213</v>
      </c>
      <c r="O45" s="11"/>
      <c r="P45" s="2">
        <v>195519.53</v>
      </c>
      <c r="Q45" s="2"/>
      <c r="R45" s="19">
        <f t="shared" si="11"/>
        <v>0.1817660931383526</v>
      </c>
      <c r="S45" s="2"/>
      <c r="T45" s="2">
        <v>322779.02999999997</v>
      </c>
      <c r="U45" s="2"/>
      <c r="V45" s="19">
        <f t="shared" si="12"/>
        <v>0.16458998788823517</v>
      </c>
      <c r="W45" s="2"/>
      <c r="X45" s="2">
        <f t="shared" si="13"/>
        <v>-127259.49999999997</v>
      </c>
      <c r="Y45" s="2"/>
      <c r="Z45" s="19">
        <f t="shared" si="14"/>
        <v>-0.39426198164112453</v>
      </c>
    </row>
    <row r="46" spans="1:26" s="24" customFormat="1" hidden="1" outlineLevel="1" x14ac:dyDescent="0.25">
      <c r="A46" s="44"/>
      <c r="B46" s="11" t="str">
        <f>CONCATENATE("          ", "5011", " - ", "PURCHASES @ COST-NO VALUE TEXT")</f>
        <v xml:space="preserve">          5011 - PURCHASES @ COST-NO VALUE TEXT</v>
      </c>
      <c r="C46" s="11"/>
      <c r="D46" s="2">
        <v>67.17</v>
      </c>
      <c r="E46" s="2"/>
      <c r="F46" s="19">
        <f t="shared" si="7"/>
        <v>2.1073483302158679E-3</v>
      </c>
      <c r="G46" s="2"/>
      <c r="H46" s="2">
        <v>90</v>
      </c>
      <c r="I46" s="2"/>
      <c r="J46" s="19">
        <f t="shared" si="8"/>
        <v>2.8635462920893581E-3</v>
      </c>
      <c r="K46" s="2"/>
      <c r="L46" s="2">
        <f t="shared" si="9"/>
        <v>-22.83</v>
      </c>
      <c r="M46" s="2"/>
      <c r="N46" s="19">
        <f t="shared" si="10"/>
        <v>-0.25366666666666665</v>
      </c>
      <c r="O46" s="11"/>
      <c r="P46" s="2">
        <v>67.17</v>
      </c>
      <c r="Q46" s="2"/>
      <c r="R46" s="19">
        <f t="shared" si="11"/>
        <v>6.2445058435355E-5</v>
      </c>
      <c r="S46" s="2"/>
      <c r="T46" s="2">
        <v>3675</v>
      </c>
      <c r="U46" s="2"/>
      <c r="V46" s="19">
        <f t="shared" si="12"/>
        <v>1.8739389776630296E-3</v>
      </c>
      <c r="W46" s="2"/>
      <c r="X46" s="2">
        <f t="shared" si="13"/>
        <v>-3607.83</v>
      </c>
      <c r="Y46" s="2"/>
      <c r="Z46" s="19">
        <f t="shared" si="14"/>
        <v>-0.98172244897959182</v>
      </c>
    </row>
    <row r="47" spans="1:26" s="24" customFormat="1" hidden="1" outlineLevel="1" x14ac:dyDescent="0.25">
      <c r="A47" s="44"/>
      <c r="B47" s="11" t="str">
        <f>CONCATENATE("          ", "5013", " - ", "PURCHASES @ COST-TRADE BOOKS")</f>
        <v xml:space="preserve">          5013 - PURCHASES @ COST-TRADE BOOKS</v>
      </c>
      <c r="C47" s="11"/>
      <c r="D47" s="2">
        <v>1384.46</v>
      </c>
      <c r="E47" s="2"/>
      <c r="F47" s="19">
        <f t="shared" si="7"/>
        <v>4.3435156606381725E-2</v>
      </c>
      <c r="G47" s="2"/>
      <c r="H47" s="2">
        <v>212.56</v>
      </c>
      <c r="I47" s="2"/>
      <c r="J47" s="19">
        <f t="shared" si="8"/>
        <v>6.7630599982945998E-3</v>
      </c>
      <c r="K47" s="2"/>
      <c r="L47" s="2">
        <f t="shared" si="9"/>
        <v>1171.9000000000001</v>
      </c>
      <c r="M47" s="2"/>
      <c r="N47" s="19">
        <f t="shared" si="10"/>
        <v>5.5132668423033504</v>
      </c>
      <c r="O47" s="11"/>
      <c r="P47" s="2">
        <v>1483.64</v>
      </c>
      <c r="Q47" s="2"/>
      <c r="R47" s="19">
        <f t="shared" si="11"/>
        <v>1.379276261679769E-3</v>
      </c>
      <c r="S47" s="2"/>
      <c r="T47" s="2">
        <v>687.35</v>
      </c>
      <c r="U47" s="2"/>
      <c r="V47" s="19">
        <f t="shared" si="12"/>
        <v>3.5049032824399547E-4</v>
      </c>
      <c r="W47" s="2"/>
      <c r="X47" s="2">
        <f t="shared" si="13"/>
        <v>796.29000000000008</v>
      </c>
      <c r="Y47" s="2"/>
      <c r="Z47" s="19">
        <f t="shared" si="14"/>
        <v>1.1584927620571761</v>
      </c>
    </row>
    <row r="48" spans="1:26" s="24" customFormat="1" hidden="1" outlineLevel="1" x14ac:dyDescent="0.25">
      <c r="A48" s="44"/>
      <c r="B48" s="11" t="str">
        <f>CONCATENATE("          ", "5014", " - ", "PURCHASES @ COST-REMAINDERS")</f>
        <v xml:space="preserve">          5014 - PURCHASES @ COST-REMAINDERS</v>
      </c>
      <c r="C48" s="11"/>
      <c r="D48" s="2">
        <v>102.92</v>
      </c>
      <c r="E48" s="2"/>
      <c r="F48" s="19">
        <f t="shared" si="7"/>
        <v>3.2289458113118523E-3</v>
      </c>
      <c r="G48" s="2"/>
      <c r="H48" s="2">
        <v>37.54</v>
      </c>
      <c r="I48" s="2"/>
      <c r="J48" s="19">
        <f t="shared" si="8"/>
        <v>1.1944169756114944E-3</v>
      </c>
      <c r="K48" s="2"/>
      <c r="L48" s="2">
        <f t="shared" si="9"/>
        <v>65.38</v>
      </c>
      <c r="M48" s="2"/>
      <c r="N48" s="19">
        <f t="shared" si="10"/>
        <v>1.7416089504528502</v>
      </c>
      <c r="O48" s="11"/>
      <c r="P48" s="2">
        <v>90.41</v>
      </c>
      <c r="Q48" s="2"/>
      <c r="R48" s="19">
        <f t="shared" si="11"/>
        <v>8.4050286335275352E-5</v>
      </c>
      <c r="S48" s="2"/>
      <c r="T48" s="2">
        <v>327.51</v>
      </c>
      <c r="U48" s="2"/>
      <c r="V48" s="19">
        <f t="shared" si="12"/>
        <v>1.6700238219712077E-4</v>
      </c>
      <c r="W48" s="2"/>
      <c r="X48" s="2">
        <f t="shared" si="13"/>
        <v>-237.1</v>
      </c>
      <c r="Y48" s="2"/>
      <c r="Z48" s="19">
        <f t="shared" si="14"/>
        <v>-0.72394736038594243</v>
      </c>
    </row>
    <row r="49" spans="1:26" s="24" customFormat="1" hidden="1" outlineLevel="1" x14ac:dyDescent="0.25">
      <c r="A49" s="44"/>
      <c r="B49" s="11" t="str">
        <f>CONCATENATE("          ", "5018", " - ", "PURCHASES @ COST-STUDY GUIDES")</f>
        <v xml:space="preserve">          5018 - PURCHASES @ COST-STUDY GUIDES</v>
      </c>
      <c r="C49" s="11"/>
      <c r="D49" s="2"/>
      <c r="E49" s="2"/>
      <c r="F49" s="19">
        <f t="shared" si="7"/>
        <v>0</v>
      </c>
      <c r="G49" s="2"/>
      <c r="H49" s="2">
        <v>298.16000000000003</v>
      </c>
      <c r="I49" s="2"/>
      <c r="J49" s="19">
        <f t="shared" si="8"/>
        <v>9.4866106938818126E-3</v>
      </c>
      <c r="K49" s="2"/>
      <c r="L49" s="2">
        <f t="shared" si="9"/>
        <v>-298.16000000000003</v>
      </c>
      <c r="M49" s="2"/>
      <c r="N49" s="19">
        <f t="shared" si="10"/>
        <v>-1</v>
      </c>
      <c r="O49" s="11"/>
      <c r="P49" s="2"/>
      <c r="Q49" s="2"/>
      <c r="R49" s="19">
        <f t="shared" si="11"/>
        <v>0</v>
      </c>
      <c r="S49" s="2"/>
      <c r="T49" s="2">
        <v>802.09</v>
      </c>
      <c r="U49" s="2"/>
      <c r="V49" s="19">
        <f t="shared" si="12"/>
        <v>4.0899801757652773E-4</v>
      </c>
      <c r="W49" s="2"/>
      <c r="X49" s="2">
        <f t="shared" si="13"/>
        <v>-802.09</v>
      </c>
      <c r="Y49" s="2"/>
      <c r="Z49" s="19">
        <f t="shared" si="14"/>
        <v>-1</v>
      </c>
    </row>
    <row r="50" spans="1:26" s="24" customFormat="1" hidden="1" outlineLevel="1" x14ac:dyDescent="0.25">
      <c r="A50" s="44"/>
      <c r="B50" s="11" t="str">
        <f>CONCATENATE("          ", "5200", " - ", "PURCHASES OFFSET")</f>
        <v xml:space="preserve">          5200 - PURCHASES OFFSET</v>
      </c>
      <c r="C50" s="11"/>
      <c r="D50" s="2">
        <v>-111446.85</v>
      </c>
      <c r="E50" s="2"/>
      <c r="F50" s="19">
        <f t="shared" si="7"/>
        <v>-3.4964617128973989</v>
      </c>
      <c r="G50" s="2"/>
      <c r="H50" s="2">
        <v>191884</v>
      </c>
      <c r="I50" s="2"/>
      <c r="J50" s="19">
        <f t="shared" si="8"/>
        <v>6.1052079634586045</v>
      </c>
      <c r="K50" s="2"/>
      <c r="L50" s="2">
        <f t="shared" si="9"/>
        <v>-303330.84999999998</v>
      </c>
      <c r="M50" s="2"/>
      <c r="N50" s="19">
        <f t="shared" si="10"/>
        <v>-1.5808032457109502</v>
      </c>
      <c r="O50" s="11"/>
      <c r="P50" s="2">
        <v>-1549974.48</v>
      </c>
      <c r="Q50" s="2"/>
      <c r="R50" s="19">
        <f t="shared" si="11"/>
        <v>-1.4409445731265293</v>
      </c>
      <c r="S50" s="2"/>
      <c r="T50" s="2">
        <v>-1811575</v>
      </c>
      <c r="U50" s="2"/>
      <c r="V50" s="19">
        <f t="shared" si="12"/>
        <v>-0.92374993291425933</v>
      </c>
      <c r="W50" s="2"/>
      <c r="X50" s="2">
        <f t="shared" si="13"/>
        <v>261600.52000000002</v>
      </c>
      <c r="Y50" s="2"/>
      <c r="Z50" s="19">
        <f t="shared" si="14"/>
        <v>-0.14440501773318798</v>
      </c>
    </row>
    <row r="51" spans="1:26" s="24" customFormat="1" hidden="1" outlineLevel="1" x14ac:dyDescent="0.25">
      <c r="A51" s="44"/>
      <c r="B51" s="11" t="str">
        <f>CONCATENATE("          ", "5300", " - ", "COG$ OFFSET")</f>
        <v xml:space="preserve">          5300 - COG$ OFFSET</v>
      </c>
      <c r="C51" s="11"/>
      <c r="D51" s="2">
        <v>24962</v>
      </c>
      <c r="E51" s="2"/>
      <c r="F51" s="19">
        <f t="shared" si="7"/>
        <v>0.78314171533197097</v>
      </c>
      <c r="G51" s="2"/>
      <c r="H51" s="2">
        <v>24503</v>
      </c>
      <c r="I51" s="2"/>
      <c r="J51" s="19">
        <f t="shared" si="8"/>
        <v>0.77961638661183941</v>
      </c>
      <c r="K51" s="2"/>
      <c r="L51" s="2">
        <f t="shared" si="9"/>
        <v>459</v>
      </c>
      <c r="M51" s="2"/>
      <c r="N51" s="19">
        <f t="shared" si="10"/>
        <v>1.873240011427172E-2</v>
      </c>
      <c r="O51" s="11"/>
      <c r="P51" s="2">
        <v>762931</v>
      </c>
      <c r="Q51" s="2"/>
      <c r="R51" s="19">
        <f t="shared" si="11"/>
        <v>0.70926411905826747</v>
      </c>
      <c r="S51" s="2"/>
      <c r="T51" s="2">
        <v>1418386</v>
      </c>
      <c r="U51" s="2"/>
      <c r="V51" s="19">
        <f t="shared" si="12"/>
        <v>0.72325681925756569</v>
      </c>
      <c r="W51" s="2"/>
      <c r="X51" s="2">
        <f t="shared" si="13"/>
        <v>-655455</v>
      </c>
      <c r="Y51" s="2"/>
      <c r="Z51" s="19">
        <f t="shared" si="14"/>
        <v>-0.46211327522973294</v>
      </c>
    </row>
    <row r="52" spans="1:26" s="24" customFormat="1" hidden="1" outlineLevel="1" x14ac:dyDescent="0.25">
      <c r="A52" s="44"/>
      <c r="B52" s="11" t="str">
        <f>CONCATENATE("          ", "5501", " - ", "FREIGHT-IN-NEW TEXT")</f>
        <v xml:space="preserve">          5501 - FREIGHT-IN-NEW TEXT</v>
      </c>
      <c r="C52" s="11"/>
      <c r="D52" s="2">
        <v>23295.74</v>
      </c>
      <c r="E52" s="2"/>
      <c r="F52" s="19">
        <f t="shared" si="7"/>
        <v>0.73086554697250261</v>
      </c>
      <c r="G52" s="2"/>
      <c r="H52" s="2">
        <v>7434.02</v>
      </c>
      <c r="I52" s="2"/>
      <c r="J52" s="19">
        <f t="shared" si="8"/>
        <v>0.23652956007020146</v>
      </c>
      <c r="K52" s="2"/>
      <c r="L52" s="2">
        <f t="shared" si="9"/>
        <v>15861.720000000001</v>
      </c>
      <c r="M52" s="2"/>
      <c r="N52" s="19">
        <f t="shared" si="10"/>
        <v>2.1336665760920739</v>
      </c>
      <c r="O52" s="11"/>
      <c r="P52" s="2">
        <v>34058.620000000003</v>
      </c>
      <c r="Q52" s="2"/>
      <c r="R52" s="19">
        <f t="shared" si="11"/>
        <v>3.1662833350119851E-2</v>
      </c>
      <c r="S52" s="2"/>
      <c r="T52" s="2">
        <v>34017.480000000003</v>
      </c>
      <c r="U52" s="2"/>
      <c r="V52" s="19">
        <f t="shared" si="12"/>
        <v>1.7346035835067365E-2</v>
      </c>
      <c r="W52" s="2"/>
      <c r="X52" s="2">
        <f t="shared" si="13"/>
        <v>41.139999999999418</v>
      </c>
      <c r="Y52" s="2"/>
      <c r="Z52" s="19">
        <f t="shared" si="14"/>
        <v>1.2093782373062147E-3</v>
      </c>
    </row>
    <row r="53" spans="1:26" s="24" customFormat="1" hidden="1" outlineLevel="1" x14ac:dyDescent="0.25">
      <c r="A53" s="44"/>
      <c r="B53" s="11" t="str">
        <f>CONCATENATE("          ", "5502", " - ", "FREIGHT-IN-USED TEXT")</f>
        <v xml:space="preserve">          5502 - FREIGHT-IN-USED TEXT</v>
      </c>
      <c r="C53" s="11"/>
      <c r="D53" s="2">
        <v>2233.9</v>
      </c>
      <c r="E53" s="2"/>
      <c r="F53" s="19">
        <f t="shared" si="7"/>
        <v>7.0084940224344611E-2</v>
      </c>
      <c r="G53" s="2"/>
      <c r="H53" s="2">
        <v>591.29999999999995</v>
      </c>
      <c r="I53" s="2"/>
      <c r="J53" s="19">
        <f t="shared" si="8"/>
        <v>1.8813499139027082E-2</v>
      </c>
      <c r="K53" s="2"/>
      <c r="L53" s="2">
        <f t="shared" si="9"/>
        <v>1642.6000000000001</v>
      </c>
      <c r="M53" s="2"/>
      <c r="N53" s="19">
        <f t="shared" si="10"/>
        <v>2.7779468966683583</v>
      </c>
      <c r="O53" s="11"/>
      <c r="P53" s="2">
        <v>10744.72</v>
      </c>
      <c r="Q53" s="2"/>
      <c r="R53" s="19">
        <f t="shared" si="11"/>
        <v>9.9889038003800439E-3</v>
      </c>
      <c r="S53" s="2"/>
      <c r="T53" s="2">
        <v>6852.47</v>
      </c>
      <c r="U53" s="2"/>
      <c r="V53" s="19">
        <f t="shared" si="12"/>
        <v>3.4941797622494099E-3</v>
      </c>
      <c r="W53" s="2"/>
      <c r="X53" s="2">
        <f t="shared" si="13"/>
        <v>3892.2499999999991</v>
      </c>
      <c r="Y53" s="2"/>
      <c r="Z53" s="19">
        <f t="shared" si="14"/>
        <v>0.56800686467799189</v>
      </c>
    </row>
    <row r="54" spans="1:26" s="24" customFormat="1" hidden="1" outlineLevel="1" x14ac:dyDescent="0.25">
      <c r="A54" s="44"/>
      <c r="B54" s="11" t="str">
        <f>CONCATENATE("          ", "5504", " - ", "FREIGHT-IN-DIGITAL TEXT")</f>
        <v xml:space="preserve">          5504 - FREIGHT-IN-DIGITAL TEXT</v>
      </c>
      <c r="C54" s="11"/>
      <c r="D54" s="2">
        <v>10.99</v>
      </c>
      <c r="E54" s="2"/>
      <c r="F54" s="19">
        <f t="shared" si="7"/>
        <v>3.4479318369915715E-4</v>
      </c>
      <c r="G54" s="2"/>
      <c r="H54" s="2">
        <v>93.94</v>
      </c>
      <c r="I54" s="2"/>
      <c r="J54" s="19">
        <f t="shared" si="8"/>
        <v>2.9889059853208254E-3</v>
      </c>
      <c r="K54" s="2"/>
      <c r="L54" s="2">
        <f t="shared" si="9"/>
        <v>-82.95</v>
      </c>
      <c r="M54" s="2"/>
      <c r="N54" s="19">
        <f t="shared" si="10"/>
        <v>-0.88301043219076014</v>
      </c>
      <c r="O54" s="11"/>
      <c r="P54" s="2">
        <v>21.98</v>
      </c>
      <c r="Q54" s="2"/>
      <c r="R54" s="19">
        <f t="shared" si="11"/>
        <v>2.0433860122213829E-5</v>
      </c>
      <c r="S54" s="2"/>
      <c r="T54" s="2">
        <v>100.97</v>
      </c>
      <c r="U54" s="2"/>
      <c r="V54" s="19">
        <f t="shared" si="12"/>
        <v>5.1486154714186694E-5</v>
      </c>
      <c r="W54" s="2"/>
      <c r="X54" s="2">
        <f t="shared" si="13"/>
        <v>-78.989999999999995</v>
      </c>
      <c r="Y54" s="2"/>
      <c r="Z54" s="19">
        <f t="shared" si="14"/>
        <v>-0.78231157769634541</v>
      </c>
    </row>
    <row r="55" spans="1:26" x14ac:dyDescent="0.25">
      <c r="A55" s="9"/>
      <c r="B55" s="10"/>
      <c r="C55" s="10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O55" s="10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s="23" customFormat="1" x14ac:dyDescent="0.25">
      <c r="A56" s="10"/>
      <c r="B56" s="25" t="s">
        <v>6</v>
      </c>
      <c r="C56" s="25"/>
      <c r="D56" s="20">
        <f>D12-D41</f>
        <v>6912.1800000000112</v>
      </c>
      <c r="E56" s="13"/>
      <c r="F56" s="21">
        <f>IF(D$12=0,0,D56/D$12)</f>
        <v>0.21685828466802948</v>
      </c>
      <c r="G56" s="13"/>
      <c r="H56" s="20">
        <f>H12-H41</f>
        <v>6927.6399999999667</v>
      </c>
      <c r="I56" s="13"/>
      <c r="J56" s="21">
        <f>IF(H$12=0,0,H56/H$12)</f>
        <v>0.22041797594366472</v>
      </c>
      <c r="K56" s="15"/>
      <c r="L56" s="20">
        <f>+D56-H56</f>
        <v>-15.459999999955471</v>
      </c>
      <c r="M56" s="15"/>
      <c r="N56" s="21">
        <f>IF(H56=0,0,L56/H56)</f>
        <v>-2.2316402122447968E-3</v>
      </c>
      <c r="O56" s="26"/>
      <c r="P56" s="20">
        <f>P12-P41</f>
        <v>312734.57999999973</v>
      </c>
      <c r="Q56" s="13"/>
      <c r="R56" s="21">
        <f>IF(P$12=0,0,P56/P$12)</f>
        <v>0.29073588094173269</v>
      </c>
      <c r="S56" s="13"/>
      <c r="T56" s="20">
        <f>T12-T41</f>
        <v>542726.92999999993</v>
      </c>
      <c r="U56" s="13"/>
      <c r="V56" s="21">
        <f>IF(T$12=0,0,T56/T$12)</f>
        <v>0.27674480227330461</v>
      </c>
      <c r="W56" s="15"/>
      <c r="X56" s="20">
        <f>+P56-T56</f>
        <v>-229992.35000000021</v>
      </c>
      <c r="Y56" s="15"/>
      <c r="Z56" s="21">
        <f>IF(T56=0,0,X56/T56)</f>
        <v>-0.42377176677044615</v>
      </c>
    </row>
    <row r="57" spans="1:26" x14ac:dyDescent="0.25">
      <c r="A57" s="9"/>
      <c r="B57" s="10"/>
      <c r="C57" s="9"/>
      <c r="D57" s="1"/>
      <c r="E57" s="1"/>
      <c r="F57" s="5"/>
      <c r="G57" s="1"/>
      <c r="H57" s="1"/>
      <c r="I57" s="1"/>
      <c r="J57" s="5"/>
      <c r="K57" s="1"/>
      <c r="L57" s="1"/>
      <c r="M57" s="1"/>
      <c r="N57" s="5"/>
      <c r="O57" s="37"/>
      <c r="P57" s="1"/>
      <c r="Q57" s="1"/>
      <c r="R57" s="5"/>
      <c r="S57" s="1"/>
      <c r="T57" s="1"/>
      <c r="U57" s="1"/>
      <c r="V57" s="5"/>
      <c r="W57" s="1"/>
      <c r="X57" s="1"/>
      <c r="Y57" s="1"/>
      <c r="Z57" s="5"/>
    </row>
    <row r="58" spans="1:26" s="23" customFormat="1" x14ac:dyDescent="0.25">
      <c r="A58" s="10"/>
      <c r="B58" s="26" t="s">
        <v>9</v>
      </c>
      <c r="C58" s="10"/>
      <c r="D58" s="22">
        <f>SUM(OSRRefD22x_0)</f>
        <v>41286.30999999999</v>
      </c>
      <c r="E58" s="22"/>
      <c r="F58" s="36">
        <f t="shared" ref="F58:F68" si="15">IF(D$12=0,0,D58/D$12)</f>
        <v>1.2952901062866558</v>
      </c>
      <c r="G58" s="22"/>
      <c r="H58" s="22">
        <f>SUM(OSRRefH22x_0)</f>
        <v>43533.96</v>
      </c>
      <c r="I58" s="22"/>
      <c r="J58" s="36">
        <f t="shared" ref="J58:J68" si="16">IF(H$12=0,0,H58/H$12)</f>
        <v>1.3851278859774048</v>
      </c>
      <c r="K58" s="4"/>
      <c r="L58" s="22">
        <f t="shared" ref="L58:L68" si="17">+D58-H58</f>
        <v>-2247.6500000000087</v>
      </c>
      <c r="M58" s="4"/>
      <c r="N58" s="36">
        <f t="shared" ref="N58:N68" si="18">IF(H58=0,0,L58/H58)</f>
        <v>-5.1629808085458084E-2</v>
      </c>
      <c r="O58" s="10"/>
      <c r="P58" s="22">
        <f>SUM(OSRRefP22x_0)</f>
        <v>169717.31999999998</v>
      </c>
      <c r="Q58" s="22"/>
      <c r="R58" s="36">
        <f t="shared" ref="R58:R68" si="19">IF(P$12=0,0,P58/P$12)</f>
        <v>0.15777888886246602</v>
      </c>
      <c r="S58" s="22"/>
      <c r="T58" s="22">
        <f>SUM(OSRRefT22x_0)</f>
        <v>160525.72999999995</v>
      </c>
      <c r="U58" s="22"/>
      <c r="V58" s="36">
        <f t="shared" ref="V58:V68" si="20">IF(T$12=0,0,T58/T$12)</f>
        <v>8.1854536697907876E-2</v>
      </c>
      <c r="W58" s="4"/>
      <c r="X58" s="22">
        <f t="shared" ref="X58:X68" si="21">+P58-T58</f>
        <v>9191.5900000000256</v>
      </c>
      <c r="Y58" s="4"/>
      <c r="Z58" s="36">
        <f t="shared" ref="Z58:Z68" si="22">IF(T58=0,0,X58/T58)</f>
        <v>5.7259294195391781E-2</v>
      </c>
    </row>
    <row r="59" spans="1:26" s="29" customFormat="1" outlineLevel="1" collapsed="1" x14ac:dyDescent="0.25">
      <c r="A59" s="27"/>
      <c r="B59" s="14" t="str">
        <f>CONCATENATE("     ","*Benefits                                         ")</f>
        <v xml:space="preserve">     *Benefits                                         </v>
      </c>
      <c r="C59" s="14"/>
      <c r="D59" s="1">
        <f>SUM(OSRRefD22_0x_0)</f>
        <v>13021.619999999999</v>
      </c>
      <c r="E59" s="1"/>
      <c r="F59" s="5">
        <f t="shared" si="15"/>
        <v>0.40853192144864592</v>
      </c>
      <c r="G59" s="1"/>
      <c r="H59" s="1">
        <f>SUM(OSRRefH22_0x_0)</f>
        <v>12250.08</v>
      </c>
      <c r="I59" s="1"/>
      <c r="J59" s="5">
        <f t="shared" si="16"/>
        <v>0.38976301290886672</v>
      </c>
      <c r="K59" s="1"/>
      <c r="L59" s="1">
        <f t="shared" si="17"/>
        <v>771.53999999999905</v>
      </c>
      <c r="M59" s="1"/>
      <c r="N59" s="5">
        <f t="shared" si="18"/>
        <v>6.2982445828925121E-2</v>
      </c>
      <c r="O59" s="14"/>
      <c r="P59" s="1">
        <f>SUM(OSRRefP22_0x_0)</f>
        <v>45612.71</v>
      </c>
      <c r="Q59" s="1"/>
      <c r="R59" s="5">
        <f t="shared" si="19"/>
        <v>4.2404173609422377E-2</v>
      </c>
      <c r="S59" s="1"/>
      <c r="T59" s="1">
        <f>SUM(OSRRefT22_0x_0)</f>
        <v>42583.29</v>
      </c>
      <c r="U59" s="1"/>
      <c r="V59" s="5">
        <f t="shared" si="20"/>
        <v>2.1713873994048522E-2</v>
      </c>
      <c r="W59" s="1"/>
      <c r="X59" s="1">
        <f t="shared" si="21"/>
        <v>3029.4199999999983</v>
      </c>
      <c r="Y59" s="1"/>
      <c r="Z59" s="5">
        <f t="shared" si="22"/>
        <v>7.114105086760554E-2</v>
      </c>
    </row>
    <row r="60" spans="1:26" s="24" customFormat="1" hidden="1" outlineLevel="2" x14ac:dyDescent="0.25">
      <c r="A60" s="28"/>
      <c r="B60" s="11" t="str">
        <f>CONCATENATE("          ", "6111", " - ", "F.I.C.A.")</f>
        <v xml:space="preserve">          6111 - F.I.C.A.</v>
      </c>
      <c r="C60" s="11"/>
      <c r="D60" s="6">
        <v>3122.76</v>
      </c>
      <c r="E60" s="2"/>
      <c r="F60" s="7">
        <f t="shared" si="15"/>
        <v>9.797146154034396E-2</v>
      </c>
      <c r="G60" s="2"/>
      <c r="H60" s="6">
        <v>2806.9</v>
      </c>
      <c r="I60" s="2"/>
      <c r="J60" s="7">
        <f t="shared" si="16"/>
        <v>8.9307645414062442E-2</v>
      </c>
      <c r="K60" s="2"/>
      <c r="L60" s="6">
        <f t="shared" si="17"/>
        <v>315.86000000000013</v>
      </c>
      <c r="M60" s="2"/>
      <c r="N60" s="7">
        <f t="shared" si="18"/>
        <v>0.11252983718693224</v>
      </c>
      <c r="O60" s="11"/>
      <c r="P60" s="6">
        <v>9222.64</v>
      </c>
      <c r="Q60" s="2"/>
      <c r="R60" s="7">
        <f t="shared" si="19"/>
        <v>8.5738915249105613E-3</v>
      </c>
      <c r="S60" s="2"/>
      <c r="T60" s="6">
        <v>7603.05</v>
      </c>
      <c r="U60" s="2"/>
      <c r="V60" s="7">
        <f t="shared" si="20"/>
        <v>3.8769120392165707E-3</v>
      </c>
      <c r="W60" s="2"/>
      <c r="X60" s="6">
        <f t="shared" si="21"/>
        <v>1619.5899999999992</v>
      </c>
      <c r="Y60" s="2"/>
      <c r="Z60" s="7">
        <f t="shared" si="22"/>
        <v>0.21301845969709515</v>
      </c>
    </row>
    <row r="61" spans="1:26" s="24" customFormat="1" hidden="1" outlineLevel="2" x14ac:dyDescent="0.25">
      <c r="A61" s="28"/>
      <c r="B61" s="11" t="str">
        <f>CONCATENATE("          ", "6112", " - ", "COMPENSATION INSURANCE")</f>
        <v xml:space="preserve">          6112 - COMPENSATION INSURANCE</v>
      </c>
      <c r="C61" s="11"/>
      <c r="D61" s="6">
        <v>89.88</v>
      </c>
      <c r="E61" s="2"/>
      <c r="F61" s="7">
        <f t="shared" si="15"/>
        <v>2.8198372475778202E-3</v>
      </c>
      <c r="G61" s="2"/>
      <c r="H61" s="6">
        <v>-62.53</v>
      </c>
      <c r="I61" s="2"/>
      <c r="J61" s="7">
        <f t="shared" si="16"/>
        <v>-1.9895283293816395E-3</v>
      </c>
      <c r="K61" s="2"/>
      <c r="L61" s="6">
        <f t="shared" si="17"/>
        <v>152.41</v>
      </c>
      <c r="M61" s="2"/>
      <c r="N61" s="7">
        <f t="shared" si="18"/>
        <v>-2.4373900527746679</v>
      </c>
      <c r="O61" s="11"/>
      <c r="P61" s="6">
        <v>523.16999999999996</v>
      </c>
      <c r="Q61" s="2"/>
      <c r="R61" s="7">
        <f t="shared" si="19"/>
        <v>4.8636863512914501E-4</v>
      </c>
      <c r="S61" s="2"/>
      <c r="T61" s="6">
        <v>193.58</v>
      </c>
      <c r="U61" s="2"/>
      <c r="V61" s="7">
        <f t="shared" si="20"/>
        <v>9.8709416951295044E-5</v>
      </c>
      <c r="W61" s="2"/>
      <c r="X61" s="6">
        <f t="shared" si="21"/>
        <v>329.58999999999992</v>
      </c>
      <c r="Y61" s="2"/>
      <c r="Z61" s="7">
        <f t="shared" si="22"/>
        <v>1.702603574749457</v>
      </c>
    </row>
    <row r="62" spans="1:26" s="24" customFormat="1" hidden="1" outlineLevel="2" x14ac:dyDescent="0.25">
      <c r="A62" s="28"/>
      <c r="B62" s="11" t="str">
        <f>CONCATENATE("          ", "6113", " - ", "GROUP INSURANCE")</f>
        <v xml:space="preserve">          6113 - GROUP INSURANCE</v>
      </c>
      <c r="C62" s="11"/>
      <c r="D62" s="6">
        <v>4248.21</v>
      </c>
      <c r="E62" s="2"/>
      <c r="F62" s="7">
        <f t="shared" si="15"/>
        <v>0.13328060517949011</v>
      </c>
      <c r="G62" s="2"/>
      <c r="H62" s="6">
        <v>4168.57</v>
      </c>
      <c r="I62" s="2"/>
      <c r="J62" s="7">
        <f t="shared" si="16"/>
        <v>0.13263214629794373</v>
      </c>
      <c r="K62" s="2"/>
      <c r="L62" s="6">
        <f t="shared" si="17"/>
        <v>79.640000000000327</v>
      </c>
      <c r="M62" s="2"/>
      <c r="N62" s="7">
        <f t="shared" si="18"/>
        <v>1.9104872894062073E-2</v>
      </c>
      <c r="O62" s="11"/>
      <c r="P62" s="6">
        <v>16858.63</v>
      </c>
      <c r="Q62" s="2"/>
      <c r="R62" s="7">
        <f t="shared" si="19"/>
        <v>1.5672742824029015E-2</v>
      </c>
      <c r="S62" s="2"/>
      <c r="T62" s="6">
        <v>16674.28</v>
      </c>
      <c r="U62" s="2"/>
      <c r="V62" s="7">
        <f t="shared" si="20"/>
        <v>8.5024716235284625E-3</v>
      </c>
      <c r="W62" s="2"/>
      <c r="X62" s="6">
        <f t="shared" si="21"/>
        <v>184.35000000000218</v>
      </c>
      <c r="Y62" s="2"/>
      <c r="Z62" s="7">
        <f t="shared" si="22"/>
        <v>1.1055949642203574E-2</v>
      </c>
    </row>
    <row r="63" spans="1:26" s="24" customFormat="1" hidden="1" outlineLevel="2" x14ac:dyDescent="0.25">
      <c r="A63" s="28"/>
      <c r="B63" s="11" t="str">
        <f>CONCATENATE("          ", "6114", " - ", "STATE UNEMPLOYMENT INSURANCE")</f>
        <v xml:space="preserve">          6114 - STATE UNEMPLOYMENT INSURANCE</v>
      </c>
      <c r="C63" s="11"/>
      <c r="D63" s="6">
        <v>60.94</v>
      </c>
      <c r="E63" s="2"/>
      <c r="F63" s="7">
        <f t="shared" si="15"/>
        <v>1.911892321622078E-3</v>
      </c>
      <c r="G63" s="2"/>
      <c r="H63" s="6">
        <v>75.959999999999994</v>
      </c>
      <c r="I63" s="2"/>
      <c r="J63" s="7">
        <f t="shared" si="16"/>
        <v>2.416833070523418E-3</v>
      </c>
      <c r="K63" s="2"/>
      <c r="L63" s="6">
        <f t="shared" si="17"/>
        <v>-15.019999999999996</v>
      </c>
      <c r="M63" s="2"/>
      <c r="N63" s="7">
        <f t="shared" si="18"/>
        <v>-0.19773565034228538</v>
      </c>
      <c r="O63" s="11"/>
      <c r="P63" s="6">
        <v>269.16000000000003</v>
      </c>
      <c r="Q63" s="2"/>
      <c r="R63" s="7">
        <f t="shared" si="19"/>
        <v>2.5022646908530823E-4</v>
      </c>
      <c r="S63" s="2"/>
      <c r="T63" s="6">
        <v>246.49</v>
      </c>
      <c r="U63" s="2"/>
      <c r="V63" s="7">
        <f t="shared" si="20"/>
        <v>1.2568903907596196E-4</v>
      </c>
      <c r="W63" s="2"/>
      <c r="X63" s="6">
        <f t="shared" si="21"/>
        <v>22.670000000000016</v>
      </c>
      <c r="Y63" s="2"/>
      <c r="Z63" s="7">
        <f t="shared" si="22"/>
        <v>9.1971276725222179E-2</v>
      </c>
    </row>
    <row r="64" spans="1:26" s="24" customFormat="1" hidden="1" outlineLevel="2" x14ac:dyDescent="0.25">
      <c r="A64" s="28"/>
      <c r="B64" s="11" t="str">
        <f>CONCATENATE("          ", "6115", " - ", "P.E.R.S.")</f>
        <v xml:space="preserve">          6115 - P.E.R.S.</v>
      </c>
      <c r="C64" s="11"/>
      <c r="D64" s="6">
        <v>1480.2</v>
      </c>
      <c r="E64" s="2"/>
      <c r="F64" s="7">
        <f t="shared" si="15"/>
        <v>4.6438841720790942E-2</v>
      </c>
      <c r="G64" s="2"/>
      <c r="H64" s="6">
        <v>1803.1</v>
      </c>
      <c r="I64" s="2"/>
      <c r="J64" s="7">
        <f t="shared" si="16"/>
        <v>5.7369559102959128E-2</v>
      </c>
      <c r="K64" s="2"/>
      <c r="L64" s="6">
        <f t="shared" si="17"/>
        <v>-322.89999999999986</v>
      </c>
      <c r="M64" s="2"/>
      <c r="N64" s="7">
        <f t="shared" si="18"/>
        <v>-0.17908047251954959</v>
      </c>
      <c r="O64" s="11"/>
      <c r="P64" s="6">
        <v>6660.92</v>
      </c>
      <c r="Q64" s="2"/>
      <c r="R64" s="7">
        <f t="shared" si="19"/>
        <v>6.1923706808578952E-3</v>
      </c>
      <c r="S64" s="2"/>
      <c r="T64" s="6">
        <v>5780.68</v>
      </c>
      <c r="U64" s="2"/>
      <c r="V64" s="7">
        <f t="shared" si="20"/>
        <v>2.9476575699039788E-3</v>
      </c>
      <c r="W64" s="2"/>
      <c r="X64" s="6">
        <f t="shared" si="21"/>
        <v>880.23999999999978</v>
      </c>
      <c r="Y64" s="2"/>
      <c r="Z64" s="7">
        <f t="shared" si="22"/>
        <v>0.15227274299909349</v>
      </c>
    </row>
    <row r="65" spans="1:26" s="24" customFormat="1" hidden="1" outlineLevel="2" x14ac:dyDescent="0.25">
      <c r="A65" s="28"/>
      <c r="B65" s="11" t="str">
        <f>CONCATENATE("          ", "6117", " - ", "RETIREMENT STAFF HOURLY")</f>
        <v xml:space="preserve">          6117 - RETIREMENT STAFF HOURLY</v>
      </c>
      <c r="C65" s="11"/>
      <c r="D65" s="6">
        <v>222.97</v>
      </c>
      <c r="E65" s="2"/>
      <c r="F65" s="7">
        <f t="shared" si="15"/>
        <v>6.9953172128663392E-3</v>
      </c>
      <c r="G65" s="2"/>
      <c r="H65" s="6">
        <v>91.29</v>
      </c>
      <c r="I65" s="2"/>
      <c r="J65" s="7">
        <f t="shared" si="16"/>
        <v>2.9045904556093058E-3</v>
      </c>
      <c r="K65" s="2"/>
      <c r="L65" s="6">
        <f t="shared" si="17"/>
        <v>131.68</v>
      </c>
      <c r="M65" s="2"/>
      <c r="N65" s="7">
        <f t="shared" si="18"/>
        <v>1.4424361923540365</v>
      </c>
      <c r="O65" s="11"/>
      <c r="P65" s="6">
        <v>1060.74</v>
      </c>
      <c r="Q65" s="2"/>
      <c r="R65" s="7">
        <f t="shared" si="19"/>
        <v>9.8612433057493603E-4</v>
      </c>
      <c r="S65" s="2"/>
      <c r="T65" s="6">
        <v>552.63</v>
      </c>
      <c r="U65" s="2"/>
      <c r="V65" s="7">
        <f t="shared" si="20"/>
        <v>2.8179452985739318E-4</v>
      </c>
      <c r="W65" s="2"/>
      <c r="X65" s="6">
        <f t="shared" si="21"/>
        <v>508.11</v>
      </c>
      <c r="Y65" s="2"/>
      <c r="Z65" s="7">
        <f t="shared" si="22"/>
        <v>0.91943976982791387</v>
      </c>
    </row>
    <row r="66" spans="1:26" s="24" customFormat="1" hidden="1" outlineLevel="2" x14ac:dyDescent="0.25">
      <c r="A66" s="28"/>
      <c r="B66" s="11" t="str">
        <f>CONCATENATE("          ", "6118", " - ", "VACATION")</f>
        <v xml:space="preserve">          6118 - VACATION</v>
      </c>
      <c r="C66" s="11"/>
      <c r="D66" s="6">
        <v>1853.32</v>
      </c>
      <c r="E66" s="2"/>
      <c r="F66" s="7">
        <f t="shared" si="15"/>
        <v>5.8144868354260415E-2</v>
      </c>
      <c r="G66" s="2"/>
      <c r="H66" s="6">
        <v>1542.87</v>
      </c>
      <c r="I66" s="2"/>
      <c r="J66" s="7">
        <f t="shared" si="16"/>
        <v>4.9089774085287863E-2</v>
      </c>
      <c r="K66" s="2"/>
      <c r="L66" s="6">
        <f t="shared" si="17"/>
        <v>310.45000000000005</v>
      </c>
      <c r="M66" s="2"/>
      <c r="N66" s="7">
        <f t="shared" si="18"/>
        <v>0.20121591579329437</v>
      </c>
      <c r="O66" s="11"/>
      <c r="P66" s="6">
        <v>4884.7</v>
      </c>
      <c r="Q66" s="2"/>
      <c r="R66" s="7">
        <f t="shared" si="19"/>
        <v>4.541095383938939E-3</v>
      </c>
      <c r="S66" s="2"/>
      <c r="T66" s="6">
        <v>4637.22</v>
      </c>
      <c r="U66" s="2"/>
      <c r="V66" s="7">
        <f t="shared" si="20"/>
        <v>2.3645897431288582E-3</v>
      </c>
      <c r="W66" s="2"/>
      <c r="X66" s="6">
        <f t="shared" si="21"/>
        <v>247.47999999999956</v>
      </c>
      <c r="Y66" s="2"/>
      <c r="Z66" s="7">
        <f t="shared" si="22"/>
        <v>5.3368181798577496E-2</v>
      </c>
    </row>
    <row r="67" spans="1:26" s="24" customFormat="1" hidden="1" outlineLevel="2" x14ac:dyDescent="0.25">
      <c r="A67" s="28"/>
      <c r="B67" s="11" t="str">
        <f>CONCATENATE("          ", "6119", " - ", "SICK LEAVE")</f>
        <v xml:space="preserve">          6119 - SICK LEAVE</v>
      </c>
      <c r="C67" s="11"/>
      <c r="D67" s="6">
        <v>1416.9</v>
      </c>
      <c r="E67" s="2"/>
      <c r="F67" s="7">
        <f t="shared" si="15"/>
        <v>4.4452908278738469E-2</v>
      </c>
      <c r="G67" s="2"/>
      <c r="H67" s="6">
        <v>1202.6099999999999</v>
      </c>
      <c r="I67" s="2"/>
      <c r="J67" s="7">
        <f t="shared" si="16"/>
        <v>3.8263660070328699E-2</v>
      </c>
      <c r="K67" s="2"/>
      <c r="L67" s="6">
        <f t="shared" si="17"/>
        <v>214.29000000000019</v>
      </c>
      <c r="M67" s="2"/>
      <c r="N67" s="7">
        <f t="shared" si="18"/>
        <v>0.17818744231296946</v>
      </c>
      <c r="O67" s="11"/>
      <c r="P67" s="6">
        <v>4250.7</v>
      </c>
      <c r="Q67" s="2"/>
      <c r="R67" s="7">
        <f t="shared" si="19"/>
        <v>3.9516928672199414E-3</v>
      </c>
      <c r="S67" s="2"/>
      <c r="T67" s="6">
        <v>4516.63</v>
      </c>
      <c r="U67" s="2"/>
      <c r="V67" s="7">
        <f t="shared" si="20"/>
        <v>2.3030990488931073E-3</v>
      </c>
      <c r="W67" s="2"/>
      <c r="X67" s="6">
        <f t="shared" si="21"/>
        <v>-265.93000000000029</v>
      </c>
      <c r="Y67" s="2"/>
      <c r="Z67" s="7">
        <f t="shared" si="22"/>
        <v>-5.8877968751037894E-2</v>
      </c>
    </row>
    <row r="68" spans="1:26" s="24" customFormat="1" hidden="1" outlineLevel="2" x14ac:dyDescent="0.25">
      <c r="A68" s="28"/>
      <c r="B68" s="11" t="str">
        <f>CONCATENATE("          ", "6156", " - ", "EMPLOYEE MEALS")</f>
        <v xml:space="preserve">          6156 - EMPLOYEE MEALS</v>
      </c>
      <c r="C68" s="11"/>
      <c r="D68" s="6">
        <v>526.44000000000005</v>
      </c>
      <c r="E68" s="2"/>
      <c r="F68" s="7">
        <f t="shared" si="15"/>
        <v>1.6516189592955807E-2</v>
      </c>
      <c r="G68" s="2"/>
      <c r="H68" s="6">
        <v>621.30999999999995</v>
      </c>
      <c r="I68" s="2"/>
      <c r="J68" s="7">
        <f t="shared" si="16"/>
        <v>1.9768332741533765E-2</v>
      </c>
      <c r="K68" s="2"/>
      <c r="L68" s="6">
        <f t="shared" si="17"/>
        <v>-94.869999999999891</v>
      </c>
      <c r="M68" s="2"/>
      <c r="N68" s="7">
        <f t="shared" si="18"/>
        <v>-0.15269350243839613</v>
      </c>
      <c r="O68" s="11"/>
      <c r="P68" s="6">
        <v>1882.05</v>
      </c>
      <c r="Q68" s="2"/>
      <c r="R68" s="7">
        <f t="shared" si="19"/>
        <v>1.7496608936766393E-3</v>
      </c>
      <c r="S68" s="2"/>
      <c r="T68" s="6">
        <v>2378.73</v>
      </c>
      <c r="U68" s="2"/>
      <c r="V68" s="7">
        <f t="shared" si="20"/>
        <v>1.2129509834928921E-3</v>
      </c>
      <c r="W68" s="2"/>
      <c r="X68" s="6">
        <f t="shared" si="21"/>
        <v>-496.68000000000006</v>
      </c>
      <c r="Y68" s="2"/>
      <c r="Z68" s="7">
        <f t="shared" si="22"/>
        <v>-0.20880049438145568</v>
      </c>
    </row>
    <row r="69" spans="1:26" s="29" customFormat="1" outlineLevel="1" collapsed="1" x14ac:dyDescent="0.25">
      <c r="A69" s="27"/>
      <c r="B69" s="14" t="str">
        <f>CONCATENATE("     ","*Payroll                                          ")</f>
        <v xml:space="preserve">     *Payroll                                          </v>
      </c>
      <c r="C69" s="14"/>
      <c r="D69" s="1">
        <f>SUM(OSRRefD22_1x_0)</f>
        <v>26770.510000000002</v>
      </c>
      <c r="E69" s="1"/>
      <c r="F69" s="5">
        <f t="shared" ref="F69:F75" si="23">IF(D$12=0,0,D69/D$12)</f>
        <v>0.83988074359873743</v>
      </c>
      <c r="G69" s="1"/>
      <c r="H69" s="1">
        <f>SUM(OSRRefH22_1x_0)</f>
        <v>26399.489999999998</v>
      </c>
      <c r="I69" s="1"/>
      <c r="J69" s="5">
        <f t="shared" ref="J69:J75" si="24">IF(H$12=0,0,H69/H$12)</f>
        <v>0.83995735225055645</v>
      </c>
      <c r="K69" s="1"/>
      <c r="L69" s="1">
        <f t="shared" ref="L69:L75" si="25">+D69-H69</f>
        <v>371.02000000000407</v>
      </c>
      <c r="M69" s="1"/>
      <c r="N69" s="5">
        <f t="shared" ref="N69:N75" si="26">IF(H69=0,0,L69/H69)</f>
        <v>1.4054059377662376E-2</v>
      </c>
      <c r="O69" s="14"/>
      <c r="P69" s="1">
        <f>SUM(OSRRefP22_1x_0)</f>
        <v>116444.83</v>
      </c>
      <c r="Q69" s="1"/>
      <c r="R69" s="5">
        <f t="shared" ref="R69:R75" si="27">IF(P$12=0,0,P69/P$12)</f>
        <v>0.10825374741469374</v>
      </c>
      <c r="S69" s="1"/>
      <c r="T69" s="1">
        <f>SUM(OSRRefT22_1x_0)</f>
        <v>96461.27</v>
      </c>
      <c r="U69" s="1"/>
      <c r="V69" s="5">
        <f t="shared" ref="V69:V75" si="28">IF(T$12=0,0,T69/T$12)</f>
        <v>4.9187083996701353E-2</v>
      </c>
      <c r="W69" s="1"/>
      <c r="X69" s="1">
        <f t="shared" ref="X69:X75" si="29">+P69-T69</f>
        <v>19983.559999999998</v>
      </c>
      <c r="Y69" s="1"/>
      <c r="Z69" s="5">
        <f t="shared" ref="Z69:Z75" si="30">IF(T69=0,0,X69/T69)</f>
        <v>0.20716666906832137</v>
      </c>
    </row>
    <row r="70" spans="1:26" s="24" customFormat="1" hidden="1" outlineLevel="2" x14ac:dyDescent="0.25">
      <c r="A70" s="28"/>
      <c r="B70" s="11" t="str">
        <f>CONCATENATE("          ", "6001", " - ", "ADMINISTRATIVE SALARIES")</f>
        <v xml:space="preserve">          6001 - ADMINISTRATIVE SALARIES</v>
      </c>
      <c r="C70" s="11"/>
      <c r="D70" s="6"/>
      <c r="E70" s="2"/>
      <c r="F70" s="7">
        <f t="shared" si="23"/>
        <v>0</v>
      </c>
      <c r="G70" s="2"/>
      <c r="H70" s="6"/>
      <c r="I70" s="2"/>
      <c r="J70" s="7">
        <f t="shared" si="24"/>
        <v>0</v>
      </c>
      <c r="K70" s="2"/>
      <c r="L70" s="6">
        <f t="shared" si="25"/>
        <v>0</v>
      </c>
      <c r="M70" s="2"/>
      <c r="N70" s="7">
        <f t="shared" si="26"/>
        <v>0</v>
      </c>
      <c r="O70" s="11"/>
      <c r="P70" s="6">
        <v>-311.32</v>
      </c>
      <c r="Q70" s="2"/>
      <c r="R70" s="7">
        <f t="shared" si="27"/>
        <v>-2.8942080679015506E-4</v>
      </c>
      <c r="S70" s="2"/>
      <c r="T70" s="6"/>
      <c r="U70" s="2"/>
      <c r="V70" s="7">
        <f t="shared" si="28"/>
        <v>0</v>
      </c>
      <c r="W70" s="2"/>
      <c r="X70" s="6">
        <f t="shared" si="29"/>
        <v>-311.32</v>
      </c>
      <c r="Y70" s="2"/>
      <c r="Z70" s="7">
        <f t="shared" si="30"/>
        <v>0</v>
      </c>
    </row>
    <row r="71" spans="1:26" s="24" customFormat="1" hidden="1" outlineLevel="2" x14ac:dyDescent="0.25">
      <c r="A71" s="28"/>
      <c r="B71" s="11" t="str">
        <f>CONCATENATE("          ", "6002", " - ", "STAFF SALARIES")</f>
        <v xml:space="preserve">          6002 - STAFF SALARIES</v>
      </c>
      <c r="C71" s="11"/>
      <c r="D71" s="6">
        <v>16701.230000000003</v>
      </c>
      <c r="E71" s="2"/>
      <c r="F71" s="7">
        <f t="shared" si="23"/>
        <v>0.52397363634138994</v>
      </c>
      <c r="G71" s="2"/>
      <c r="H71" s="6">
        <v>16310.289999999999</v>
      </c>
      <c r="I71" s="2"/>
      <c r="J71" s="7">
        <f t="shared" si="24"/>
        <v>0.5189474494711348</v>
      </c>
      <c r="K71" s="2"/>
      <c r="L71" s="6">
        <f t="shared" si="25"/>
        <v>390.94000000000415</v>
      </c>
      <c r="M71" s="2"/>
      <c r="N71" s="7">
        <f t="shared" si="26"/>
        <v>2.3968917781351781E-2</v>
      </c>
      <c r="O71" s="11"/>
      <c r="P71" s="6">
        <v>64144.15</v>
      </c>
      <c r="Q71" s="2"/>
      <c r="R71" s="7">
        <f t="shared" si="27"/>
        <v>5.9632055903471433E-2</v>
      </c>
      <c r="S71" s="2"/>
      <c r="T71" s="6">
        <v>60889.53</v>
      </c>
      <c r="U71" s="2"/>
      <c r="V71" s="7">
        <f t="shared" si="28"/>
        <v>3.1048507101655066E-2</v>
      </c>
      <c r="W71" s="2"/>
      <c r="X71" s="6">
        <f t="shared" si="29"/>
        <v>3254.6200000000026</v>
      </c>
      <c r="Y71" s="2"/>
      <c r="Z71" s="7">
        <f t="shared" si="30"/>
        <v>5.3451225522680217E-2</v>
      </c>
    </row>
    <row r="72" spans="1:26" s="24" customFormat="1" hidden="1" outlineLevel="2" x14ac:dyDescent="0.25">
      <c r="A72" s="28"/>
      <c r="B72" s="11" t="str">
        <f>CONCATENATE("          ", "6004", " - ", "STAFF HOURLY")</f>
        <v xml:space="preserve">          6004 - STAFF HOURLY</v>
      </c>
      <c r="C72" s="11"/>
      <c r="D72" s="6">
        <v>8733.7900000000009</v>
      </c>
      <c r="E72" s="2"/>
      <c r="F72" s="7">
        <f t="shared" si="23"/>
        <v>0.27400830389989644</v>
      </c>
      <c r="G72" s="2"/>
      <c r="H72" s="6">
        <v>4439.95</v>
      </c>
      <c r="I72" s="2"/>
      <c r="J72" s="7">
        <f t="shared" si="24"/>
        <v>0.14126669288402383</v>
      </c>
      <c r="K72" s="2"/>
      <c r="L72" s="6">
        <f t="shared" si="25"/>
        <v>4293.8400000000011</v>
      </c>
      <c r="M72" s="2"/>
      <c r="N72" s="7">
        <f t="shared" si="26"/>
        <v>0.96709197175643902</v>
      </c>
      <c r="O72" s="11"/>
      <c r="P72" s="6">
        <v>27311.52</v>
      </c>
      <c r="Q72" s="2"/>
      <c r="R72" s="7">
        <f t="shared" si="27"/>
        <v>2.5390344831894694E-2</v>
      </c>
      <c r="S72" s="2"/>
      <c r="T72" s="6">
        <v>12189.17</v>
      </c>
      <c r="U72" s="2"/>
      <c r="V72" s="7">
        <f t="shared" si="28"/>
        <v>6.2154451070369713E-3</v>
      </c>
      <c r="W72" s="2"/>
      <c r="X72" s="6">
        <f t="shared" si="29"/>
        <v>15122.35</v>
      </c>
      <c r="Y72" s="2"/>
      <c r="Z72" s="7">
        <f t="shared" si="30"/>
        <v>1.2406382058827632</v>
      </c>
    </row>
    <row r="73" spans="1:26" s="24" customFormat="1" hidden="1" outlineLevel="2" x14ac:dyDescent="0.25">
      <c r="A73" s="28"/>
      <c r="B73" s="11" t="str">
        <f>CONCATENATE("          ", "6005", " - ", "TEMPORARY WAGES-HOURLY")</f>
        <v xml:space="preserve">          6005 - TEMPORARY WAGES-HOURLY</v>
      </c>
      <c r="C73" s="11"/>
      <c r="D73" s="6">
        <v>1498.67</v>
      </c>
      <c r="E73" s="2"/>
      <c r="F73" s="7">
        <f t="shared" si="23"/>
        <v>4.7018307608227103E-2</v>
      </c>
      <c r="G73" s="2"/>
      <c r="H73" s="6">
        <v>3432.62</v>
      </c>
      <c r="I73" s="2"/>
      <c r="J73" s="7">
        <f t="shared" si="24"/>
        <v>0.10921629192390858</v>
      </c>
      <c r="K73" s="2"/>
      <c r="L73" s="6">
        <f t="shared" si="25"/>
        <v>-1933.9499999999998</v>
      </c>
      <c r="M73" s="2"/>
      <c r="N73" s="7">
        <f t="shared" si="26"/>
        <v>-0.56340346440911016</v>
      </c>
      <c r="O73" s="11"/>
      <c r="P73" s="6">
        <v>12838</v>
      </c>
      <c r="Q73" s="2"/>
      <c r="R73" s="7">
        <f t="shared" si="27"/>
        <v>1.1934936135076485E-2</v>
      </c>
      <c r="S73" s="2"/>
      <c r="T73" s="6">
        <v>7694.1</v>
      </c>
      <c r="U73" s="2"/>
      <c r="V73" s="7">
        <f t="shared" si="28"/>
        <v>3.9233398334794873E-3</v>
      </c>
      <c r="W73" s="2"/>
      <c r="X73" s="6">
        <f t="shared" si="29"/>
        <v>5143.8999999999996</v>
      </c>
      <c r="Y73" s="2"/>
      <c r="Z73" s="7">
        <f t="shared" si="30"/>
        <v>0.66855122756397756</v>
      </c>
    </row>
    <row r="74" spans="1:26" s="24" customFormat="1" hidden="1" outlineLevel="2" x14ac:dyDescent="0.25">
      <c r="A74" s="28"/>
      <c r="B74" s="11" t="str">
        <f>CONCATENATE("          ", "6006", " - ", "TEMPORARY PART TIME")</f>
        <v xml:space="preserve">          6006 - TEMPORARY PART TIME</v>
      </c>
      <c r="C74" s="11"/>
      <c r="D74" s="6"/>
      <c r="E74" s="2"/>
      <c r="F74" s="7">
        <f t="shared" si="23"/>
        <v>0</v>
      </c>
      <c r="G74" s="2"/>
      <c r="H74" s="6"/>
      <c r="I74" s="2"/>
      <c r="J74" s="7">
        <f t="shared" si="24"/>
        <v>0</v>
      </c>
      <c r="K74" s="2"/>
      <c r="L74" s="6">
        <f t="shared" si="25"/>
        <v>0</v>
      </c>
      <c r="M74" s="2"/>
      <c r="N74" s="7">
        <f t="shared" si="26"/>
        <v>0</v>
      </c>
      <c r="O74" s="11"/>
      <c r="P74" s="6">
        <v>502.29</v>
      </c>
      <c r="Q74" s="2"/>
      <c r="R74" s="7">
        <f t="shared" si="27"/>
        <v>4.6695739767000835E-4</v>
      </c>
      <c r="S74" s="2"/>
      <c r="T74" s="6"/>
      <c r="U74" s="2"/>
      <c r="V74" s="7">
        <f t="shared" si="28"/>
        <v>0</v>
      </c>
      <c r="W74" s="2"/>
      <c r="X74" s="6">
        <f t="shared" si="29"/>
        <v>502.29</v>
      </c>
      <c r="Y74" s="2"/>
      <c r="Z74" s="7">
        <f t="shared" si="30"/>
        <v>0</v>
      </c>
    </row>
    <row r="75" spans="1:26" s="24" customFormat="1" hidden="1" outlineLevel="2" x14ac:dyDescent="0.25">
      <c r="A75" s="28"/>
      <c r="B75" s="11" t="str">
        <f>CONCATENATE("          ", "6007", " - ", "STUDENT HOURLY")</f>
        <v xml:space="preserve">          6007 - STUDENT HOURLY</v>
      </c>
      <c r="C75" s="11"/>
      <c r="D75" s="6">
        <v>-163.18</v>
      </c>
      <c r="E75" s="2"/>
      <c r="F75" s="7">
        <f t="shared" si="23"/>
        <v>-5.119504250776021E-3</v>
      </c>
      <c r="G75" s="2"/>
      <c r="H75" s="6">
        <v>2216.63</v>
      </c>
      <c r="I75" s="2"/>
      <c r="J75" s="7">
        <f t="shared" si="24"/>
        <v>7.0526917971489272E-2</v>
      </c>
      <c r="K75" s="2"/>
      <c r="L75" s="6">
        <f t="shared" si="25"/>
        <v>-2379.81</v>
      </c>
      <c r="M75" s="2"/>
      <c r="N75" s="7">
        <f t="shared" si="26"/>
        <v>-1.0736162553064788</v>
      </c>
      <c r="O75" s="11"/>
      <c r="P75" s="6">
        <v>11960.19</v>
      </c>
      <c r="Q75" s="2"/>
      <c r="R75" s="7">
        <f t="shared" si="27"/>
        <v>1.1118873953371274E-2</v>
      </c>
      <c r="S75" s="2"/>
      <c r="T75" s="6">
        <v>15688.470000000001</v>
      </c>
      <c r="U75" s="2"/>
      <c r="V75" s="7">
        <f t="shared" si="28"/>
        <v>7.9997919545298259E-3</v>
      </c>
      <c r="W75" s="2"/>
      <c r="X75" s="6">
        <f t="shared" si="29"/>
        <v>-3728.2800000000007</v>
      </c>
      <c r="Y75" s="2"/>
      <c r="Z75" s="7">
        <f t="shared" si="30"/>
        <v>-0.23764458866925842</v>
      </c>
    </row>
    <row r="76" spans="1:26" s="29" customFormat="1" outlineLevel="1" collapsed="1" x14ac:dyDescent="0.25">
      <c r="A76" s="27"/>
      <c r="B76" s="14" t="str">
        <f>CONCATENATE("     ","Advertising/Promo                                 ")</f>
        <v xml:space="preserve">     Advertising/Promo                                 </v>
      </c>
      <c r="C76" s="14"/>
      <c r="D76" s="1">
        <f>SUM(OSRRefD22_2x_0)</f>
        <v>0</v>
      </c>
      <c r="E76" s="1"/>
      <c r="F76" s="5">
        <f t="shared" ref="F76:F80" si="31">IF(D$12=0,0,D76/D$12)</f>
        <v>0</v>
      </c>
      <c r="G76" s="1"/>
      <c r="H76" s="1">
        <f>SUM(OSRRefH22_2x_0)</f>
        <v>81</v>
      </c>
      <c r="I76" s="1"/>
      <c r="J76" s="5">
        <f t="shared" ref="J76:J80" si="32">IF(H$12=0,0,H76/H$12)</f>
        <v>2.5771916628804224E-3</v>
      </c>
      <c r="K76" s="1"/>
      <c r="L76" s="1">
        <f t="shared" ref="L76:L80" si="33">+D76-H76</f>
        <v>-81</v>
      </c>
      <c r="M76" s="1"/>
      <c r="N76" s="5">
        <f t="shared" ref="N76:N80" si="34">IF(H76=0,0,L76/H76)</f>
        <v>-1</v>
      </c>
      <c r="O76" s="14"/>
      <c r="P76" s="1">
        <f>SUM(OSRRefP22_2x_0)</f>
        <v>1359.88</v>
      </c>
      <c r="Q76" s="1"/>
      <c r="R76" s="5">
        <f t="shared" ref="R76:R80" si="35">IF(P$12=0,0,P76/P$12)</f>
        <v>1.2642219155139282E-3</v>
      </c>
      <c r="S76" s="1"/>
      <c r="T76" s="1">
        <f>SUM(OSRRefT22_2x_0)</f>
        <v>3136.02</v>
      </c>
      <c r="U76" s="1"/>
      <c r="V76" s="5">
        <f t="shared" ref="V76:V80" si="36">IF(T$12=0,0,T76/T$12)</f>
        <v>1.5991047925798133E-3</v>
      </c>
      <c r="W76" s="1"/>
      <c r="X76" s="1">
        <f t="shared" ref="X76:X80" si="37">+P76-T76</f>
        <v>-1776.1399999999999</v>
      </c>
      <c r="Y76" s="1"/>
      <c r="Z76" s="5">
        <f t="shared" ref="Z76:Z80" si="38">IF(T76=0,0,X76/T76)</f>
        <v>-0.56636756143136835</v>
      </c>
    </row>
    <row r="77" spans="1:26" s="24" customFormat="1" hidden="1" outlineLevel="2" x14ac:dyDescent="0.25">
      <c r="A77" s="28"/>
      <c r="B77" s="11" t="str">
        <f>CONCATENATE("          ", "6362", " - ", "ADVERTISING EXPENSE")</f>
        <v xml:space="preserve">          6362 - ADVERTISING EXPENSE</v>
      </c>
      <c r="C77" s="11"/>
      <c r="D77" s="6"/>
      <c r="E77" s="2"/>
      <c r="F77" s="7">
        <f t="shared" si="31"/>
        <v>0</v>
      </c>
      <c r="G77" s="2"/>
      <c r="H77" s="6">
        <v>81</v>
      </c>
      <c r="I77" s="2"/>
      <c r="J77" s="7">
        <f t="shared" si="32"/>
        <v>2.5771916628804224E-3</v>
      </c>
      <c r="K77" s="2"/>
      <c r="L77" s="6">
        <f t="shared" si="33"/>
        <v>-81</v>
      </c>
      <c r="M77" s="2"/>
      <c r="N77" s="7">
        <f t="shared" si="34"/>
        <v>-1</v>
      </c>
      <c r="O77" s="11"/>
      <c r="P77" s="6">
        <v>1359.88</v>
      </c>
      <c r="Q77" s="2"/>
      <c r="R77" s="7">
        <f t="shared" si="35"/>
        <v>1.2642219155139282E-3</v>
      </c>
      <c r="S77" s="2"/>
      <c r="T77" s="6">
        <v>3136.02</v>
      </c>
      <c r="U77" s="2"/>
      <c r="V77" s="7">
        <f t="shared" si="36"/>
        <v>1.5991047925798133E-3</v>
      </c>
      <c r="W77" s="2"/>
      <c r="X77" s="6">
        <f t="shared" si="37"/>
        <v>-1776.1399999999999</v>
      </c>
      <c r="Y77" s="2"/>
      <c r="Z77" s="7">
        <f t="shared" si="38"/>
        <v>-0.56636756143136835</v>
      </c>
    </row>
    <row r="78" spans="1:26" s="29" customFormat="1" outlineLevel="1" collapsed="1" x14ac:dyDescent="0.25">
      <c r="A78" s="27"/>
      <c r="B78" s="14" t="str">
        <f>CONCATENATE("     ","Discounts and Markdowns                           ")</f>
        <v xml:space="preserve">     Discounts and Markdowns                           </v>
      </c>
      <c r="C78" s="14"/>
      <c r="D78" s="1">
        <f>SUM(OSRRefD22_3x_0)</f>
        <v>0</v>
      </c>
      <c r="E78" s="1"/>
      <c r="F78" s="5">
        <f t="shared" si="31"/>
        <v>0</v>
      </c>
      <c r="G78" s="1"/>
      <c r="H78" s="1">
        <f>SUM(OSRRefH22_3x_0)</f>
        <v>441.38</v>
      </c>
      <c r="I78" s="1"/>
      <c r="J78" s="5">
        <f t="shared" si="32"/>
        <v>1.4043467360026676E-2</v>
      </c>
      <c r="K78" s="1"/>
      <c r="L78" s="1">
        <f t="shared" si="33"/>
        <v>-441.38</v>
      </c>
      <c r="M78" s="1"/>
      <c r="N78" s="5">
        <f t="shared" si="34"/>
        <v>-1</v>
      </c>
      <c r="O78" s="14"/>
      <c r="P78" s="1">
        <f>SUM(OSRRefP22_3x_0)</f>
        <v>0</v>
      </c>
      <c r="Q78" s="1"/>
      <c r="R78" s="5">
        <f t="shared" si="35"/>
        <v>0</v>
      </c>
      <c r="S78" s="1"/>
      <c r="T78" s="1">
        <f>SUM(OSRRefT22_3x_0)</f>
        <v>-2756.05</v>
      </c>
      <c r="U78" s="1"/>
      <c r="V78" s="5">
        <f t="shared" si="36"/>
        <v>-1.405352250173658E-3</v>
      </c>
      <c r="W78" s="1"/>
      <c r="X78" s="1">
        <f t="shared" si="37"/>
        <v>2756.05</v>
      </c>
      <c r="Y78" s="1"/>
      <c r="Z78" s="5">
        <f t="shared" si="38"/>
        <v>-1</v>
      </c>
    </row>
    <row r="79" spans="1:26" s="24" customFormat="1" hidden="1" outlineLevel="2" x14ac:dyDescent="0.25">
      <c r="A79" s="28"/>
      <c r="B79" s="11" t="str">
        <f>CONCATENATE("          ", "6382", " - ", "DISCOUNTS/MARK DOWNS")</f>
        <v xml:space="preserve">          6382 - DISCOUNTS/MARK DOWNS</v>
      </c>
      <c r="C79" s="11"/>
      <c r="D79" s="6"/>
      <c r="E79" s="2"/>
      <c r="F79" s="7">
        <f t="shared" si="31"/>
        <v>0</v>
      </c>
      <c r="G79" s="2"/>
      <c r="H79" s="6">
        <v>434.52</v>
      </c>
      <c r="I79" s="2"/>
      <c r="J79" s="7">
        <f t="shared" si="32"/>
        <v>1.382520149820742E-2</v>
      </c>
      <c r="K79" s="2"/>
      <c r="L79" s="6">
        <f t="shared" si="33"/>
        <v>-434.52</v>
      </c>
      <c r="M79" s="2"/>
      <c r="N79" s="7">
        <f t="shared" si="34"/>
        <v>-1</v>
      </c>
      <c r="O79" s="11"/>
      <c r="P79" s="6"/>
      <c r="Q79" s="2"/>
      <c r="R79" s="7">
        <f t="shared" si="35"/>
        <v>0</v>
      </c>
      <c r="S79" s="2"/>
      <c r="T79" s="6">
        <v>-2322.42</v>
      </c>
      <c r="U79" s="2"/>
      <c r="V79" s="7">
        <f t="shared" si="36"/>
        <v>-1.1842376491167819E-3</v>
      </c>
      <c r="W79" s="2"/>
      <c r="X79" s="6">
        <f t="shared" si="37"/>
        <v>2322.42</v>
      </c>
      <c r="Y79" s="2"/>
      <c r="Z79" s="7">
        <f t="shared" si="38"/>
        <v>-1</v>
      </c>
    </row>
    <row r="80" spans="1:26" s="24" customFormat="1" hidden="1" outlineLevel="2" x14ac:dyDescent="0.25">
      <c r="A80" s="28"/>
      <c r="B80" s="11" t="str">
        <f>CONCATENATE("          ", "9175", " - ", "EARNED DISCOUNTS")</f>
        <v xml:space="preserve">          9175 - EARNED DISCOUNTS</v>
      </c>
      <c r="C80" s="11"/>
      <c r="D80" s="6"/>
      <c r="E80" s="2"/>
      <c r="F80" s="7">
        <f t="shared" si="31"/>
        <v>0</v>
      </c>
      <c r="G80" s="2"/>
      <c r="H80" s="6">
        <v>6.86</v>
      </c>
      <c r="I80" s="2"/>
      <c r="J80" s="7">
        <f t="shared" si="32"/>
        <v>2.1826586181925554E-4</v>
      </c>
      <c r="K80" s="2"/>
      <c r="L80" s="6">
        <f t="shared" si="33"/>
        <v>-6.86</v>
      </c>
      <c r="M80" s="2"/>
      <c r="N80" s="7">
        <f t="shared" si="34"/>
        <v>-1</v>
      </c>
      <c r="O80" s="11"/>
      <c r="P80" s="6"/>
      <c r="Q80" s="2"/>
      <c r="R80" s="7">
        <f t="shared" si="35"/>
        <v>0</v>
      </c>
      <c r="S80" s="2"/>
      <c r="T80" s="6">
        <v>-433.63</v>
      </c>
      <c r="U80" s="2"/>
      <c r="V80" s="7">
        <f t="shared" si="36"/>
        <v>-2.2111460105687605E-4</v>
      </c>
      <c r="W80" s="2"/>
      <c r="X80" s="6">
        <f t="shared" si="37"/>
        <v>433.63</v>
      </c>
      <c r="Y80" s="2"/>
      <c r="Z80" s="7">
        <f t="shared" si="38"/>
        <v>-1</v>
      </c>
    </row>
    <row r="81" spans="1:26" s="29" customFormat="1" outlineLevel="1" collapsed="1" x14ac:dyDescent="0.25">
      <c r="A81" s="27"/>
      <c r="B81" s="14" t="str">
        <f>CONCATENATE("     ","Employees' Appreciation                           ")</f>
        <v xml:space="preserve">     Employees' Appreciation                           </v>
      </c>
      <c r="C81" s="14"/>
      <c r="D81" s="1">
        <f>SUM(OSRRefD22_4x_0)</f>
        <v>0</v>
      </c>
      <c r="E81" s="1"/>
      <c r="F81" s="5">
        <f t="shared" ref="F81:F87" si="39">IF(D$12=0,0,D81/D$12)</f>
        <v>0</v>
      </c>
      <c r="G81" s="1"/>
      <c r="H81" s="1">
        <f>SUM(OSRRefH22_4x_0)</f>
        <v>0</v>
      </c>
      <c r="I81" s="1"/>
      <c r="J81" s="5">
        <f t="shared" ref="J81:J87" si="40">IF(H$12=0,0,H81/H$12)</f>
        <v>0</v>
      </c>
      <c r="K81" s="1"/>
      <c r="L81" s="1">
        <f t="shared" ref="L81:L87" si="41">+D81-H81</f>
        <v>0</v>
      </c>
      <c r="M81" s="1"/>
      <c r="N81" s="5">
        <f t="shared" ref="N81:N87" si="42">IF(H81=0,0,L81/H81)</f>
        <v>0</v>
      </c>
      <c r="O81" s="14"/>
      <c r="P81" s="1">
        <f>SUM(OSRRefP22_4x_0)</f>
        <v>107.7</v>
      </c>
      <c r="Q81" s="1"/>
      <c r="R81" s="5">
        <f t="shared" ref="R81:R87" si="43">IF(P$12=0,0,P81/P$12)</f>
        <v>1.0012405528491489E-4</v>
      </c>
      <c r="S81" s="1"/>
      <c r="T81" s="1">
        <f>SUM(OSRRefT22_4x_0)</f>
        <v>0</v>
      </c>
      <c r="U81" s="1"/>
      <c r="V81" s="5">
        <f t="shared" ref="V81:V87" si="44">IF(T$12=0,0,T81/T$12)</f>
        <v>0</v>
      </c>
      <c r="W81" s="1"/>
      <c r="X81" s="1">
        <f t="shared" ref="X81:X87" si="45">+P81-T81</f>
        <v>107.7</v>
      </c>
      <c r="Y81" s="1"/>
      <c r="Z81" s="5">
        <f t="shared" ref="Z81:Z87" si="46">IF(T81=0,0,X81/T81)</f>
        <v>0</v>
      </c>
    </row>
    <row r="82" spans="1:26" s="24" customFormat="1" hidden="1" outlineLevel="2" x14ac:dyDescent="0.25">
      <c r="A82" s="28"/>
      <c r="B82" s="11" t="str">
        <f>CONCATENATE("          ", "6277", " - ", "EMPLOYEE APPRECIATION")</f>
        <v xml:space="preserve">          6277 - EMPLOYEE APPRECIATION</v>
      </c>
      <c r="C82" s="11"/>
      <c r="D82" s="6"/>
      <c r="E82" s="2"/>
      <c r="F82" s="7">
        <f t="shared" si="39"/>
        <v>0</v>
      </c>
      <c r="G82" s="2"/>
      <c r="H82" s="6"/>
      <c r="I82" s="2"/>
      <c r="J82" s="7">
        <f t="shared" si="40"/>
        <v>0</v>
      </c>
      <c r="K82" s="2"/>
      <c r="L82" s="6">
        <f t="shared" si="41"/>
        <v>0</v>
      </c>
      <c r="M82" s="2"/>
      <c r="N82" s="7">
        <f t="shared" si="42"/>
        <v>0</v>
      </c>
      <c r="O82" s="11"/>
      <c r="P82" s="6">
        <v>107.7</v>
      </c>
      <c r="Q82" s="2"/>
      <c r="R82" s="7">
        <f t="shared" si="43"/>
        <v>1.0012405528491489E-4</v>
      </c>
      <c r="S82" s="2"/>
      <c r="T82" s="6"/>
      <c r="U82" s="2"/>
      <c r="V82" s="7">
        <f t="shared" si="44"/>
        <v>0</v>
      </c>
      <c r="W82" s="2"/>
      <c r="X82" s="6">
        <f t="shared" si="45"/>
        <v>107.7</v>
      </c>
      <c r="Y82" s="2"/>
      <c r="Z82" s="7">
        <f t="shared" si="46"/>
        <v>0</v>
      </c>
    </row>
    <row r="83" spans="1:26" s="29" customFormat="1" outlineLevel="1" collapsed="1" x14ac:dyDescent="0.25">
      <c r="A83" s="27"/>
      <c r="B83" s="14" t="str">
        <f>CONCATENATE("     ","Equipment Rental                                  ")</f>
        <v xml:space="preserve">     Equipment Rental                                  </v>
      </c>
      <c r="C83" s="14"/>
      <c r="D83" s="1">
        <f>SUM(OSRRefD22_5x_0)</f>
        <v>182.52</v>
      </c>
      <c r="E83" s="1"/>
      <c r="F83" s="5">
        <f t="shared" si="39"/>
        <v>5.7262649580318622E-3</v>
      </c>
      <c r="G83" s="1"/>
      <c r="H83" s="1">
        <f>SUM(OSRRefH22_5x_0)</f>
        <v>182.52</v>
      </c>
      <c r="I83" s="1"/>
      <c r="J83" s="5">
        <f t="shared" si="40"/>
        <v>5.8072718803572187E-3</v>
      </c>
      <c r="K83" s="1"/>
      <c r="L83" s="1">
        <f t="shared" si="41"/>
        <v>0</v>
      </c>
      <c r="M83" s="1"/>
      <c r="N83" s="5">
        <f t="shared" si="42"/>
        <v>0</v>
      </c>
      <c r="O83" s="14"/>
      <c r="P83" s="1">
        <f>SUM(OSRRefP22_5x_0)</f>
        <v>456.3</v>
      </c>
      <c r="Q83" s="1"/>
      <c r="R83" s="5">
        <f t="shared" si="43"/>
        <v>4.242024737837202E-4</v>
      </c>
      <c r="S83" s="1"/>
      <c r="T83" s="1">
        <f>SUM(OSRRefT22_5x_0)</f>
        <v>456.3</v>
      </c>
      <c r="U83" s="1"/>
      <c r="V83" s="5">
        <f t="shared" si="44"/>
        <v>2.3267438245105863E-4</v>
      </c>
      <c r="W83" s="1"/>
      <c r="X83" s="1">
        <f t="shared" si="45"/>
        <v>0</v>
      </c>
      <c r="Y83" s="1"/>
      <c r="Z83" s="5">
        <f t="shared" si="46"/>
        <v>0</v>
      </c>
    </row>
    <row r="84" spans="1:26" s="24" customFormat="1" hidden="1" outlineLevel="2" x14ac:dyDescent="0.25">
      <c r="A84" s="28"/>
      <c r="B84" s="11" t="str">
        <f>CONCATENATE("          ", "6351", " - ", "EQUIPMENT RENTAL")</f>
        <v xml:space="preserve">          6351 - EQUIPMENT RENTAL</v>
      </c>
      <c r="C84" s="11"/>
      <c r="D84" s="6">
        <v>182.52</v>
      </c>
      <c r="E84" s="2"/>
      <c r="F84" s="7">
        <f t="shared" si="39"/>
        <v>5.7262649580318622E-3</v>
      </c>
      <c r="G84" s="2"/>
      <c r="H84" s="6">
        <v>182.52</v>
      </c>
      <c r="I84" s="2"/>
      <c r="J84" s="7">
        <f t="shared" si="40"/>
        <v>5.8072718803572187E-3</v>
      </c>
      <c r="K84" s="2"/>
      <c r="L84" s="6">
        <f t="shared" si="41"/>
        <v>0</v>
      </c>
      <c r="M84" s="2"/>
      <c r="N84" s="7">
        <f t="shared" si="42"/>
        <v>0</v>
      </c>
      <c r="O84" s="11"/>
      <c r="P84" s="6">
        <v>456.3</v>
      </c>
      <c r="Q84" s="2"/>
      <c r="R84" s="7">
        <f t="shared" si="43"/>
        <v>4.242024737837202E-4</v>
      </c>
      <c r="S84" s="2"/>
      <c r="T84" s="6">
        <v>456.3</v>
      </c>
      <c r="U84" s="2"/>
      <c r="V84" s="7">
        <f t="shared" si="44"/>
        <v>2.3267438245105863E-4</v>
      </c>
      <c r="W84" s="2"/>
      <c r="X84" s="6">
        <f t="shared" si="45"/>
        <v>0</v>
      </c>
      <c r="Y84" s="2"/>
      <c r="Z84" s="7">
        <f t="shared" si="46"/>
        <v>0</v>
      </c>
    </row>
    <row r="85" spans="1:26" s="29" customFormat="1" outlineLevel="1" collapsed="1" x14ac:dyDescent="0.25">
      <c r="A85" s="27"/>
      <c r="B85" s="14" t="str">
        <f>CONCATENATE("     ","Freight out/Postage                               ")</f>
        <v xml:space="preserve">     Freight out/Postage                               </v>
      </c>
      <c r="C85" s="14"/>
      <c r="D85" s="1">
        <f>SUM(OSRRefD22_6x_0)</f>
        <v>29.84</v>
      </c>
      <c r="E85" s="1"/>
      <c r="F85" s="5">
        <f t="shared" si="39"/>
        <v>9.3618094645885801E-4</v>
      </c>
      <c r="G85" s="1"/>
      <c r="H85" s="1">
        <f>SUM(OSRRefH22_6x_0)</f>
        <v>1312.76</v>
      </c>
      <c r="I85" s="1"/>
      <c r="J85" s="5">
        <f t="shared" si="40"/>
        <v>4.1768322560035841E-2</v>
      </c>
      <c r="K85" s="1"/>
      <c r="L85" s="1">
        <f t="shared" si="41"/>
        <v>-1282.92</v>
      </c>
      <c r="M85" s="1"/>
      <c r="N85" s="5">
        <f t="shared" si="42"/>
        <v>-0.9772692647551724</v>
      </c>
      <c r="O85" s="14"/>
      <c r="P85" s="1">
        <f>SUM(OSRRefP22_6x_0)</f>
        <v>566</v>
      </c>
      <c r="Q85" s="1"/>
      <c r="R85" s="5">
        <f t="shared" si="43"/>
        <v>5.2618584300150257E-4</v>
      </c>
      <c r="S85" s="1"/>
      <c r="T85" s="1">
        <f>SUM(OSRRefT22_6x_0)</f>
        <v>4115.17</v>
      </c>
      <c r="U85" s="1"/>
      <c r="V85" s="5">
        <f t="shared" si="44"/>
        <v>2.0983884252270936E-3</v>
      </c>
      <c r="W85" s="1"/>
      <c r="X85" s="1">
        <f t="shared" si="45"/>
        <v>-3549.17</v>
      </c>
      <c r="Y85" s="1"/>
      <c r="Z85" s="5">
        <f t="shared" si="46"/>
        <v>-0.86246011707900283</v>
      </c>
    </row>
    <row r="86" spans="1:26" s="24" customFormat="1" hidden="1" outlineLevel="2" x14ac:dyDescent="0.25">
      <c r="A86" s="28"/>
      <c r="B86" s="11" t="str">
        <f>CONCATENATE("          ", "6305", " - ", "FREIGHT OUT")</f>
        <v xml:space="preserve">          6305 - FREIGHT OUT</v>
      </c>
      <c r="C86" s="11"/>
      <c r="D86" s="6">
        <v>29.84</v>
      </c>
      <c r="E86" s="2"/>
      <c r="F86" s="7">
        <f t="shared" si="39"/>
        <v>9.3618094645885801E-4</v>
      </c>
      <c r="G86" s="2"/>
      <c r="H86" s="6">
        <v>1312.76</v>
      </c>
      <c r="I86" s="2"/>
      <c r="J86" s="7">
        <f t="shared" si="40"/>
        <v>4.1768322560035841E-2</v>
      </c>
      <c r="K86" s="2"/>
      <c r="L86" s="6">
        <f t="shared" si="41"/>
        <v>-1282.92</v>
      </c>
      <c r="M86" s="2"/>
      <c r="N86" s="7">
        <f t="shared" si="42"/>
        <v>-0.9772692647551724</v>
      </c>
      <c r="O86" s="11"/>
      <c r="P86" s="6">
        <v>566</v>
      </c>
      <c r="Q86" s="2"/>
      <c r="R86" s="7">
        <f t="shared" si="43"/>
        <v>5.2618584300150257E-4</v>
      </c>
      <c r="S86" s="2"/>
      <c r="T86" s="6">
        <v>4114.67</v>
      </c>
      <c r="U86" s="2"/>
      <c r="V86" s="7">
        <f t="shared" si="44"/>
        <v>2.0981334675430579E-3</v>
      </c>
      <c r="W86" s="2"/>
      <c r="X86" s="6">
        <f t="shared" si="45"/>
        <v>-3548.67</v>
      </c>
      <c r="Y86" s="2"/>
      <c r="Z86" s="7">
        <f t="shared" si="46"/>
        <v>-0.86244340372374939</v>
      </c>
    </row>
    <row r="87" spans="1:26" s="24" customFormat="1" hidden="1" outlineLevel="2" x14ac:dyDescent="0.25">
      <c r="A87" s="28"/>
      <c r="B87" s="11" t="str">
        <f>CONCATENATE("          ", "6307", " - ", "POSTAGE")</f>
        <v xml:space="preserve">          6307 - POSTAGE</v>
      </c>
      <c r="C87" s="11"/>
      <c r="D87" s="6"/>
      <c r="E87" s="2"/>
      <c r="F87" s="7">
        <f t="shared" si="39"/>
        <v>0</v>
      </c>
      <c r="G87" s="2"/>
      <c r="H87" s="6"/>
      <c r="I87" s="2"/>
      <c r="J87" s="7">
        <f t="shared" si="40"/>
        <v>0</v>
      </c>
      <c r="K87" s="2"/>
      <c r="L87" s="6">
        <f t="shared" si="41"/>
        <v>0</v>
      </c>
      <c r="M87" s="2"/>
      <c r="N87" s="7">
        <f t="shared" si="42"/>
        <v>0</v>
      </c>
      <c r="O87" s="11"/>
      <c r="P87" s="6"/>
      <c r="Q87" s="2"/>
      <c r="R87" s="7">
        <f t="shared" si="43"/>
        <v>0</v>
      </c>
      <c r="S87" s="2"/>
      <c r="T87" s="6">
        <v>0.5</v>
      </c>
      <c r="U87" s="2"/>
      <c r="V87" s="7">
        <f t="shared" si="44"/>
        <v>2.5495768403578637E-7</v>
      </c>
      <c r="W87" s="2"/>
      <c r="X87" s="6">
        <f t="shared" si="45"/>
        <v>-0.5</v>
      </c>
      <c r="Y87" s="2"/>
      <c r="Z87" s="7">
        <f t="shared" si="46"/>
        <v>-1</v>
      </c>
    </row>
    <row r="88" spans="1:26" s="29" customFormat="1" outlineLevel="1" collapsed="1" x14ac:dyDescent="0.25">
      <c r="A88" s="27"/>
      <c r="B88" s="14" t="str">
        <f>CONCATENATE("     ","General                                           ")</f>
        <v xml:space="preserve">     General                                           </v>
      </c>
      <c r="C88" s="14"/>
      <c r="D88" s="1">
        <f>SUM(OSRRefD22_7x_0)</f>
        <v>-40</v>
      </c>
      <c r="E88" s="1"/>
      <c r="F88" s="5">
        <f t="shared" ref="F88:F94" si="47">IF(D$12=0,0,D88/D$12)</f>
        <v>-1.2549342445829195E-3</v>
      </c>
      <c r="G88" s="1"/>
      <c r="H88" s="1">
        <f>SUM(OSRRefH22_7x_0)</f>
        <v>0</v>
      </c>
      <c r="I88" s="1"/>
      <c r="J88" s="5">
        <f t="shared" ref="J88:J94" si="48">IF(H$12=0,0,H88/H$12)</f>
        <v>0</v>
      </c>
      <c r="K88" s="1"/>
      <c r="L88" s="1">
        <f t="shared" ref="L88:L94" si="49">+D88-H88</f>
        <v>-40</v>
      </c>
      <c r="M88" s="1"/>
      <c r="N88" s="5">
        <f t="shared" ref="N88:N94" si="50">IF(H88=0,0,L88/H88)</f>
        <v>0</v>
      </c>
      <c r="O88" s="14"/>
      <c r="P88" s="1">
        <f>SUM(OSRRefP22_7x_0)</f>
        <v>-4834.1899999999996</v>
      </c>
      <c r="Q88" s="1"/>
      <c r="R88" s="5">
        <f t="shared" ref="R88:R94" si="51">IF(P$12=0,0,P88/P$12)</f>
        <v>-4.4941384105643698E-3</v>
      </c>
      <c r="S88" s="1"/>
      <c r="T88" s="1">
        <f>SUM(OSRRefT22_7x_0)</f>
        <v>-1492.16</v>
      </c>
      <c r="U88" s="1"/>
      <c r="V88" s="5">
        <f t="shared" ref="V88:V94" si="52">IF(T$12=0,0,T88/T$12)</f>
        <v>-7.6087531562167793E-4</v>
      </c>
      <c r="W88" s="1"/>
      <c r="X88" s="1">
        <f t="shared" ref="X88:X94" si="53">+P88-T88</f>
        <v>-3342.0299999999997</v>
      </c>
      <c r="Y88" s="1"/>
      <c r="Z88" s="5">
        <f t="shared" ref="Z88:Z94" si="54">IF(T88=0,0,X88/T88)</f>
        <v>2.2397263028093497</v>
      </c>
    </row>
    <row r="89" spans="1:26" s="24" customFormat="1" hidden="1" outlineLevel="2" x14ac:dyDescent="0.25">
      <c r="A89" s="28"/>
      <c r="B89" s="11" t="str">
        <f>CONCATENATE("          ", "6279", " - ", "GENERAL EXPENSE")</f>
        <v xml:space="preserve">          6279 - GENERAL EXPENSE</v>
      </c>
      <c r="C89" s="11"/>
      <c r="D89" s="6">
        <v>-40</v>
      </c>
      <c r="E89" s="2"/>
      <c r="F89" s="7">
        <f t="shared" si="47"/>
        <v>-1.2549342445829195E-3</v>
      </c>
      <c r="G89" s="2"/>
      <c r="H89" s="6"/>
      <c r="I89" s="2"/>
      <c r="J89" s="7">
        <f t="shared" si="48"/>
        <v>0</v>
      </c>
      <c r="K89" s="2"/>
      <c r="L89" s="6">
        <f t="shared" si="49"/>
        <v>-40</v>
      </c>
      <c r="M89" s="2"/>
      <c r="N89" s="7">
        <f t="shared" si="50"/>
        <v>0</v>
      </c>
      <c r="O89" s="11"/>
      <c r="P89" s="6">
        <v>-4834.1899999999996</v>
      </c>
      <c r="Q89" s="2"/>
      <c r="R89" s="7">
        <f t="shared" si="51"/>
        <v>-4.4941384105643698E-3</v>
      </c>
      <c r="S89" s="2"/>
      <c r="T89" s="6">
        <v>-1492.16</v>
      </c>
      <c r="U89" s="2"/>
      <c r="V89" s="7">
        <f t="shared" si="52"/>
        <v>-7.6087531562167793E-4</v>
      </c>
      <c r="W89" s="2"/>
      <c r="X89" s="6">
        <f t="shared" si="53"/>
        <v>-3342.0299999999997</v>
      </c>
      <c r="Y89" s="2"/>
      <c r="Z89" s="7">
        <f t="shared" si="54"/>
        <v>2.2397263028093497</v>
      </c>
    </row>
    <row r="90" spans="1:26" s="29" customFormat="1" outlineLevel="1" collapsed="1" x14ac:dyDescent="0.25">
      <c r="A90" s="27"/>
      <c r="B90" s="14" t="str">
        <f>CONCATENATE("     ","Inventory Adjustment                              ")</f>
        <v xml:space="preserve">     Inventory Adjustment                              </v>
      </c>
      <c r="C90" s="14"/>
      <c r="D90" s="1">
        <f>SUM(OSRRefD22_8x_0)</f>
        <v>1000</v>
      </c>
      <c r="E90" s="1"/>
      <c r="F90" s="5">
        <f t="shared" si="47"/>
        <v>3.1373356114572988E-2</v>
      </c>
      <c r="G90" s="1"/>
      <c r="H90" s="1">
        <f>SUM(OSRRefH22_8x_0)</f>
        <v>1000</v>
      </c>
      <c r="I90" s="1"/>
      <c r="J90" s="5">
        <f t="shared" si="48"/>
        <v>3.181718102321509E-2</v>
      </c>
      <c r="K90" s="1"/>
      <c r="L90" s="1">
        <f t="shared" si="49"/>
        <v>0</v>
      </c>
      <c r="M90" s="1"/>
      <c r="N90" s="5">
        <f t="shared" si="50"/>
        <v>0</v>
      </c>
      <c r="O90" s="14"/>
      <c r="P90" s="1">
        <f>SUM(OSRRefP22_8x_0)</f>
        <v>4000</v>
      </c>
      <c r="Q90" s="1"/>
      <c r="R90" s="5">
        <f t="shared" si="51"/>
        <v>3.7186278657350006E-3</v>
      </c>
      <c r="S90" s="1"/>
      <c r="T90" s="1">
        <f>SUM(OSRRefT22_8x_0)</f>
        <v>4000</v>
      </c>
      <c r="U90" s="1"/>
      <c r="V90" s="5">
        <f t="shared" si="52"/>
        <v>2.0396614722862907E-3</v>
      </c>
      <c r="W90" s="1"/>
      <c r="X90" s="1">
        <f t="shared" si="53"/>
        <v>0</v>
      </c>
      <c r="Y90" s="1"/>
      <c r="Z90" s="5">
        <f t="shared" si="54"/>
        <v>0</v>
      </c>
    </row>
    <row r="91" spans="1:26" s="24" customFormat="1" hidden="1" outlineLevel="2" x14ac:dyDescent="0.25">
      <c r="A91" s="28"/>
      <c r="B91" s="11" t="str">
        <f>CONCATENATE("          ", "6408", " - ", "INVENTORY ADJUSTMENT")</f>
        <v xml:space="preserve">          6408 - INVENTORY ADJUSTMENT</v>
      </c>
      <c r="C91" s="11"/>
      <c r="D91" s="6">
        <v>1000</v>
      </c>
      <c r="E91" s="2"/>
      <c r="F91" s="7">
        <f t="shared" si="47"/>
        <v>3.1373356114572988E-2</v>
      </c>
      <c r="G91" s="2"/>
      <c r="H91" s="6">
        <v>1000</v>
      </c>
      <c r="I91" s="2"/>
      <c r="J91" s="7">
        <f t="shared" si="48"/>
        <v>3.181718102321509E-2</v>
      </c>
      <c r="K91" s="2"/>
      <c r="L91" s="6">
        <f t="shared" si="49"/>
        <v>0</v>
      </c>
      <c r="M91" s="2"/>
      <c r="N91" s="7">
        <f t="shared" si="50"/>
        <v>0</v>
      </c>
      <c r="O91" s="11"/>
      <c r="P91" s="6">
        <v>4000</v>
      </c>
      <c r="Q91" s="2"/>
      <c r="R91" s="7">
        <f t="shared" si="51"/>
        <v>3.7186278657350006E-3</v>
      </c>
      <c r="S91" s="2"/>
      <c r="T91" s="6">
        <v>4000</v>
      </c>
      <c r="U91" s="2"/>
      <c r="V91" s="7">
        <f t="shared" si="52"/>
        <v>2.0396614722862907E-3</v>
      </c>
      <c r="W91" s="2"/>
      <c r="X91" s="6">
        <f t="shared" si="53"/>
        <v>0</v>
      </c>
      <c r="Y91" s="2"/>
      <c r="Z91" s="7">
        <f t="shared" si="54"/>
        <v>0</v>
      </c>
    </row>
    <row r="92" spans="1:26" s="29" customFormat="1" outlineLevel="1" collapsed="1" x14ac:dyDescent="0.25">
      <c r="A92" s="27"/>
      <c r="B92" s="14" t="str">
        <f>CONCATENATE("     ","Repair and Maintenance                            ")</f>
        <v xml:space="preserve">     Repair and Maintenance                            </v>
      </c>
      <c r="C92" s="14"/>
      <c r="D92" s="1">
        <f>SUM(OSRRefD22_9x_0)</f>
        <v>19.670000000000002</v>
      </c>
      <c r="E92" s="1"/>
      <c r="F92" s="5">
        <f t="shared" si="47"/>
        <v>6.1711391477365079E-4</v>
      </c>
      <c r="G92" s="1"/>
      <c r="H92" s="1">
        <f>SUM(OSRRefH22_9x_0)</f>
        <v>27.74</v>
      </c>
      <c r="I92" s="1"/>
      <c r="J92" s="5">
        <f t="shared" si="48"/>
        <v>8.8260860158398651E-4</v>
      </c>
      <c r="K92" s="1"/>
      <c r="L92" s="1">
        <f t="shared" si="49"/>
        <v>-8.0699999999999967</v>
      </c>
      <c r="M92" s="1"/>
      <c r="N92" s="5">
        <f t="shared" si="50"/>
        <v>-0.29091564527757741</v>
      </c>
      <c r="O92" s="14"/>
      <c r="P92" s="1">
        <f>SUM(OSRRefP22_9x_0)</f>
        <v>111.47</v>
      </c>
      <c r="Q92" s="1"/>
      <c r="R92" s="5">
        <f t="shared" si="51"/>
        <v>1.0362886204837012E-4</v>
      </c>
      <c r="S92" s="1"/>
      <c r="T92" s="1">
        <f>SUM(OSRRefT22_9x_0)</f>
        <v>97.94</v>
      </c>
      <c r="U92" s="1"/>
      <c r="V92" s="5">
        <f t="shared" si="52"/>
        <v>4.9941111148929824E-5</v>
      </c>
      <c r="W92" s="1"/>
      <c r="X92" s="1">
        <f t="shared" si="53"/>
        <v>13.530000000000001</v>
      </c>
      <c r="Y92" s="1"/>
      <c r="Z92" s="5">
        <f t="shared" si="54"/>
        <v>0.13814580355319586</v>
      </c>
    </row>
    <row r="93" spans="1:26" s="24" customFormat="1" hidden="1" outlineLevel="2" x14ac:dyDescent="0.25">
      <c r="A93" s="28"/>
      <c r="B93" s="11" t="str">
        <f>CONCATENATE("          ", "6373", " - ", "MAINTENANCE CONTRACTS")</f>
        <v xml:space="preserve">          6373 - MAINTENANCE CONTRACTS</v>
      </c>
      <c r="C93" s="11"/>
      <c r="D93" s="6">
        <v>19.670000000000002</v>
      </c>
      <c r="E93" s="2"/>
      <c r="F93" s="7">
        <f t="shared" si="47"/>
        <v>6.1711391477365079E-4</v>
      </c>
      <c r="G93" s="2"/>
      <c r="H93" s="6">
        <v>27.74</v>
      </c>
      <c r="I93" s="2"/>
      <c r="J93" s="7">
        <f t="shared" si="48"/>
        <v>8.8260860158398651E-4</v>
      </c>
      <c r="K93" s="2"/>
      <c r="L93" s="6">
        <f t="shared" si="49"/>
        <v>-8.0699999999999967</v>
      </c>
      <c r="M93" s="2"/>
      <c r="N93" s="7">
        <f t="shared" si="50"/>
        <v>-0.29091564527757741</v>
      </c>
      <c r="O93" s="11"/>
      <c r="P93" s="6">
        <v>86.36</v>
      </c>
      <c r="Q93" s="2"/>
      <c r="R93" s="7">
        <f t="shared" si="51"/>
        <v>8.0285175621218666E-5</v>
      </c>
      <c r="S93" s="2"/>
      <c r="T93" s="6">
        <v>97.94</v>
      </c>
      <c r="U93" s="2"/>
      <c r="V93" s="7">
        <f t="shared" si="52"/>
        <v>4.9941111148929824E-5</v>
      </c>
      <c r="W93" s="2"/>
      <c r="X93" s="6">
        <f t="shared" si="53"/>
        <v>-11.579999999999998</v>
      </c>
      <c r="Y93" s="2"/>
      <c r="Z93" s="7">
        <f t="shared" si="54"/>
        <v>-0.11823565448233611</v>
      </c>
    </row>
    <row r="94" spans="1:26" s="24" customFormat="1" hidden="1" outlineLevel="2" x14ac:dyDescent="0.25">
      <c r="A94" s="28"/>
      <c r="B94" s="11" t="str">
        <f>CONCATENATE("          ", "6375", " - ", "OUTSIDE REPAIRS &amp; MAINTENANCE")</f>
        <v xml:space="preserve">          6375 - OUTSIDE REPAIRS &amp; MAINTENANCE</v>
      </c>
      <c r="C94" s="11"/>
      <c r="D94" s="6"/>
      <c r="E94" s="2"/>
      <c r="F94" s="7">
        <f t="shared" si="47"/>
        <v>0</v>
      </c>
      <c r="G94" s="2"/>
      <c r="H94" s="6"/>
      <c r="I94" s="2"/>
      <c r="J94" s="7">
        <f t="shared" si="48"/>
        <v>0</v>
      </c>
      <c r="K94" s="2"/>
      <c r="L94" s="6">
        <f t="shared" si="49"/>
        <v>0</v>
      </c>
      <c r="M94" s="2"/>
      <c r="N94" s="7">
        <f t="shared" si="50"/>
        <v>0</v>
      </c>
      <c r="O94" s="11"/>
      <c r="P94" s="6">
        <v>25.11</v>
      </c>
      <c r="Q94" s="2"/>
      <c r="R94" s="7">
        <f t="shared" si="51"/>
        <v>2.3343686427151465E-5</v>
      </c>
      <c r="S94" s="2"/>
      <c r="T94" s="6"/>
      <c r="U94" s="2"/>
      <c r="V94" s="7">
        <f t="shared" si="52"/>
        <v>0</v>
      </c>
      <c r="W94" s="2"/>
      <c r="X94" s="6">
        <f t="shared" si="53"/>
        <v>25.11</v>
      </c>
      <c r="Y94" s="2"/>
      <c r="Z94" s="7">
        <f t="shared" si="54"/>
        <v>0</v>
      </c>
    </row>
    <row r="95" spans="1:26" s="29" customFormat="1" outlineLevel="1" collapsed="1" x14ac:dyDescent="0.25">
      <c r="A95" s="27"/>
      <c r="B95" s="14" t="str">
        <f>CONCATENATE("     ","Subscriptions &amp; Dues                              ")</f>
        <v xml:space="preserve">     Subscriptions &amp; Dues                              </v>
      </c>
      <c r="C95" s="14"/>
      <c r="D95" s="1">
        <f>SUM(OSRRefD22_10x_0)</f>
        <v>790.32</v>
      </c>
      <c r="E95" s="1"/>
      <c r="F95" s="5">
        <f t="shared" ref="F95:F100" si="55">IF(D$12=0,0,D95/D$12)</f>
        <v>2.4794990804469327E-2</v>
      </c>
      <c r="G95" s="1"/>
      <c r="H95" s="1">
        <f>SUM(OSRRefH22_10x_0)</f>
        <v>268.55</v>
      </c>
      <c r="I95" s="1"/>
      <c r="J95" s="5">
        <f t="shared" ref="J95:J100" si="56">IF(H$12=0,0,H95/H$12)</f>
        <v>8.5445039637844136E-3</v>
      </c>
      <c r="K95" s="1"/>
      <c r="L95" s="1">
        <f t="shared" ref="L95:L100" si="57">+D95-H95</f>
        <v>521.77</v>
      </c>
      <c r="M95" s="1"/>
      <c r="N95" s="5">
        <f t="shared" ref="N95:N100" si="58">IF(H95=0,0,L95/H95)</f>
        <v>1.9429156581642151</v>
      </c>
      <c r="O95" s="14"/>
      <c r="P95" s="1">
        <f>SUM(OSRRefP22_10x_0)</f>
        <v>1423.36</v>
      </c>
      <c r="Q95" s="1"/>
      <c r="R95" s="5">
        <f t="shared" ref="R95:R100" si="59">IF(P$12=0,0,P95/P$12)</f>
        <v>1.3232365397431425E-3</v>
      </c>
      <c r="S95" s="1"/>
      <c r="T95" s="1">
        <f>SUM(OSRRefT22_10x_0)</f>
        <v>1057.4000000000001</v>
      </c>
      <c r="U95" s="1"/>
      <c r="V95" s="5">
        <f t="shared" ref="V95:V100" si="60">IF(T$12=0,0,T95/T$12)</f>
        <v>5.3918451019888103E-4</v>
      </c>
      <c r="W95" s="1"/>
      <c r="X95" s="1">
        <f t="shared" ref="X95:X100" si="61">+P95-T95</f>
        <v>365.95999999999981</v>
      </c>
      <c r="Y95" s="1"/>
      <c r="Z95" s="5">
        <f t="shared" ref="Z95:Z100" si="62">IF(T95=0,0,X95/T95)</f>
        <v>0.34609419330433117</v>
      </c>
    </row>
    <row r="96" spans="1:26" s="24" customFormat="1" hidden="1" outlineLevel="2" x14ac:dyDescent="0.25">
      <c r="A96" s="28"/>
      <c r="B96" s="11" t="str">
        <f>CONCATENATE("          ", "6258", " - ", "MEMBERSHIP DUES")</f>
        <v xml:space="preserve">          6258 - MEMBERSHIP DUES</v>
      </c>
      <c r="C96" s="11"/>
      <c r="D96" s="6">
        <v>790.32</v>
      </c>
      <c r="E96" s="2"/>
      <c r="F96" s="7">
        <f t="shared" si="55"/>
        <v>2.4794990804469327E-2</v>
      </c>
      <c r="G96" s="2"/>
      <c r="H96" s="6">
        <v>268.55</v>
      </c>
      <c r="I96" s="2"/>
      <c r="J96" s="7">
        <f t="shared" si="56"/>
        <v>8.5445039637844136E-3</v>
      </c>
      <c r="K96" s="2"/>
      <c r="L96" s="6">
        <f t="shared" si="57"/>
        <v>521.77</v>
      </c>
      <c r="M96" s="2"/>
      <c r="N96" s="7">
        <f t="shared" si="58"/>
        <v>1.9429156581642151</v>
      </c>
      <c r="O96" s="11"/>
      <c r="P96" s="6">
        <v>1423.36</v>
      </c>
      <c r="Q96" s="2"/>
      <c r="R96" s="7">
        <f t="shared" si="59"/>
        <v>1.3232365397431425E-3</v>
      </c>
      <c r="S96" s="2"/>
      <c r="T96" s="6">
        <v>1057.4000000000001</v>
      </c>
      <c r="U96" s="2"/>
      <c r="V96" s="7">
        <f t="shared" si="60"/>
        <v>5.3918451019888103E-4</v>
      </c>
      <c r="W96" s="2"/>
      <c r="X96" s="6">
        <f t="shared" si="61"/>
        <v>365.95999999999981</v>
      </c>
      <c r="Y96" s="2"/>
      <c r="Z96" s="7">
        <f t="shared" si="62"/>
        <v>0.34609419330433117</v>
      </c>
    </row>
    <row r="97" spans="1:26" s="29" customFormat="1" outlineLevel="1" collapsed="1" x14ac:dyDescent="0.25">
      <c r="A97" s="27"/>
      <c r="B97" s="14" t="str">
        <f>CONCATENATE("     ","Supplies                                          ")</f>
        <v xml:space="preserve">     Supplies                                          </v>
      </c>
      <c r="C97" s="14"/>
      <c r="D97" s="1">
        <f>SUM(OSRRefD22_11x_0)</f>
        <v>146.28</v>
      </c>
      <c r="E97" s="1"/>
      <c r="F97" s="5">
        <f t="shared" si="55"/>
        <v>4.5892945324397371E-3</v>
      </c>
      <c r="G97" s="1"/>
      <c r="H97" s="1">
        <f>SUM(OSRRefH22_11x_0)</f>
        <v>1787.4099999999999</v>
      </c>
      <c r="I97" s="1"/>
      <c r="J97" s="5">
        <f t="shared" si="56"/>
        <v>5.6870347532704882E-2</v>
      </c>
      <c r="K97" s="1"/>
      <c r="L97" s="1">
        <f t="shared" si="57"/>
        <v>-1641.1299999999999</v>
      </c>
      <c r="M97" s="1"/>
      <c r="N97" s="5">
        <f t="shared" si="58"/>
        <v>-0.91816091439568981</v>
      </c>
      <c r="O97" s="14"/>
      <c r="P97" s="1">
        <f>SUM(OSRRefP22_11x_0)</f>
        <v>1235.25</v>
      </c>
      <c r="Q97" s="1"/>
      <c r="R97" s="5">
        <f t="shared" si="59"/>
        <v>1.1483587677872898E-3</v>
      </c>
      <c r="S97" s="1"/>
      <c r="T97" s="1">
        <f>SUM(OSRRefT22_11x_0)</f>
        <v>9136.5499999999993</v>
      </c>
      <c r="U97" s="1"/>
      <c r="V97" s="5">
        <f t="shared" si="60"/>
        <v>4.6588672561543266E-3</v>
      </c>
      <c r="W97" s="1"/>
      <c r="X97" s="1">
        <f t="shared" si="61"/>
        <v>-7901.2999999999993</v>
      </c>
      <c r="Y97" s="1"/>
      <c r="Z97" s="5">
        <f t="shared" si="62"/>
        <v>-0.8648012652478233</v>
      </c>
    </row>
    <row r="98" spans="1:26" s="24" customFormat="1" hidden="1" outlineLevel="2" x14ac:dyDescent="0.25">
      <c r="A98" s="28"/>
      <c r="B98" s="11" t="str">
        <f>CONCATENATE("          ", "6241", " - ", "OFFICE EXPENSE")</f>
        <v xml:space="preserve">          6241 - OFFICE EXPENSE</v>
      </c>
      <c r="C98" s="11"/>
      <c r="D98" s="6">
        <v>146.28</v>
      </c>
      <c r="E98" s="2"/>
      <c r="F98" s="7">
        <f t="shared" si="55"/>
        <v>4.5892945324397371E-3</v>
      </c>
      <c r="G98" s="2"/>
      <c r="H98" s="6">
        <v>959.61</v>
      </c>
      <c r="I98" s="2"/>
      <c r="J98" s="7">
        <f t="shared" si="56"/>
        <v>3.0532085081687432E-2</v>
      </c>
      <c r="K98" s="2"/>
      <c r="L98" s="6">
        <f t="shared" si="57"/>
        <v>-813.33</v>
      </c>
      <c r="M98" s="2"/>
      <c r="N98" s="7">
        <f t="shared" si="58"/>
        <v>-0.8475630724982024</v>
      </c>
      <c r="O98" s="11"/>
      <c r="P98" s="6">
        <v>602.15</v>
      </c>
      <c r="Q98" s="2"/>
      <c r="R98" s="7">
        <f t="shared" si="59"/>
        <v>5.597929423380826E-4</v>
      </c>
      <c r="S98" s="2"/>
      <c r="T98" s="6">
        <v>3297.43</v>
      </c>
      <c r="U98" s="2"/>
      <c r="V98" s="7">
        <f t="shared" si="60"/>
        <v>1.6814102321402458E-3</v>
      </c>
      <c r="W98" s="2"/>
      <c r="X98" s="6">
        <f t="shared" si="61"/>
        <v>-2695.2799999999997</v>
      </c>
      <c r="Y98" s="2"/>
      <c r="Z98" s="7">
        <f t="shared" si="62"/>
        <v>-0.8173880870860033</v>
      </c>
    </row>
    <row r="99" spans="1:26" s="24" customFormat="1" hidden="1" outlineLevel="2" x14ac:dyDescent="0.25">
      <c r="A99" s="28"/>
      <c r="B99" s="11" t="str">
        <f>CONCATENATE("          ", "6245", " - ", "PRINTING")</f>
        <v xml:space="preserve">          6245 - PRINTING</v>
      </c>
      <c r="C99" s="11"/>
      <c r="D99" s="6"/>
      <c r="E99" s="2"/>
      <c r="F99" s="7">
        <f t="shared" si="55"/>
        <v>0</v>
      </c>
      <c r="G99" s="2"/>
      <c r="H99" s="6"/>
      <c r="I99" s="2"/>
      <c r="J99" s="7">
        <f t="shared" si="56"/>
        <v>0</v>
      </c>
      <c r="K99" s="2"/>
      <c r="L99" s="6">
        <f t="shared" si="57"/>
        <v>0</v>
      </c>
      <c r="M99" s="2"/>
      <c r="N99" s="7">
        <f t="shared" si="58"/>
        <v>0</v>
      </c>
      <c r="O99" s="11"/>
      <c r="P99" s="6"/>
      <c r="Q99" s="2"/>
      <c r="R99" s="7">
        <f t="shared" si="59"/>
        <v>0</v>
      </c>
      <c r="S99" s="2"/>
      <c r="T99" s="6">
        <v>4978.08</v>
      </c>
      <c r="U99" s="2"/>
      <c r="V99" s="7">
        <f t="shared" si="60"/>
        <v>2.5383994954897345E-3</v>
      </c>
      <c r="W99" s="2"/>
      <c r="X99" s="6">
        <f t="shared" si="61"/>
        <v>-4978.08</v>
      </c>
      <c r="Y99" s="2"/>
      <c r="Z99" s="7">
        <f t="shared" si="62"/>
        <v>-1</v>
      </c>
    </row>
    <row r="100" spans="1:26" s="24" customFormat="1" hidden="1" outlineLevel="2" x14ac:dyDescent="0.25">
      <c r="A100" s="28"/>
      <c r="B100" s="11" t="str">
        <f>CONCATENATE("          ", "6247", " - ", "STORE SUPPLIES")</f>
        <v xml:space="preserve">          6247 - STORE SUPPLIES</v>
      </c>
      <c r="C100" s="11"/>
      <c r="D100" s="6"/>
      <c r="E100" s="2"/>
      <c r="F100" s="7">
        <f t="shared" si="55"/>
        <v>0</v>
      </c>
      <c r="G100" s="2"/>
      <c r="H100" s="6">
        <v>827.8</v>
      </c>
      <c r="I100" s="2"/>
      <c r="J100" s="7">
        <f t="shared" si="56"/>
        <v>2.633826245101745E-2</v>
      </c>
      <c r="K100" s="2"/>
      <c r="L100" s="6">
        <f t="shared" si="57"/>
        <v>-827.8</v>
      </c>
      <c r="M100" s="2"/>
      <c r="N100" s="7">
        <f t="shared" si="58"/>
        <v>-1</v>
      </c>
      <c r="O100" s="11"/>
      <c r="P100" s="6">
        <v>633.1</v>
      </c>
      <c r="Q100" s="2"/>
      <c r="R100" s="7">
        <f t="shared" si="59"/>
        <v>5.8856582544920724E-4</v>
      </c>
      <c r="S100" s="2"/>
      <c r="T100" s="6">
        <v>861.04</v>
      </c>
      <c r="U100" s="2"/>
      <c r="V100" s="7">
        <f t="shared" si="60"/>
        <v>4.3905752852434692E-4</v>
      </c>
      <c r="W100" s="2"/>
      <c r="X100" s="6">
        <f t="shared" si="61"/>
        <v>-227.93999999999994</v>
      </c>
      <c r="Y100" s="2"/>
      <c r="Z100" s="7">
        <f t="shared" si="62"/>
        <v>-0.26472637740406946</v>
      </c>
    </row>
    <row r="101" spans="1:26" s="29" customFormat="1" outlineLevel="1" collapsed="1" x14ac:dyDescent="0.25">
      <c r="A101" s="27"/>
      <c r="B101" s="14" t="str">
        <f>CONCATENATE("     ","Telephone/Data Lines                              ")</f>
        <v xml:space="preserve">     Telephone/Data Lines                              </v>
      </c>
      <c r="C101" s="14"/>
      <c r="D101" s="1">
        <f>SUM(OSRRefD22_12x_0)</f>
        <v>-634.45000000000005</v>
      </c>
      <c r="E101" s="1"/>
      <c r="F101" s="5">
        <f t="shared" ref="F101:F103" si="63">IF(D$12=0,0,D101/D$12)</f>
        <v>-1.9904825786890835E-2</v>
      </c>
      <c r="G101" s="1"/>
      <c r="H101" s="1">
        <f>SUM(OSRRefH22_12x_0)</f>
        <v>-300.89999999999998</v>
      </c>
      <c r="I101" s="1"/>
      <c r="J101" s="5">
        <f t="shared" ref="J101:J103" si="64">IF(H$12=0,0,H101/H$12)</f>
        <v>-9.5737897698854203E-3</v>
      </c>
      <c r="K101" s="1"/>
      <c r="L101" s="1">
        <f t="shared" ref="L101:L103" si="65">+D101-H101</f>
        <v>-333.55000000000007</v>
      </c>
      <c r="M101" s="1"/>
      <c r="N101" s="5">
        <f t="shared" ref="N101:N103" si="66">IF(H101=0,0,L101/H101)</f>
        <v>1.1085078099036227</v>
      </c>
      <c r="O101" s="14"/>
      <c r="P101" s="1">
        <f>SUM(OSRRefP22_12x_0)</f>
        <v>3233.85</v>
      </c>
      <c r="Q101" s="1"/>
      <c r="R101" s="5">
        <f t="shared" ref="R101:R103" si="67">IF(P$12=0,0,P101/P$12)</f>
        <v>3.0063711809017826E-3</v>
      </c>
      <c r="S101" s="1"/>
      <c r="T101" s="1">
        <f>SUM(OSRRefT22_12x_0)</f>
        <v>3098.6</v>
      </c>
      <c r="U101" s="1"/>
      <c r="V101" s="5">
        <f t="shared" ref="V101:V103" si="68">IF(T$12=0,0,T101/T$12)</f>
        <v>1.5800237595065751E-3</v>
      </c>
      <c r="W101" s="1"/>
      <c r="X101" s="1">
        <f t="shared" ref="X101:X103" si="69">+P101-T101</f>
        <v>135.25</v>
      </c>
      <c r="Y101" s="1"/>
      <c r="Z101" s="5">
        <f t="shared" ref="Z101:Z103" si="70">IF(T101=0,0,X101/T101)</f>
        <v>4.3648744594332926E-2</v>
      </c>
    </row>
    <row r="102" spans="1:26" s="24" customFormat="1" hidden="1" outlineLevel="2" x14ac:dyDescent="0.25">
      <c r="A102" s="28"/>
      <c r="B102" s="11" t="str">
        <f>CONCATENATE("          ", "6303", " - ", "DATA PHONE LINES")</f>
        <v xml:space="preserve">          6303 - DATA PHONE LINES</v>
      </c>
      <c r="C102" s="11"/>
      <c r="D102" s="6"/>
      <c r="E102" s="2"/>
      <c r="F102" s="7">
        <f t="shared" si="63"/>
        <v>0</v>
      </c>
      <c r="G102" s="2"/>
      <c r="H102" s="6">
        <v>295</v>
      </c>
      <c r="I102" s="2"/>
      <c r="J102" s="7">
        <f t="shared" si="64"/>
        <v>9.3860684018484512E-3</v>
      </c>
      <c r="K102" s="2"/>
      <c r="L102" s="6">
        <f t="shared" si="65"/>
        <v>-295</v>
      </c>
      <c r="M102" s="2"/>
      <c r="N102" s="7">
        <f t="shared" si="66"/>
        <v>-1</v>
      </c>
      <c r="O102" s="11"/>
      <c r="P102" s="6">
        <v>1180</v>
      </c>
      <c r="Q102" s="2"/>
      <c r="R102" s="7">
        <f t="shared" si="67"/>
        <v>1.0969952203918251E-3</v>
      </c>
      <c r="S102" s="2"/>
      <c r="T102" s="6">
        <v>1180</v>
      </c>
      <c r="U102" s="2"/>
      <c r="V102" s="7">
        <f t="shared" si="68"/>
        <v>6.0170013432445579E-4</v>
      </c>
      <c r="W102" s="2"/>
      <c r="X102" s="6">
        <f t="shared" si="69"/>
        <v>0</v>
      </c>
      <c r="Y102" s="2"/>
      <c r="Z102" s="7">
        <f t="shared" si="70"/>
        <v>0</v>
      </c>
    </row>
    <row r="103" spans="1:26" s="24" customFormat="1" hidden="1" outlineLevel="2" x14ac:dyDescent="0.25">
      <c r="A103" s="28"/>
      <c r="B103" s="11" t="str">
        <f>CONCATENATE("          ", "6309", " - ", "TELEPHONE")</f>
        <v xml:space="preserve">          6309 - TELEPHONE</v>
      </c>
      <c r="C103" s="11"/>
      <c r="D103" s="6">
        <v>-634.45000000000005</v>
      </c>
      <c r="E103" s="2"/>
      <c r="F103" s="7">
        <f t="shared" si="63"/>
        <v>-1.9904825786890835E-2</v>
      </c>
      <c r="G103" s="2"/>
      <c r="H103" s="6">
        <v>-595.9</v>
      </c>
      <c r="I103" s="2"/>
      <c r="J103" s="7">
        <f t="shared" si="64"/>
        <v>-1.8959858171733873E-2</v>
      </c>
      <c r="K103" s="2"/>
      <c r="L103" s="6">
        <f t="shared" si="65"/>
        <v>-38.550000000000068</v>
      </c>
      <c r="M103" s="2"/>
      <c r="N103" s="7">
        <f t="shared" si="66"/>
        <v>6.4692062426581765E-2</v>
      </c>
      <c r="O103" s="11"/>
      <c r="P103" s="6">
        <v>2053.85</v>
      </c>
      <c r="Q103" s="2"/>
      <c r="R103" s="7">
        <f t="shared" si="67"/>
        <v>1.9093759605099576E-3</v>
      </c>
      <c r="S103" s="2"/>
      <c r="T103" s="6">
        <v>1918.6</v>
      </c>
      <c r="U103" s="2"/>
      <c r="V103" s="7">
        <f t="shared" si="68"/>
        <v>9.7832362518211931E-4</v>
      </c>
      <c r="W103" s="2"/>
      <c r="X103" s="6">
        <f t="shared" si="69"/>
        <v>135.25</v>
      </c>
      <c r="Y103" s="2"/>
      <c r="Z103" s="7">
        <f t="shared" si="70"/>
        <v>7.0494110288752215E-2</v>
      </c>
    </row>
    <row r="104" spans="1:26" s="29" customFormat="1" outlineLevel="1" collapsed="1" x14ac:dyDescent="0.25">
      <c r="A104" s="27"/>
      <c r="B104" s="14" t="str">
        <f>CONCATENATE("     ","Training                                          ")</f>
        <v xml:space="preserve">     Training                                          </v>
      </c>
      <c r="C104" s="14"/>
      <c r="D104" s="1">
        <f>SUM(OSRRefD22_13x_0)</f>
        <v>0</v>
      </c>
      <c r="E104" s="1"/>
      <c r="F104" s="5">
        <f t="shared" ref="F104:F107" si="71">IF(D$12=0,0,D104/D$12)</f>
        <v>0</v>
      </c>
      <c r="G104" s="1"/>
      <c r="H104" s="1">
        <f>SUM(OSRRefH22_13x_0)</f>
        <v>0</v>
      </c>
      <c r="I104" s="1"/>
      <c r="J104" s="5">
        <f t="shared" ref="J104:J107" si="72">IF(H$12=0,0,H104/H$12)</f>
        <v>0</v>
      </c>
      <c r="K104" s="1"/>
      <c r="L104" s="1">
        <f t="shared" ref="L104:L107" si="73">+D104-H104</f>
        <v>0</v>
      </c>
      <c r="M104" s="1"/>
      <c r="N104" s="5">
        <f t="shared" ref="N104:N107" si="74">IF(H104=0,0,L104/H104)</f>
        <v>0</v>
      </c>
      <c r="O104" s="14"/>
      <c r="P104" s="1">
        <f>SUM(OSRRefP22_13x_0)</f>
        <v>0</v>
      </c>
      <c r="Q104" s="1"/>
      <c r="R104" s="5">
        <f t="shared" ref="R104:R107" si="75">IF(P$12=0,0,P104/P$12)</f>
        <v>0</v>
      </c>
      <c r="S104" s="1"/>
      <c r="T104" s="1">
        <f>SUM(OSRRefT22_13x_0)</f>
        <v>547.47</v>
      </c>
      <c r="U104" s="1"/>
      <c r="V104" s="5">
        <f t="shared" ref="V104:V107" si="76">IF(T$12=0,0,T104/T$12)</f>
        <v>2.7916336655814389E-4</v>
      </c>
      <c r="W104" s="1"/>
      <c r="X104" s="1">
        <f t="shared" ref="X104:X107" si="77">+P104-T104</f>
        <v>-547.47</v>
      </c>
      <c r="Y104" s="1"/>
      <c r="Z104" s="5">
        <f t="shared" ref="Z104:Z107" si="78">IF(T104=0,0,X104/T104)</f>
        <v>-1</v>
      </c>
    </row>
    <row r="105" spans="1:26" s="24" customFormat="1" hidden="1" outlineLevel="2" x14ac:dyDescent="0.25">
      <c r="A105" s="28"/>
      <c r="B105" s="11" t="str">
        <f>CONCATENATE("          ", "6376", " - ", "TRAINING")</f>
        <v xml:space="preserve">          6376 - TRAINING</v>
      </c>
      <c r="C105" s="11"/>
      <c r="D105" s="6"/>
      <c r="E105" s="2"/>
      <c r="F105" s="7">
        <f t="shared" si="71"/>
        <v>0</v>
      </c>
      <c r="G105" s="2"/>
      <c r="H105" s="6"/>
      <c r="I105" s="2"/>
      <c r="J105" s="7">
        <f t="shared" si="72"/>
        <v>0</v>
      </c>
      <c r="K105" s="2"/>
      <c r="L105" s="6">
        <f t="shared" si="73"/>
        <v>0</v>
      </c>
      <c r="M105" s="2"/>
      <c r="N105" s="7">
        <f t="shared" si="74"/>
        <v>0</v>
      </c>
      <c r="O105" s="11"/>
      <c r="P105" s="6"/>
      <c r="Q105" s="2"/>
      <c r="R105" s="7">
        <f t="shared" si="75"/>
        <v>0</v>
      </c>
      <c r="S105" s="2"/>
      <c r="T105" s="6">
        <v>547.47</v>
      </c>
      <c r="U105" s="2"/>
      <c r="V105" s="7">
        <f t="shared" si="76"/>
        <v>2.7916336655814389E-4</v>
      </c>
      <c r="W105" s="2"/>
      <c r="X105" s="6">
        <f t="shared" si="77"/>
        <v>-547.47</v>
      </c>
      <c r="Y105" s="2"/>
      <c r="Z105" s="7">
        <f t="shared" si="78"/>
        <v>-1</v>
      </c>
    </row>
    <row r="106" spans="1:26" s="29" customFormat="1" outlineLevel="1" collapsed="1" x14ac:dyDescent="0.25">
      <c r="A106" s="27"/>
      <c r="B106" s="14" t="str">
        <f>CONCATENATE("     ","Travel                                            ")</f>
        <v xml:space="preserve">     Travel                                            </v>
      </c>
      <c r="C106" s="14"/>
      <c r="D106" s="1">
        <f>SUM(OSRRefD22_14x_0)</f>
        <v>0</v>
      </c>
      <c r="E106" s="1"/>
      <c r="F106" s="5">
        <f t="shared" si="71"/>
        <v>0</v>
      </c>
      <c r="G106" s="1"/>
      <c r="H106" s="1">
        <f>SUM(OSRRefH22_14x_0)</f>
        <v>83.93</v>
      </c>
      <c r="I106" s="1"/>
      <c r="J106" s="5">
        <f t="shared" si="72"/>
        <v>2.6704160032784427E-3</v>
      </c>
      <c r="K106" s="1"/>
      <c r="L106" s="1">
        <f t="shared" si="73"/>
        <v>-83.93</v>
      </c>
      <c r="M106" s="1"/>
      <c r="N106" s="5">
        <f t="shared" si="74"/>
        <v>-1</v>
      </c>
      <c r="O106" s="14"/>
      <c r="P106" s="1">
        <f>SUM(OSRRefP22_14x_0)</f>
        <v>0.16</v>
      </c>
      <c r="Q106" s="1"/>
      <c r="R106" s="5">
        <f t="shared" si="75"/>
        <v>1.4874511462940002E-7</v>
      </c>
      <c r="S106" s="1"/>
      <c r="T106" s="1">
        <f>SUM(OSRRefT22_14x_0)</f>
        <v>83.93</v>
      </c>
      <c r="U106" s="1"/>
      <c r="V106" s="5">
        <f t="shared" si="76"/>
        <v>4.2797196842247096E-5</v>
      </c>
      <c r="W106" s="1"/>
      <c r="X106" s="1">
        <f t="shared" si="77"/>
        <v>-83.77000000000001</v>
      </c>
      <c r="Y106" s="1"/>
      <c r="Z106" s="5">
        <f t="shared" si="78"/>
        <v>-0.99809364946979628</v>
      </c>
    </row>
    <row r="107" spans="1:26" s="24" customFormat="1" hidden="1" outlineLevel="2" x14ac:dyDescent="0.25">
      <c r="A107" s="28"/>
      <c r="B107" s="11" t="str">
        <f>CONCATENATE("          ", "6292", " - ", "TRAVEL/CONFERENCE")</f>
        <v xml:space="preserve">          6292 - TRAVEL/CONFERENCE</v>
      </c>
      <c r="C107" s="11"/>
      <c r="D107" s="6"/>
      <c r="E107" s="2"/>
      <c r="F107" s="7">
        <f t="shared" si="71"/>
        <v>0</v>
      </c>
      <c r="G107" s="2"/>
      <c r="H107" s="6">
        <v>83.93</v>
      </c>
      <c r="I107" s="2"/>
      <c r="J107" s="7">
        <f t="shared" si="72"/>
        <v>2.6704160032784427E-3</v>
      </c>
      <c r="K107" s="2"/>
      <c r="L107" s="6">
        <f t="shared" si="73"/>
        <v>-83.93</v>
      </c>
      <c r="M107" s="2"/>
      <c r="N107" s="7">
        <f t="shared" si="74"/>
        <v>-1</v>
      </c>
      <c r="O107" s="11"/>
      <c r="P107" s="6">
        <v>0.16</v>
      </c>
      <c r="Q107" s="2"/>
      <c r="R107" s="7">
        <f t="shared" si="75"/>
        <v>1.4874511462940002E-7</v>
      </c>
      <c r="S107" s="2"/>
      <c r="T107" s="6">
        <v>83.93</v>
      </c>
      <c r="U107" s="2"/>
      <c r="V107" s="7">
        <f t="shared" si="76"/>
        <v>4.2797196842247096E-5</v>
      </c>
      <c r="W107" s="2"/>
      <c r="X107" s="6">
        <f t="shared" si="77"/>
        <v>-83.77000000000001</v>
      </c>
      <c r="Y107" s="2"/>
      <c r="Z107" s="7">
        <f t="shared" si="78"/>
        <v>-0.99809364946979628</v>
      </c>
    </row>
    <row r="108" spans="1:26" s="57" customFormat="1" x14ac:dyDescent="0.25">
      <c r="A108" s="37"/>
      <c r="B108" s="37"/>
      <c r="C108" s="37"/>
      <c r="D108" s="1"/>
      <c r="E108" s="1"/>
      <c r="F108" s="5"/>
      <c r="G108" s="1"/>
      <c r="H108" s="1"/>
      <c r="I108" s="1"/>
      <c r="J108" s="5"/>
      <c r="K108" s="1"/>
      <c r="L108" s="1"/>
      <c r="M108" s="1"/>
      <c r="N108" s="5"/>
      <c r="O108" s="37"/>
      <c r="P108" s="1"/>
      <c r="Q108" s="1"/>
      <c r="R108" s="5"/>
      <c r="S108" s="1"/>
      <c r="T108" s="1"/>
      <c r="U108" s="1"/>
      <c r="V108" s="5"/>
      <c r="W108" s="1"/>
      <c r="X108" s="1"/>
      <c r="Y108" s="1"/>
      <c r="Z108" s="5"/>
    </row>
    <row r="109" spans="1:26" s="23" customFormat="1" collapsed="1" x14ac:dyDescent="0.25">
      <c r="A109" s="10"/>
      <c r="B109" s="26" t="s">
        <v>0</v>
      </c>
      <c r="C109" s="10"/>
      <c r="D109" s="4">
        <f>SUM(OSRRefD25x_0)</f>
        <v>267.40999999999997</v>
      </c>
      <c r="E109" s="4"/>
      <c r="F109" s="12">
        <f t="shared" ref="F109:F112" si="79">IF(D$12=0,0,D109/D$12)</f>
        <v>8.3895491585979625E-3</v>
      </c>
      <c r="G109" s="4"/>
      <c r="H109" s="4">
        <f>SUM(OSRRefH25x_0)</f>
        <v>44861.23</v>
      </c>
      <c r="I109" s="4"/>
      <c r="J109" s="12">
        <f t="shared" ref="J109:J112" si="80">IF(H$12=0,0,H109/H$12)</f>
        <v>1.4273578758340877</v>
      </c>
      <c r="K109" s="4"/>
      <c r="L109" s="4">
        <f t="shared" ref="L109:L112" si="81">+D109-H109</f>
        <v>-44593.82</v>
      </c>
      <c r="M109" s="4"/>
      <c r="N109" s="12">
        <f t="shared" ref="N109:N112" si="82">IF(H109=0,0,L109/H109)</f>
        <v>-0.99403917369184924</v>
      </c>
      <c r="O109" s="10"/>
      <c r="P109" s="4">
        <f>SUM(OSRRefP25x_0)</f>
        <v>161168.19</v>
      </c>
      <c r="Q109" s="4"/>
      <c r="R109" s="12">
        <f t="shared" ref="R109:R112" si="83">IF(P$12=0,0,P109/P$12)</f>
        <v>0.14983113060101827</v>
      </c>
      <c r="S109" s="4"/>
      <c r="T109" s="4">
        <f>SUM(OSRRefT25x_0)</f>
        <v>142244.4</v>
      </c>
      <c r="U109" s="4"/>
      <c r="V109" s="12">
        <f t="shared" ref="V109:V112" si="84">IF(T$12=0,0,T109/T$12)</f>
        <v>7.2532605582120005E-2</v>
      </c>
      <c r="W109" s="4"/>
      <c r="X109" s="4">
        <f t="shared" ref="X109:X112" si="85">+P109-T109</f>
        <v>18923.790000000008</v>
      </c>
      <c r="Y109" s="4"/>
      <c r="Z109" s="12">
        <f t="shared" ref="Z109:Z112" si="86">IF(T109=0,0,X109/T109)</f>
        <v>0.1330371529564609</v>
      </c>
    </row>
    <row r="110" spans="1:26" s="24" customFormat="1" hidden="1" outlineLevel="1" x14ac:dyDescent="0.25">
      <c r="A110" s="44"/>
      <c r="B110" s="11" t="str">
        <f>CONCATENATE("          ", "9150", " - ", "MISC. INCOME")</f>
        <v xml:space="preserve">          9150 - MISC. INCOME</v>
      </c>
      <c r="C110" s="11"/>
      <c r="D110" s="2">
        <f>--5.33</f>
        <v>5.33</v>
      </c>
      <c r="E110" s="2"/>
      <c r="F110" s="19">
        <f t="shared" si="79"/>
        <v>1.6721998809067403E-4</v>
      </c>
      <c r="G110" s="2"/>
      <c r="H110" s="2">
        <f>--44808.15</f>
        <v>44808.15</v>
      </c>
      <c r="I110" s="2"/>
      <c r="J110" s="19">
        <f t="shared" si="80"/>
        <v>1.4256690198653752</v>
      </c>
      <c r="K110" s="2"/>
      <c r="L110" s="2">
        <f t="shared" si="81"/>
        <v>-44802.82</v>
      </c>
      <c r="M110" s="2"/>
      <c r="N110" s="19">
        <f t="shared" si="82"/>
        <v>-0.9998810484253422</v>
      </c>
      <c r="O110" s="11"/>
      <c r="P110" s="2">
        <f>--11531.78</f>
        <v>11531.78</v>
      </c>
      <c r="Q110" s="2"/>
      <c r="R110" s="19">
        <f t="shared" si="83"/>
        <v>1.0720599612381391E-2</v>
      </c>
      <c r="S110" s="2"/>
      <c r="T110" s="2">
        <f>--53874.1</f>
        <v>53874.1</v>
      </c>
      <c r="U110" s="2"/>
      <c r="V110" s="19">
        <f t="shared" si="84"/>
        <v>2.7471231531024713E-2</v>
      </c>
      <c r="W110" s="2"/>
      <c r="X110" s="2">
        <f t="shared" si="85"/>
        <v>-42342.32</v>
      </c>
      <c r="Y110" s="2"/>
      <c r="Z110" s="19">
        <f t="shared" si="86"/>
        <v>-0.78594946365693352</v>
      </c>
    </row>
    <row r="111" spans="1:26" s="24" customFormat="1" hidden="1" outlineLevel="1" x14ac:dyDescent="0.25">
      <c r="A111" s="44"/>
      <c r="B111" s="11" t="str">
        <f>CONCATENATE("          ", "9151", " - ", "MISC. INCOME")</f>
        <v xml:space="preserve">          9151 - MISC. INCOME</v>
      </c>
      <c r="C111" s="11"/>
      <c r="D111" s="2">
        <f>0</f>
        <v>0</v>
      </c>
      <c r="E111" s="2"/>
      <c r="F111" s="19">
        <f t="shared" si="79"/>
        <v>0</v>
      </c>
      <c r="G111" s="2"/>
      <c r="H111" s="2">
        <f>0</f>
        <v>0</v>
      </c>
      <c r="I111" s="2"/>
      <c r="J111" s="19">
        <f t="shared" si="80"/>
        <v>0</v>
      </c>
      <c r="K111" s="2"/>
      <c r="L111" s="2">
        <f t="shared" si="81"/>
        <v>0</v>
      </c>
      <c r="M111" s="2"/>
      <c r="N111" s="19">
        <f t="shared" si="82"/>
        <v>0</v>
      </c>
      <c r="O111" s="11"/>
      <c r="P111" s="2">
        <f>--147285.39</f>
        <v>147285.39000000001</v>
      </c>
      <c r="Q111" s="2"/>
      <c r="R111" s="19">
        <f t="shared" si="83"/>
        <v>0.1369248888674118</v>
      </c>
      <c r="S111" s="2"/>
      <c r="T111" s="2">
        <f>--87676.2</f>
        <v>87676.2</v>
      </c>
      <c r="U111" s="2"/>
      <c r="V111" s="19">
        <f t="shared" si="84"/>
        <v>4.4707441794116821E-2</v>
      </c>
      <c r="W111" s="2"/>
      <c r="X111" s="2">
        <f t="shared" si="85"/>
        <v>59609.190000000017</v>
      </c>
      <c r="Y111" s="2"/>
      <c r="Z111" s="19">
        <f t="shared" si="86"/>
        <v>0.67987880405400802</v>
      </c>
    </row>
    <row r="112" spans="1:26" s="24" customFormat="1" hidden="1" outlineLevel="1" x14ac:dyDescent="0.25">
      <c r="A112" s="44"/>
      <c r="B112" s="11" t="str">
        <f>CONCATENATE("          ", "9152", " - ", "MISC. INCOME")</f>
        <v xml:space="preserve">          9152 - MISC. INCOME</v>
      </c>
      <c r="C112" s="11"/>
      <c r="D112" s="2">
        <f>--262.08</f>
        <v>262.08</v>
      </c>
      <c r="E112" s="2"/>
      <c r="F112" s="19">
        <f t="shared" si="79"/>
        <v>8.2223291705072893E-3</v>
      </c>
      <c r="G112" s="2"/>
      <c r="H112" s="2">
        <f>--53.08</f>
        <v>53.08</v>
      </c>
      <c r="I112" s="2"/>
      <c r="J112" s="19">
        <f t="shared" si="80"/>
        <v>1.6888559687122569E-3</v>
      </c>
      <c r="K112" s="2"/>
      <c r="L112" s="2">
        <f t="shared" si="81"/>
        <v>209</v>
      </c>
      <c r="M112" s="2"/>
      <c r="N112" s="19">
        <f t="shared" si="82"/>
        <v>3.9374529012810853</v>
      </c>
      <c r="O112" s="11"/>
      <c r="P112" s="2">
        <f>--2351.02</f>
        <v>2351.02</v>
      </c>
      <c r="Q112" s="2"/>
      <c r="R112" s="19">
        <f t="shared" si="83"/>
        <v>2.1856421212250753E-3</v>
      </c>
      <c r="S112" s="2"/>
      <c r="T112" s="2">
        <f>--694.1</f>
        <v>694.1</v>
      </c>
      <c r="U112" s="2"/>
      <c r="V112" s="19">
        <f t="shared" si="84"/>
        <v>3.5393225697847859E-4</v>
      </c>
      <c r="W112" s="2"/>
      <c r="X112" s="2">
        <f t="shared" si="85"/>
        <v>1656.92</v>
      </c>
      <c r="Y112" s="2"/>
      <c r="Z112" s="19">
        <f t="shared" si="86"/>
        <v>2.3871488258176057</v>
      </c>
    </row>
    <row r="113" spans="1:26" x14ac:dyDescent="0.25">
      <c r="A113" s="9"/>
      <c r="B113" s="10"/>
      <c r="C113" s="10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O113" s="10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s="23" customFormat="1" x14ac:dyDescent="0.25">
      <c r="A114" s="10"/>
      <c r="B114" s="25" t="s">
        <v>3</v>
      </c>
      <c r="C114" s="25"/>
      <c r="D114" s="20">
        <f>+D56-D58+D109</f>
        <v>-34106.719999999972</v>
      </c>
      <c r="E114" s="13"/>
      <c r="F114" s="21">
        <f>IF(D$12=0,0,D114/D$12)</f>
        <v>-1.070042272460028</v>
      </c>
      <c r="G114" s="13"/>
      <c r="H114" s="20">
        <f>+H56-H58+H109</f>
        <v>8254.9099999999671</v>
      </c>
      <c r="I114" s="13"/>
      <c r="J114" s="21">
        <f>IF(H$12=0,0,H114/H$12)</f>
        <v>0.26264796580034744</v>
      </c>
      <c r="K114" s="15"/>
      <c r="L114" s="20">
        <f>+D114-H114</f>
        <v>-42361.629999999939</v>
      </c>
      <c r="M114" s="15"/>
      <c r="N114" s="21">
        <f>IF(H114=0,0,L114/H114)</f>
        <v>-5.131688897880184</v>
      </c>
      <c r="O114" s="26"/>
      <c r="P114" s="20">
        <f>+P56-P58+P109</f>
        <v>304185.44999999972</v>
      </c>
      <c r="Q114" s="13"/>
      <c r="R114" s="21">
        <f>IF(P$12=0,0,P114/P$12)</f>
        <v>0.28278812268028491</v>
      </c>
      <c r="S114" s="13"/>
      <c r="T114" s="20">
        <f>+T56-T58+T109</f>
        <v>524445.6</v>
      </c>
      <c r="U114" s="13"/>
      <c r="V114" s="21">
        <f>IF(T$12=0,0,T114/T$12)</f>
        <v>0.26742287115751678</v>
      </c>
      <c r="W114" s="15"/>
      <c r="X114" s="20">
        <f>+P114-T114</f>
        <v>-220260.15000000026</v>
      </c>
      <c r="Y114" s="15"/>
      <c r="Z114" s="21">
        <f>IF(T114=0,0,X114/T114)</f>
        <v>-0.41998664875823205</v>
      </c>
    </row>
    <row r="115" spans="1:26" x14ac:dyDescent="0.25">
      <c r="A115" s="9"/>
      <c r="B115" s="10"/>
      <c r="C115" s="9"/>
      <c r="D115" s="3"/>
      <c r="E115" s="3"/>
      <c r="F115" s="8"/>
      <c r="G115" s="3"/>
      <c r="H115" s="3"/>
      <c r="I115" s="3"/>
      <c r="J115" s="8"/>
      <c r="K115" s="3"/>
      <c r="L115" s="3"/>
      <c r="M115" s="3"/>
      <c r="N115" s="8"/>
      <c r="P115" s="3"/>
      <c r="Q115" s="3"/>
      <c r="R115" s="8"/>
      <c r="S115" s="3"/>
      <c r="T115" s="3"/>
      <c r="U115" s="3"/>
      <c r="V115" s="8"/>
      <c r="W115" s="3"/>
      <c r="X115" s="3"/>
      <c r="Y115" s="3"/>
      <c r="Z115" s="8"/>
    </row>
    <row r="116" spans="1:26" s="23" customFormat="1" x14ac:dyDescent="0.25">
      <c r="A116" s="51"/>
      <c r="B116" s="10" t="s">
        <v>13</v>
      </c>
      <c r="C116" s="10"/>
      <c r="D116" s="4">
        <v>39644.76</v>
      </c>
      <c r="E116" s="4"/>
      <c r="F116" s="12">
        <f>IF(D$12=0,0,D116/D$12)</f>
        <v>1.2437891735567788</v>
      </c>
      <c r="G116" s="4"/>
      <c r="H116" s="4">
        <v>-9862.91</v>
      </c>
      <c r="I116" s="4"/>
      <c r="J116" s="12">
        <f>IF(H$12=0,0,H116/H$12)</f>
        <v>-0.31380999288567835</v>
      </c>
      <c r="K116" s="4"/>
      <c r="L116" s="4">
        <f>+D116-H116</f>
        <v>49507.67</v>
      </c>
      <c r="M116" s="4"/>
      <c r="N116" s="12">
        <f>IF(H116=0,0,L116/H116)</f>
        <v>-5.0195804280886671</v>
      </c>
      <c r="O116" s="10"/>
      <c r="P116" s="4">
        <v>233012.33000000002</v>
      </c>
      <c r="Q116" s="4"/>
      <c r="R116" s="12">
        <f>IF(P$12=0,0,P116/P$12)</f>
        <v>0.21662153584945992</v>
      </c>
      <c r="S116" s="4"/>
      <c r="T116" s="4">
        <v>197410.31</v>
      </c>
      <c r="U116" s="4"/>
      <c r="V116" s="12">
        <f>IF(T$12=0,0,T116/T$12)</f>
        <v>0.10066255088477326</v>
      </c>
      <c r="W116" s="4"/>
      <c r="X116" s="4">
        <f>+P116-T116</f>
        <v>35602.020000000019</v>
      </c>
      <c r="Y116" s="4"/>
      <c r="Z116" s="12">
        <f>IF(T116=0,0,X116/T116)</f>
        <v>0.1803452919961476</v>
      </c>
    </row>
    <row r="117" spans="1:26" x14ac:dyDescent="0.25">
      <c r="A117" s="9"/>
      <c r="B117" s="10"/>
      <c r="C117" s="10"/>
      <c r="D117" s="3"/>
      <c r="E117" s="3"/>
      <c r="F117" s="8"/>
      <c r="G117" s="3"/>
      <c r="H117" s="3"/>
      <c r="I117" s="3"/>
      <c r="J117" s="8"/>
      <c r="K117" s="3"/>
      <c r="L117" s="3"/>
      <c r="M117" s="3"/>
      <c r="N117" s="8"/>
      <c r="O117" s="10"/>
      <c r="P117" s="3"/>
      <c r="Q117" s="3"/>
      <c r="R117" s="8"/>
      <c r="S117" s="3"/>
      <c r="T117" s="3"/>
      <c r="U117" s="3"/>
      <c r="V117" s="8"/>
      <c r="W117" s="3"/>
      <c r="X117" s="3"/>
      <c r="Y117" s="3"/>
      <c r="Z117" s="8"/>
    </row>
    <row r="118" spans="1:26" s="23" customFormat="1" ht="15.75" thickBot="1" x14ac:dyDescent="0.3">
      <c r="A118" s="10"/>
      <c r="B118" s="25" t="s">
        <v>4</v>
      </c>
      <c r="C118" s="25"/>
      <c r="D118" s="30">
        <f>+D114-D116</f>
        <v>-73751.479999999981</v>
      </c>
      <c r="E118" s="13"/>
      <c r="F118" s="33">
        <f>IF(D$12=0,0,D118/D$12)</f>
        <v>-2.313831446016807</v>
      </c>
      <c r="G118" s="13"/>
      <c r="H118" s="30">
        <f>+H114-H116</f>
        <v>18117.819999999967</v>
      </c>
      <c r="I118" s="13"/>
      <c r="J118" s="33">
        <f>IF(H$12=0,0,H118/H$12)</f>
        <v>0.57645795868602578</v>
      </c>
      <c r="K118" s="15"/>
      <c r="L118" s="30">
        <f>D118-H118</f>
        <v>-91869.299999999945</v>
      </c>
      <c r="M118" s="15"/>
      <c r="N118" s="33">
        <f>IF(H118=0,0,L118/H118)</f>
        <v>-5.0706597151312964</v>
      </c>
      <c r="O118" s="26"/>
      <c r="P118" s="30">
        <f>+P114-P116</f>
        <v>71173.119999999704</v>
      </c>
      <c r="Q118" s="13"/>
      <c r="R118" s="33">
        <f>IF(P$12=0,0,P118/P$12)</f>
        <v>6.6166586830824992E-2</v>
      </c>
      <c r="S118" s="13"/>
      <c r="T118" s="30">
        <f>+T114-T116</f>
        <v>327035.28999999998</v>
      </c>
      <c r="U118" s="13"/>
      <c r="V118" s="33">
        <f>IF(T$12=0,0,T118/T$12)</f>
        <v>0.16676032027274351</v>
      </c>
      <c r="W118" s="15"/>
      <c r="X118" s="30">
        <f>P118-T118</f>
        <v>-255862.17000000027</v>
      </c>
      <c r="Y118" s="15"/>
      <c r="Z118" s="33">
        <f>IF(T118=0,0,X118/T118)</f>
        <v>-0.78236868565468976</v>
      </c>
    </row>
    <row r="119" spans="1:26" ht="15.75" thickTop="1" x14ac:dyDescent="0.25">
      <c r="A119" s="9"/>
      <c r="B119" s="9"/>
      <c r="C119" s="9"/>
      <c r="D119" s="3"/>
      <c r="E119" s="3"/>
      <c r="F119" s="8"/>
      <c r="G119" s="3"/>
      <c r="H119" s="3"/>
      <c r="I119" s="3"/>
      <c r="J119" s="8"/>
      <c r="K119" s="3"/>
      <c r="L119" s="3"/>
      <c r="M119" s="3"/>
      <c r="N119" s="8"/>
      <c r="P119" s="3"/>
      <c r="Q119" s="3"/>
      <c r="R119" s="8"/>
      <c r="S119" s="3"/>
      <c r="T119" s="3"/>
      <c r="U119" s="3"/>
      <c r="V119" s="8"/>
      <c r="W119" s="3"/>
      <c r="X119" s="3"/>
      <c r="Y119" s="3"/>
      <c r="Z119" s="8"/>
    </row>
    <row r="120" spans="1:26" x14ac:dyDescent="0.25">
      <c r="A120" s="9"/>
      <c r="B120" s="9"/>
      <c r="C120" s="9"/>
      <c r="D120" s="3"/>
      <c r="E120" s="3"/>
      <c r="F120" s="8"/>
      <c r="G120" s="3"/>
      <c r="H120" s="3"/>
      <c r="I120" s="3"/>
      <c r="J120" s="8"/>
      <c r="K120" s="3"/>
      <c r="L120" s="3"/>
      <c r="M120" s="3"/>
      <c r="N120" s="8"/>
      <c r="P120" s="3"/>
      <c r="Q120" s="3"/>
      <c r="R120" s="8"/>
      <c r="S120" s="3"/>
      <c r="T120" s="3"/>
      <c r="U120" s="3"/>
      <c r="V120" s="8"/>
      <c r="W120" s="3"/>
      <c r="X120" s="3"/>
      <c r="Y120" s="3"/>
      <c r="Z120" s="8"/>
    </row>
    <row r="121" spans="1:26" s="23" customFormat="1" ht="15.75" thickBot="1" x14ac:dyDescent="0.3">
      <c r="A121" s="10"/>
      <c r="B121" s="25" t="s">
        <v>5</v>
      </c>
      <c r="C121" s="25"/>
      <c r="D121" s="34">
        <f>SUM(D118:D120)</f>
        <v>-73751.479999999981</v>
      </c>
      <c r="E121" s="13"/>
      <c r="F121" s="35">
        <f>IF(D$12=0,0,D121/D$12)</f>
        <v>-2.313831446016807</v>
      </c>
      <c r="G121" s="13"/>
      <c r="H121" s="34">
        <f>SUM(H118:H120)</f>
        <v>18117.819999999967</v>
      </c>
      <c r="I121" s="13"/>
      <c r="J121" s="35">
        <f>IF(H$12=0,0,H121/H$12)</f>
        <v>0.57645795868602578</v>
      </c>
      <c r="K121" s="15"/>
      <c r="L121" s="34">
        <f>+D121-H121</f>
        <v>-91869.299999999945</v>
      </c>
      <c r="M121" s="15"/>
      <c r="N121" s="35">
        <f>IF(H121=0,0,L121/H121)</f>
        <v>-5.0706597151312964</v>
      </c>
      <c r="O121" s="26"/>
      <c r="P121" s="34">
        <f>SUM(P118:P120)</f>
        <v>71173.119999999704</v>
      </c>
      <c r="Q121" s="13"/>
      <c r="R121" s="35">
        <f>IF(P$12=0,0,P121/P$12)</f>
        <v>6.6166586830824992E-2</v>
      </c>
      <c r="S121" s="13"/>
      <c r="T121" s="34">
        <f>SUM(T118:T120)</f>
        <v>327035.28999999998</v>
      </c>
      <c r="U121" s="13"/>
      <c r="V121" s="35">
        <f>IF(T$12=0,0,T121/T$12)</f>
        <v>0.16676032027274351</v>
      </c>
      <c r="W121" s="15"/>
      <c r="X121" s="34">
        <f>+P121-T121</f>
        <v>-255862.17000000027</v>
      </c>
      <c r="Y121" s="15"/>
      <c r="Z121" s="35">
        <f>IF(T121=0,0,X121/T121)</f>
        <v>-0.78236868565468976</v>
      </c>
    </row>
    <row r="122" spans="1:26" ht="15.75" thickTop="1" x14ac:dyDescent="0.25">
      <c r="A122" s="9"/>
      <c r="C122" s="9"/>
      <c r="D122" s="18"/>
      <c r="E122" s="18"/>
      <c r="G122" s="18"/>
      <c r="H122" s="18"/>
      <c r="I122" s="18"/>
      <c r="J122" s="43"/>
      <c r="K122" s="18"/>
      <c r="L122" s="18"/>
      <c r="M122" s="18"/>
      <c r="P122" s="18"/>
      <c r="Q122" s="18"/>
      <c r="R122" s="43"/>
      <c r="S122" s="18"/>
      <c r="T122" s="18"/>
      <c r="U122" s="18"/>
      <c r="V122" s="43"/>
      <c r="W122" s="18"/>
      <c r="X122" s="18"/>
    </row>
    <row r="123" spans="1:26" x14ac:dyDescent="0.25">
      <c r="A123" s="9"/>
      <c r="B123" s="56">
        <v>44151.572389583336</v>
      </c>
      <c r="D123" s="18"/>
      <c r="E123" s="18"/>
      <c r="G123" s="18"/>
      <c r="H123" s="18"/>
      <c r="I123" s="18"/>
      <c r="J123" s="43"/>
      <c r="K123" s="18"/>
      <c r="L123" s="18"/>
      <c r="M123" s="18"/>
      <c r="P123" s="18"/>
      <c r="Q123" s="18"/>
      <c r="R123" s="43"/>
      <c r="S123" s="18"/>
      <c r="T123" s="18"/>
      <c r="U123" s="18"/>
      <c r="V123" s="43"/>
      <c r="W123" s="18"/>
      <c r="X123" s="18"/>
    </row>
    <row r="124" spans="1:26" x14ac:dyDescent="0.25">
      <c r="A124" s="9"/>
      <c r="B124" s="62" t="s">
        <v>313</v>
      </c>
      <c r="D124" s="18"/>
      <c r="E124" s="18"/>
      <c r="G124" s="18"/>
      <c r="H124" s="18"/>
      <c r="I124" s="18"/>
      <c r="J124" s="43"/>
      <c r="K124" s="18"/>
      <c r="L124" s="18"/>
      <c r="M124" s="18"/>
      <c r="P124" s="18"/>
      <c r="Q124" s="18"/>
      <c r="R124" s="43"/>
      <c r="S124" s="18"/>
      <c r="T124" s="18"/>
      <c r="U124" s="18"/>
      <c r="V124" s="43"/>
      <c r="W124" s="18"/>
      <c r="X124" s="18"/>
    </row>
    <row r="125" spans="1:26" x14ac:dyDescent="0.25">
      <c r="A125" s="9"/>
      <c r="B125" s="54"/>
      <c r="D125" s="18"/>
      <c r="E125" s="18"/>
      <c r="G125" s="18"/>
      <c r="H125" s="18"/>
      <c r="I125" s="18"/>
      <c r="J125" s="43"/>
      <c r="K125" s="18"/>
      <c r="L125" s="18"/>
      <c r="M125" s="18"/>
      <c r="P125" s="18"/>
      <c r="Q125" s="18"/>
      <c r="R125" s="43"/>
      <c r="S125" s="18"/>
      <c r="T125" s="18"/>
      <c r="U125" s="18"/>
      <c r="V125" s="43"/>
      <c r="W125" s="18"/>
      <c r="X125" s="18"/>
    </row>
    <row r="126" spans="1:26" x14ac:dyDescent="0.25">
      <c r="D126" s="18"/>
      <c r="E126" s="18"/>
      <c r="G126" s="18"/>
      <c r="H126" s="18"/>
      <c r="I126" s="18"/>
      <c r="J126" s="43"/>
      <c r="K126" s="18"/>
      <c r="L126" s="18"/>
      <c r="M126" s="18"/>
      <c r="P126" s="18"/>
      <c r="Q126" s="18"/>
      <c r="R126" s="43"/>
      <c r="S126" s="18"/>
      <c r="T126" s="18"/>
      <c r="U126" s="18"/>
      <c r="V126" s="43"/>
      <c r="W126" s="18"/>
      <c r="X126" s="18"/>
    </row>
  </sheetData>
  <pageMargins left="0.25" right="0.25" top="0.75" bottom="0.75" header="0.3" footer="0.3"/>
  <pageSetup scale="55" fitToWidth="2" orientation="landscape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1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",RIGHT(202104,2),", ",2021)</f>
        <v>Period 04,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44135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","324", " - ", "Textbook Rental")</f>
        <v>Department 324 - Textbook Rental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61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50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50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2"/>
      <c r="F10" s="31" t="s">
        <v>14</v>
      </c>
      <c r="G10" s="32"/>
      <c r="H10" s="49" t="s">
        <v>306</v>
      </c>
      <c r="I10" s="32"/>
      <c r="J10" s="31" t="s">
        <v>14</v>
      </c>
      <c r="K10" s="10"/>
      <c r="L10" s="42" t="s">
        <v>11</v>
      </c>
      <c r="M10" s="10"/>
      <c r="N10" s="31" t="s">
        <v>15</v>
      </c>
      <c r="O10" s="10"/>
      <c r="P10" s="59" t="s">
        <v>10</v>
      </c>
      <c r="Q10" s="32"/>
      <c r="R10" s="31" t="s">
        <v>14</v>
      </c>
      <c r="S10" s="32"/>
      <c r="T10" s="49" t="s">
        <v>306</v>
      </c>
      <c r="U10" s="32"/>
      <c r="V10" s="31" t="s">
        <v>14</v>
      </c>
      <c r="W10" s="10"/>
      <c r="X10" s="42" t="s">
        <v>11</v>
      </c>
      <c r="Y10" s="10"/>
      <c r="Z10" s="31" t="s">
        <v>15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2309.06</v>
      </c>
      <c r="E12" s="4"/>
      <c r="F12" s="12"/>
      <c r="G12" s="4"/>
      <c r="H12" s="4">
        <f>SUM(OSRRefH13x_0)</f>
        <v>11239.18</v>
      </c>
      <c r="I12" s="4"/>
      <c r="J12" s="12"/>
      <c r="K12" s="4"/>
      <c r="L12" s="4">
        <f t="shared" ref="L12:L15" si="0">+D12-H12</f>
        <v>-8930.1200000000008</v>
      </c>
      <c r="M12" s="4"/>
      <c r="N12" s="12">
        <f t="shared" ref="N12:N15" si="1">IF(H12=0,0,L12/H12)</f>
        <v>-0.79455262750485356</v>
      </c>
      <c r="O12" s="10"/>
      <c r="P12" s="4">
        <f>SUM(OSRRefP13x_0)</f>
        <v>470040.45</v>
      </c>
      <c r="Q12" s="4"/>
      <c r="R12" s="12"/>
      <c r="S12" s="4"/>
      <c r="T12" s="4">
        <f>SUM(OSRRefT13x_0)</f>
        <v>901285.69</v>
      </c>
      <c r="U12" s="4"/>
      <c r="V12" s="12"/>
      <c r="W12" s="4"/>
      <c r="X12" s="4">
        <f t="shared" ref="X12:X15" si="2">+P12-T12</f>
        <v>-431245.23999999993</v>
      </c>
      <c r="Y12" s="4"/>
      <c r="Z12" s="12">
        <f t="shared" ref="Z12:Z15" si="3">IF(T12=0,0,X12/T12)</f>
        <v>-0.47847785090208184</v>
      </c>
    </row>
    <row r="13" spans="1:26" s="24" customFormat="1" hidden="1" outlineLevel="1" x14ac:dyDescent="0.25">
      <c r="A13" s="44"/>
      <c r="B13" s="11" t="str">
        <f>CONCATENATE("          ", "4001", " - ", "TAXABLE SALES-NEW TEXT")</f>
        <v xml:space="preserve">          4001 - TAXABLE SALES-NEW TEXT</v>
      </c>
      <c r="C13" s="11"/>
      <c r="D13" s="2">
        <f>--1274.3</f>
        <v>1274.3</v>
      </c>
      <c r="E13" s="2"/>
      <c r="F13" s="19"/>
      <c r="G13" s="2"/>
      <c r="H13" s="2">
        <f>--4664.7</f>
        <v>4664.7</v>
      </c>
      <c r="I13" s="2"/>
      <c r="J13" s="19"/>
      <c r="K13" s="2"/>
      <c r="L13" s="2">
        <f t="shared" si="0"/>
        <v>-3390.3999999999996</v>
      </c>
      <c r="M13" s="2"/>
      <c r="N13" s="19">
        <f t="shared" si="1"/>
        <v>-0.72682058867665655</v>
      </c>
      <c r="O13" s="11"/>
      <c r="P13" s="2">
        <f>--172228.96</f>
        <v>172228.96</v>
      </c>
      <c r="Q13" s="2"/>
      <c r="R13" s="19"/>
      <c r="S13" s="2"/>
      <c r="T13" s="2">
        <f>--256370.31</f>
        <v>256370.31</v>
      </c>
      <c r="U13" s="2"/>
      <c r="V13" s="19"/>
      <c r="W13" s="2"/>
      <c r="X13" s="2">
        <f t="shared" si="2"/>
        <v>-84141.35</v>
      </c>
      <c r="Y13" s="2"/>
      <c r="Z13" s="19">
        <f t="shared" si="3"/>
        <v>-0.32820239597947204</v>
      </c>
    </row>
    <row r="14" spans="1:26" s="24" customFormat="1" hidden="1" outlineLevel="1" x14ac:dyDescent="0.25">
      <c r="A14" s="44"/>
      <c r="B14" s="11" t="str">
        <f>CONCATENATE("          ", "4002", " - ", "TAXABLE SALES-USED TEXT")</f>
        <v xml:space="preserve">          4002 - TAXABLE SALES-USED TEXT</v>
      </c>
      <c r="C14" s="11"/>
      <c r="D14" s="2">
        <f>--898.97</f>
        <v>898.97</v>
      </c>
      <c r="E14" s="2"/>
      <c r="F14" s="19"/>
      <c r="G14" s="2"/>
      <c r="H14" s="2">
        <f>--2860.58</f>
        <v>2860.58</v>
      </c>
      <c r="I14" s="2"/>
      <c r="J14" s="19"/>
      <c r="K14" s="2"/>
      <c r="L14" s="2">
        <f t="shared" si="0"/>
        <v>-1961.61</v>
      </c>
      <c r="M14" s="2"/>
      <c r="N14" s="19">
        <f t="shared" si="1"/>
        <v>-0.68573855651651061</v>
      </c>
      <c r="O14" s="11"/>
      <c r="P14" s="2">
        <f>--133331.68</f>
        <v>133331.68</v>
      </c>
      <c r="Q14" s="2"/>
      <c r="R14" s="19"/>
      <c r="S14" s="2"/>
      <c r="T14" s="2">
        <f>--309533.71</f>
        <v>309533.71000000002</v>
      </c>
      <c r="U14" s="2"/>
      <c r="V14" s="19"/>
      <c r="W14" s="2"/>
      <c r="X14" s="2">
        <f t="shared" si="2"/>
        <v>-176202.03000000003</v>
      </c>
      <c r="Y14" s="2"/>
      <c r="Z14" s="19">
        <f t="shared" si="3"/>
        <v>-0.56924988880855665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>--135.79</f>
        <v>135.79</v>
      </c>
      <c r="E15" s="2"/>
      <c r="F15" s="19"/>
      <c r="G15" s="2"/>
      <c r="H15" s="2">
        <f>--3713.9</f>
        <v>3713.9</v>
      </c>
      <c r="I15" s="2"/>
      <c r="J15" s="19"/>
      <c r="K15" s="2"/>
      <c r="L15" s="2">
        <f t="shared" si="0"/>
        <v>-3578.11</v>
      </c>
      <c r="M15" s="2"/>
      <c r="N15" s="19">
        <f t="shared" si="1"/>
        <v>-0.96343735695629928</v>
      </c>
      <c r="O15" s="11"/>
      <c r="P15" s="2">
        <f>--164479.81</f>
        <v>164479.81</v>
      </c>
      <c r="Q15" s="2"/>
      <c r="R15" s="19"/>
      <c r="S15" s="2"/>
      <c r="T15" s="2">
        <f>--335381.67</f>
        <v>335381.67</v>
      </c>
      <c r="U15" s="2"/>
      <c r="V15" s="19"/>
      <c r="W15" s="2"/>
      <c r="X15" s="2">
        <f t="shared" si="2"/>
        <v>-170901.86</v>
      </c>
      <c r="Y15" s="2"/>
      <c r="Z15" s="19">
        <f t="shared" si="3"/>
        <v>-0.5095742411921319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6" t="s">
        <v>8</v>
      </c>
      <c r="C17" s="10"/>
      <c r="D17" s="4">
        <f>SUM(OSRRefD16x_0)</f>
        <v>1259.5</v>
      </c>
      <c r="E17" s="4"/>
      <c r="F17" s="12">
        <f t="shared" ref="F17:F19" si="4">IF(D$12=0,0,D17/D$12)</f>
        <v>0.54546005733935021</v>
      </c>
      <c r="G17" s="4"/>
      <c r="H17" s="4">
        <f>SUM(OSRRefH16x_0)</f>
        <v>8412.64</v>
      </c>
      <c r="I17" s="4"/>
      <c r="J17" s="12">
        <f t="shared" ref="J17:J19" si="5">IF(H$12=0,0,H17/H$12)</f>
        <v>0.74851012262460426</v>
      </c>
      <c r="K17" s="4"/>
      <c r="L17" s="4">
        <f t="shared" ref="L17:L19" si="6">+D17-H17</f>
        <v>-7153.1399999999994</v>
      </c>
      <c r="M17" s="4"/>
      <c r="N17" s="12">
        <f t="shared" ref="N17:N19" si="7">IF(H17=0,0,L17/H17)</f>
        <v>-0.85028480952471519</v>
      </c>
      <c r="O17" s="10"/>
      <c r="P17" s="4">
        <f>SUM(OSRRefP16x_0)</f>
        <v>343786.33999999997</v>
      </c>
      <c r="Q17" s="4"/>
      <c r="R17" s="12">
        <f t="shared" ref="R17:R19" si="8">IF(P$12=0,0,P17/P$12)</f>
        <v>0.73139735101521575</v>
      </c>
      <c r="S17" s="4"/>
      <c r="T17" s="4">
        <f>SUM(OSRRefT16x_0)</f>
        <v>682773.27</v>
      </c>
      <c r="U17" s="4"/>
      <c r="V17" s="12">
        <f t="shared" ref="V17:V19" si="9">IF(T$12=0,0,T17/T$12)</f>
        <v>0.7575547660143146</v>
      </c>
      <c r="W17" s="4"/>
      <c r="X17" s="4">
        <f t="shared" ref="X17:X19" si="10">+P17-T17</f>
        <v>-338986.93000000005</v>
      </c>
      <c r="Y17" s="4"/>
      <c r="Z17" s="12">
        <f t="shared" ref="Z17:Z19" si="11">IF(T17=0,0,X17/T17)</f>
        <v>-0.49648535596597104</v>
      </c>
    </row>
    <row r="18" spans="1:26" s="24" customFormat="1" hidden="1" outlineLevel="1" x14ac:dyDescent="0.25">
      <c r="A18" s="44"/>
      <c r="B18" s="11" t="str">
        <f>CONCATENATE("          ", "5001", " - ", "PURCHASES @ COST-NEW TEXT")</f>
        <v xml:space="preserve">          5001 - PURCHASES @ COST-NEW TEXT</v>
      </c>
      <c r="C18" s="11"/>
      <c r="D18" s="2">
        <v>1259.5</v>
      </c>
      <c r="E18" s="2"/>
      <c r="F18" s="19">
        <f t="shared" si="4"/>
        <v>0.54546005733935021</v>
      </c>
      <c r="G18" s="2"/>
      <c r="H18" s="2">
        <v>5342.77</v>
      </c>
      <c r="I18" s="2"/>
      <c r="J18" s="19">
        <f t="shared" si="5"/>
        <v>0.47537008927697577</v>
      </c>
      <c r="K18" s="2"/>
      <c r="L18" s="2">
        <f t="shared" si="6"/>
        <v>-4083.2700000000004</v>
      </c>
      <c r="M18" s="2"/>
      <c r="N18" s="19">
        <f t="shared" si="7"/>
        <v>-0.76426086093917578</v>
      </c>
      <c r="O18" s="11"/>
      <c r="P18" s="2">
        <v>204451.86</v>
      </c>
      <c r="Q18" s="2"/>
      <c r="R18" s="19">
        <f t="shared" si="8"/>
        <v>0.43496652256204754</v>
      </c>
      <c r="S18" s="2"/>
      <c r="T18" s="2">
        <v>308300.27</v>
      </c>
      <c r="U18" s="2"/>
      <c r="V18" s="19">
        <f t="shared" si="9"/>
        <v>0.34206719736113866</v>
      </c>
      <c r="W18" s="2"/>
      <c r="X18" s="2">
        <f t="shared" si="10"/>
        <v>-103848.41000000003</v>
      </c>
      <c r="Y18" s="2"/>
      <c r="Z18" s="19">
        <f t="shared" si="11"/>
        <v>-0.33684177441686974</v>
      </c>
    </row>
    <row r="19" spans="1:26" s="24" customFormat="1" hidden="1" outlineLevel="1" x14ac:dyDescent="0.25">
      <c r="A19" s="44"/>
      <c r="B19" s="11" t="str">
        <f>CONCATENATE("          ", "5002", " - ", "PURCHASES @ COST-USED TEXT")</f>
        <v xml:space="preserve">          5002 - PURCHASES @ COST-USED TEXT</v>
      </c>
      <c r="C19" s="11"/>
      <c r="D19" s="2"/>
      <c r="E19" s="2"/>
      <c r="F19" s="19">
        <f t="shared" si="4"/>
        <v>0</v>
      </c>
      <c r="G19" s="2"/>
      <c r="H19" s="2">
        <v>3069.87</v>
      </c>
      <c r="I19" s="2"/>
      <c r="J19" s="19">
        <f t="shared" si="5"/>
        <v>0.27314003334762854</v>
      </c>
      <c r="K19" s="2"/>
      <c r="L19" s="2">
        <f t="shared" si="6"/>
        <v>-3069.87</v>
      </c>
      <c r="M19" s="2"/>
      <c r="N19" s="19">
        <f t="shared" si="7"/>
        <v>-1</v>
      </c>
      <c r="O19" s="11"/>
      <c r="P19" s="2">
        <v>139334.47999999998</v>
      </c>
      <c r="Q19" s="2"/>
      <c r="R19" s="19">
        <f t="shared" si="8"/>
        <v>0.2964308284531682</v>
      </c>
      <c r="S19" s="2"/>
      <c r="T19" s="2">
        <v>374473</v>
      </c>
      <c r="U19" s="2"/>
      <c r="V19" s="19">
        <f t="shared" si="9"/>
        <v>0.41548756865317593</v>
      </c>
      <c r="W19" s="2"/>
      <c r="X19" s="2">
        <f t="shared" si="10"/>
        <v>-235138.52000000002</v>
      </c>
      <c r="Y19" s="2"/>
      <c r="Z19" s="19">
        <f t="shared" si="11"/>
        <v>-0.62791848811529805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5" t="s">
        <v>6</v>
      </c>
      <c r="C21" s="25"/>
      <c r="D21" s="20">
        <f>D12-D17</f>
        <v>1049.56</v>
      </c>
      <c r="E21" s="13"/>
      <c r="F21" s="21">
        <f>IF(D$12=0,0,D21/D$12)</f>
        <v>0.45453994266064979</v>
      </c>
      <c r="G21" s="13"/>
      <c r="H21" s="20">
        <f>H12-H17</f>
        <v>2826.5400000000009</v>
      </c>
      <c r="I21" s="13"/>
      <c r="J21" s="21">
        <f>IF(H$12=0,0,H21/H$12)</f>
        <v>0.2514898773753958</v>
      </c>
      <c r="K21" s="15"/>
      <c r="L21" s="20">
        <f>+D21-H21</f>
        <v>-1776.9800000000009</v>
      </c>
      <c r="M21" s="15"/>
      <c r="N21" s="21">
        <f>IF(H21=0,0,L21/H21)</f>
        <v>-0.62867675674145784</v>
      </c>
      <c r="O21" s="26"/>
      <c r="P21" s="20">
        <f>P12-P17</f>
        <v>126254.11000000004</v>
      </c>
      <c r="Q21" s="13"/>
      <c r="R21" s="21">
        <f>IF(P$12=0,0,P21/P$12)</f>
        <v>0.26860264898478425</v>
      </c>
      <c r="S21" s="13"/>
      <c r="T21" s="20">
        <f>T12-T17</f>
        <v>218512.41999999993</v>
      </c>
      <c r="U21" s="13"/>
      <c r="V21" s="21">
        <f>IF(T$12=0,0,T21/T$12)</f>
        <v>0.24244523398568543</v>
      </c>
      <c r="W21" s="15"/>
      <c r="X21" s="20">
        <f>+P21-T21</f>
        <v>-92258.309999999881</v>
      </c>
      <c r="Y21" s="15"/>
      <c r="Z21" s="21">
        <f>IF(T21=0,0,X21/T21)</f>
        <v>-0.42221082902289908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6" t="s">
        <v>9</v>
      </c>
      <c r="C23" s="10"/>
      <c r="D23" s="22">
        <f>SUM(0)</f>
        <v>0</v>
      </c>
      <c r="E23" s="22"/>
      <c r="F23" s="36">
        <f>IF(D$12=0,0,D23/D$12)</f>
        <v>0</v>
      </c>
      <c r="G23" s="22"/>
      <c r="H23" s="22">
        <f>SUM(0)</f>
        <v>0</v>
      </c>
      <c r="I23" s="22"/>
      <c r="J23" s="36">
        <f>IF(H$12=0,0,H23/H$12)</f>
        <v>0</v>
      </c>
      <c r="K23" s="4"/>
      <c r="L23" s="22">
        <f>+D23-H23</f>
        <v>0</v>
      </c>
      <c r="M23" s="4"/>
      <c r="N23" s="36">
        <f>IF(H23=0,0,L23/H23)</f>
        <v>0</v>
      </c>
      <c r="O23" s="10"/>
      <c r="P23" s="22">
        <f>SUM(0)</f>
        <v>0</v>
      </c>
      <c r="Q23" s="22"/>
      <c r="R23" s="36">
        <f>IF(P$12=0,0,P23/P$12)</f>
        <v>0</v>
      </c>
      <c r="S23" s="22"/>
      <c r="T23" s="22">
        <f>SUM(0)</f>
        <v>0</v>
      </c>
      <c r="U23" s="22"/>
      <c r="V23" s="36">
        <f>IF(T$12=0,0,T23/T$12)</f>
        <v>0</v>
      </c>
      <c r="W23" s="4"/>
      <c r="X23" s="22">
        <f>+P23-T23</f>
        <v>0</v>
      </c>
      <c r="Y23" s="4"/>
      <c r="Z23" s="36">
        <f>IF(T23=0,0,X23/T23)</f>
        <v>0</v>
      </c>
    </row>
    <row r="24" spans="1:26" s="57" customFormat="1" x14ac:dyDescent="0.25">
      <c r="A24" s="37"/>
      <c r="B24" s="37"/>
      <c r="C24" s="37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7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6" t="s">
        <v>0</v>
      </c>
      <c r="C25" s="10"/>
      <c r="D25" s="4">
        <f>SUM(0)</f>
        <v>0</v>
      </c>
      <c r="E25" s="4"/>
      <c r="F25" s="12">
        <f>IF(D$12=0,0,D25/D$12)</f>
        <v>0</v>
      </c>
      <c r="G25" s="4"/>
      <c r="H25" s="4">
        <f>SUM(0)</f>
        <v>0</v>
      </c>
      <c r="I25" s="4"/>
      <c r="J25" s="12">
        <f>IF(H$12=0,0,H25/H$12)</f>
        <v>0</v>
      </c>
      <c r="K25" s="4"/>
      <c r="L25" s="4">
        <f>+D25-H25</f>
        <v>0</v>
      </c>
      <c r="M25" s="4"/>
      <c r="N25" s="12">
        <f>IF(H25=0,0,L25/H25)</f>
        <v>0</v>
      </c>
      <c r="O25" s="10"/>
      <c r="P25" s="4">
        <f>SUM(0)</f>
        <v>0</v>
      </c>
      <c r="Q25" s="4"/>
      <c r="R25" s="12">
        <f>IF(P$12=0,0,P25/P$12)</f>
        <v>0</v>
      </c>
      <c r="S25" s="4"/>
      <c r="T25" s="4">
        <f>SUM(0)</f>
        <v>0</v>
      </c>
      <c r="U25" s="4"/>
      <c r="V25" s="12">
        <f>IF(T$12=0,0,T25/T$12)</f>
        <v>0</v>
      </c>
      <c r="W25" s="4"/>
      <c r="X25" s="4">
        <f>+P25-T25</f>
        <v>0</v>
      </c>
      <c r="Y25" s="4"/>
      <c r="Z25" s="12">
        <f>IF(T25=0,0,X25/T25)</f>
        <v>0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0">
        <f>+D21-D23+D25</f>
        <v>1049.56</v>
      </c>
      <c r="E27" s="13"/>
      <c r="F27" s="21">
        <f>IF(D$12=0,0,D27/D$12)</f>
        <v>0.45453994266064979</v>
      </c>
      <c r="G27" s="13"/>
      <c r="H27" s="20">
        <f>+H21-H23+H25</f>
        <v>2826.5400000000009</v>
      </c>
      <c r="I27" s="13"/>
      <c r="J27" s="21">
        <f>IF(H$12=0,0,H27/H$12)</f>
        <v>0.2514898773753958</v>
      </c>
      <c r="K27" s="15"/>
      <c r="L27" s="20">
        <f>+D27-H27</f>
        <v>-1776.9800000000009</v>
      </c>
      <c r="M27" s="15"/>
      <c r="N27" s="21">
        <f>IF(H27=0,0,L27/H27)</f>
        <v>-0.62867675674145784</v>
      </c>
      <c r="O27" s="26"/>
      <c r="P27" s="20">
        <f>+P21-P23+P25</f>
        <v>126254.11000000004</v>
      </c>
      <c r="Q27" s="13"/>
      <c r="R27" s="21">
        <f>IF(P$12=0,0,P27/P$12)</f>
        <v>0.26860264898478425</v>
      </c>
      <c r="S27" s="13"/>
      <c r="T27" s="20">
        <f>+T21-T23+T25</f>
        <v>218512.41999999993</v>
      </c>
      <c r="U27" s="13"/>
      <c r="V27" s="21">
        <f>IF(T$12=0,0,T27/T$12)</f>
        <v>0.24244523398568543</v>
      </c>
      <c r="W27" s="15"/>
      <c r="X27" s="20">
        <f>+P27-T27</f>
        <v>-92258.309999999881</v>
      </c>
      <c r="Y27" s="15"/>
      <c r="Z27" s="21">
        <f>IF(T27=0,0,X27/T27)</f>
        <v>-0.42221082902289908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>
        <v>15171.310000000001</v>
      </c>
      <c r="E29" s="4"/>
      <c r="F29" s="12">
        <f>IF(D$12=0,0,D29/D$12)</f>
        <v>6.5703403116419672</v>
      </c>
      <c r="G29" s="4"/>
      <c r="H29" s="4">
        <v>-4877.07</v>
      </c>
      <c r="I29" s="4"/>
      <c r="J29" s="12">
        <f>IF(H$12=0,0,H29/H$12)</f>
        <v>-0.43393468206755292</v>
      </c>
      <c r="K29" s="4"/>
      <c r="L29" s="4">
        <f>+D29-H29</f>
        <v>20048.38</v>
      </c>
      <c r="M29" s="4"/>
      <c r="N29" s="12">
        <f>IF(H29=0,0,L29/H29)</f>
        <v>-4.1107427205268738</v>
      </c>
      <c r="O29" s="10"/>
      <c r="P29" s="4">
        <v>101820.88</v>
      </c>
      <c r="Q29" s="4"/>
      <c r="R29" s="12">
        <f>IF(P$12=0,0,P29/P$12)</f>
        <v>0.21662152693454362</v>
      </c>
      <c r="S29" s="4"/>
      <c r="T29" s="4">
        <v>90725.72</v>
      </c>
      <c r="U29" s="4"/>
      <c r="V29" s="12">
        <f>IF(T$12=0,0,T29/T$12)</f>
        <v>0.10066255462238617</v>
      </c>
      <c r="W29" s="4"/>
      <c r="X29" s="4">
        <f>+P29-T29</f>
        <v>11095.160000000003</v>
      </c>
      <c r="Y29" s="4"/>
      <c r="Z29" s="12">
        <f>IF(T29=0,0,X29/T29)</f>
        <v>0.12229343564316715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0">
        <f>+D27-D29</f>
        <v>-14121.750000000002</v>
      </c>
      <c r="E31" s="13"/>
      <c r="F31" s="33">
        <f>IF(D$12=0,0,D31/D$12)</f>
        <v>-6.1158003689813176</v>
      </c>
      <c r="G31" s="13"/>
      <c r="H31" s="30">
        <f>+H27-H29</f>
        <v>7703.6100000000006</v>
      </c>
      <c r="I31" s="13"/>
      <c r="J31" s="33">
        <f>IF(H$12=0,0,H31/H$12)</f>
        <v>0.68542455944294867</v>
      </c>
      <c r="K31" s="15"/>
      <c r="L31" s="30">
        <f>D31-H31</f>
        <v>-21825.360000000001</v>
      </c>
      <c r="M31" s="15"/>
      <c r="N31" s="33">
        <f>IF(H31=0,0,L31/H31)</f>
        <v>-2.8331340761019832</v>
      </c>
      <c r="O31" s="26"/>
      <c r="P31" s="30">
        <f>+P27-P29</f>
        <v>24433.23000000004</v>
      </c>
      <c r="Q31" s="13"/>
      <c r="R31" s="33">
        <f>IF(P$12=0,0,P31/P$12)</f>
        <v>5.198112205024065E-2</v>
      </c>
      <c r="S31" s="13"/>
      <c r="T31" s="30">
        <f>+T27-T29</f>
        <v>127786.69999999992</v>
      </c>
      <c r="U31" s="13"/>
      <c r="V31" s="33">
        <f>IF(T$12=0,0,T31/T$12)</f>
        <v>0.14178267936329925</v>
      </c>
      <c r="W31" s="15"/>
      <c r="X31" s="30">
        <f>P31-T31</f>
        <v>-103353.46999999988</v>
      </c>
      <c r="Y31" s="15"/>
      <c r="Z31" s="33">
        <f>IF(T31=0,0,X31/T31)</f>
        <v>-0.80879676836478243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x14ac:dyDescent="0.25">
      <c r="A33" s="9"/>
      <c r="B33" s="9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ht="15.75" thickBot="1" x14ac:dyDescent="0.3">
      <c r="A34" s="10"/>
      <c r="B34" s="25" t="s">
        <v>5</v>
      </c>
      <c r="C34" s="25"/>
      <c r="D34" s="34">
        <f>SUM(D31:D33)</f>
        <v>-14121.750000000002</v>
      </c>
      <c r="E34" s="13"/>
      <c r="F34" s="35">
        <f>IF(D$12=0,0,D34/D$12)</f>
        <v>-6.1158003689813176</v>
      </c>
      <c r="G34" s="13"/>
      <c r="H34" s="34">
        <f>SUM(H31:H33)</f>
        <v>7703.6100000000006</v>
      </c>
      <c r="I34" s="13"/>
      <c r="J34" s="35">
        <f>IF(H$12=0,0,H34/H$12)</f>
        <v>0.68542455944294867</v>
      </c>
      <c r="K34" s="15"/>
      <c r="L34" s="34">
        <f>+D34-H34</f>
        <v>-21825.360000000001</v>
      </c>
      <c r="M34" s="15"/>
      <c r="N34" s="35">
        <f>IF(H34=0,0,L34/H34)</f>
        <v>-2.8331340761019832</v>
      </c>
      <c r="O34" s="26"/>
      <c r="P34" s="34">
        <f>SUM(P31:P33)</f>
        <v>24433.23000000004</v>
      </c>
      <c r="Q34" s="13"/>
      <c r="R34" s="35">
        <f>IF(P$12=0,0,P34/P$12)</f>
        <v>5.198112205024065E-2</v>
      </c>
      <c r="S34" s="13"/>
      <c r="T34" s="34">
        <f>SUM(T31:T33)</f>
        <v>127786.69999999992</v>
      </c>
      <c r="U34" s="13"/>
      <c r="V34" s="35">
        <f>IF(T$12=0,0,T34/T$12)</f>
        <v>0.14178267936329925</v>
      </c>
      <c r="W34" s="15"/>
      <c r="X34" s="34">
        <f>+P34-T34</f>
        <v>-103353.46999999988</v>
      </c>
      <c r="Y34" s="15"/>
      <c r="Z34" s="35">
        <f>IF(T34=0,0,X34/T34)</f>
        <v>-0.80879676836478243</v>
      </c>
    </row>
    <row r="35" spans="1:26" ht="15.75" thickTop="1" x14ac:dyDescent="0.25">
      <c r="A35" s="9"/>
      <c r="C35" s="9"/>
      <c r="D35" s="18"/>
      <c r="E35" s="18"/>
      <c r="G35" s="18"/>
      <c r="H35" s="18"/>
      <c r="I35" s="18"/>
      <c r="J35" s="43"/>
      <c r="K35" s="18"/>
      <c r="L35" s="18"/>
      <c r="M35" s="18"/>
      <c r="P35" s="18"/>
      <c r="Q35" s="18"/>
      <c r="R35" s="43"/>
      <c r="S35" s="18"/>
      <c r="T35" s="18"/>
      <c r="U35" s="18"/>
      <c r="V35" s="43"/>
      <c r="W35" s="18"/>
      <c r="X35" s="18"/>
    </row>
    <row r="36" spans="1:26" x14ac:dyDescent="0.25">
      <c r="A36" s="9"/>
      <c r="B36" s="56">
        <v>44151.572596909726</v>
      </c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  <row r="37" spans="1:26" x14ac:dyDescent="0.25">
      <c r="A37" s="9"/>
      <c r="B37" s="62" t="s">
        <v>313</v>
      </c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4"/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</sheetData>
  <pageMargins left="0.25" right="0.25" top="0.75" bottom="0.75" header="0.3" footer="0.3"/>
  <pageSetup scale="55" fitToWidth="2" orientation="landscape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67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",RIGHT(202104,2),", ",2021)</f>
        <v>Period 04,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44135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302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61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50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50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2"/>
      <c r="F10" s="31" t="s">
        <v>14</v>
      </c>
      <c r="G10" s="32"/>
      <c r="H10" s="49" t="s">
        <v>306</v>
      </c>
      <c r="I10" s="32"/>
      <c r="J10" s="31" t="s">
        <v>14</v>
      </c>
      <c r="K10" s="10"/>
      <c r="L10" s="42" t="s">
        <v>11</v>
      </c>
      <c r="M10" s="10"/>
      <c r="N10" s="31" t="s">
        <v>15</v>
      </c>
      <c r="O10" s="10"/>
      <c r="P10" s="59" t="s">
        <v>10</v>
      </c>
      <c r="Q10" s="32"/>
      <c r="R10" s="31" t="s">
        <v>14</v>
      </c>
      <c r="S10" s="32"/>
      <c r="T10" s="49" t="s">
        <v>306</v>
      </c>
      <c r="U10" s="32"/>
      <c r="V10" s="31" t="s">
        <v>14</v>
      </c>
      <c r="W10" s="10"/>
      <c r="X10" s="42" t="s">
        <v>11</v>
      </c>
      <c r="Y10" s="10"/>
      <c r="Z10" s="31" t="s">
        <v>15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115409.98000000003</v>
      </c>
      <c r="E12" s="4"/>
      <c r="F12" s="12"/>
      <c r="G12" s="4"/>
      <c r="H12" s="4">
        <f>SUM(OSRRefH13x_0)</f>
        <v>262812.51999999996</v>
      </c>
      <c r="I12" s="4"/>
      <c r="J12" s="12"/>
      <c r="K12" s="4"/>
      <c r="L12" s="4">
        <f t="shared" ref="L12:L51" si="0">+D12-H12</f>
        <v>-147402.53999999992</v>
      </c>
      <c r="M12" s="4"/>
      <c r="N12" s="12">
        <f t="shared" ref="N12:N51" si="1">IF(H12=0,0,L12/H12)</f>
        <v>-0.56086574566538894</v>
      </c>
      <c r="O12" s="10"/>
      <c r="P12" s="4">
        <f>SUM(OSRRefP13x_0)</f>
        <v>715017.3</v>
      </c>
      <c r="Q12" s="4"/>
      <c r="R12" s="12"/>
      <c r="S12" s="4"/>
      <c r="T12" s="4">
        <f>SUM(OSRRefT13x_0)</f>
        <v>1122395.96</v>
      </c>
      <c r="U12" s="4"/>
      <c r="V12" s="12"/>
      <c r="W12" s="4"/>
      <c r="X12" s="4">
        <f t="shared" ref="X12:X51" si="2">+P12-T12</f>
        <v>-407378.65999999992</v>
      </c>
      <c r="Y12" s="4"/>
      <c r="Z12" s="12">
        <f t="shared" ref="Z12:Z51" si="3">IF(T12=0,0,X12/T12)</f>
        <v>-0.36295449602295426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-10002.87</f>
        <v>-10002.870000000001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-10002.870000000001</v>
      </c>
      <c r="M13" s="2"/>
      <c r="N13" s="19">
        <f t="shared" si="1"/>
        <v>0</v>
      </c>
      <c r="O13" s="11"/>
      <c r="P13" s="2">
        <f>-39984.41</f>
        <v>-39984.410000000003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-39984.410000000003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>--20.8</f>
        <v>20.8</v>
      </c>
      <c r="E14" s="2"/>
      <c r="F14" s="19"/>
      <c r="G14" s="2"/>
      <c r="H14" s="2">
        <f>--16.56</f>
        <v>16.559999999999999</v>
      </c>
      <c r="I14" s="2"/>
      <c r="J14" s="19"/>
      <c r="K14" s="2"/>
      <c r="L14" s="2">
        <f t="shared" si="0"/>
        <v>4.240000000000002</v>
      </c>
      <c r="M14" s="2"/>
      <c r="N14" s="19">
        <f t="shared" si="1"/>
        <v>0.25603864734299531</v>
      </c>
      <c r="O14" s="11"/>
      <c r="P14" s="2">
        <f>--261.32</f>
        <v>261.32</v>
      </c>
      <c r="Q14" s="2"/>
      <c r="R14" s="19"/>
      <c r="S14" s="2"/>
      <c r="T14" s="2">
        <f>--100.28</f>
        <v>100.28</v>
      </c>
      <c r="U14" s="2"/>
      <c r="V14" s="19"/>
      <c r="W14" s="2"/>
      <c r="X14" s="2">
        <f t="shared" si="2"/>
        <v>161.04</v>
      </c>
      <c r="Y14" s="2"/>
      <c r="Z14" s="19">
        <f t="shared" si="3"/>
        <v>1.6059034702832069</v>
      </c>
    </row>
    <row r="15" spans="1:26" s="24" customFormat="1" hidden="1" outlineLevel="1" x14ac:dyDescent="0.25">
      <c r="A15" s="44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>--2328.89</f>
        <v>2328.89</v>
      </c>
      <c r="E15" s="2"/>
      <c r="F15" s="19"/>
      <c r="G15" s="2"/>
      <c r="H15" s="2">
        <f t="shared" ref="H15:H18" si="4">0</f>
        <v>0</v>
      </c>
      <c r="I15" s="2"/>
      <c r="J15" s="19"/>
      <c r="K15" s="2"/>
      <c r="L15" s="2">
        <f t="shared" si="0"/>
        <v>2328.89</v>
      </c>
      <c r="M15" s="2"/>
      <c r="N15" s="19">
        <f t="shared" si="1"/>
        <v>0</v>
      </c>
      <c r="O15" s="11"/>
      <c r="P15" s="2">
        <f>--27013.18</f>
        <v>27013.18</v>
      </c>
      <c r="Q15" s="2"/>
      <c r="R15" s="19"/>
      <c r="S15" s="2"/>
      <c r="T15" s="2">
        <f>--47.91</f>
        <v>47.91</v>
      </c>
      <c r="U15" s="2"/>
      <c r="V15" s="19"/>
      <c r="W15" s="2"/>
      <c r="X15" s="2">
        <f t="shared" si="2"/>
        <v>26965.27</v>
      </c>
      <c r="Y15" s="2"/>
      <c r="Z15" s="19">
        <f t="shared" si="3"/>
        <v>562.8317678981424</v>
      </c>
    </row>
    <row r="16" spans="1:26" s="24" customFormat="1" hidden="1" outlineLevel="1" x14ac:dyDescent="0.25">
      <c r="A16" s="44"/>
      <c r="B16" s="11" t="str">
        <f>CONCATENATE("          ", "4028", " - ", "TAXABLE SALES-ART/TECH")</f>
        <v xml:space="preserve">          4028 - TAXABLE SALES-ART/TECH</v>
      </c>
      <c r="C16" s="11"/>
      <c r="D16" s="2">
        <f>--1769.95</f>
        <v>1769.95</v>
      </c>
      <c r="E16" s="2"/>
      <c r="F16" s="19"/>
      <c r="G16" s="2"/>
      <c r="H16" s="2">
        <f t="shared" si="4"/>
        <v>0</v>
      </c>
      <c r="I16" s="2"/>
      <c r="J16" s="19"/>
      <c r="K16" s="2"/>
      <c r="L16" s="2">
        <f t="shared" si="0"/>
        <v>1769.95</v>
      </c>
      <c r="M16" s="2"/>
      <c r="N16" s="19">
        <f t="shared" si="1"/>
        <v>0</v>
      </c>
      <c r="O16" s="11"/>
      <c r="P16" s="2">
        <f>--1789.8</f>
        <v>1789.8</v>
      </c>
      <c r="Q16" s="2"/>
      <c r="R16" s="19"/>
      <c r="S16" s="2"/>
      <c r="T16" s="2">
        <f t="shared" ref="T16:T18" si="5">0</f>
        <v>0</v>
      </c>
      <c r="U16" s="2"/>
      <c r="V16" s="19"/>
      <c r="W16" s="2"/>
      <c r="X16" s="2">
        <f t="shared" si="2"/>
        <v>1789.8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"4031", " - ", "TAXABLE SALES-FOOD")</f>
        <v xml:space="preserve">          4031 - TAXABLE SALES-FOOD</v>
      </c>
      <c r="C17" s="11"/>
      <c r="D17" s="2">
        <f>--424.62</f>
        <v>424.62</v>
      </c>
      <c r="E17" s="2"/>
      <c r="F17" s="19"/>
      <c r="G17" s="2"/>
      <c r="H17" s="2">
        <f t="shared" si="4"/>
        <v>0</v>
      </c>
      <c r="I17" s="2"/>
      <c r="J17" s="19"/>
      <c r="K17" s="2"/>
      <c r="L17" s="2">
        <f t="shared" si="0"/>
        <v>424.62</v>
      </c>
      <c r="M17" s="2"/>
      <c r="N17" s="19">
        <f t="shared" si="1"/>
        <v>0</v>
      </c>
      <c r="O17" s="11"/>
      <c r="P17" s="2">
        <f>--1293.41</f>
        <v>1293.4100000000001</v>
      </c>
      <c r="Q17" s="2"/>
      <c r="R17" s="19"/>
      <c r="S17" s="2"/>
      <c r="T17" s="2">
        <f t="shared" si="5"/>
        <v>0</v>
      </c>
      <c r="U17" s="2"/>
      <c r="V17" s="19"/>
      <c r="W17" s="2"/>
      <c r="X17" s="2">
        <f t="shared" si="2"/>
        <v>1293.4100000000001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"4034", " - ", "TAXABLE SALES-SODA")</f>
        <v xml:space="preserve">          4034 - TAXABLE SALES-SODA</v>
      </c>
      <c r="C18" s="11"/>
      <c r="D18" s="2">
        <f>0</f>
        <v>0</v>
      </c>
      <c r="E18" s="2"/>
      <c r="F18" s="19"/>
      <c r="G18" s="2"/>
      <c r="H18" s="2">
        <f t="shared" si="4"/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--6.78</f>
        <v>6.78</v>
      </c>
      <c r="Q18" s="2"/>
      <c r="R18" s="19"/>
      <c r="S18" s="2"/>
      <c r="T18" s="2">
        <f t="shared" si="5"/>
        <v>0</v>
      </c>
      <c r="U18" s="2"/>
      <c r="V18" s="19"/>
      <c r="W18" s="2"/>
      <c r="X18" s="2">
        <f t="shared" si="2"/>
        <v>6.78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"4040", " - ", "TAXABLE SALES-LOGO CLOTHING")</f>
        <v xml:space="preserve">          4040 - TAXABLE SALES-LOGO CLOTHING</v>
      </c>
      <c r="C19" s="11"/>
      <c r="D19" s="2">
        <f>--54384.72</f>
        <v>54384.72</v>
      </c>
      <c r="E19" s="2"/>
      <c r="F19" s="19"/>
      <c r="G19" s="2"/>
      <c r="H19" s="2">
        <f>--215340.93</f>
        <v>215340.93</v>
      </c>
      <c r="I19" s="2"/>
      <c r="J19" s="19"/>
      <c r="K19" s="2"/>
      <c r="L19" s="2">
        <f t="shared" si="0"/>
        <v>-160956.21</v>
      </c>
      <c r="M19" s="2"/>
      <c r="N19" s="19">
        <f t="shared" si="1"/>
        <v>-0.74744829048523198</v>
      </c>
      <c r="O19" s="11"/>
      <c r="P19" s="2">
        <f>--382804.91</f>
        <v>382804.91</v>
      </c>
      <c r="Q19" s="2"/>
      <c r="R19" s="19"/>
      <c r="S19" s="2"/>
      <c r="T19" s="2">
        <f>--848240.45</f>
        <v>848240.45</v>
      </c>
      <c r="U19" s="2"/>
      <c r="V19" s="19"/>
      <c r="W19" s="2"/>
      <c r="X19" s="2">
        <f t="shared" si="2"/>
        <v>-465435.54</v>
      </c>
      <c r="Y19" s="2"/>
      <c r="Z19" s="19">
        <f t="shared" si="3"/>
        <v>-0.54870707946078257</v>
      </c>
    </row>
    <row r="20" spans="1:26" s="24" customFormat="1" hidden="1" outlineLevel="1" x14ac:dyDescent="0.25">
      <c r="A20" s="44"/>
      <c r="B20" s="11" t="str">
        <f>CONCATENATE("          ", "4041", " - ", "TAXABLE SALES-LOGO GIFTS")</f>
        <v xml:space="preserve">          4041 - TAXABLE SALES-LOGO GIFTS</v>
      </c>
      <c r="C20" s="11"/>
      <c r="D20" s="2">
        <f>--13906.05</f>
        <v>13906.05</v>
      </c>
      <c r="E20" s="2"/>
      <c r="F20" s="19"/>
      <c r="G20" s="2"/>
      <c r="H20" s="2">
        <f>--25701.24</f>
        <v>25701.24</v>
      </c>
      <c r="I20" s="2"/>
      <c r="J20" s="19"/>
      <c r="K20" s="2"/>
      <c r="L20" s="2">
        <f t="shared" si="0"/>
        <v>-11795.190000000002</v>
      </c>
      <c r="M20" s="2"/>
      <c r="N20" s="19">
        <f t="shared" si="1"/>
        <v>-0.45893466618731243</v>
      </c>
      <c r="O20" s="11"/>
      <c r="P20" s="2">
        <f>--92717.9</f>
        <v>92717.9</v>
      </c>
      <c r="Q20" s="2"/>
      <c r="R20" s="19"/>
      <c r="S20" s="2"/>
      <c r="T20" s="2">
        <f>--132039.65</f>
        <v>132039.65</v>
      </c>
      <c r="U20" s="2"/>
      <c r="V20" s="19"/>
      <c r="W20" s="2"/>
      <c r="X20" s="2">
        <f t="shared" si="2"/>
        <v>-39321.75</v>
      </c>
      <c r="Y20" s="2"/>
      <c r="Z20" s="19">
        <f t="shared" si="3"/>
        <v>-0.29780259187297148</v>
      </c>
    </row>
    <row r="21" spans="1:26" s="24" customFormat="1" hidden="1" outlineLevel="1" x14ac:dyDescent="0.25">
      <c r="A21" s="44"/>
      <c r="B21" s="11" t="str">
        <f>CONCATENATE("          ", "4042", " - ", "TAXABLE SALES-EVERYDAY GIFTS")</f>
        <v xml:space="preserve">          4042 - TAXABLE SALES-EVERYDAY GIFTS</v>
      </c>
      <c r="C21" s="11"/>
      <c r="D21" s="2">
        <f>--4800.32</f>
        <v>4800.32</v>
      </c>
      <c r="E21" s="2"/>
      <c r="F21" s="19"/>
      <c r="G21" s="2"/>
      <c r="H21" s="2">
        <f>--17031.77</f>
        <v>17031.77</v>
      </c>
      <c r="I21" s="2"/>
      <c r="J21" s="19"/>
      <c r="K21" s="2"/>
      <c r="L21" s="2">
        <f t="shared" si="0"/>
        <v>-12231.45</v>
      </c>
      <c r="M21" s="2"/>
      <c r="N21" s="19">
        <f t="shared" si="1"/>
        <v>-0.71815495394782813</v>
      </c>
      <c r="O21" s="11"/>
      <c r="P21" s="2">
        <f>--43296.1</f>
        <v>43296.1</v>
      </c>
      <c r="Q21" s="2"/>
      <c r="R21" s="19"/>
      <c r="S21" s="2"/>
      <c r="T21" s="2">
        <f>--92392.15</f>
        <v>92392.15</v>
      </c>
      <c r="U21" s="2"/>
      <c r="V21" s="19"/>
      <c r="W21" s="2"/>
      <c r="X21" s="2">
        <f t="shared" si="2"/>
        <v>-49096.049999999996</v>
      </c>
      <c r="Y21" s="2"/>
      <c r="Z21" s="19">
        <f t="shared" si="3"/>
        <v>-0.53138767741631732</v>
      </c>
    </row>
    <row r="22" spans="1:26" s="24" customFormat="1" hidden="1" outlineLevel="1" x14ac:dyDescent="0.25">
      <c r="A22" s="44"/>
      <c r="B22" s="11" t="str">
        <f>CONCATENATE("          ", "4043", " - ", "TAXABLE SALES-CARDS")</f>
        <v xml:space="preserve">          4043 - TAXABLE SALES-CARDS</v>
      </c>
      <c r="C22" s="11"/>
      <c r="D22" s="2">
        <f>--30454.88</f>
        <v>30454.880000000001</v>
      </c>
      <c r="E22" s="2"/>
      <c r="F22" s="19"/>
      <c r="G22" s="2"/>
      <c r="H22" s="2">
        <f>--60.49</f>
        <v>60.49</v>
      </c>
      <c r="I22" s="2"/>
      <c r="J22" s="19"/>
      <c r="K22" s="2"/>
      <c r="L22" s="2">
        <f t="shared" si="0"/>
        <v>30394.39</v>
      </c>
      <c r="M22" s="2"/>
      <c r="N22" s="19">
        <f t="shared" si="1"/>
        <v>502.46966440734002</v>
      </c>
      <c r="O22" s="11"/>
      <c r="P22" s="2">
        <f>--40238.06</f>
        <v>40238.06</v>
      </c>
      <c r="Q22" s="2"/>
      <c r="R22" s="19"/>
      <c r="S22" s="2"/>
      <c r="T22" s="2">
        <f>--422.57</f>
        <v>422.57</v>
      </c>
      <c r="U22" s="2"/>
      <c r="V22" s="19"/>
      <c r="W22" s="2"/>
      <c r="X22" s="2">
        <f t="shared" si="2"/>
        <v>39815.49</v>
      </c>
      <c r="Y22" s="2"/>
      <c r="Z22" s="19">
        <f t="shared" si="3"/>
        <v>94.22223536928793</v>
      </c>
    </row>
    <row r="23" spans="1:26" s="24" customFormat="1" hidden="1" outlineLevel="1" x14ac:dyDescent="0.25">
      <c r="A23" s="44"/>
      <c r="B23" s="11" t="str">
        <f>CONCATENATE("          ", "4044", " - ", "TAXABLE SALES-ACCESSORIES")</f>
        <v xml:space="preserve">          4044 - TAXABLE SALES-ACCESSORIES</v>
      </c>
      <c r="C23" s="11"/>
      <c r="D23" s="2">
        <f>--1157.64</f>
        <v>1157.6400000000001</v>
      </c>
      <c r="E23" s="2"/>
      <c r="F23" s="19"/>
      <c r="G23" s="2"/>
      <c r="H23" s="2">
        <f>--4838.74</f>
        <v>4838.74</v>
      </c>
      <c r="I23" s="2"/>
      <c r="J23" s="19"/>
      <c r="K23" s="2"/>
      <c r="L23" s="2">
        <f t="shared" si="0"/>
        <v>-3681.0999999999995</v>
      </c>
      <c r="M23" s="2"/>
      <c r="N23" s="19">
        <f t="shared" si="1"/>
        <v>-0.76075589926303122</v>
      </c>
      <c r="O23" s="11"/>
      <c r="P23" s="2">
        <f>--12489.16</f>
        <v>12489.16</v>
      </c>
      <c r="Q23" s="2"/>
      <c r="R23" s="19"/>
      <c r="S23" s="2"/>
      <c r="T23" s="2">
        <f>--33067.15</f>
        <v>33067.15</v>
      </c>
      <c r="U23" s="2"/>
      <c r="V23" s="19"/>
      <c r="W23" s="2"/>
      <c r="X23" s="2">
        <f t="shared" si="2"/>
        <v>-20577.990000000002</v>
      </c>
      <c r="Y23" s="2"/>
      <c r="Z23" s="19">
        <f t="shared" si="3"/>
        <v>-0.62230914971504958</v>
      </c>
    </row>
    <row r="24" spans="1:26" s="24" customFormat="1" hidden="1" outlineLevel="1" x14ac:dyDescent="0.25">
      <c r="A24" s="44"/>
      <c r="B24" s="11" t="str">
        <f>CONCATENATE("          ", "4045", " - ", "TAXABLE SALES-SPECIAL ORDERS")</f>
        <v xml:space="preserve">          4045 - TAXABLE SALES-SPECIAL ORDERS</v>
      </c>
      <c r="C24" s="11"/>
      <c r="D24" s="2">
        <f>--4950.17</f>
        <v>4950.17</v>
      </c>
      <c r="E24" s="2"/>
      <c r="F24" s="19"/>
      <c r="G24" s="2"/>
      <c r="H24" s="2">
        <f>--4525.99</f>
        <v>4525.99</v>
      </c>
      <c r="I24" s="2"/>
      <c r="J24" s="19"/>
      <c r="K24" s="2"/>
      <c r="L24" s="2">
        <f t="shared" si="0"/>
        <v>424.18000000000029</v>
      </c>
      <c r="M24" s="2"/>
      <c r="N24" s="19">
        <f t="shared" si="1"/>
        <v>9.3720931774042879E-2</v>
      </c>
      <c r="O24" s="11"/>
      <c r="P24" s="2">
        <f>--96956.61</f>
        <v>96956.61</v>
      </c>
      <c r="Q24" s="2"/>
      <c r="R24" s="19"/>
      <c r="S24" s="2"/>
      <c r="T24" s="2">
        <f>--35853.1</f>
        <v>35853.1</v>
      </c>
      <c r="U24" s="2"/>
      <c r="V24" s="19"/>
      <c r="W24" s="2"/>
      <c r="X24" s="2">
        <f t="shared" si="2"/>
        <v>61103.51</v>
      </c>
      <c r="Y24" s="2"/>
      <c r="Z24" s="19">
        <f t="shared" si="3"/>
        <v>1.7042741073993604</v>
      </c>
    </row>
    <row r="25" spans="1:26" s="24" customFormat="1" hidden="1" outlineLevel="1" x14ac:dyDescent="0.25">
      <c r="A25" s="44"/>
      <c r="B25" s="11" t="str">
        <f>CONCATENATE("          ", "4092", " - ", "TAXABLE SALES-GRAD MERCH")</f>
        <v xml:space="preserve">          4092 - TAXABLE SALES-GRAD MERCH</v>
      </c>
      <c r="C25" s="11"/>
      <c r="D25" s="2">
        <f t="shared" ref="D25:D27" si="6">0</f>
        <v>0</v>
      </c>
      <c r="E25" s="2"/>
      <c r="F25" s="19"/>
      <c r="G25" s="2"/>
      <c r="H25" s="2">
        <f>0</f>
        <v>0</v>
      </c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 t="shared" ref="P25:P26" si="7">0</f>
        <v>0</v>
      </c>
      <c r="Q25" s="2"/>
      <c r="R25" s="19"/>
      <c r="S25" s="2"/>
      <c r="T25" s="2">
        <f>-39.95</f>
        <v>-39.950000000000003</v>
      </c>
      <c r="U25" s="2"/>
      <c r="V25" s="19"/>
      <c r="W25" s="2"/>
      <c r="X25" s="2">
        <f t="shared" si="2"/>
        <v>39.950000000000003</v>
      </c>
      <c r="Y25" s="2"/>
      <c r="Z25" s="19">
        <f t="shared" si="3"/>
        <v>-1</v>
      </c>
    </row>
    <row r="26" spans="1:26" s="24" customFormat="1" hidden="1" outlineLevel="1" x14ac:dyDescent="0.25">
      <c r="A26" s="44"/>
      <c r="B26" s="11" t="str">
        <f>CONCATENATE("          ", "4095", " - ", "TAXABLE SALES-CUSTOMER SERVICE")</f>
        <v xml:space="preserve">          4095 - TAXABLE SALES-CUSTOMER SERVICE</v>
      </c>
      <c r="C26" s="11"/>
      <c r="D26" s="2">
        <f t="shared" si="6"/>
        <v>0</v>
      </c>
      <c r="E26" s="2"/>
      <c r="F26" s="19"/>
      <c r="G26" s="2"/>
      <c r="H26" s="2">
        <f>--2.97</f>
        <v>2.97</v>
      </c>
      <c r="I26" s="2"/>
      <c r="J26" s="19"/>
      <c r="K26" s="2"/>
      <c r="L26" s="2">
        <f t="shared" si="0"/>
        <v>-2.97</v>
      </c>
      <c r="M26" s="2"/>
      <c r="N26" s="19">
        <f t="shared" si="1"/>
        <v>-1</v>
      </c>
      <c r="O26" s="11"/>
      <c r="P26" s="2">
        <f t="shared" si="7"/>
        <v>0</v>
      </c>
      <c r="Q26" s="2"/>
      <c r="R26" s="19"/>
      <c r="S26" s="2"/>
      <c r="T26" s="2">
        <f>--26.73</f>
        <v>26.73</v>
      </c>
      <c r="U26" s="2"/>
      <c r="V26" s="19"/>
      <c r="W26" s="2"/>
      <c r="X26" s="2">
        <f t="shared" si="2"/>
        <v>-26.73</v>
      </c>
      <c r="Y26" s="2"/>
      <c r="Z26" s="19">
        <f t="shared" si="3"/>
        <v>-1</v>
      </c>
    </row>
    <row r="27" spans="1:26" s="24" customFormat="1" hidden="1" outlineLevel="1" x14ac:dyDescent="0.25">
      <c r="A27" s="44"/>
      <c r="B27" s="11" t="str">
        <f>CONCATENATE("          ", "4126", " - ", "NON-TAXABLE SALES-WRITING INST")</f>
        <v xml:space="preserve">          4126 - NON-TAXABLE SALES-WRITING INST</v>
      </c>
      <c r="C27" s="11"/>
      <c r="D27" s="2">
        <f t="shared" si="6"/>
        <v>0</v>
      </c>
      <c r="E27" s="2"/>
      <c r="F27" s="19"/>
      <c r="G27" s="2"/>
      <c r="H27" s="2">
        <f t="shared" ref="H27:H32" si="8">0</f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--52.68</f>
        <v>52.68</v>
      </c>
      <c r="Q27" s="2"/>
      <c r="R27" s="19"/>
      <c r="S27" s="2"/>
      <c r="T27" s="2">
        <f t="shared" ref="T27:T32" si="9">0</f>
        <v>0</v>
      </c>
      <c r="U27" s="2"/>
      <c r="V27" s="19"/>
      <c r="W27" s="2"/>
      <c r="X27" s="2">
        <f t="shared" si="2"/>
        <v>52.68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"4127", " - ", "NON-TAXABLE SALES-SCHOOL SUPPL")</f>
        <v xml:space="preserve">          4127 - NON-TAXABLE SALES-SCHOOL SUPPL</v>
      </c>
      <c r="C28" s="11"/>
      <c r="D28" s="2">
        <f>--160.95</f>
        <v>160.94999999999999</v>
      </c>
      <c r="E28" s="2"/>
      <c r="F28" s="19"/>
      <c r="G28" s="2"/>
      <c r="H28" s="2">
        <f t="shared" si="8"/>
        <v>0</v>
      </c>
      <c r="I28" s="2"/>
      <c r="J28" s="19"/>
      <c r="K28" s="2"/>
      <c r="L28" s="2">
        <f t="shared" si="0"/>
        <v>160.94999999999999</v>
      </c>
      <c r="M28" s="2"/>
      <c r="N28" s="19">
        <f t="shared" si="1"/>
        <v>0</v>
      </c>
      <c r="O28" s="11"/>
      <c r="P28" s="2">
        <f>--2831.69</f>
        <v>2831.69</v>
      </c>
      <c r="Q28" s="2"/>
      <c r="R28" s="19"/>
      <c r="S28" s="2"/>
      <c r="T28" s="2">
        <f t="shared" si="9"/>
        <v>0</v>
      </c>
      <c r="U28" s="2"/>
      <c r="V28" s="19"/>
      <c r="W28" s="2"/>
      <c r="X28" s="2">
        <f t="shared" si="2"/>
        <v>2831.69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"4131", " - ", "NON-TAXABLE SALES-FOOD")</f>
        <v xml:space="preserve">          4131 - NON-TAXABLE SALES-FOOD</v>
      </c>
      <c r="C29" s="11"/>
      <c r="D29" s="2">
        <f>--1507.02</f>
        <v>1507.02</v>
      </c>
      <c r="E29" s="2"/>
      <c r="F29" s="19"/>
      <c r="G29" s="2"/>
      <c r="H29" s="2">
        <f t="shared" si="8"/>
        <v>0</v>
      </c>
      <c r="I29" s="2"/>
      <c r="J29" s="19"/>
      <c r="K29" s="2"/>
      <c r="L29" s="2">
        <f t="shared" si="0"/>
        <v>1507.02</v>
      </c>
      <c r="M29" s="2"/>
      <c r="N29" s="19">
        <f t="shared" si="1"/>
        <v>0</v>
      </c>
      <c r="O29" s="11"/>
      <c r="P29" s="2">
        <f>--3678.28</f>
        <v>3678.28</v>
      </c>
      <c r="Q29" s="2"/>
      <c r="R29" s="19"/>
      <c r="S29" s="2"/>
      <c r="T29" s="2">
        <f t="shared" si="9"/>
        <v>0</v>
      </c>
      <c r="U29" s="2"/>
      <c r="V29" s="19"/>
      <c r="W29" s="2"/>
      <c r="X29" s="2">
        <f t="shared" si="2"/>
        <v>3678.28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"4132", " - ", "NON-TAXABLE SALES-JUICE")</f>
        <v xml:space="preserve">          4132 - NON-TAXABLE SALES-JUICE</v>
      </c>
      <c r="C30" s="11"/>
      <c r="D30" s="2">
        <f t="shared" ref="D30:D33" si="10">0</f>
        <v>0</v>
      </c>
      <c r="E30" s="2"/>
      <c r="F30" s="19"/>
      <c r="G30" s="2"/>
      <c r="H30" s="2">
        <f t="shared" si="8"/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--22.49</f>
        <v>22.49</v>
      </c>
      <c r="Q30" s="2"/>
      <c r="R30" s="19"/>
      <c r="S30" s="2"/>
      <c r="T30" s="2">
        <f t="shared" si="9"/>
        <v>0</v>
      </c>
      <c r="U30" s="2"/>
      <c r="V30" s="19"/>
      <c r="W30" s="2"/>
      <c r="X30" s="2">
        <f t="shared" si="2"/>
        <v>22.49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"4133", " - ", "NON-TAXABLE SALES-CANDY")</f>
        <v xml:space="preserve">          4133 - NON-TAXABLE SALES-CANDY</v>
      </c>
      <c r="C31" s="11"/>
      <c r="D31" s="2">
        <f t="shared" si="10"/>
        <v>0</v>
      </c>
      <c r="E31" s="2"/>
      <c r="F31" s="19"/>
      <c r="G31" s="2"/>
      <c r="H31" s="2">
        <f t="shared" si="8"/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--80.71</f>
        <v>80.709999999999994</v>
      </c>
      <c r="Q31" s="2"/>
      <c r="R31" s="19"/>
      <c r="S31" s="2"/>
      <c r="T31" s="2">
        <f t="shared" si="9"/>
        <v>0</v>
      </c>
      <c r="U31" s="2"/>
      <c r="V31" s="19"/>
      <c r="W31" s="2"/>
      <c r="X31" s="2">
        <f t="shared" si="2"/>
        <v>80.709999999999994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"4134", " - ", "NON-TAXABLE SALES-SODA")</f>
        <v xml:space="preserve">          4134 - NON-TAXABLE SALES-SODA</v>
      </c>
      <c r="C32" s="11"/>
      <c r="D32" s="2">
        <f t="shared" si="10"/>
        <v>0</v>
      </c>
      <c r="E32" s="2"/>
      <c r="F32" s="19"/>
      <c r="G32" s="2"/>
      <c r="H32" s="2">
        <f t="shared" si="8"/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--45.53</f>
        <v>45.53</v>
      </c>
      <c r="Q32" s="2"/>
      <c r="R32" s="19"/>
      <c r="S32" s="2"/>
      <c r="T32" s="2">
        <f t="shared" si="9"/>
        <v>0</v>
      </c>
      <c r="U32" s="2"/>
      <c r="V32" s="19"/>
      <c r="W32" s="2"/>
      <c r="X32" s="2">
        <f t="shared" si="2"/>
        <v>45.53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"4137", " - ", "NON-TAXABLE SALES-WATER")</f>
        <v xml:space="preserve">          4137 - NON-TAXABLE SALES-WATER</v>
      </c>
      <c r="C33" s="11"/>
      <c r="D33" s="2">
        <f t="shared" si="10"/>
        <v>0</v>
      </c>
      <c r="E33" s="2"/>
      <c r="F33" s="19"/>
      <c r="G33" s="2"/>
      <c r="H33" s="2">
        <f>--12</f>
        <v>12</v>
      </c>
      <c r="I33" s="2"/>
      <c r="J33" s="19"/>
      <c r="K33" s="2"/>
      <c r="L33" s="2">
        <f t="shared" si="0"/>
        <v>-12</v>
      </c>
      <c r="M33" s="2"/>
      <c r="N33" s="19">
        <f t="shared" si="1"/>
        <v>-1</v>
      </c>
      <c r="O33" s="11"/>
      <c r="P33" s="2">
        <f>--68.25</f>
        <v>68.25</v>
      </c>
      <c r="Q33" s="2"/>
      <c r="R33" s="19"/>
      <c r="S33" s="2"/>
      <c r="T33" s="2">
        <f>--85.5</f>
        <v>85.5</v>
      </c>
      <c r="U33" s="2"/>
      <c r="V33" s="19"/>
      <c r="W33" s="2"/>
      <c r="X33" s="2">
        <f t="shared" si="2"/>
        <v>-17.25</v>
      </c>
      <c r="Y33" s="2"/>
      <c r="Z33" s="19">
        <f t="shared" si="3"/>
        <v>-0.20175438596491227</v>
      </c>
    </row>
    <row r="34" spans="1:26" s="24" customFormat="1" hidden="1" outlineLevel="1" x14ac:dyDescent="0.25">
      <c r="A34" s="44"/>
      <c r="B34" s="11" t="str">
        <f>CONCATENATE("          ", "4140", " - ", "NON-TAXABLE SALES-LOGO CLOTHIN")</f>
        <v xml:space="preserve">          4140 - NON-TAXABLE SALES-LOGO CLOTHIN</v>
      </c>
      <c r="C34" s="11"/>
      <c r="D34" s="2">
        <f>--13163.04</f>
        <v>13163.04</v>
      </c>
      <c r="E34" s="2"/>
      <c r="F34" s="19"/>
      <c r="G34" s="2"/>
      <c r="H34" s="2">
        <f>--4377.82</f>
        <v>4377.82</v>
      </c>
      <c r="I34" s="2"/>
      <c r="J34" s="19"/>
      <c r="K34" s="2"/>
      <c r="L34" s="2">
        <f t="shared" si="0"/>
        <v>8785.2200000000012</v>
      </c>
      <c r="M34" s="2"/>
      <c r="N34" s="19">
        <f t="shared" si="1"/>
        <v>2.0067567876248913</v>
      </c>
      <c r="O34" s="11"/>
      <c r="P34" s="2">
        <f>--30615.48</f>
        <v>30615.48</v>
      </c>
      <c r="Q34" s="2"/>
      <c r="R34" s="19"/>
      <c r="S34" s="2"/>
      <c r="T34" s="2">
        <f>--12635.52</f>
        <v>12635.52</v>
      </c>
      <c r="U34" s="2"/>
      <c r="V34" s="19"/>
      <c r="W34" s="2"/>
      <c r="X34" s="2">
        <f t="shared" si="2"/>
        <v>17979.96</v>
      </c>
      <c r="Y34" s="2"/>
      <c r="Z34" s="19">
        <f t="shared" si="3"/>
        <v>1.4229695335055461</v>
      </c>
    </row>
    <row r="35" spans="1:26" s="24" customFormat="1" hidden="1" outlineLevel="1" x14ac:dyDescent="0.25">
      <c r="A35" s="44"/>
      <c r="B35" s="11" t="str">
        <f>CONCATENATE("          ", "4141", " - ", "NON-TAXABLE SALES-LOGO GIFTS")</f>
        <v xml:space="preserve">          4141 - NON-TAXABLE SALES-LOGO GIFTS</v>
      </c>
      <c r="C35" s="11"/>
      <c r="D35" s="2">
        <f>--383.71</f>
        <v>383.71</v>
      </c>
      <c r="E35" s="2"/>
      <c r="F35" s="19"/>
      <c r="G35" s="2"/>
      <c r="H35" s="2">
        <f>--581.29</f>
        <v>581.29</v>
      </c>
      <c r="I35" s="2"/>
      <c r="J35" s="19"/>
      <c r="K35" s="2"/>
      <c r="L35" s="2">
        <f t="shared" si="0"/>
        <v>-197.57999999999998</v>
      </c>
      <c r="M35" s="2"/>
      <c r="N35" s="19">
        <f t="shared" si="1"/>
        <v>-0.33989918973317962</v>
      </c>
      <c r="O35" s="11"/>
      <c r="P35" s="2">
        <f>--2871.2</f>
        <v>2871.2</v>
      </c>
      <c r="Q35" s="2"/>
      <c r="R35" s="19"/>
      <c r="S35" s="2"/>
      <c r="T35" s="2">
        <f>--1243.18</f>
        <v>1243.18</v>
      </c>
      <c r="U35" s="2"/>
      <c r="V35" s="19"/>
      <c r="W35" s="2"/>
      <c r="X35" s="2">
        <f t="shared" si="2"/>
        <v>1628.0199999999998</v>
      </c>
      <c r="Y35" s="2"/>
      <c r="Z35" s="19">
        <f t="shared" si="3"/>
        <v>1.3095609646229827</v>
      </c>
    </row>
    <row r="36" spans="1:26" s="24" customFormat="1" hidden="1" outlineLevel="1" x14ac:dyDescent="0.25">
      <c r="A36" s="44"/>
      <c r="B36" s="11" t="str">
        <f>CONCATENATE("          ", "4142", " - ", "NON-TAXABLE SALES-EVERYDAY GIF")</f>
        <v xml:space="preserve">          4142 - NON-TAXABLE SALES-EVERYDAY GIF</v>
      </c>
      <c r="C36" s="11"/>
      <c r="D36" s="2">
        <f>--65.68</f>
        <v>65.680000000000007</v>
      </c>
      <c r="E36" s="2"/>
      <c r="F36" s="19"/>
      <c r="G36" s="2"/>
      <c r="H36" s="2">
        <f>--636.31</f>
        <v>636.30999999999995</v>
      </c>
      <c r="I36" s="2"/>
      <c r="J36" s="19"/>
      <c r="K36" s="2"/>
      <c r="L36" s="2">
        <f t="shared" si="0"/>
        <v>-570.62999999999988</v>
      </c>
      <c r="M36" s="2"/>
      <c r="N36" s="19">
        <f t="shared" si="1"/>
        <v>-0.89677987144630755</v>
      </c>
      <c r="O36" s="11"/>
      <c r="P36" s="2">
        <f>--1069.43</f>
        <v>1069.43</v>
      </c>
      <c r="Q36" s="2"/>
      <c r="R36" s="19"/>
      <c r="S36" s="2"/>
      <c r="T36" s="2">
        <f>--1571.31</f>
        <v>1571.31</v>
      </c>
      <c r="U36" s="2"/>
      <c r="V36" s="19"/>
      <c r="W36" s="2"/>
      <c r="X36" s="2">
        <f t="shared" si="2"/>
        <v>-501.87999999999988</v>
      </c>
      <c r="Y36" s="2"/>
      <c r="Z36" s="19">
        <f t="shared" si="3"/>
        <v>-0.31940228217220018</v>
      </c>
    </row>
    <row r="37" spans="1:26" s="24" customFormat="1" hidden="1" outlineLevel="1" x14ac:dyDescent="0.25">
      <c r="A37" s="44"/>
      <c r="B37" s="11" t="str">
        <f>CONCATENATE("          ", "4143", " - ", "NON-TAXABLE SALES-CARDS")</f>
        <v xml:space="preserve">          4143 - NON-TAXABLE SALES-CARDS</v>
      </c>
      <c r="C37" s="11"/>
      <c r="D37" s="2">
        <f>--9.99</f>
        <v>9.99</v>
      </c>
      <c r="E37" s="2"/>
      <c r="F37" s="19"/>
      <c r="G37" s="2"/>
      <c r="H37" s="2">
        <f>0</f>
        <v>0</v>
      </c>
      <c r="I37" s="2"/>
      <c r="J37" s="19"/>
      <c r="K37" s="2"/>
      <c r="L37" s="2">
        <f t="shared" si="0"/>
        <v>9.99</v>
      </c>
      <c r="M37" s="2"/>
      <c r="N37" s="19">
        <f t="shared" si="1"/>
        <v>0</v>
      </c>
      <c r="O37" s="11"/>
      <c r="P37" s="2">
        <f>--29.97</f>
        <v>29.97</v>
      </c>
      <c r="Q37" s="2"/>
      <c r="R37" s="19"/>
      <c r="S37" s="2"/>
      <c r="T37" s="2">
        <f>0</f>
        <v>0</v>
      </c>
      <c r="U37" s="2"/>
      <c r="V37" s="19"/>
      <c r="W37" s="2"/>
      <c r="X37" s="2">
        <f t="shared" si="2"/>
        <v>29.97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"4144", " - ", "NON-TAXABLE SALES-ACCESSORIES")</f>
        <v xml:space="preserve">          4144 - NON-TAXABLE SALES-ACCESSORIES</v>
      </c>
      <c r="C38" s="11"/>
      <c r="D38" s="2">
        <f>--154</f>
        <v>154</v>
      </c>
      <c r="E38" s="2"/>
      <c r="F38" s="19"/>
      <c r="G38" s="2"/>
      <c r="H38" s="2">
        <f>--71.85</f>
        <v>71.849999999999994</v>
      </c>
      <c r="I38" s="2"/>
      <c r="J38" s="19"/>
      <c r="K38" s="2"/>
      <c r="L38" s="2">
        <f t="shared" si="0"/>
        <v>82.15</v>
      </c>
      <c r="M38" s="2"/>
      <c r="N38" s="19">
        <f t="shared" si="1"/>
        <v>1.1433542101600558</v>
      </c>
      <c r="O38" s="11"/>
      <c r="P38" s="2">
        <f>--369.75</f>
        <v>369.75</v>
      </c>
      <c r="Q38" s="2"/>
      <c r="R38" s="19"/>
      <c r="S38" s="2"/>
      <c r="T38" s="2">
        <f>--211.61</f>
        <v>211.61</v>
      </c>
      <c r="U38" s="2"/>
      <c r="V38" s="19"/>
      <c r="W38" s="2"/>
      <c r="X38" s="2">
        <f t="shared" si="2"/>
        <v>158.13999999999999</v>
      </c>
      <c r="Y38" s="2"/>
      <c r="Z38" s="19">
        <f t="shared" si="3"/>
        <v>0.7473181796701478</v>
      </c>
    </row>
    <row r="39" spans="1:26" s="24" customFormat="1" hidden="1" outlineLevel="1" x14ac:dyDescent="0.25">
      <c r="A39" s="44"/>
      <c r="B39" s="11" t="str">
        <f>CONCATENATE("          ", "4145", " - ", "NON-TAXABLE SALES-SPECIAL ORDE")</f>
        <v xml:space="preserve">          4145 - NON-TAXABLE SALES-SPECIAL ORDE</v>
      </c>
      <c r="C39" s="11"/>
      <c r="D39" s="2">
        <f>0</f>
        <v>0</v>
      </c>
      <c r="E39" s="2"/>
      <c r="F39" s="19"/>
      <c r="G39" s="2"/>
      <c r="H39" s="2">
        <f>0</f>
        <v>0</v>
      </c>
      <c r="I39" s="2"/>
      <c r="J39" s="19"/>
      <c r="K39" s="2"/>
      <c r="L39" s="2">
        <f t="shared" si="0"/>
        <v>0</v>
      </c>
      <c r="M39" s="2"/>
      <c r="N39" s="19">
        <f t="shared" si="1"/>
        <v>0</v>
      </c>
      <c r="O39" s="11"/>
      <c r="P39" s="2">
        <f>--35846</f>
        <v>35846</v>
      </c>
      <c r="Q39" s="2"/>
      <c r="R39" s="19"/>
      <c r="S39" s="2"/>
      <c r="T39" s="2">
        <f>--90</f>
        <v>90</v>
      </c>
      <c r="U39" s="2"/>
      <c r="V39" s="19"/>
      <c r="W39" s="2"/>
      <c r="X39" s="2">
        <f t="shared" si="2"/>
        <v>35756</v>
      </c>
      <c r="Y39" s="2"/>
      <c r="Z39" s="19">
        <f t="shared" si="3"/>
        <v>397.28888888888889</v>
      </c>
    </row>
    <row r="40" spans="1:26" s="24" customFormat="1" hidden="1" outlineLevel="1" x14ac:dyDescent="0.25">
      <c r="A40" s="44"/>
      <c r="B40" s="11" t="str">
        <f>CONCATENATE("          ", "4226", " - ", "SALES RETURN TAXABLE-WRITING I")</f>
        <v xml:space="preserve">          4226 - SALES RETURN TAXABLE-WRITING I</v>
      </c>
      <c r="C40" s="11"/>
      <c r="D40" s="2">
        <f>-5.36</f>
        <v>-5.36</v>
      </c>
      <c r="E40" s="2"/>
      <c r="F40" s="19"/>
      <c r="G40" s="2"/>
      <c r="H40" s="2">
        <f>-134.8</f>
        <v>-134.80000000000001</v>
      </c>
      <c r="I40" s="2"/>
      <c r="J40" s="19"/>
      <c r="K40" s="2"/>
      <c r="L40" s="2">
        <f t="shared" si="0"/>
        <v>129.44</v>
      </c>
      <c r="M40" s="2"/>
      <c r="N40" s="19">
        <f t="shared" si="1"/>
        <v>-0.96023738872403552</v>
      </c>
      <c r="O40" s="11"/>
      <c r="P40" s="2">
        <f>-34.23</f>
        <v>-34.229999999999997</v>
      </c>
      <c r="Q40" s="2"/>
      <c r="R40" s="19"/>
      <c r="S40" s="2"/>
      <c r="T40" s="2">
        <f>-134.8</f>
        <v>-134.80000000000001</v>
      </c>
      <c r="U40" s="2"/>
      <c r="V40" s="19"/>
      <c r="W40" s="2"/>
      <c r="X40" s="2">
        <f t="shared" si="2"/>
        <v>100.57000000000002</v>
      </c>
      <c r="Y40" s="2"/>
      <c r="Z40" s="19">
        <f t="shared" si="3"/>
        <v>-0.74606824925816029</v>
      </c>
    </row>
    <row r="41" spans="1:26" s="24" customFormat="1" hidden="1" outlineLevel="1" x14ac:dyDescent="0.25">
      <c r="A41" s="44"/>
      <c r="B41" s="11" t="str">
        <f>CONCATENATE("          ", "4227", " - ", "SALES RETURN TAXABLE-SCHOOL SU")</f>
        <v xml:space="preserve">          4227 - SALES RETURN TAXABLE-SCHOOL SU</v>
      </c>
      <c r="C41" s="11"/>
      <c r="D41" s="2">
        <f>-9.99</f>
        <v>-9.99</v>
      </c>
      <c r="E41" s="2"/>
      <c r="F41" s="19"/>
      <c r="G41" s="2"/>
      <c r="H41" s="2">
        <f>0</f>
        <v>0</v>
      </c>
      <c r="I41" s="2"/>
      <c r="J41" s="19"/>
      <c r="K41" s="2"/>
      <c r="L41" s="2">
        <f t="shared" si="0"/>
        <v>-9.99</v>
      </c>
      <c r="M41" s="2"/>
      <c r="N41" s="19">
        <f t="shared" si="1"/>
        <v>0</v>
      </c>
      <c r="O41" s="11"/>
      <c r="P41" s="2">
        <f>-418.69</f>
        <v>-418.69</v>
      </c>
      <c r="Q41" s="2"/>
      <c r="R41" s="19"/>
      <c r="S41" s="2"/>
      <c r="T41" s="2">
        <f>0</f>
        <v>0</v>
      </c>
      <c r="U41" s="2"/>
      <c r="V41" s="19"/>
      <c r="W41" s="2"/>
      <c r="X41" s="2">
        <f t="shared" si="2"/>
        <v>-418.69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"4240", " - ", "SALES RETURN TAXABLE-LOGO CLOT")</f>
        <v xml:space="preserve">          4240 - SALES RETURN TAXABLE-LOGO CLOT</v>
      </c>
      <c r="C42" s="11"/>
      <c r="D42" s="2">
        <f>-2239.56</f>
        <v>-2239.56</v>
      </c>
      <c r="E42" s="2"/>
      <c r="F42" s="19"/>
      <c r="G42" s="2"/>
      <c r="H42" s="2">
        <f>-9501.82</f>
        <v>-9501.82</v>
      </c>
      <c r="I42" s="2"/>
      <c r="J42" s="19"/>
      <c r="K42" s="2"/>
      <c r="L42" s="2">
        <f t="shared" si="0"/>
        <v>7262.26</v>
      </c>
      <c r="M42" s="2"/>
      <c r="N42" s="19">
        <f t="shared" si="1"/>
        <v>-0.76430199688059763</v>
      </c>
      <c r="O42" s="11"/>
      <c r="P42" s="2">
        <f>-13849.52</f>
        <v>-13849.52</v>
      </c>
      <c r="Q42" s="2"/>
      <c r="R42" s="19"/>
      <c r="S42" s="2"/>
      <c r="T42" s="2">
        <f>-30294.8</f>
        <v>-30294.799999999999</v>
      </c>
      <c r="U42" s="2"/>
      <c r="V42" s="19"/>
      <c r="W42" s="2"/>
      <c r="X42" s="2">
        <f t="shared" si="2"/>
        <v>16445.28</v>
      </c>
      <c r="Y42" s="2"/>
      <c r="Z42" s="19">
        <f t="shared" si="3"/>
        <v>-0.54284167579914699</v>
      </c>
    </row>
    <row r="43" spans="1:26" s="24" customFormat="1" hidden="1" outlineLevel="1" x14ac:dyDescent="0.25">
      <c r="A43" s="44"/>
      <c r="B43" s="11" t="str">
        <f>CONCATENATE("          ", "4241", " - ", "SALES RETURN TAXABLE-LOGO GIFT")</f>
        <v xml:space="preserve">          4241 - SALES RETURN TAXABLE-LOGO GIFT</v>
      </c>
      <c r="C43" s="11"/>
      <c r="D43" s="2">
        <f>-318.5</f>
        <v>-318.5</v>
      </c>
      <c r="E43" s="2"/>
      <c r="F43" s="19"/>
      <c r="G43" s="2"/>
      <c r="H43" s="2">
        <f>-306.07</f>
        <v>-306.07</v>
      </c>
      <c r="I43" s="2"/>
      <c r="J43" s="19"/>
      <c r="K43" s="2"/>
      <c r="L43" s="2">
        <f t="shared" si="0"/>
        <v>-12.430000000000007</v>
      </c>
      <c r="M43" s="2"/>
      <c r="N43" s="19">
        <f t="shared" si="1"/>
        <v>4.0611624791714339E-2</v>
      </c>
      <c r="O43" s="11"/>
      <c r="P43" s="2">
        <f>-1879.86</f>
        <v>-1879.86</v>
      </c>
      <c r="Q43" s="2"/>
      <c r="R43" s="19"/>
      <c r="S43" s="2"/>
      <c r="T43" s="2">
        <f>-2083.2</f>
        <v>-2083.1999999999998</v>
      </c>
      <c r="U43" s="2"/>
      <c r="V43" s="19"/>
      <c r="W43" s="2"/>
      <c r="X43" s="2">
        <f t="shared" si="2"/>
        <v>203.33999999999992</v>
      </c>
      <c r="Y43" s="2"/>
      <c r="Z43" s="19">
        <f t="shared" si="3"/>
        <v>-9.760944700460826E-2</v>
      </c>
    </row>
    <row r="44" spans="1:26" s="24" customFormat="1" hidden="1" outlineLevel="1" x14ac:dyDescent="0.25">
      <c r="A44" s="44"/>
      <c r="B44" s="11" t="str">
        <f>CONCATENATE("          ", "4242", " - ", "SALES RETURN TAXABLE-EVERYDAY")</f>
        <v xml:space="preserve">          4242 - SALES RETURN TAXABLE-EVERYDAY</v>
      </c>
      <c r="C44" s="11"/>
      <c r="D44" s="2">
        <f>-266.95</f>
        <v>-266.95</v>
      </c>
      <c r="E44" s="2"/>
      <c r="F44" s="19"/>
      <c r="G44" s="2"/>
      <c r="H44" s="2">
        <f>-165.1</f>
        <v>-165.1</v>
      </c>
      <c r="I44" s="2"/>
      <c r="J44" s="19"/>
      <c r="K44" s="2"/>
      <c r="L44" s="2">
        <f t="shared" si="0"/>
        <v>-101.85</v>
      </c>
      <c r="M44" s="2"/>
      <c r="N44" s="19">
        <f t="shared" si="1"/>
        <v>0.61689884918231375</v>
      </c>
      <c r="O44" s="11"/>
      <c r="P44" s="2">
        <f>-1321.51</f>
        <v>-1321.51</v>
      </c>
      <c r="Q44" s="2"/>
      <c r="R44" s="19"/>
      <c r="S44" s="2"/>
      <c r="T44" s="2">
        <f>-1143.37</f>
        <v>-1143.3699999999999</v>
      </c>
      <c r="U44" s="2"/>
      <c r="V44" s="19"/>
      <c r="W44" s="2"/>
      <c r="X44" s="2">
        <f t="shared" si="2"/>
        <v>-178.1400000000001</v>
      </c>
      <c r="Y44" s="2"/>
      <c r="Z44" s="19">
        <f t="shared" si="3"/>
        <v>0.1558025835906138</v>
      </c>
    </row>
    <row r="45" spans="1:26" s="24" customFormat="1" hidden="1" outlineLevel="1" x14ac:dyDescent="0.25">
      <c r="A45" s="44"/>
      <c r="B45" s="11" t="str">
        <f>CONCATENATE("          ", "4243", " - ", "SALES RETURN TAXABLE-CARDS")</f>
        <v xml:space="preserve">          4243 - SALES RETURN TAXABLE-CARDS</v>
      </c>
      <c r="C45" s="11"/>
      <c r="D45" s="2">
        <f>-829.55</f>
        <v>-829.55</v>
      </c>
      <c r="E45" s="2"/>
      <c r="F45" s="19"/>
      <c r="G45" s="2"/>
      <c r="H45" s="2">
        <f>0</f>
        <v>0</v>
      </c>
      <c r="I45" s="2"/>
      <c r="J45" s="19"/>
      <c r="K45" s="2"/>
      <c r="L45" s="2">
        <f t="shared" si="0"/>
        <v>-829.55</v>
      </c>
      <c r="M45" s="2"/>
      <c r="N45" s="19">
        <f t="shared" si="1"/>
        <v>0</v>
      </c>
      <c r="O45" s="11"/>
      <c r="P45" s="2">
        <f>-982.92</f>
        <v>-982.92</v>
      </c>
      <c r="Q45" s="2"/>
      <c r="R45" s="19"/>
      <c r="S45" s="2"/>
      <c r="T45" s="2">
        <f>-4.5</f>
        <v>-4.5</v>
      </c>
      <c r="U45" s="2"/>
      <c r="V45" s="19"/>
      <c r="W45" s="2"/>
      <c r="X45" s="2">
        <f t="shared" si="2"/>
        <v>-978.42</v>
      </c>
      <c r="Y45" s="2"/>
      <c r="Z45" s="19">
        <f t="shared" si="3"/>
        <v>217.42666666666665</v>
      </c>
    </row>
    <row r="46" spans="1:26" s="24" customFormat="1" hidden="1" outlineLevel="1" x14ac:dyDescent="0.25">
      <c r="A46" s="44"/>
      <c r="B46" s="11" t="str">
        <f>CONCATENATE("          ", "4244", " - ", "SALES RETURN TAXABLE-ACCESSORI")</f>
        <v xml:space="preserve">          4244 - SALES RETURN TAXABLE-ACCESSORI</v>
      </c>
      <c r="C46" s="11"/>
      <c r="D46" s="2">
        <f>0</f>
        <v>0</v>
      </c>
      <c r="E46" s="2"/>
      <c r="F46" s="19"/>
      <c r="G46" s="2"/>
      <c r="H46" s="2">
        <f>-177.85</f>
        <v>-177.85</v>
      </c>
      <c r="I46" s="2"/>
      <c r="J46" s="19"/>
      <c r="K46" s="2"/>
      <c r="L46" s="2">
        <f t="shared" si="0"/>
        <v>177.85</v>
      </c>
      <c r="M46" s="2"/>
      <c r="N46" s="19">
        <f t="shared" si="1"/>
        <v>-1</v>
      </c>
      <c r="O46" s="11"/>
      <c r="P46" s="2">
        <f>-410.99</f>
        <v>-410.99</v>
      </c>
      <c r="Q46" s="2"/>
      <c r="R46" s="19"/>
      <c r="S46" s="2"/>
      <c r="T46" s="2">
        <f>-1432.36</f>
        <v>-1432.36</v>
      </c>
      <c r="U46" s="2"/>
      <c r="V46" s="19"/>
      <c r="W46" s="2"/>
      <c r="X46" s="2">
        <f t="shared" si="2"/>
        <v>1021.3699999999999</v>
      </c>
      <c r="Y46" s="2"/>
      <c r="Z46" s="19">
        <f t="shared" si="3"/>
        <v>-0.71306794381300787</v>
      </c>
    </row>
    <row r="47" spans="1:26" s="24" customFormat="1" hidden="1" outlineLevel="1" x14ac:dyDescent="0.25">
      <c r="A47" s="44"/>
      <c r="B47" s="11" t="str">
        <f>CONCATENATE("          ", "4245", " - ", "SALES RETURN TAXABLE-SPECIAL O")</f>
        <v xml:space="preserve">          4245 - SALES RETURN TAXABLE-SPECIAL O</v>
      </c>
      <c r="C47" s="11"/>
      <c r="D47" s="2">
        <f>-363.98</f>
        <v>-363.98</v>
      </c>
      <c r="E47" s="2"/>
      <c r="F47" s="19"/>
      <c r="G47" s="2"/>
      <c r="H47" s="2">
        <f t="shared" ref="H47:H49" si="11">0</f>
        <v>0</v>
      </c>
      <c r="I47" s="2"/>
      <c r="J47" s="19"/>
      <c r="K47" s="2"/>
      <c r="L47" s="2">
        <f t="shared" si="0"/>
        <v>-363.98</v>
      </c>
      <c r="M47" s="2"/>
      <c r="N47" s="19">
        <f t="shared" si="1"/>
        <v>0</v>
      </c>
      <c r="O47" s="11"/>
      <c r="P47" s="2">
        <f>-1546.93</f>
        <v>-1546.93</v>
      </c>
      <c r="Q47" s="2"/>
      <c r="R47" s="19"/>
      <c r="S47" s="2"/>
      <c r="T47" s="2">
        <f>-91.96</f>
        <v>-91.96</v>
      </c>
      <c r="U47" s="2"/>
      <c r="V47" s="19"/>
      <c r="W47" s="2"/>
      <c r="X47" s="2">
        <f t="shared" si="2"/>
        <v>-1454.97</v>
      </c>
      <c r="Y47" s="2"/>
      <c r="Z47" s="19">
        <f t="shared" si="3"/>
        <v>15.821770334928232</v>
      </c>
    </row>
    <row r="48" spans="1:26" s="24" customFormat="1" hidden="1" outlineLevel="1" x14ac:dyDescent="0.25">
      <c r="A48" s="44"/>
      <c r="B48" s="11" t="str">
        <f>CONCATENATE("          ", "4295", " - ", "SALES RETURN TAXABLE-CUSTOMER")</f>
        <v xml:space="preserve">          4295 - SALES RETURN TAXABLE-CUSTOMER</v>
      </c>
      <c r="C48" s="11"/>
      <c r="D48" s="2">
        <f>0</f>
        <v>0</v>
      </c>
      <c r="E48" s="2"/>
      <c r="F48" s="19"/>
      <c r="G48" s="2"/>
      <c r="H48" s="2">
        <f t="shared" si="11"/>
        <v>0</v>
      </c>
      <c r="I48" s="2"/>
      <c r="J48" s="19"/>
      <c r="K48" s="2"/>
      <c r="L48" s="2">
        <f t="shared" si="0"/>
        <v>0</v>
      </c>
      <c r="M48" s="2"/>
      <c r="N48" s="19">
        <f t="shared" si="1"/>
        <v>0</v>
      </c>
      <c r="O48" s="11"/>
      <c r="P48" s="2">
        <f>0</f>
        <v>0</v>
      </c>
      <c r="Q48" s="2"/>
      <c r="R48" s="19"/>
      <c r="S48" s="2"/>
      <c r="T48" s="2">
        <f>--0.99</f>
        <v>0.99</v>
      </c>
      <c r="U48" s="2"/>
      <c r="V48" s="19"/>
      <c r="W48" s="2"/>
      <c r="X48" s="2">
        <f t="shared" si="2"/>
        <v>-0.99</v>
      </c>
      <c r="Y48" s="2"/>
      <c r="Z48" s="19">
        <f t="shared" si="3"/>
        <v>-1</v>
      </c>
    </row>
    <row r="49" spans="1:26" s="24" customFormat="1" hidden="1" outlineLevel="1" x14ac:dyDescent="0.25">
      <c r="A49" s="44"/>
      <c r="B49" s="11" t="str">
        <f>CONCATENATE("          ", "4340", " - ", "SALES RETURN NON TAXABLE-LOGO")</f>
        <v xml:space="preserve">          4340 - SALES RETURN NON TAXABLE-LOGO</v>
      </c>
      <c r="C49" s="11"/>
      <c r="D49" s="2">
        <f>-195.69</f>
        <v>-195.69</v>
      </c>
      <c r="E49" s="2"/>
      <c r="F49" s="19"/>
      <c r="G49" s="2"/>
      <c r="H49" s="2">
        <f t="shared" si="11"/>
        <v>0</v>
      </c>
      <c r="I49" s="2"/>
      <c r="J49" s="19"/>
      <c r="K49" s="2"/>
      <c r="L49" s="2">
        <f t="shared" si="0"/>
        <v>-195.69</v>
      </c>
      <c r="M49" s="2"/>
      <c r="N49" s="19">
        <f t="shared" si="1"/>
        <v>0</v>
      </c>
      <c r="O49" s="11"/>
      <c r="P49" s="2">
        <f>-736.73</f>
        <v>-736.73</v>
      </c>
      <c r="Q49" s="2"/>
      <c r="R49" s="19"/>
      <c r="S49" s="2"/>
      <c r="T49" s="2">
        <f>-293.45</f>
        <v>-293.45</v>
      </c>
      <c r="U49" s="2"/>
      <c r="V49" s="19"/>
      <c r="W49" s="2"/>
      <c r="X49" s="2">
        <f t="shared" si="2"/>
        <v>-443.28000000000003</v>
      </c>
      <c r="Y49" s="2"/>
      <c r="Z49" s="19">
        <f t="shared" si="3"/>
        <v>1.5105810189129325</v>
      </c>
    </row>
    <row r="50" spans="1:26" s="24" customFormat="1" hidden="1" outlineLevel="1" x14ac:dyDescent="0.25">
      <c r="A50" s="44"/>
      <c r="B50" s="11" t="str">
        <f>CONCATENATE("          ", "4341", " - ", "SALES RETURN NON TAXABLE-LOGO")</f>
        <v xml:space="preserve">          4341 - SALES RETURN NON TAXABLE-LOGO</v>
      </c>
      <c r="C50" s="11"/>
      <c r="D50" s="2">
        <f t="shared" ref="D50:D51" si="12">0</f>
        <v>0</v>
      </c>
      <c r="E50" s="2"/>
      <c r="F50" s="19"/>
      <c r="G50" s="2"/>
      <c r="H50" s="2">
        <f>-6.95</f>
        <v>-6.95</v>
      </c>
      <c r="I50" s="2"/>
      <c r="J50" s="19"/>
      <c r="K50" s="2"/>
      <c r="L50" s="2">
        <f t="shared" si="0"/>
        <v>6.95</v>
      </c>
      <c r="M50" s="2"/>
      <c r="N50" s="19">
        <f t="shared" si="1"/>
        <v>-1</v>
      </c>
      <c r="O50" s="11"/>
      <c r="P50" s="2">
        <f>-146.9</f>
        <v>-146.9</v>
      </c>
      <c r="Q50" s="2"/>
      <c r="R50" s="19"/>
      <c r="S50" s="2"/>
      <c r="T50" s="2">
        <f>-10.9</f>
        <v>-10.9</v>
      </c>
      <c r="U50" s="2"/>
      <c r="V50" s="19"/>
      <c r="W50" s="2"/>
      <c r="X50" s="2">
        <f t="shared" si="2"/>
        <v>-136</v>
      </c>
      <c r="Y50" s="2"/>
      <c r="Z50" s="19">
        <f t="shared" si="3"/>
        <v>12.477064220183486</v>
      </c>
    </row>
    <row r="51" spans="1:26" s="24" customFormat="1" hidden="1" outlineLevel="1" x14ac:dyDescent="0.25">
      <c r="A51" s="44"/>
      <c r="B51" s="11" t="str">
        <f>CONCATENATE("          ", "4342", " - ", "SALES RETURN NON TAXABLE-EVERY")</f>
        <v xml:space="preserve">          4342 - SALES RETURN NON TAXABLE-EVERY</v>
      </c>
      <c r="C51" s="11"/>
      <c r="D51" s="2">
        <f t="shared" si="12"/>
        <v>0</v>
      </c>
      <c r="E51" s="2"/>
      <c r="F51" s="19"/>
      <c r="G51" s="2"/>
      <c r="H51" s="2">
        <f>-92.85</f>
        <v>-92.85</v>
      </c>
      <c r="I51" s="2"/>
      <c r="J51" s="19"/>
      <c r="K51" s="2"/>
      <c r="L51" s="2">
        <f t="shared" si="0"/>
        <v>92.85</v>
      </c>
      <c r="M51" s="2"/>
      <c r="N51" s="19">
        <f t="shared" si="1"/>
        <v>-1</v>
      </c>
      <c r="O51" s="11"/>
      <c r="P51" s="2">
        <f>-118.7</f>
        <v>-118.7</v>
      </c>
      <c r="Q51" s="2"/>
      <c r="R51" s="19"/>
      <c r="S51" s="2"/>
      <c r="T51" s="2">
        <f>-102.85</f>
        <v>-102.85</v>
      </c>
      <c r="U51" s="2"/>
      <c r="V51" s="19"/>
      <c r="W51" s="2"/>
      <c r="X51" s="2">
        <f t="shared" si="2"/>
        <v>-15.850000000000009</v>
      </c>
      <c r="Y51" s="2"/>
      <c r="Z51" s="19">
        <f t="shared" si="3"/>
        <v>0.15410792416140018</v>
      </c>
    </row>
    <row r="52" spans="1:26" x14ac:dyDescent="0.25">
      <c r="A52" s="9"/>
      <c r="B52" s="10"/>
      <c r="C52" s="9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collapsed="1" x14ac:dyDescent="0.25">
      <c r="A53" s="10"/>
      <c r="B53" s="26" t="s">
        <v>8</v>
      </c>
      <c r="C53" s="10"/>
      <c r="D53" s="4">
        <f>SUM(OSRRefD16x_0)</f>
        <v>60248.999999999985</v>
      </c>
      <c r="E53" s="4"/>
      <c r="F53" s="12">
        <f t="shared" ref="F53:F80" si="13">IF(D$12=0,0,D53/D$12)</f>
        <v>0.52204324097448052</v>
      </c>
      <c r="G53" s="4"/>
      <c r="H53" s="4">
        <f>SUM(OSRRefH16x_0)</f>
        <v>121203.68000000001</v>
      </c>
      <c r="I53" s="4"/>
      <c r="J53" s="12">
        <f t="shared" ref="J53:J80" si="14">IF(H$12=0,0,H53/H$12)</f>
        <v>0.46117924671168642</v>
      </c>
      <c r="K53" s="4"/>
      <c r="L53" s="4">
        <f t="shared" ref="L53:L80" si="15">+D53-H53</f>
        <v>-60954.680000000022</v>
      </c>
      <c r="M53" s="4"/>
      <c r="N53" s="12">
        <f t="shared" ref="N53:N80" si="16">IF(H53=0,0,L53/H53)</f>
        <v>-0.50291113273128352</v>
      </c>
      <c r="O53" s="10"/>
      <c r="P53" s="4">
        <f>SUM(OSRRefP16x_0)</f>
        <v>419529.54000000004</v>
      </c>
      <c r="Q53" s="4"/>
      <c r="R53" s="12">
        <f t="shared" ref="R53:R80" si="17">IF(P$12=0,0,P53/P$12)</f>
        <v>0.58674040474265454</v>
      </c>
      <c r="S53" s="4"/>
      <c r="T53" s="4">
        <f>SUM(OSRRefT16x_0)</f>
        <v>511221.28999999992</v>
      </c>
      <c r="U53" s="4"/>
      <c r="V53" s="12">
        <f t="shared" ref="V53:V80" si="18">IF(T$12=0,0,T53/T$12)</f>
        <v>0.45547320929416024</v>
      </c>
      <c r="W53" s="4"/>
      <c r="X53" s="4">
        <f t="shared" ref="X53:X80" si="19">+P53-T53</f>
        <v>-91691.749999999884</v>
      </c>
      <c r="Y53" s="4"/>
      <c r="Z53" s="12">
        <f t="shared" ref="Z53:Z80" si="20">IF(T53=0,0,X53/T53)</f>
        <v>-0.17935823838635495</v>
      </c>
    </row>
    <row r="54" spans="1:26" s="24" customFormat="1" hidden="1" outlineLevel="1" x14ac:dyDescent="0.25">
      <c r="A54" s="44"/>
      <c r="B54" s="11" t="str">
        <f>CONCATENATE("          ", "5025", " - ", "PURCHASES @ COST-TEST FORMS")</f>
        <v xml:space="preserve">          5025 - PURCHASES @ COST-TEST FORMS</v>
      </c>
      <c r="C54" s="11"/>
      <c r="D54" s="2">
        <v>599.29</v>
      </c>
      <c r="E54" s="2"/>
      <c r="F54" s="19">
        <f t="shared" si="13"/>
        <v>5.1927051715978103E-3</v>
      </c>
      <c r="G54" s="2"/>
      <c r="H54" s="2"/>
      <c r="I54" s="2"/>
      <c r="J54" s="19">
        <f t="shared" si="14"/>
        <v>0</v>
      </c>
      <c r="K54" s="2"/>
      <c r="L54" s="2">
        <f t="shared" si="15"/>
        <v>599.29</v>
      </c>
      <c r="M54" s="2"/>
      <c r="N54" s="19">
        <f t="shared" si="16"/>
        <v>0</v>
      </c>
      <c r="O54" s="11"/>
      <c r="P54" s="2">
        <v>599.29</v>
      </c>
      <c r="Q54" s="2"/>
      <c r="R54" s="19">
        <f t="shared" si="17"/>
        <v>8.3814755251376426E-4</v>
      </c>
      <c r="S54" s="2"/>
      <c r="T54" s="2"/>
      <c r="U54" s="2"/>
      <c r="V54" s="19">
        <f t="shared" si="18"/>
        <v>0</v>
      </c>
      <c r="W54" s="2"/>
      <c r="X54" s="2">
        <f t="shared" si="19"/>
        <v>599.29</v>
      </c>
      <c r="Y54" s="2"/>
      <c r="Z54" s="19">
        <f t="shared" si="20"/>
        <v>0</v>
      </c>
    </row>
    <row r="55" spans="1:26" s="24" customFormat="1" hidden="1" outlineLevel="1" x14ac:dyDescent="0.25">
      <c r="A55" s="44"/>
      <c r="B55" s="11" t="str">
        <f>CONCATENATE("          ", "5026", " - ", "PURCHASES @ COST-WRITING INSTR")</f>
        <v xml:space="preserve">          5026 - PURCHASES @ COST-WRITING INSTR</v>
      </c>
      <c r="C55" s="11"/>
      <c r="D55" s="2">
        <v>10</v>
      </c>
      <c r="E55" s="2"/>
      <c r="F55" s="19">
        <f t="shared" si="13"/>
        <v>8.6647619209361248E-5</v>
      </c>
      <c r="G55" s="2"/>
      <c r="H55" s="2">
        <v>28.56</v>
      </c>
      <c r="I55" s="2"/>
      <c r="J55" s="19">
        <f t="shared" si="14"/>
        <v>1.0867062193231892E-4</v>
      </c>
      <c r="K55" s="2"/>
      <c r="L55" s="2">
        <f t="shared" si="15"/>
        <v>-18.559999999999999</v>
      </c>
      <c r="M55" s="2"/>
      <c r="N55" s="19">
        <f t="shared" si="16"/>
        <v>-0.64985994397759106</v>
      </c>
      <c r="O55" s="11"/>
      <c r="P55" s="2">
        <v>10</v>
      </c>
      <c r="Q55" s="2"/>
      <c r="R55" s="19">
        <f t="shared" si="17"/>
        <v>1.3985675591345831E-5</v>
      </c>
      <c r="S55" s="2"/>
      <c r="T55" s="2">
        <v>-36.369999999999997</v>
      </c>
      <c r="U55" s="2"/>
      <c r="V55" s="19">
        <f t="shared" si="18"/>
        <v>-3.2403894254929426E-5</v>
      </c>
      <c r="W55" s="2"/>
      <c r="X55" s="2">
        <f t="shared" si="19"/>
        <v>46.37</v>
      </c>
      <c r="Y55" s="2"/>
      <c r="Z55" s="19">
        <f t="shared" si="20"/>
        <v>-1.2749518834204014</v>
      </c>
    </row>
    <row r="56" spans="1:26" s="24" customFormat="1" hidden="1" outlineLevel="1" x14ac:dyDescent="0.25">
      <c r="A56" s="44"/>
      <c r="B56" s="11" t="str">
        <f>CONCATENATE("          ", "5027", " - ", "PURCHASES @ COST-SCHOOL SUPPLI")</f>
        <v xml:space="preserve">          5027 - PURCHASES @ COST-SCHOOL SUPPLI</v>
      </c>
      <c r="C56" s="11"/>
      <c r="D56" s="2">
        <v>9672.48</v>
      </c>
      <c r="E56" s="2"/>
      <c r="F56" s="19">
        <f t="shared" si="13"/>
        <v>8.3809736385016251E-2</v>
      </c>
      <c r="G56" s="2"/>
      <c r="H56" s="2">
        <v>18.54</v>
      </c>
      <c r="I56" s="2"/>
      <c r="J56" s="19">
        <f t="shared" si="14"/>
        <v>7.0544584405644002E-5</v>
      </c>
      <c r="K56" s="2"/>
      <c r="L56" s="2">
        <f t="shared" si="15"/>
        <v>9653.9399999999987</v>
      </c>
      <c r="M56" s="2"/>
      <c r="N56" s="19">
        <f t="shared" si="16"/>
        <v>520.70873786407765</v>
      </c>
      <c r="O56" s="11"/>
      <c r="P56" s="2">
        <v>18175.88</v>
      </c>
      <c r="Q56" s="2"/>
      <c r="R56" s="19">
        <f t="shared" si="17"/>
        <v>2.5420196126723086E-2</v>
      </c>
      <c r="S56" s="2"/>
      <c r="T56" s="2">
        <v>47</v>
      </c>
      <c r="U56" s="2"/>
      <c r="V56" s="19">
        <f t="shared" si="18"/>
        <v>4.1874705251077351E-5</v>
      </c>
      <c r="W56" s="2"/>
      <c r="X56" s="2">
        <f t="shared" si="19"/>
        <v>18128.88</v>
      </c>
      <c r="Y56" s="2"/>
      <c r="Z56" s="19">
        <f t="shared" si="20"/>
        <v>385.7208510638298</v>
      </c>
    </row>
    <row r="57" spans="1:26" s="24" customFormat="1" hidden="1" outlineLevel="1" x14ac:dyDescent="0.25">
      <c r="A57" s="44"/>
      <c r="B57" s="11" t="str">
        <f>CONCATENATE("          ", "5028", " - ", "PURCHASES @ COST-ART/TECH")</f>
        <v xml:space="preserve">          5028 - PURCHASES @ COST-ART/TECH</v>
      </c>
      <c r="C57" s="11"/>
      <c r="D57" s="2"/>
      <c r="E57" s="2"/>
      <c r="F57" s="19">
        <f t="shared" si="13"/>
        <v>0</v>
      </c>
      <c r="G57" s="2"/>
      <c r="H57" s="2"/>
      <c r="I57" s="2"/>
      <c r="J57" s="19">
        <f t="shared" si="14"/>
        <v>0</v>
      </c>
      <c r="K57" s="2"/>
      <c r="L57" s="2">
        <f t="shared" si="15"/>
        <v>0</v>
      </c>
      <c r="M57" s="2"/>
      <c r="N57" s="19">
        <f t="shared" si="16"/>
        <v>0</v>
      </c>
      <c r="O57" s="11"/>
      <c r="P57" s="2">
        <v>-83.4</v>
      </c>
      <c r="Q57" s="2"/>
      <c r="R57" s="19">
        <f t="shared" si="17"/>
        <v>-1.1664053443182424E-4</v>
      </c>
      <c r="S57" s="2"/>
      <c r="T57" s="2"/>
      <c r="U57" s="2"/>
      <c r="V57" s="19">
        <f t="shared" si="18"/>
        <v>0</v>
      </c>
      <c r="W57" s="2"/>
      <c r="X57" s="2">
        <f t="shared" si="19"/>
        <v>-83.4</v>
      </c>
      <c r="Y57" s="2"/>
      <c r="Z57" s="19">
        <f t="shared" si="20"/>
        <v>0</v>
      </c>
    </row>
    <row r="58" spans="1:26" s="24" customFormat="1" hidden="1" outlineLevel="1" x14ac:dyDescent="0.25">
      <c r="A58" s="44"/>
      <c r="B58" s="11" t="str">
        <f>CONCATENATE("          ", "5031", " - ", "PURCHASES @ COST-FOOD")</f>
        <v xml:space="preserve">          5031 - PURCHASES @ COST-FOOD</v>
      </c>
      <c r="C58" s="11"/>
      <c r="D58" s="2">
        <v>4421.92</v>
      </c>
      <c r="E58" s="2"/>
      <c r="F58" s="19">
        <f t="shared" si="13"/>
        <v>3.8314884033425874E-2</v>
      </c>
      <c r="G58" s="2"/>
      <c r="H58" s="2"/>
      <c r="I58" s="2"/>
      <c r="J58" s="19">
        <f t="shared" si="14"/>
        <v>0</v>
      </c>
      <c r="K58" s="2"/>
      <c r="L58" s="2">
        <f t="shared" si="15"/>
        <v>4421.92</v>
      </c>
      <c r="M58" s="2"/>
      <c r="N58" s="19">
        <f t="shared" si="16"/>
        <v>0</v>
      </c>
      <c r="O58" s="11"/>
      <c r="P58" s="2">
        <v>5605.43</v>
      </c>
      <c r="Q58" s="2"/>
      <c r="R58" s="19">
        <f t="shared" si="17"/>
        <v>7.839572552999767E-3</v>
      </c>
      <c r="S58" s="2"/>
      <c r="T58" s="2"/>
      <c r="U58" s="2"/>
      <c r="V58" s="19">
        <f t="shared" si="18"/>
        <v>0</v>
      </c>
      <c r="W58" s="2"/>
      <c r="X58" s="2">
        <f t="shared" si="19"/>
        <v>5605.43</v>
      </c>
      <c r="Y58" s="2"/>
      <c r="Z58" s="19">
        <f t="shared" si="20"/>
        <v>0</v>
      </c>
    </row>
    <row r="59" spans="1:26" s="24" customFormat="1" hidden="1" outlineLevel="1" x14ac:dyDescent="0.25">
      <c r="A59" s="44"/>
      <c r="B59" s="11" t="str">
        <f>CONCATENATE("          ", "5037", " - ", "PURCHASES @ COST-WATER")</f>
        <v xml:space="preserve">          5037 - PURCHASES @ COST-WATER</v>
      </c>
      <c r="C59" s="11"/>
      <c r="D59" s="2"/>
      <c r="E59" s="2"/>
      <c r="F59" s="19">
        <f t="shared" si="13"/>
        <v>0</v>
      </c>
      <c r="G59" s="2"/>
      <c r="H59" s="2"/>
      <c r="I59" s="2"/>
      <c r="J59" s="19">
        <f t="shared" si="14"/>
        <v>0</v>
      </c>
      <c r="K59" s="2"/>
      <c r="L59" s="2">
        <f t="shared" si="15"/>
        <v>0</v>
      </c>
      <c r="M59" s="2"/>
      <c r="N59" s="19">
        <f t="shared" si="16"/>
        <v>0</v>
      </c>
      <c r="O59" s="11"/>
      <c r="P59" s="2"/>
      <c r="Q59" s="2"/>
      <c r="R59" s="19">
        <f t="shared" si="17"/>
        <v>0</v>
      </c>
      <c r="S59" s="2"/>
      <c r="T59" s="2">
        <v>29.76</v>
      </c>
      <c r="U59" s="2"/>
      <c r="V59" s="19">
        <f t="shared" si="18"/>
        <v>2.6514706984511956E-5</v>
      </c>
      <c r="W59" s="2"/>
      <c r="X59" s="2">
        <f t="shared" si="19"/>
        <v>-29.76</v>
      </c>
      <c r="Y59" s="2"/>
      <c r="Z59" s="19">
        <f t="shared" si="20"/>
        <v>-1</v>
      </c>
    </row>
    <row r="60" spans="1:26" s="24" customFormat="1" hidden="1" outlineLevel="1" x14ac:dyDescent="0.25">
      <c r="A60" s="44"/>
      <c r="B60" s="11" t="str">
        <f>CONCATENATE("          ", "5040", " - ", "PURCHASES @ COST-LOGO CLOTHING")</f>
        <v xml:space="preserve">          5040 - PURCHASES @ COST-LOGO CLOTHING</v>
      </c>
      <c r="C60" s="11"/>
      <c r="D60" s="2">
        <v>25420.9</v>
      </c>
      <c r="E60" s="2"/>
      <c r="F60" s="19">
        <f t="shared" si="13"/>
        <v>0.22026604631592517</v>
      </c>
      <c r="G60" s="2"/>
      <c r="H60" s="2">
        <v>176749.05</v>
      </c>
      <c r="I60" s="2"/>
      <c r="J60" s="19">
        <f t="shared" si="14"/>
        <v>0.67252903324392621</v>
      </c>
      <c r="K60" s="2"/>
      <c r="L60" s="2">
        <f t="shared" si="15"/>
        <v>-151328.15</v>
      </c>
      <c r="M60" s="2"/>
      <c r="N60" s="19">
        <f t="shared" si="16"/>
        <v>-0.85617518170536133</v>
      </c>
      <c r="O60" s="11"/>
      <c r="P60" s="2">
        <v>39170.950000000004</v>
      </c>
      <c r="Q60" s="2"/>
      <c r="R60" s="19">
        <f t="shared" si="17"/>
        <v>5.4783219930482803E-2</v>
      </c>
      <c r="S60" s="2"/>
      <c r="T60" s="2">
        <v>512600.91000000003</v>
      </c>
      <c r="U60" s="2"/>
      <c r="V60" s="19">
        <f t="shared" si="18"/>
        <v>0.45670238335497931</v>
      </c>
      <c r="W60" s="2"/>
      <c r="X60" s="2">
        <f t="shared" si="19"/>
        <v>-473429.96</v>
      </c>
      <c r="Y60" s="2"/>
      <c r="Z60" s="19">
        <f t="shared" si="20"/>
        <v>-0.92358392418772728</v>
      </c>
    </row>
    <row r="61" spans="1:26" s="24" customFormat="1" hidden="1" outlineLevel="1" x14ac:dyDescent="0.25">
      <c r="A61" s="44"/>
      <c r="B61" s="11" t="str">
        <f>CONCATENATE("          ", "5041", " - ", "PURCHASES @ COST-LOGO GIFTS")</f>
        <v xml:space="preserve">          5041 - PURCHASES @ COST-LOGO GIFTS</v>
      </c>
      <c r="C61" s="11"/>
      <c r="D61" s="2">
        <v>15289.8</v>
      </c>
      <c r="E61" s="2"/>
      <c r="F61" s="19">
        <f t="shared" si="13"/>
        <v>0.13248247681872916</v>
      </c>
      <c r="G61" s="2"/>
      <c r="H61" s="2">
        <v>27759.98</v>
      </c>
      <c r="I61" s="2"/>
      <c r="J61" s="19">
        <f t="shared" si="14"/>
        <v>0.10562655082033384</v>
      </c>
      <c r="K61" s="2"/>
      <c r="L61" s="2">
        <f t="shared" si="15"/>
        <v>-12470.18</v>
      </c>
      <c r="M61" s="2"/>
      <c r="N61" s="19">
        <f t="shared" si="16"/>
        <v>-0.44921430058667189</v>
      </c>
      <c r="O61" s="11"/>
      <c r="P61" s="2">
        <v>17287.34</v>
      </c>
      <c r="Q61" s="2"/>
      <c r="R61" s="19">
        <f t="shared" si="17"/>
        <v>2.4177512907729643E-2</v>
      </c>
      <c r="S61" s="2"/>
      <c r="T61" s="2">
        <v>70456.460000000006</v>
      </c>
      <c r="U61" s="2"/>
      <c r="V61" s="19">
        <f t="shared" si="18"/>
        <v>6.277326586243237E-2</v>
      </c>
      <c r="W61" s="2"/>
      <c r="X61" s="2">
        <f t="shared" si="19"/>
        <v>-53169.12000000001</v>
      </c>
      <c r="Y61" s="2"/>
      <c r="Z61" s="19">
        <f t="shared" si="20"/>
        <v>-0.75463797074107908</v>
      </c>
    </row>
    <row r="62" spans="1:26" s="24" customFormat="1" hidden="1" outlineLevel="1" x14ac:dyDescent="0.25">
      <c r="A62" s="44"/>
      <c r="B62" s="11" t="str">
        <f>CONCATENATE("          ", "5042", " - ", "PURCHASES @ COST-EVERYDAY GIFT")</f>
        <v xml:space="preserve">          5042 - PURCHASES @ COST-EVERYDAY GIFT</v>
      </c>
      <c r="C62" s="11"/>
      <c r="D62" s="2">
        <v>9421.5300000000007</v>
      </c>
      <c r="E62" s="2"/>
      <c r="F62" s="19">
        <f t="shared" si="13"/>
        <v>8.1635314380957336E-2</v>
      </c>
      <c r="G62" s="2"/>
      <c r="H62" s="2">
        <v>13956.79</v>
      </c>
      <c r="I62" s="2"/>
      <c r="J62" s="19">
        <f t="shared" si="14"/>
        <v>5.3105498931329459E-2</v>
      </c>
      <c r="K62" s="2"/>
      <c r="L62" s="2">
        <f t="shared" si="15"/>
        <v>-4535.26</v>
      </c>
      <c r="M62" s="2"/>
      <c r="N62" s="19">
        <f t="shared" si="16"/>
        <v>-0.32495007806236248</v>
      </c>
      <c r="O62" s="11"/>
      <c r="P62" s="2">
        <v>10912.68</v>
      </c>
      <c r="Q62" s="2"/>
      <c r="R62" s="19">
        <f t="shared" si="17"/>
        <v>1.5262120231216782E-2</v>
      </c>
      <c r="S62" s="2"/>
      <c r="T62" s="2">
        <v>49248.47</v>
      </c>
      <c r="U62" s="2"/>
      <c r="V62" s="19">
        <f t="shared" si="18"/>
        <v>4.3877982240777137E-2</v>
      </c>
      <c r="W62" s="2"/>
      <c r="X62" s="2">
        <f t="shared" si="19"/>
        <v>-38335.79</v>
      </c>
      <c r="Y62" s="2"/>
      <c r="Z62" s="19">
        <f t="shared" si="20"/>
        <v>-0.77841585738602637</v>
      </c>
    </row>
    <row r="63" spans="1:26" s="24" customFormat="1" hidden="1" outlineLevel="1" x14ac:dyDescent="0.25">
      <c r="A63" s="44"/>
      <c r="B63" s="11" t="str">
        <f>CONCATENATE("          ", "5043", " - ", "PURCHASES @ COST-CARDS")</f>
        <v xml:space="preserve">          5043 - PURCHASES @ COST-CARDS</v>
      </c>
      <c r="C63" s="11"/>
      <c r="D63" s="2">
        <v>2526.75</v>
      </c>
      <c r="E63" s="2"/>
      <c r="F63" s="19">
        <f t="shared" si="13"/>
        <v>2.1893687183725353E-2</v>
      </c>
      <c r="G63" s="2"/>
      <c r="H63" s="2">
        <v>331.09</v>
      </c>
      <c r="I63" s="2"/>
      <c r="J63" s="19">
        <f t="shared" si="14"/>
        <v>1.2597953856992811E-3</v>
      </c>
      <c r="K63" s="2"/>
      <c r="L63" s="2">
        <f t="shared" si="15"/>
        <v>2195.66</v>
      </c>
      <c r="M63" s="2"/>
      <c r="N63" s="19">
        <f t="shared" si="16"/>
        <v>6.631610740282099</v>
      </c>
      <c r="O63" s="11"/>
      <c r="P63" s="2">
        <v>5643</v>
      </c>
      <c r="Q63" s="2"/>
      <c r="R63" s="19">
        <f t="shared" si="17"/>
        <v>7.8921167361964521E-3</v>
      </c>
      <c r="S63" s="2"/>
      <c r="T63" s="2">
        <v>1340.08</v>
      </c>
      <c r="U63" s="2"/>
      <c r="V63" s="19">
        <f t="shared" si="18"/>
        <v>1.1939458513375262E-3</v>
      </c>
      <c r="W63" s="2"/>
      <c r="X63" s="2">
        <f t="shared" si="19"/>
        <v>4302.92</v>
      </c>
      <c r="Y63" s="2"/>
      <c r="Z63" s="19">
        <f t="shared" si="20"/>
        <v>3.2109426302907291</v>
      </c>
    </row>
    <row r="64" spans="1:26" s="24" customFormat="1" hidden="1" outlineLevel="1" x14ac:dyDescent="0.25">
      <c r="A64" s="44"/>
      <c r="B64" s="11" t="str">
        <f>CONCATENATE("          ", "5044", " - ", "PURCHASES @ COST-ACCESSORIES")</f>
        <v xml:space="preserve">          5044 - PURCHASES @ COST-ACCESSORIES</v>
      </c>
      <c r="C64" s="11"/>
      <c r="D64" s="2"/>
      <c r="E64" s="2"/>
      <c r="F64" s="19">
        <f t="shared" si="13"/>
        <v>0</v>
      </c>
      <c r="G64" s="2"/>
      <c r="H64" s="2">
        <v>3747.48</v>
      </c>
      <c r="I64" s="2"/>
      <c r="J64" s="19">
        <f t="shared" si="14"/>
        <v>1.4259138034976419E-2</v>
      </c>
      <c r="K64" s="2"/>
      <c r="L64" s="2">
        <f t="shared" si="15"/>
        <v>-3747.48</v>
      </c>
      <c r="M64" s="2"/>
      <c r="N64" s="19">
        <f t="shared" si="16"/>
        <v>-1</v>
      </c>
      <c r="O64" s="11"/>
      <c r="P64" s="2"/>
      <c r="Q64" s="2"/>
      <c r="R64" s="19">
        <f t="shared" si="17"/>
        <v>0</v>
      </c>
      <c r="S64" s="2"/>
      <c r="T64" s="2">
        <v>24151.129999999997</v>
      </c>
      <c r="U64" s="2"/>
      <c r="V64" s="19">
        <f t="shared" si="18"/>
        <v>2.1517477664477692E-2</v>
      </c>
      <c r="W64" s="2"/>
      <c r="X64" s="2">
        <f t="shared" si="19"/>
        <v>-24151.129999999997</v>
      </c>
      <c r="Y64" s="2"/>
      <c r="Z64" s="19">
        <f t="shared" si="20"/>
        <v>-1</v>
      </c>
    </row>
    <row r="65" spans="1:26" s="24" customFormat="1" hidden="1" outlineLevel="1" x14ac:dyDescent="0.25">
      <c r="A65" s="44"/>
      <c r="B65" s="11" t="str">
        <f>CONCATENATE("          ", "5045", " - ", "PURCHASES @ COST-SPECIAL ORDER")</f>
        <v xml:space="preserve">          5045 - PURCHASES @ COST-SPECIAL ORDER</v>
      </c>
      <c r="C65" s="11"/>
      <c r="D65" s="2">
        <v>10080.23</v>
      </c>
      <c r="E65" s="2"/>
      <c r="F65" s="19">
        <f t="shared" si="13"/>
        <v>8.7342793058277954E-2</v>
      </c>
      <c r="G65" s="2"/>
      <c r="H65" s="2">
        <v>3599.17</v>
      </c>
      <c r="I65" s="2"/>
      <c r="J65" s="19">
        <f t="shared" si="14"/>
        <v>1.3694819409668917E-2</v>
      </c>
      <c r="K65" s="2"/>
      <c r="L65" s="2">
        <f t="shared" si="15"/>
        <v>6481.0599999999995</v>
      </c>
      <c r="M65" s="2"/>
      <c r="N65" s="19">
        <f t="shared" si="16"/>
        <v>1.8007096080485221</v>
      </c>
      <c r="O65" s="11"/>
      <c r="P65" s="2">
        <v>71254.52</v>
      </c>
      <c r="Q65" s="2"/>
      <c r="R65" s="19">
        <f t="shared" si="17"/>
        <v>9.9654260113706344E-2</v>
      </c>
      <c r="S65" s="2"/>
      <c r="T65" s="2">
        <v>28063.200000000001</v>
      </c>
      <c r="U65" s="2"/>
      <c r="V65" s="19">
        <f t="shared" si="18"/>
        <v>2.5002941029830507E-2</v>
      </c>
      <c r="W65" s="2"/>
      <c r="X65" s="2">
        <f t="shared" si="19"/>
        <v>43191.320000000007</v>
      </c>
      <c r="Y65" s="2"/>
      <c r="Z65" s="19">
        <f t="shared" si="20"/>
        <v>1.539073234698823</v>
      </c>
    </row>
    <row r="66" spans="1:26" s="24" customFormat="1" hidden="1" outlineLevel="1" x14ac:dyDescent="0.25">
      <c r="A66" s="44"/>
      <c r="B66" s="11" t="str">
        <f>CONCATENATE("          ", "5083", " - ", "PURCHASES @ COST-COMPUTER EQUI")</f>
        <v xml:space="preserve">          5083 - PURCHASES @ COST-COMPUTER EQUI</v>
      </c>
      <c r="C66" s="11"/>
      <c r="D66" s="2"/>
      <c r="E66" s="2"/>
      <c r="F66" s="19">
        <f t="shared" si="13"/>
        <v>0</v>
      </c>
      <c r="G66" s="2"/>
      <c r="H66" s="2"/>
      <c r="I66" s="2"/>
      <c r="J66" s="19">
        <f t="shared" si="14"/>
        <v>0</v>
      </c>
      <c r="K66" s="2"/>
      <c r="L66" s="2">
        <f t="shared" si="15"/>
        <v>0</v>
      </c>
      <c r="M66" s="2"/>
      <c r="N66" s="19">
        <f t="shared" si="16"/>
        <v>0</v>
      </c>
      <c r="O66" s="11"/>
      <c r="P66" s="2"/>
      <c r="Q66" s="2"/>
      <c r="R66" s="19">
        <f t="shared" si="17"/>
        <v>0</v>
      </c>
      <c r="S66" s="2"/>
      <c r="T66" s="2">
        <v>39.950000000000003</v>
      </c>
      <c r="U66" s="2"/>
      <c r="V66" s="19">
        <f t="shared" si="18"/>
        <v>3.5593499463415752E-5</v>
      </c>
      <c r="W66" s="2"/>
      <c r="X66" s="2">
        <f t="shared" si="19"/>
        <v>-39.950000000000003</v>
      </c>
      <c r="Y66" s="2"/>
      <c r="Z66" s="19">
        <f t="shared" si="20"/>
        <v>-1</v>
      </c>
    </row>
    <row r="67" spans="1:26" s="24" customFormat="1" hidden="1" outlineLevel="1" x14ac:dyDescent="0.25">
      <c r="A67" s="44"/>
      <c r="B67" s="11" t="str">
        <f>CONCATENATE("          ", "5092", " - ", "PURCHASES @ COST-GRAD MERCH")</f>
        <v xml:space="preserve">          5092 - PURCHASES @ COST-GRAD MERCH</v>
      </c>
      <c r="C67" s="11"/>
      <c r="D67" s="2"/>
      <c r="E67" s="2"/>
      <c r="F67" s="19">
        <f t="shared" si="13"/>
        <v>0</v>
      </c>
      <c r="G67" s="2"/>
      <c r="H67" s="2">
        <v>-47.4</v>
      </c>
      <c r="I67" s="2"/>
      <c r="J67" s="19">
        <f t="shared" si="14"/>
        <v>-1.8035670446750409E-4</v>
      </c>
      <c r="K67" s="2"/>
      <c r="L67" s="2">
        <f t="shared" si="15"/>
        <v>47.4</v>
      </c>
      <c r="M67" s="2"/>
      <c r="N67" s="19">
        <f t="shared" si="16"/>
        <v>-1</v>
      </c>
      <c r="O67" s="11"/>
      <c r="P67" s="2"/>
      <c r="Q67" s="2"/>
      <c r="R67" s="19">
        <f t="shared" si="17"/>
        <v>0</v>
      </c>
      <c r="S67" s="2"/>
      <c r="T67" s="2">
        <v>-60.35</v>
      </c>
      <c r="U67" s="2"/>
      <c r="V67" s="19">
        <f t="shared" si="18"/>
        <v>-5.3768903444734426E-5</v>
      </c>
      <c r="W67" s="2"/>
      <c r="X67" s="2">
        <f t="shared" si="19"/>
        <v>60.35</v>
      </c>
      <c r="Y67" s="2"/>
      <c r="Z67" s="19">
        <f t="shared" si="20"/>
        <v>-1</v>
      </c>
    </row>
    <row r="68" spans="1:26" s="24" customFormat="1" hidden="1" outlineLevel="1" x14ac:dyDescent="0.25">
      <c r="A68" s="44"/>
      <c r="B68" s="11" t="str">
        <f>CONCATENATE("          ", "5095", " - ", "PURCHASES @ COST-CUSTOMER SERV")</f>
        <v xml:space="preserve">          5095 - PURCHASES @ COST-CUSTOMER SERV</v>
      </c>
      <c r="C68" s="11"/>
      <c r="D68" s="2"/>
      <c r="E68" s="2"/>
      <c r="F68" s="19">
        <f t="shared" si="13"/>
        <v>0</v>
      </c>
      <c r="G68" s="2"/>
      <c r="H68" s="2"/>
      <c r="I68" s="2"/>
      <c r="J68" s="19">
        <f t="shared" si="14"/>
        <v>0</v>
      </c>
      <c r="K68" s="2"/>
      <c r="L68" s="2">
        <f t="shared" si="15"/>
        <v>0</v>
      </c>
      <c r="M68" s="2"/>
      <c r="N68" s="19">
        <f t="shared" si="16"/>
        <v>0</v>
      </c>
      <c r="O68" s="11"/>
      <c r="P68" s="2"/>
      <c r="Q68" s="2"/>
      <c r="R68" s="19">
        <f t="shared" si="17"/>
        <v>0</v>
      </c>
      <c r="S68" s="2"/>
      <c r="T68" s="2">
        <v>-11.85</v>
      </c>
      <c r="U68" s="2"/>
      <c r="V68" s="19">
        <f t="shared" si="18"/>
        <v>-1.0557771430324821E-5</v>
      </c>
      <c r="W68" s="2"/>
      <c r="X68" s="2">
        <f t="shared" si="19"/>
        <v>11.85</v>
      </c>
      <c r="Y68" s="2"/>
      <c r="Z68" s="19">
        <f t="shared" si="20"/>
        <v>-1</v>
      </c>
    </row>
    <row r="69" spans="1:26" s="24" customFormat="1" hidden="1" outlineLevel="1" x14ac:dyDescent="0.25">
      <c r="A69" s="44"/>
      <c r="B69" s="11" t="str">
        <f>CONCATENATE("          ", "5200", " - ", "PURCHASES OFFSET")</f>
        <v xml:space="preserve">          5200 - PURCHASES OFFSET</v>
      </c>
      <c r="C69" s="11"/>
      <c r="D69" s="2">
        <v>-79762.5</v>
      </c>
      <c r="E69" s="2"/>
      <c r="F69" s="19">
        <f t="shared" si="13"/>
        <v>-0.69112307271866769</v>
      </c>
      <c r="G69" s="2"/>
      <c r="H69" s="2">
        <v>-236869.00000000003</v>
      </c>
      <c r="I69" s="2"/>
      <c r="J69" s="19">
        <f t="shared" si="14"/>
        <v>-0.90128506815428755</v>
      </c>
      <c r="K69" s="2"/>
      <c r="L69" s="2">
        <f t="shared" si="15"/>
        <v>157106.50000000003</v>
      </c>
      <c r="M69" s="2"/>
      <c r="N69" s="19">
        <f t="shared" si="16"/>
        <v>-0.66326323833004741</v>
      </c>
      <c r="O69" s="11"/>
      <c r="P69" s="2">
        <v>-173319.38</v>
      </c>
      <c r="Q69" s="2"/>
      <c r="R69" s="19">
        <f t="shared" si="17"/>
        <v>-0.2423988622373193</v>
      </c>
      <c r="S69" s="2"/>
      <c r="T69" s="2">
        <v>-702994</v>
      </c>
      <c r="U69" s="2"/>
      <c r="V69" s="19">
        <f t="shared" si="18"/>
        <v>-0.62633333070799724</v>
      </c>
      <c r="W69" s="2"/>
      <c r="X69" s="2">
        <f t="shared" si="19"/>
        <v>529674.62</v>
      </c>
      <c r="Y69" s="2"/>
      <c r="Z69" s="19">
        <f t="shared" si="20"/>
        <v>-0.75345539222240876</v>
      </c>
    </row>
    <row r="70" spans="1:26" s="24" customFormat="1" hidden="1" outlineLevel="1" x14ac:dyDescent="0.25">
      <c r="A70" s="44"/>
      <c r="B70" s="11" t="str">
        <f>CONCATENATE("          ", "5300", " - ", "COG$ OFFSET")</f>
        <v xml:space="preserve">          5300 - COG$ OFFSET</v>
      </c>
      <c r="C70" s="11"/>
      <c r="D70" s="2">
        <v>60248.999999999993</v>
      </c>
      <c r="E70" s="2"/>
      <c r="F70" s="19">
        <f t="shared" si="13"/>
        <v>0.52204324097448052</v>
      </c>
      <c r="G70" s="2"/>
      <c r="H70" s="2">
        <v>121175</v>
      </c>
      <c r="I70" s="2"/>
      <c r="J70" s="19">
        <f t="shared" si="14"/>
        <v>0.46107011949050225</v>
      </c>
      <c r="K70" s="2"/>
      <c r="L70" s="2">
        <f t="shared" si="15"/>
        <v>-60926.000000000007</v>
      </c>
      <c r="M70" s="2"/>
      <c r="N70" s="19">
        <f t="shared" si="16"/>
        <v>-0.50279348050340422</v>
      </c>
      <c r="O70" s="11"/>
      <c r="P70" s="2">
        <v>418613</v>
      </c>
      <c r="Q70" s="2"/>
      <c r="R70" s="19">
        <f t="shared" si="17"/>
        <v>0.58545856163200527</v>
      </c>
      <c r="S70" s="2"/>
      <c r="T70" s="2">
        <v>511195.00000000006</v>
      </c>
      <c r="U70" s="2"/>
      <c r="V70" s="19">
        <f t="shared" si="18"/>
        <v>0.45544978618775506</v>
      </c>
      <c r="W70" s="2"/>
      <c r="X70" s="2">
        <f t="shared" si="19"/>
        <v>-92582.000000000058</v>
      </c>
      <c r="Y70" s="2"/>
      <c r="Z70" s="19">
        <f t="shared" si="20"/>
        <v>-0.18110897015815891</v>
      </c>
    </row>
    <row r="71" spans="1:26" s="24" customFormat="1" hidden="1" outlineLevel="1" x14ac:dyDescent="0.25">
      <c r="A71" s="44"/>
      <c r="B71" s="11" t="str">
        <f>CONCATENATE("          ", "5500", " - ", "FREIGHT-IN")</f>
        <v xml:space="preserve">          5500 - FREIGHT-IN</v>
      </c>
      <c r="C71" s="11"/>
      <c r="D71" s="2"/>
      <c r="E71" s="2"/>
      <c r="F71" s="19">
        <f t="shared" si="13"/>
        <v>0</v>
      </c>
      <c r="G71" s="2"/>
      <c r="H71" s="2">
        <v>29.23</v>
      </c>
      <c r="I71" s="2"/>
      <c r="J71" s="19">
        <f t="shared" si="14"/>
        <v>1.1121996775496085E-4</v>
      </c>
      <c r="K71" s="2"/>
      <c r="L71" s="2">
        <f t="shared" si="15"/>
        <v>-29.23</v>
      </c>
      <c r="M71" s="2"/>
      <c r="N71" s="19">
        <f t="shared" si="16"/>
        <v>-1</v>
      </c>
      <c r="O71" s="11"/>
      <c r="P71" s="2"/>
      <c r="Q71" s="2"/>
      <c r="R71" s="19">
        <f t="shared" si="17"/>
        <v>0</v>
      </c>
      <c r="S71" s="2"/>
      <c r="T71" s="2">
        <v>29.23</v>
      </c>
      <c r="U71" s="2"/>
      <c r="V71" s="19">
        <f t="shared" si="18"/>
        <v>2.6042502861467892E-5</v>
      </c>
      <c r="W71" s="2"/>
      <c r="X71" s="2">
        <f t="shared" si="19"/>
        <v>-29.23</v>
      </c>
      <c r="Y71" s="2"/>
      <c r="Z71" s="19">
        <f t="shared" si="20"/>
        <v>-1</v>
      </c>
    </row>
    <row r="72" spans="1:26" s="24" customFormat="1" hidden="1" outlineLevel="1" x14ac:dyDescent="0.25">
      <c r="A72" s="44"/>
      <c r="B72" s="11" t="str">
        <f>CONCATENATE("          ", "5525", " - ", "FREIGHT-IN-TEST FORMS")</f>
        <v xml:space="preserve">          5525 - FREIGHT-IN-TEST FORMS</v>
      </c>
      <c r="C72" s="11"/>
      <c r="D72" s="2">
        <v>48.14</v>
      </c>
      <c r="E72" s="2"/>
      <c r="F72" s="19">
        <f t="shared" si="13"/>
        <v>4.1712163887386506E-4</v>
      </c>
      <c r="G72" s="2"/>
      <c r="H72" s="2"/>
      <c r="I72" s="2"/>
      <c r="J72" s="19">
        <f t="shared" si="14"/>
        <v>0</v>
      </c>
      <c r="K72" s="2"/>
      <c r="L72" s="2">
        <f t="shared" si="15"/>
        <v>48.14</v>
      </c>
      <c r="M72" s="2"/>
      <c r="N72" s="19">
        <f t="shared" si="16"/>
        <v>0</v>
      </c>
      <c r="O72" s="11"/>
      <c r="P72" s="2">
        <v>48.14</v>
      </c>
      <c r="Q72" s="2"/>
      <c r="R72" s="19">
        <f t="shared" si="17"/>
        <v>6.7327042296738826E-5</v>
      </c>
      <c r="S72" s="2"/>
      <c r="T72" s="2"/>
      <c r="U72" s="2"/>
      <c r="V72" s="19">
        <f t="shared" si="18"/>
        <v>0</v>
      </c>
      <c r="W72" s="2"/>
      <c r="X72" s="2">
        <f t="shared" si="19"/>
        <v>48.14</v>
      </c>
      <c r="Y72" s="2"/>
      <c r="Z72" s="19">
        <f t="shared" si="20"/>
        <v>0</v>
      </c>
    </row>
    <row r="73" spans="1:26" s="24" customFormat="1" hidden="1" outlineLevel="1" x14ac:dyDescent="0.25">
      <c r="A73" s="44"/>
      <c r="B73" s="11" t="str">
        <f>CONCATENATE("          ", "5527", " - ", "FREIGHT-IN-SCHOOL SUPPLIES")</f>
        <v xml:space="preserve">          5527 - FREIGHT-IN-SCHOOL SUPPLIES</v>
      </c>
      <c r="C73" s="11"/>
      <c r="D73" s="2">
        <v>56</v>
      </c>
      <c r="E73" s="2"/>
      <c r="F73" s="19">
        <f t="shared" si="13"/>
        <v>4.8522666757242302E-4</v>
      </c>
      <c r="G73" s="2"/>
      <c r="H73" s="2"/>
      <c r="I73" s="2"/>
      <c r="J73" s="19">
        <f t="shared" si="14"/>
        <v>0</v>
      </c>
      <c r="K73" s="2"/>
      <c r="L73" s="2">
        <f t="shared" si="15"/>
        <v>56</v>
      </c>
      <c r="M73" s="2"/>
      <c r="N73" s="19">
        <f t="shared" si="16"/>
        <v>0</v>
      </c>
      <c r="O73" s="11"/>
      <c r="P73" s="2">
        <v>56</v>
      </c>
      <c r="Q73" s="2"/>
      <c r="R73" s="19">
        <f t="shared" si="17"/>
        <v>7.8319783311536653E-5</v>
      </c>
      <c r="S73" s="2"/>
      <c r="T73" s="2"/>
      <c r="U73" s="2"/>
      <c r="V73" s="19">
        <f t="shared" si="18"/>
        <v>0</v>
      </c>
      <c r="W73" s="2"/>
      <c r="X73" s="2">
        <f t="shared" si="19"/>
        <v>56</v>
      </c>
      <c r="Y73" s="2"/>
      <c r="Z73" s="19">
        <f t="shared" si="20"/>
        <v>0</v>
      </c>
    </row>
    <row r="74" spans="1:26" s="24" customFormat="1" hidden="1" outlineLevel="1" x14ac:dyDescent="0.25">
      <c r="A74" s="44"/>
      <c r="B74" s="11" t="str">
        <f>CONCATENATE("          ", "5528", " - ", "FREIGHT-IN-ART/TECH")</f>
        <v xml:space="preserve">          5528 - FREIGHT-IN-ART/TECH</v>
      </c>
      <c r="C74" s="11"/>
      <c r="D74" s="2">
        <v>3.94</v>
      </c>
      <c r="E74" s="2"/>
      <c r="F74" s="19">
        <f t="shared" si="13"/>
        <v>3.4139161968488331E-5</v>
      </c>
      <c r="G74" s="2"/>
      <c r="H74" s="2"/>
      <c r="I74" s="2"/>
      <c r="J74" s="19">
        <f t="shared" si="14"/>
        <v>0</v>
      </c>
      <c r="K74" s="2"/>
      <c r="L74" s="2">
        <f t="shared" si="15"/>
        <v>3.94</v>
      </c>
      <c r="M74" s="2"/>
      <c r="N74" s="19">
        <f t="shared" si="16"/>
        <v>0</v>
      </c>
      <c r="O74" s="11"/>
      <c r="P74" s="2">
        <v>3.94</v>
      </c>
      <c r="Q74" s="2"/>
      <c r="R74" s="19">
        <f t="shared" si="17"/>
        <v>5.5103561829902572E-6</v>
      </c>
      <c r="S74" s="2"/>
      <c r="T74" s="2"/>
      <c r="U74" s="2"/>
      <c r="V74" s="19">
        <f t="shared" si="18"/>
        <v>0</v>
      </c>
      <c r="W74" s="2"/>
      <c r="X74" s="2">
        <f t="shared" si="19"/>
        <v>3.94</v>
      </c>
      <c r="Y74" s="2"/>
      <c r="Z74" s="19">
        <f t="shared" si="20"/>
        <v>0</v>
      </c>
    </row>
    <row r="75" spans="1:26" s="24" customFormat="1" hidden="1" outlineLevel="1" x14ac:dyDescent="0.25">
      <c r="A75" s="44"/>
      <c r="B75" s="11" t="str">
        <f>CONCATENATE("          ", "5540", " - ", "FREIGHT-IN-LOGO CLOTHING")</f>
        <v xml:space="preserve">          5540 - FREIGHT-IN-LOGO CLOTHING</v>
      </c>
      <c r="C75" s="11"/>
      <c r="D75" s="2">
        <v>1036.57</v>
      </c>
      <c r="E75" s="2"/>
      <c r="F75" s="19">
        <f t="shared" si="13"/>
        <v>8.9816322643847587E-3</v>
      </c>
      <c r="G75" s="2"/>
      <c r="H75" s="2">
        <v>9102.58</v>
      </c>
      <c r="I75" s="2"/>
      <c r="J75" s="19">
        <f t="shared" si="14"/>
        <v>3.4635260146662732E-2</v>
      </c>
      <c r="K75" s="2"/>
      <c r="L75" s="2">
        <f t="shared" si="15"/>
        <v>-8066.01</v>
      </c>
      <c r="M75" s="2"/>
      <c r="N75" s="19">
        <f t="shared" si="16"/>
        <v>-0.88612349465755869</v>
      </c>
      <c r="O75" s="11"/>
      <c r="P75" s="2">
        <v>3202.33</v>
      </c>
      <c r="Q75" s="2"/>
      <c r="R75" s="19">
        <f t="shared" si="17"/>
        <v>4.4786748516434495E-3</v>
      </c>
      <c r="S75" s="2"/>
      <c r="T75" s="2">
        <v>14107.44</v>
      </c>
      <c r="U75" s="2"/>
      <c r="V75" s="19">
        <f t="shared" si="18"/>
        <v>1.2569040252069332E-2</v>
      </c>
      <c r="W75" s="2"/>
      <c r="X75" s="2">
        <f t="shared" si="19"/>
        <v>-10905.11</v>
      </c>
      <c r="Y75" s="2"/>
      <c r="Z75" s="19">
        <f t="shared" si="20"/>
        <v>-0.77300417368424035</v>
      </c>
    </row>
    <row r="76" spans="1:26" s="24" customFormat="1" hidden="1" outlineLevel="1" x14ac:dyDescent="0.25">
      <c r="A76" s="44"/>
      <c r="B76" s="11" t="str">
        <f>CONCATENATE("          ", "5541", " - ", "FREIGHT-IN-LOGO GIFTS")</f>
        <v xml:space="preserve">          5541 - FREIGHT-IN-LOGO GIFTS</v>
      </c>
      <c r="C76" s="11"/>
      <c r="D76" s="2">
        <v>773.7</v>
      </c>
      <c r="E76" s="2"/>
      <c r="F76" s="19">
        <f t="shared" si="13"/>
        <v>6.7039262982282804E-3</v>
      </c>
      <c r="G76" s="2"/>
      <c r="H76" s="2">
        <v>718.84</v>
      </c>
      <c r="I76" s="2"/>
      <c r="J76" s="19">
        <f t="shared" si="14"/>
        <v>2.7351817181312374E-3</v>
      </c>
      <c r="K76" s="2"/>
      <c r="L76" s="2">
        <f t="shared" si="15"/>
        <v>54.860000000000014</v>
      </c>
      <c r="M76" s="2"/>
      <c r="N76" s="19">
        <f t="shared" si="16"/>
        <v>7.6317400255967963E-2</v>
      </c>
      <c r="O76" s="11"/>
      <c r="P76" s="2">
        <v>1134.81</v>
      </c>
      <c r="Q76" s="2"/>
      <c r="R76" s="19">
        <f t="shared" si="17"/>
        <v>1.5871084517815161E-3</v>
      </c>
      <c r="S76" s="2"/>
      <c r="T76" s="2">
        <v>1536.85</v>
      </c>
      <c r="U76" s="2"/>
      <c r="V76" s="19">
        <f t="shared" si="18"/>
        <v>1.3692583141514515E-3</v>
      </c>
      <c r="W76" s="2"/>
      <c r="X76" s="2">
        <f t="shared" si="19"/>
        <v>-402.03999999999996</v>
      </c>
      <c r="Y76" s="2"/>
      <c r="Z76" s="19">
        <f t="shared" si="20"/>
        <v>-0.26160002602726357</v>
      </c>
    </row>
    <row r="77" spans="1:26" s="24" customFormat="1" hidden="1" outlineLevel="1" x14ac:dyDescent="0.25">
      <c r="A77" s="44"/>
      <c r="B77" s="11" t="str">
        <f>CONCATENATE("          ", "5542", " - ", "FREIGHT-IN-EVERYDAY GIFTS")</f>
        <v xml:space="preserve">          5542 - FREIGHT-IN-EVERYDAY GIFTS</v>
      </c>
      <c r="C77" s="11"/>
      <c r="D77" s="2">
        <v>104.17</v>
      </c>
      <c r="E77" s="2"/>
      <c r="F77" s="19">
        <f t="shared" si="13"/>
        <v>9.0260824930391622E-4</v>
      </c>
      <c r="G77" s="2"/>
      <c r="H77" s="2">
        <v>596.04999999999995</v>
      </c>
      <c r="I77" s="2"/>
      <c r="J77" s="19">
        <f t="shared" si="14"/>
        <v>2.2679665337100381E-3</v>
      </c>
      <c r="K77" s="2"/>
      <c r="L77" s="2">
        <f t="shared" si="15"/>
        <v>-491.87999999999994</v>
      </c>
      <c r="M77" s="2"/>
      <c r="N77" s="19">
        <f t="shared" si="16"/>
        <v>-0.8252327824846909</v>
      </c>
      <c r="O77" s="11"/>
      <c r="P77" s="2">
        <v>175.55</v>
      </c>
      <c r="Q77" s="2"/>
      <c r="R77" s="19">
        <f t="shared" si="17"/>
        <v>2.4551853500607608E-4</v>
      </c>
      <c r="S77" s="2"/>
      <c r="T77" s="2">
        <v>767.73</v>
      </c>
      <c r="U77" s="2"/>
      <c r="V77" s="19">
        <f t="shared" si="18"/>
        <v>6.8400994600871523E-4</v>
      </c>
      <c r="W77" s="2"/>
      <c r="X77" s="2">
        <f t="shared" si="19"/>
        <v>-592.18000000000006</v>
      </c>
      <c r="Y77" s="2"/>
      <c r="Z77" s="19">
        <f t="shared" si="20"/>
        <v>-0.77133888215909241</v>
      </c>
    </row>
    <row r="78" spans="1:26" s="24" customFormat="1" hidden="1" outlineLevel="1" x14ac:dyDescent="0.25">
      <c r="A78" s="44"/>
      <c r="B78" s="11" t="str">
        <f>CONCATENATE("          ", "5543", " - ", "FREIGHT-IN-CARDS")</f>
        <v xml:space="preserve">          5543 - FREIGHT-IN-CARDS</v>
      </c>
      <c r="C78" s="11"/>
      <c r="D78" s="2">
        <v>107.42</v>
      </c>
      <c r="E78" s="2"/>
      <c r="F78" s="19">
        <f t="shared" si="13"/>
        <v>9.3076872554695856E-4</v>
      </c>
      <c r="G78" s="2"/>
      <c r="H78" s="2"/>
      <c r="I78" s="2"/>
      <c r="J78" s="19">
        <f t="shared" si="14"/>
        <v>0</v>
      </c>
      <c r="K78" s="2"/>
      <c r="L78" s="2">
        <f t="shared" si="15"/>
        <v>107.42</v>
      </c>
      <c r="M78" s="2"/>
      <c r="N78" s="19">
        <f t="shared" si="16"/>
        <v>0</v>
      </c>
      <c r="O78" s="11"/>
      <c r="P78" s="2">
        <v>189.19</v>
      </c>
      <c r="Q78" s="2"/>
      <c r="R78" s="19">
        <f t="shared" si="17"/>
        <v>2.6459499651267175E-4</v>
      </c>
      <c r="S78" s="2"/>
      <c r="T78" s="2">
        <v>4.58</v>
      </c>
      <c r="U78" s="2"/>
      <c r="V78" s="19">
        <f t="shared" si="18"/>
        <v>4.0805563840411545E-6</v>
      </c>
      <c r="W78" s="2"/>
      <c r="X78" s="2">
        <f t="shared" si="19"/>
        <v>184.60999999999999</v>
      </c>
      <c r="Y78" s="2"/>
      <c r="Z78" s="19">
        <f t="shared" si="20"/>
        <v>40.307860262008731</v>
      </c>
    </row>
    <row r="79" spans="1:26" s="24" customFormat="1" hidden="1" outlineLevel="1" x14ac:dyDescent="0.25">
      <c r="A79" s="44"/>
      <c r="B79" s="11" t="str">
        <f>CONCATENATE("          ", "5544", " - ", "FREIGHT-IN-ACCESSORIES")</f>
        <v xml:space="preserve">          5544 - FREIGHT-IN-ACCESSORIES</v>
      </c>
      <c r="C79" s="11"/>
      <c r="D79" s="2"/>
      <c r="E79" s="2"/>
      <c r="F79" s="19">
        <f t="shared" si="13"/>
        <v>0</v>
      </c>
      <c r="G79" s="2"/>
      <c r="H79" s="2">
        <v>223.25</v>
      </c>
      <c r="I79" s="2"/>
      <c r="J79" s="19">
        <f t="shared" si="14"/>
        <v>8.4946485806688368E-4</v>
      </c>
      <c r="K79" s="2"/>
      <c r="L79" s="2">
        <f t="shared" si="15"/>
        <v>-223.25</v>
      </c>
      <c r="M79" s="2"/>
      <c r="N79" s="19">
        <f t="shared" si="16"/>
        <v>-1</v>
      </c>
      <c r="O79" s="11"/>
      <c r="P79" s="2"/>
      <c r="Q79" s="2"/>
      <c r="R79" s="19">
        <f t="shared" si="17"/>
        <v>0</v>
      </c>
      <c r="S79" s="2"/>
      <c r="T79" s="2">
        <v>359.09</v>
      </c>
      <c r="U79" s="2"/>
      <c r="V79" s="19">
        <f t="shared" si="18"/>
        <v>3.1993165762998646E-4</v>
      </c>
      <c r="W79" s="2"/>
      <c r="X79" s="2">
        <f t="shared" si="19"/>
        <v>-359.09</v>
      </c>
      <c r="Y79" s="2"/>
      <c r="Z79" s="19">
        <f t="shared" si="20"/>
        <v>-1</v>
      </c>
    </row>
    <row r="80" spans="1:26" s="24" customFormat="1" hidden="1" outlineLevel="1" x14ac:dyDescent="0.25">
      <c r="A80" s="44"/>
      <c r="B80" s="11" t="str">
        <f>CONCATENATE("          ", "5545", " - ", "FREIGHT-IN-SPECIAL ORDERS")</f>
        <v xml:space="preserve">          5545 - FREIGHT-IN-SPECIAL ORDERS</v>
      </c>
      <c r="C80" s="11"/>
      <c r="D80" s="2">
        <v>189.66</v>
      </c>
      <c r="E80" s="2"/>
      <c r="F80" s="19">
        <f t="shared" si="13"/>
        <v>1.6433587459247455E-3</v>
      </c>
      <c r="G80" s="2"/>
      <c r="H80" s="2">
        <v>84.47</v>
      </c>
      <c r="I80" s="2"/>
      <c r="J80" s="19">
        <f t="shared" si="14"/>
        <v>3.2140782334114072E-4</v>
      </c>
      <c r="K80" s="2"/>
      <c r="L80" s="2">
        <f t="shared" si="15"/>
        <v>105.19</v>
      </c>
      <c r="M80" s="2"/>
      <c r="N80" s="19">
        <f t="shared" si="16"/>
        <v>1.2452941872854268</v>
      </c>
      <c r="O80" s="11"/>
      <c r="P80" s="2">
        <v>850.27</v>
      </c>
      <c r="Q80" s="2"/>
      <c r="R80" s="19">
        <f t="shared" si="17"/>
        <v>1.189160038505362E-3</v>
      </c>
      <c r="S80" s="2"/>
      <c r="T80" s="2">
        <v>346.98</v>
      </c>
      <c r="U80" s="2"/>
      <c r="V80" s="19">
        <f t="shared" si="18"/>
        <v>3.091422388940174E-4</v>
      </c>
      <c r="W80" s="2"/>
      <c r="X80" s="2">
        <f t="shared" si="19"/>
        <v>503.28999999999996</v>
      </c>
      <c r="Y80" s="2"/>
      <c r="Z80" s="19">
        <f t="shared" si="20"/>
        <v>1.4504870597728974</v>
      </c>
    </row>
    <row r="81" spans="1:26" x14ac:dyDescent="0.25">
      <c r="A81" s="9"/>
      <c r="B81" s="10"/>
      <c r="C81" s="10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O81" s="10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25">
      <c r="A82" s="10"/>
      <c r="B82" s="25" t="s">
        <v>6</v>
      </c>
      <c r="C82" s="25"/>
      <c r="D82" s="20">
        <f>D12-D53</f>
        <v>55160.98000000004</v>
      </c>
      <c r="E82" s="13"/>
      <c r="F82" s="21">
        <f>IF(D$12=0,0,D82/D$12)</f>
        <v>0.47795675902551954</v>
      </c>
      <c r="G82" s="13"/>
      <c r="H82" s="20">
        <f>H12-H53</f>
        <v>141608.83999999997</v>
      </c>
      <c r="I82" s="13"/>
      <c r="J82" s="21">
        <f>IF(H$12=0,0,H82/H$12)</f>
        <v>0.53882075328831358</v>
      </c>
      <c r="K82" s="15"/>
      <c r="L82" s="20">
        <f>+D82-H82</f>
        <v>-86447.859999999928</v>
      </c>
      <c r="M82" s="15"/>
      <c r="N82" s="21">
        <f>IF(H82=0,0,L82/H82)</f>
        <v>-0.6104693746520341</v>
      </c>
      <c r="O82" s="26"/>
      <c r="P82" s="20">
        <f>P12-P53</f>
        <v>295487.76</v>
      </c>
      <c r="Q82" s="13"/>
      <c r="R82" s="21">
        <f>IF(P$12=0,0,P82/P$12)</f>
        <v>0.41325959525734551</v>
      </c>
      <c r="S82" s="13"/>
      <c r="T82" s="20">
        <f>T12-T53</f>
        <v>611174.67000000004</v>
      </c>
      <c r="U82" s="13"/>
      <c r="V82" s="21">
        <f>IF(T$12=0,0,T82/T$12)</f>
        <v>0.54452679070583976</v>
      </c>
      <c r="W82" s="15"/>
      <c r="X82" s="20">
        <f>+P82-T82</f>
        <v>-315686.91000000003</v>
      </c>
      <c r="Y82" s="15"/>
      <c r="Z82" s="21">
        <f>IF(T82=0,0,X82/T82)</f>
        <v>-0.51652485859729758</v>
      </c>
    </row>
    <row r="83" spans="1:26" x14ac:dyDescent="0.25">
      <c r="A83" s="9"/>
      <c r="B83" s="10"/>
      <c r="C83" s="9"/>
      <c r="D83" s="1"/>
      <c r="E83" s="1"/>
      <c r="F83" s="5"/>
      <c r="G83" s="1"/>
      <c r="H83" s="1"/>
      <c r="I83" s="1"/>
      <c r="J83" s="5"/>
      <c r="K83" s="1"/>
      <c r="L83" s="1"/>
      <c r="M83" s="1"/>
      <c r="N83" s="5"/>
      <c r="O83" s="37"/>
      <c r="P83" s="1"/>
      <c r="Q83" s="1"/>
      <c r="R83" s="5"/>
      <c r="S83" s="1"/>
      <c r="T83" s="1"/>
      <c r="U83" s="1"/>
      <c r="V83" s="5"/>
      <c r="W83" s="1"/>
      <c r="X83" s="1"/>
      <c r="Y83" s="1"/>
      <c r="Z83" s="5"/>
    </row>
    <row r="84" spans="1:26" s="23" customFormat="1" x14ac:dyDescent="0.25">
      <c r="A84" s="10"/>
      <c r="B84" s="26" t="s">
        <v>9</v>
      </c>
      <c r="C84" s="10"/>
      <c r="D84" s="22">
        <f>SUM(OSRRefD22x_0)</f>
        <v>75807.510000000009</v>
      </c>
      <c r="E84" s="22"/>
      <c r="F84" s="36">
        <f t="shared" ref="F84:F93" si="21">IF(D$12=0,0,D84/D$12)</f>
        <v>0.65685402596898457</v>
      </c>
      <c r="G84" s="22"/>
      <c r="H84" s="22">
        <f>SUM(OSRRefH22x_0)</f>
        <v>106445.06999999998</v>
      </c>
      <c r="I84" s="22"/>
      <c r="J84" s="36">
        <f t="shared" ref="J84:J93" si="22">IF(H$12=0,0,H84/H$12)</f>
        <v>0.40502282767959452</v>
      </c>
      <c r="K84" s="4"/>
      <c r="L84" s="22">
        <f t="shared" ref="L84:L93" si="23">+D84-H84</f>
        <v>-30637.559999999969</v>
      </c>
      <c r="M84" s="4"/>
      <c r="N84" s="36">
        <f t="shared" ref="N84:N93" si="24">IF(H84=0,0,L84/H84)</f>
        <v>-0.28782507259377982</v>
      </c>
      <c r="O84" s="10"/>
      <c r="P84" s="22">
        <f>SUM(OSRRefP22x_0)</f>
        <v>285809.32000000007</v>
      </c>
      <c r="Q84" s="22"/>
      <c r="R84" s="36">
        <f t="shared" ref="R84:R93" si="25">IF(P$12=0,0,P84/P$12)</f>
        <v>0.39972364305031505</v>
      </c>
      <c r="S84" s="22"/>
      <c r="T84" s="22">
        <f>SUM(OSRRefT22x_0)</f>
        <v>352065.39</v>
      </c>
      <c r="U84" s="22"/>
      <c r="V84" s="36">
        <f t="shared" ref="V84:V93" si="26">IF(T$12=0,0,T84/T$12)</f>
        <v>0.31367307309267223</v>
      </c>
      <c r="W84" s="4"/>
      <c r="X84" s="22">
        <f t="shared" ref="X84:X93" si="27">+P84-T84</f>
        <v>-66256.069999999949</v>
      </c>
      <c r="Y84" s="4"/>
      <c r="Z84" s="36">
        <f t="shared" ref="Z84:Z93" si="28">IF(T84=0,0,X84/T84)</f>
        <v>-0.18819251162404788</v>
      </c>
    </row>
    <row r="85" spans="1:26" s="29" customFormat="1" outlineLevel="1" collapsed="1" x14ac:dyDescent="0.25">
      <c r="A85" s="27"/>
      <c r="B85" s="14" t="str">
        <f>CONCATENATE("     ","*Benefits                                         ")</f>
        <v xml:space="preserve">     *Benefits                                         </v>
      </c>
      <c r="C85" s="14"/>
      <c r="D85" s="1">
        <f>SUM(OSRRefD22_0x_0)</f>
        <v>15231.83</v>
      </c>
      <c r="E85" s="1"/>
      <c r="F85" s="5">
        <f t="shared" si="21"/>
        <v>0.1319801805701725</v>
      </c>
      <c r="G85" s="1"/>
      <c r="H85" s="1">
        <f>SUM(OSRRefH22_0x_0)</f>
        <v>11896.04</v>
      </c>
      <c r="I85" s="1"/>
      <c r="J85" s="5">
        <f t="shared" si="22"/>
        <v>4.526435802982294E-2</v>
      </c>
      <c r="K85" s="1"/>
      <c r="L85" s="1">
        <f t="shared" si="23"/>
        <v>3335.7899999999991</v>
      </c>
      <c r="M85" s="1"/>
      <c r="N85" s="5">
        <f t="shared" si="24"/>
        <v>0.28041180090181261</v>
      </c>
      <c r="O85" s="14"/>
      <c r="P85" s="1">
        <f>SUM(OSRRefP22_0x_0)</f>
        <v>63441.040000000008</v>
      </c>
      <c r="Q85" s="1"/>
      <c r="R85" s="5">
        <f t="shared" si="25"/>
        <v>8.8726580461759463E-2</v>
      </c>
      <c r="S85" s="1"/>
      <c r="T85" s="1">
        <f>SUM(OSRRefT22_0x_0)</f>
        <v>39151.39</v>
      </c>
      <c r="U85" s="1"/>
      <c r="V85" s="5">
        <f t="shared" si="26"/>
        <v>3.4881976945105898E-2</v>
      </c>
      <c r="W85" s="1"/>
      <c r="X85" s="1">
        <f t="shared" si="27"/>
        <v>24289.650000000009</v>
      </c>
      <c r="Y85" s="1"/>
      <c r="Z85" s="5">
        <f t="shared" si="28"/>
        <v>0.6204032602673879</v>
      </c>
    </row>
    <row r="86" spans="1:26" s="24" customFormat="1" hidden="1" outlineLevel="2" x14ac:dyDescent="0.25">
      <c r="A86" s="28"/>
      <c r="B86" s="11" t="str">
        <f>CONCATENATE("          ", "6111", " - ", "F.I.C.A.")</f>
        <v xml:space="preserve">          6111 - F.I.C.A.</v>
      </c>
      <c r="C86" s="11"/>
      <c r="D86" s="6">
        <v>3369.28</v>
      </c>
      <c r="E86" s="2"/>
      <c r="F86" s="7">
        <f t="shared" si="21"/>
        <v>2.9194009044971669E-2</v>
      </c>
      <c r="G86" s="2"/>
      <c r="H86" s="6">
        <v>2915.47</v>
      </c>
      <c r="I86" s="2"/>
      <c r="J86" s="7">
        <f t="shared" si="22"/>
        <v>1.1093345172444601E-2</v>
      </c>
      <c r="K86" s="2"/>
      <c r="L86" s="6">
        <f t="shared" si="23"/>
        <v>453.8100000000004</v>
      </c>
      <c r="M86" s="2"/>
      <c r="N86" s="7">
        <f t="shared" si="24"/>
        <v>0.15565586337708859</v>
      </c>
      <c r="O86" s="11"/>
      <c r="P86" s="6">
        <v>14197.75</v>
      </c>
      <c r="Q86" s="2"/>
      <c r="R86" s="7">
        <f t="shared" si="25"/>
        <v>1.9856512562703026E-2</v>
      </c>
      <c r="S86" s="2"/>
      <c r="T86" s="6">
        <v>9184.4</v>
      </c>
      <c r="U86" s="2"/>
      <c r="V86" s="7">
        <f t="shared" si="26"/>
        <v>8.1828519767658467E-3</v>
      </c>
      <c r="W86" s="2"/>
      <c r="X86" s="6">
        <f t="shared" si="27"/>
        <v>5013.3500000000004</v>
      </c>
      <c r="Y86" s="2"/>
      <c r="Z86" s="7">
        <f t="shared" si="28"/>
        <v>0.54585492792125789</v>
      </c>
    </row>
    <row r="87" spans="1:26" s="24" customFormat="1" hidden="1" outlineLevel="2" x14ac:dyDescent="0.25">
      <c r="A87" s="28"/>
      <c r="B87" s="11" t="str">
        <f>CONCATENATE("          ", "6112", " - ", "COMPENSATION INSURANCE")</f>
        <v xml:space="preserve">          6112 - COMPENSATION INSURANCE</v>
      </c>
      <c r="C87" s="11"/>
      <c r="D87" s="6">
        <v>716.01</v>
      </c>
      <c r="E87" s="2"/>
      <c r="F87" s="7">
        <f t="shared" si="21"/>
        <v>6.2040561830094751E-3</v>
      </c>
      <c r="G87" s="2"/>
      <c r="H87" s="6">
        <v>201.28</v>
      </c>
      <c r="I87" s="2"/>
      <c r="J87" s="7">
        <f t="shared" si="22"/>
        <v>7.6586914504681903E-4</v>
      </c>
      <c r="K87" s="2"/>
      <c r="L87" s="6">
        <f t="shared" si="23"/>
        <v>514.73</v>
      </c>
      <c r="M87" s="2"/>
      <c r="N87" s="7">
        <f t="shared" si="24"/>
        <v>2.5572833863275042</v>
      </c>
      <c r="O87" s="11"/>
      <c r="P87" s="6">
        <v>5002.24</v>
      </c>
      <c r="Q87" s="2"/>
      <c r="R87" s="7">
        <f t="shared" si="25"/>
        <v>6.9959705870053764E-3</v>
      </c>
      <c r="S87" s="2"/>
      <c r="T87" s="6">
        <v>2148.94</v>
      </c>
      <c r="U87" s="2"/>
      <c r="V87" s="7">
        <f t="shared" si="26"/>
        <v>1.9146006191968119E-3</v>
      </c>
      <c r="W87" s="2"/>
      <c r="X87" s="6">
        <f t="shared" si="27"/>
        <v>2853.2999999999997</v>
      </c>
      <c r="Y87" s="2"/>
      <c r="Z87" s="7">
        <f t="shared" si="28"/>
        <v>1.3277709010023544</v>
      </c>
    </row>
    <row r="88" spans="1:26" s="24" customFormat="1" hidden="1" outlineLevel="2" x14ac:dyDescent="0.25">
      <c r="A88" s="28"/>
      <c r="B88" s="11" t="str">
        <f>CONCATENATE("          ", "6113", " - ", "GROUP INSURANCE")</f>
        <v xml:space="preserve">          6113 - GROUP INSURANCE</v>
      </c>
      <c r="C88" s="11"/>
      <c r="D88" s="6">
        <v>5541.11</v>
      </c>
      <c r="E88" s="2"/>
      <c r="F88" s="7">
        <f t="shared" si="21"/>
        <v>4.8012398927718372E-2</v>
      </c>
      <c r="G88" s="2"/>
      <c r="H88" s="6">
        <v>4241.18</v>
      </c>
      <c r="I88" s="2"/>
      <c r="J88" s="7">
        <f t="shared" si="22"/>
        <v>1.6137663456824665E-2</v>
      </c>
      <c r="K88" s="2"/>
      <c r="L88" s="6">
        <f t="shared" si="23"/>
        <v>1299.9299999999994</v>
      </c>
      <c r="M88" s="2"/>
      <c r="N88" s="7">
        <f t="shared" si="24"/>
        <v>0.30650196407603525</v>
      </c>
      <c r="O88" s="11"/>
      <c r="P88" s="6">
        <v>22298.15</v>
      </c>
      <c r="Q88" s="2"/>
      <c r="R88" s="7">
        <f t="shared" si="25"/>
        <v>3.1185469218716805E-2</v>
      </c>
      <c r="S88" s="2"/>
      <c r="T88" s="6">
        <v>13531.75</v>
      </c>
      <c r="U88" s="2"/>
      <c r="V88" s="7">
        <f t="shared" si="26"/>
        <v>1.2056128569814169E-2</v>
      </c>
      <c r="W88" s="2"/>
      <c r="X88" s="6">
        <f t="shared" si="27"/>
        <v>8766.4000000000015</v>
      </c>
      <c r="Y88" s="2"/>
      <c r="Z88" s="7">
        <f t="shared" si="28"/>
        <v>0.64783934080957761</v>
      </c>
    </row>
    <row r="89" spans="1:26" s="24" customFormat="1" hidden="1" outlineLevel="2" x14ac:dyDescent="0.25">
      <c r="A89" s="28"/>
      <c r="B89" s="11" t="str">
        <f>CONCATENATE("          ", "6114", " - ", "STATE UNEMPLOYMENT INSURANCE")</f>
        <v xml:space="preserve">          6114 - STATE UNEMPLOYMENT INSURANCE</v>
      </c>
      <c r="C89" s="11"/>
      <c r="D89" s="6">
        <v>100.63</v>
      </c>
      <c r="E89" s="2"/>
      <c r="F89" s="7">
        <f t="shared" si="21"/>
        <v>8.719349921038022E-4</v>
      </c>
      <c r="G89" s="2"/>
      <c r="H89" s="6">
        <v>121.58</v>
      </c>
      <c r="I89" s="2"/>
      <c r="J89" s="7">
        <f t="shared" si="22"/>
        <v>4.6261114196538284E-4</v>
      </c>
      <c r="K89" s="2"/>
      <c r="L89" s="6">
        <f t="shared" si="23"/>
        <v>-20.950000000000003</v>
      </c>
      <c r="M89" s="2"/>
      <c r="N89" s="7">
        <f t="shared" si="24"/>
        <v>-0.17231452541536441</v>
      </c>
      <c r="O89" s="11"/>
      <c r="P89" s="6">
        <v>502.9</v>
      </c>
      <c r="Q89" s="2"/>
      <c r="R89" s="7">
        <f t="shared" si="25"/>
        <v>7.0333962548878185E-4</v>
      </c>
      <c r="S89" s="2"/>
      <c r="T89" s="6">
        <v>379.36</v>
      </c>
      <c r="U89" s="2"/>
      <c r="V89" s="7">
        <f t="shared" si="26"/>
        <v>3.3799123795848305E-4</v>
      </c>
      <c r="W89" s="2"/>
      <c r="X89" s="6">
        <f t="shared" si="27"/>
        <v>123.53999999999996</v>
      </c>
      <c r="Y89" s="2"/>
      <c r="Z89" s="7">
        <f t="shared" si="28"/>
        <v>0.32565373260227742</v>
      </c>
    </row>
    <row r="90" spans="1:26" s="24" customFormat="1" hidden="1" outlineLevel="2" x14ac:dyDescent="0.25">
      <c r="A90" s="28"/>
      <c r="B90" s="11" t="str">
        <f>CONCATENATE("          ", "6115", " - ", "P.E.R.S.")</f>
        <v xml:space="preserve">          6115 - P.E.R.S.</v>
      </c>
      <c r="C90" s="11"/>
      <c r="D90" s="6">
        <v>1272.4100000000001</v>
      </c>
      <c r="E90" s="2"/>
      <c r="F90" s="7">
        <f t="shared" si="21"/>
        <v>1.1025129715818335E-2</v>
      </c>
      <c r="G90" s="2"/>
      <c r="H90" s="6">
        <v>1878.17</v>
      </c>
      <c r="I90" s="2"/>
      <c r="J90" s="7">
        <f t="shared" si="22"/>
        <v>7.1464251398677672E-3</v>
      </c>
      <c r="K90" s="2"/>
      <c r="L90" s="6">
        <f t="shared" si="23"/>
        <v>-605.76</v>
      </c>
      <c r="M90" s="2"/>
      <c r="N90" s="7">
        <f t="shared" si="24"/>
        <v>-0.32252671483412043</v>
      </c>
      <c r="O90" s="11"/>
      <c r="P90" s="6">
        <v>7338.26</v>
      </c>
      <c r="Q90" s="2"/>
      <c r="R90" s="7">
        <f t="shared" si="25"/>
        <v>1.0263052376494946E-2</v>
      </c>
      <c r="S90" s="2"/>
      <c r="T90" s="6">
        <v>4675.9799999999996</v>
      </c>
      <c r="U90" s="2"/>
      <c r="V90" s="7">
        <f t="shared" si="26"/>
        <v>4.1660698778709076E-3</v>
      </c>
      <c r="W90" s="2"/>
      <c r="X90" s="6">
        <f t="shared" si="27"/>
        <v>2662.2800000000007</v>
      </c>
      <c r="Y90" s="2"/>
      <c r="Z90" s="7">
        <f t="shared" si="28"/>
        <v>0.56935230689609473</v>
      </c>
    </row>
    <row r="91" spans="1:26" s="24" customFormat="1" hidden="1" outlineLevel="2" x14ac:dyDescent="0.25">
      <c r="A91" s="28"/>
      <c r="B91" s="11" t="str">
        <f>CONCATENATE("          ", "6118", " - ", "VACATION")</f>
        <v xml:space="preserve">          6118 - VACATION</v>
      </c>
      <c r="C91" s="11"/>
      <c r="D91" s="6">
        <v>1957.79</v>
      </c>
      <c r="E91" s="2"/>
      <c r="F91" s="7">
        <f t="shared" si="21"/>
        <v>1.6963784241189536E-2</v>
      </c>
      <c r="G91" s="2"/>
      <c r="H91" s="6">
        <v>1269</v>
      </c>
      <c r="I91" s="2"/>
      <c r="J91" s="7">
        <f t="shared" si="22"/>
        <v>4.8285370879591286E-3</v>
      </c>
      <c r="K91" s="2"/>
      <c r="L91" s="6">
        <f t="shared" si="23"/>
        <v>688.79</v>
      </c>
      <c r="M91" s="2"/>
      <c r="N91" s="7">
        <f t="shared" si="24"/>
        <v>0.54278171788810081</v>
      </c>
      <c r="O91" s="11"/>
      <c r="P91" s="6">
        <v>6818.16</v>
      </c>
      <c r="Q91" s="2"/>
      <c r="R91" s="7">
        <f t="shared" si="25"/>
        <v>9.5356573889890488E-3</v>
      </c>
      <c r="S91" s="2"/>
      <c r="T91" s="6">
        <v>4021.76</v>
      </c>
      <c r="U91" s="2"/>
      <c r="V91" s="7">
        <f t="shared" si="26"/>
        <v>3.5831917997994223E-3</v>
      </c>
      <c r="W91" s="2"/>
      <c r="X91" s="6">
        <f t="shared" si="27"/>
        <v>2796.3999999999996</v>
      </c>
      <c r="Y91" s="2"/>
      <c r="Z91" s="7">
        <f t="shared" si="28"/>
        <v>0.69531747294716728</v>
      </c>
    </row>
    <row r="92" spans="1:26" s="24" customFormat="1" hidden="1" outlineLevel="2" x14ac:dyDescent="0.25">
      <c r="A92" s="28"/>
      <c r="B92" s="11" t="str">
        <f>CONCATENATE("          ", "6119", " - ", "SICK LEAVE")</f>
        <v xml:space="preserve">          6119 - SICK LEAVE</v>
      </c>
      <c r="C92" s="11"/>
      <c r="D92" s="6">
        <v>1691.91</v>
      </c>
      <c r="E92" s="2"/>
      <c r="F92" s="7">
        <f t="shared" si="21"/>
        <v>1.465999734165104E-2</v>
      </c>
      <c r="G92" s="2"/>
      <c r="H92" s="6">
        <v>864.6</v>
      </c>
      <c r="I92" s="2"/>
      <c r="J92" s="7">
        <f t="shared" si="22"/>
        <v>3.2897976093376378E-3</v>
      </c>
      <c r="K92" s="2"/>
      <c r="L92" s="6">
        <f t="shared" si="23"/>
        <v>827.31000000000006</v>
      </c>
      <c r="M92" s="2"/>
      <c r="N92" s="7">
        <f t="shared" si="24"/>
        <v>0.95687022900763363</v>
      </c>
      <c r="O92" s="11"/>
      <c r="P92" s="6">
        <v>5236.1400000000003</v>
      </c>
      <c r="Q92" s="2"/>
      <c r="R92" s="7">
        <f t="shared" si="25"/>
        <v>7.3230955390869565E-3</v>
      </c>
      <c r="S92" s="2"/>
      <c r="T92" s="6">
        <v>4095.07</v>
      </c>
      <c r="U92" s="2"/>
      <c r="V92" s="7">
        <f t="shared" si="26"/>
        <v>3.6485074304793475E-3</v>
      </c>
      <c r="W92" s="2"/>
      <c r="X92" s="6">
        <f t="shared" si="27"/>
        <v>1141.0700000000002</v>
      </c>
      <c r="Y92" s="2"/>
      <c r="Z92" s="7">
        <f t="shared" si="28"/>
        <v>0.27864480949043607</v>
      </c>
    </row>
    <row r="93" spans="1:26" s="24" customFormat="1" hidden="1" outlineLevel="2" x14ac:dyDescent="0.25">
      <c r="A93" s="28"/>
      <c r="B93" s="11" t="str">
        <f>CONCATENATE("          ", "6156", " - ", "EMPLOYEE MEALS")</f>
        <v xml:space="preserve">          6156 - EMPLOYEE MEALS</v>
      </c>
      <c r="C93" s="11"/>
      <c r="D93" s="6">
        <v>582.69000000000005</v>
      </c>
      <c r="E93" s="2"/>
      <c r="F93" s="7">
        <f t="shared" si="21"/>
        <v>5.0488701237102716E-3</v>
      </c>
      <c r="G93" s="2"/>
      <c r="H93" s="6">
        <v>404.76</v>
      </c>
      <c r="I93" s="2"/>
      <c r="J93" s="7">
        <f t="shared" si="22"/>
        <v>1.54010927637694E-3</v>
      </c>
      <c r="K93" s="2"/>
      <c r="L93" s="6">
        <f t="shared" si="23"/>
        <v>177.93000000000006</v>
      </c>
      <c r="M93" s="2"/>
      <c r="N93" s="7">
        <f t="shared" si="24"/>
        <v>0.43959383338274549</v>
      </c>
      <c r="O93" s="11"/>
      <c r="P93" s="6">
        <v>2047.44</v>
      </c>
      <c r="Q93" s="2"/>
      <c r="R93" s="7">
        <f t="shared" si="25"/>
        <v>2.8634831632745107E-3</v>
      </c>
      <c r="S93" s="2"/>
      <c r="T93" s="6">
        <v>1114.1300000000001</v>
      </c>
      <c r="U93" s="2"/>
      <c r="V93" s="7">
        <f t="shared" si="26"/>
        <v>9.9263543322091093E-4</v>
      </c>
      <c r="W93" s="2"/>
      <c r="X93" s="6">
        <f t="shared" si="27"/>
        <v>933.31</v>
      </c>
      <c r="Y93" s="2"/>
      <c r="Z93" s="7">
        <f t="shared" si="28"/>
        <v>0.8377029610548139</v>
      </c>
    </row>
    <row r="94" spans="1:26" s="29" customFormat="1" outlineLevel="1" collapsed="1" x14ac:dyDescent="0.25">
      <c r="A94" s="27"/>
      <c r="B94" s="14" t="str">
        <f>CONCATENATE("     ","*Payroll                                          ")</f>
        <v xml:space="preserve">     *Payroll                                          </v>
      </c>
      <c r="C94" s="14"/>
      <c r="D94" s="1">
        <f>SUM(OSRRefD22_1x_0)</f>
        <v>40179.089999999997</v>
      </c>
      <c r="E94" s="1"/>
      <c r="F94" s="5">
        <f t="shared" ref="F94:F100" si="29">IF(D$12=0,0,D94/D$12)</f>
        <v>0.3481422490498654</v>
      </c>
      <c r="G94" s="1"/>
      <c r="H94" s="1">
        <f>SUM(OSRRefH22_1x_0)</f>
        <v>44649.46</v>
      </c>
      <c r="I94" s="1"/>
      <c r="J94" s="5">
        <f t="shared" ref="J94:J100" si="30">IF(H$12=0,0,H94/H$12)</f>
        <v>0.16989091691674357</v>
      </c>
      <c r="K94" s="1"/>
      <c r="L94" s="1">
        <f t="shared" ref="L94:L100" si="31">+D94-H94</f>
        <v>-4470.3700000000026</v>
      </c>
      <c r="M94" s="1"/>
      <c r="N94" s="5">
        <f t="shared" ref="N94:N100" si="32">IF(H94=0,0,L94/H94)</f>
        <v>-0.10012147963267647</v>
      </c>
      <c r="O94" s="14"/>
      <c r="P94" s="1">
        <f>SUM(OSRRefP22_1x_0)</f>
        <v>151827.35</v>
      </c>
      <c r="Q94" s="1"/>
      <c r="R94" s="5">
        <f t="shared" ref="R94:R100" si="33">IF(P$12=0,0,P94/P$12)</f>
        <v>0.21234080629937205</v>
      </c>
      <c r="S94" s="1"/>
      <c r="T94" s="1">
        <f>SUM(OSRRefT22_1x_0)</f>
        <v>151748.22999999998</v>
      </c>
      <c r="U94" s="1"/>
      <c r="V94" s="5">
        <f t="shared" ref="V94:V100" si="34">IF(T$12=0,0,T94/T$12)</f>
        <v>0.13520026390686579</v>
      </c>
      <c r="W94" s="1"/>
      <c r="X94" s="1">
        <f t="shared" ref="X94:X100" si="35">+P94-T94</f>
        <v>79.120000000024447</v>
      </c>
      <c r="Y94" s="1"/>
      <c r="Z94" s="5">
        <f t="shared" ref="Z94:Z100" si="36">IF(T94=0,0,X94/T94)</f>
        <v>5.2138993647586173E-4</v>
      </c>
    </row>
    <row r="95" spans="1:26" s="24" customFormat="1" hidden="1" outlineLevel="2" x14ac:dyDescent="0.25">
      <c r="A95" s="28"/>
      <c r="B95" s="11" t="str">
        <f>CONCATENATE("          ", "6002", " - ", "STAFF SALARIES")</f>
        <v xml:space="preserve">          6002 - STAFF SALARIES</v>
      </c>
      <c r="C95" s="11"/>
      <c r="D95" s="6">
        <v>14599.4</v>
      </c>
      <c r="E95" s="2"/>
      <c r="F95" s="7">
        <f t="shared" si="29"/>
        <v>0.12650032518851487</v>
      </c>
      <c r="G95" s="2"/>
      <c r="H95" s="6">
        <v>14306.98</v>
      </c>
      <c r="I95" s="2"/>
      <c r="J95" s="7">
        <f t="shared" si="30"/>
        <v>5.4437969697942859E-2</v>
      </c>
      <c r="K95" s="2"/>
      <c r="L95" s="6">
        <f t="shared" si="31"/>
        <v>292.42000000000007</v>
      </c>
      <c r="M95" s="2"/>
      <c r="N95" s="7">
        <f t="shared" si="32"/>
        <v>2.0438974542496047E-2</v>
      </c>
      <c r="O95" s="11"/>
      <c r="P95" s="6">
        <v>70287.22</v>
      </c>
      <c r="Q95" s="2"/>
      <c r="R95" s="7">
        <f t="shared" si="33"/>
        <v>9.8301425713755455E-2</v>
      </c>
      <c r="S95" s="2"/>
      <c r="T95" s="6">
        <v>44888.51</v>
      </c>
      <c r="U95" s="2"/>
      <c r="V95" s="7">
        <f t="shared" si="34"/>
        <v>3.9993470753405064E-2</v>
      </c>
      <c r="W95" s="2"/>
      <c r="X95" s="6">
        <f t="shared" si="35"/>
        <v>25398.71</v>
      </c>
      <c r="Y95" s="2"/>
      <c r="Z95" s="7">
        <f t="shared" si="36"/>
        <v>0.56581762237151556</v>
      </c>
    </row>
    <row r="96" spans="1:26" s="24" customFormat="1" hidden="1" outlineLevel="2" x14ac:dyDescent="0.25">
      <c r="A96" s="28"/>
      <c r="B96" s="11" t="str">
        <f>CONCATENATE("          ", "6004", " - ", "STAFF HOURLY")</f>
        <v xml:space="preserve">          6004 - STAFF HOURLY</v>
      </c>
      <c r="C96" s="11"/>
      <c r="D96" s="6">
        <v>9364.9599999999991</v>
      </c>
      <c r="E96" s="2"/>
      <c r="F96" s="7">
        <f t="shared" si="29"/>
        <v>8.1145148799089961E-2</v>
      </c>
      <c r="G96" s="2"/>
      <c r="H96" s="6"/>
      <c r="I96" s="2"/>
      <c r="J96" s="7">
        <f t="shared" si="30"/>
        <v>0</v>
      </c>
      <c r="K96" s="2"/>
      <c r="L96" s="6">
        <f t="shared" si="31"/>
        <v>9364.9599999999991</v>
      </c>
      <c r="M96" s="2"/>
      <c r="N96" s="7">
        <f t="shared" si="32"/>
        <v>0</v>
      </c>
      <c r="O96" s="11"/>
      <c r="P96" s="6">
        <v>32799.449999999997</v>
      </c>
      <c r="Q96" s="2"/>
      <c r="R96" s="7">
        <f t="shared" si="33"/>
        <v>4.5872246727456795E-2</v>
      </c>
      <c r="S96" s="2"/>
      <c r="T96" s="6"/>
      <c r="U96" s="2"/>
      <c r="V96" s="7">
        <f t="shared" si="34"/>
        <v>0</v>
      </c>
      <c r="W96" s="2"/>
      <c r="X96" s="6">
        <f t="shared" si="35"/>
        <v>32799.449999999997</v>
      </c>
      <c r="Y96" s="2"/>
      <c r="Z96" s="7">
        <f t="shared" si="36"/>
        <v>0</v>
      </c>
    </row>
    <row r="97" spans="1:26" s="24" customFormat="1" hidden="1" outlineLevel="2" x14ac:dyDescent="0.25">
      <c r="A97" s="28"/>
      <c r="B97" s="11" t="str">
        <f>CONCATENATE("          ", "6005", " - ", "TEMPORARY WAGES-HOURLY")</f>
        <v xml:space="preserve">          6005 - TEMPORARY WAGES-HOURLY</v>
      </c>
      <c r="C97" s="11"/>
      <c r="D97" s="6">
        <v>7661.13</v>
      </c>
      <c r="E97" s="2"/>
      <c r="F97" s="7">
        <f t="shared" si="29"/>
        <v>6.6381867495341376E-2</v>
      </c>
      <c r="G97" s="2"/>
      <c r="H97" s="6">
        <v>5934.48</v>
      </c>
      <c r="I97" s="2"/>
      <c r="J97" s="7">
        <f t="shared" si="30"/>
        <v>2.2580659399331508E-2</v>
      </c>
      <c r="K97" s="2"/>
      <c r="L97" s="6">
        <f t="shared" si="31"/>
        <v>1726.6500000000005</v>
      </c>
      <c r="M97" s="2"/>
      <c r="N97" s="7">
        <f t="shared" si="32"/>
        <v>0.29095219800218397</v>
      </c>
      <c r="O97" s="11"/>
      <c r="P97" s="6">
        <v>20700.080000000002</v>
      </c>
      <c r="Q97" s="2"/>
      <c r="R97" s="7">
        <f t="shared" si="33"/>
        <v>2.8950460359490605E-2</v>
      </c>
      <c r="S97" s="2"/>
      <c r="T97" s="6">
        <v>16619.02</v>
      </c>
      <c r="U97" s="2"/>
      <c r="V97" s="7">
        <f t="shared" si="34"/>
        <v>1.480673540556935E-2</v>
      </c>
      <c r="W97" s="2"/>
      <c r="X97" s="6">
        <f t="shared" si="35"/>
        <v>4081.0600000000013</v>
      </c>
      <c r="Y97" s="2"/>
      <c r="Z97" s="7">
        <f t="shared" si="36"/>
        <v>0.24556562300304116</v>
      </c>
    </row>
    <row r="98" spans="1:26" s="24" customFormat="1" hidden="1" outlineLevel="2" x14ac:dyDescent="0.25">
      <c r="A98" s="28"/>
      <c r="B98" s="11" t="str">
        <f>CONCATENATE("          ", "6006", " - ", "TEMPORARY PART TIME")</f>
        <v xml:space="preserve">          6006 - TEMPORARY PART TIME</v>
      </c>
      <c r="C98" s="11"/>
      <c r="D98" s="6"/>
      <c r="E98" s="2"/>
      <c r="F98" s="7">
        <f t="shared" si="29"/>
        <v>0</v>
      </c>
      <c r="G98" s="2"/>
      <c r="H98" s="6">
        <v>66.5</v>
      </c>
      <c r="I98" s="2"/>
      <c r="J98" s="7">
        <f t="shared" si="30"/>
        <v>2.5303208538162493E-4</v>
      </c>
      <c r="K98" s="2"/>
      <c r="L98" s="6">
        <f t="shared" si="31"/>
        <v>-66.5</v>
      </c>
      <c r="M98" s="2"/>
      <c r="N98" s="7">
        <f t="shared" si="32"/>
        <v>-1</v>
      </c>
      <c r="O98" s="11"/>
      <c r="P98" s="6"/>
      <c r="Q98" s="2"/>
      <c r="R98" s="7">
        <f t="shared" si="33"/>
        <v>0</v>
      </c>
      <c r="S98" s="2"/>
      <c r="T98" s="6">
        <v>66.5</v>
      </c>
      <c r="U98" s="2"/>
      <c r="V98" s="7">
        <f t="shared" si="34"/>
        <v>5.9248253174396675E-5</v>
      </c>
      <c r="W98" s="2"/>
      <c r="X98" s="6">
        <f t="shared" si="35"/>
        <v>-66.5</v>
      </c>
      <c r="Y98" s="2"/>
      <c r="Z98" s="7">
        <f t="shared" si="36"/>
        <v>-1</v>
      </c>
    </row>
    <row r="99" spans="1:26" s="24" customFormat="1" hidden="1" outlineLevel="2" x14ac:dyDescent="0.25">
      <c r="A99" s="28"/>
      <c r="B99" s="11" t="str">
        <f>CONCATENATE("          ", "6007", " - ", "STUDENT HOURLY")</f>
        <v xml:space="preserve">          6007 - STUDENT HOURLY</v>
      </c>
      <c r="C99" s="11"/>
      <c r="D99" s="6">
        <v>7077.58</v>
      </c>
      <c r="E99" s="2"/>
      <c r="F99" s="7">
        <f t="shared" si="29"/>
        <v>6.1325545676379101E-2</v>
      </c>
      <c r="G99" s="2"/>
      <c r="H99" s="6">
        <v>24341.5</v>
      </c>
      <c r="I99" s="2"/>
      <c r="J99" s="7">
        <f t="shared" si="30"/>
        <v>9.2619255734087566E-2</v>
      </c>
      <c r="K99" s="2"/>
      <c r="L99" s="6">
        <f t="shared" si="31"/>
        <v>-17263.919999999998</v>
      </c>
      <c r="M99" s="2"/>
      <c r="N99" s="7">
        <f t="shared" si="32"/>
        <v>-0.70923813240761657</v>
      </c>
      <c r="O99" s="11"/>
      <c r="P99" s="6">
        <v>25075.88</v>
      </c>
      <c r="Q99" s="2"/>
      <c r="R99" s="7">
        <f t="shared" si="33"/>
        <v>3.5070312284751708E-2</v>
      </c>
      <c r="S99" s="2"/>
      <c r="T99" s="6">
        <v>89979.199999999997</v>
      </c>
      <c r="U99" s="2"/>
      <c r="V99" s="7">
        <f t="shared" si="34"/>
        <v>8.01670740154838E-2</v>
      </c>
      <c r="W99" s="2"/>
      <c r="X99" s="6">
        <f t="shared" si="35"/>
        <v>-64903.319999999992</v>
      </c>
      <c r="Y99" s="2"/>
      <c r="Z99" s="7">
        <f t="shared" si="36"/>
        <v>-0.72131470384266583</v>
      </c>
    </row>
    <row r="100" spans="1:26" s="24" customFormat="1" hidden="1" outlineLevel="2" x14ac:dyDescent="0.25">
      <c r="A100" s="28"/>
      <c r="B100" s="11" t="str">
        <f>CONCATENATE("          ", "6008", " - ", "STUDENT HOURLY-FICA EXEMPT")</f>
        <v xml:space="preserve">          6008 - STUDENT HOURLY-FICA EXEMPT</v>
      </c>
      <c r="C100" s="11"/>
      <c r="D100" s="6">
        <v>1476.02</v>
      </c>
      <c r="E100" s="2"/>
      <c r="F100" s="7">
        <f t="shared" si="29"/>
        <v>1.2789361890540139E-2</v>
      </c>
      <c r="G100" s="2"/>
      <c r="H100" s="6"/>
      <c r="I100" s="2"/>
      <c r="J100" s="7">
        <f t="shared" si="30"/>
        <v>0</v>
      </c>
      <c r="K100" s="2"/>
      <c r="L100" s="6">
        <f t="shared" si="31"/>
        <v>1476.02</v>
      </c>
      <c r="M100" s="2"/>
      <c r="N100" s="7">
        <f t="shared" si="32"/>
        <v>0</v>
      </c>
      <c r="O100" s="11"/>
      <c r="P100" s="6">
        <v>2964.72</v>
      </c>
      <c r="Q100" s="2"/>
      <c r="R100" s="7">
        <f t="shared" si="33"/>
        <v>4.1463612139174813E-3</v>
      </c>
      <c r="S100" s="2"/>
      <c r="T100" s="6">
        <v>195</v>
      </c>
      <c r="U100" s="2"/>
      <c r="V100" s="7">
        <f t="shared" si="34"/>
        <v>1.7373547923319325E-4</v>
      </c>
      <c r="W100" s="2"/>
      <c r="X100" s="6">
        <f t="shared" si="35"/>
        <v>2769.72</v>
      </c>
      <c r="Y100" s="2"/>
      <c r="Z100" s="7">
        <f t="shared" si="36"/>
        <v>14.203692307692307</v>
      </c>
    </row>
    <row r="101" spans="1:26" s="29" customFormat="1" outlineLevel="1" collapsed="1" x14ac:dyDescent="0.25">
      <c r="A101" s="27"/>
      <c r="B101" s="14" t="str">
        <f>CONCATENATE("     ","Advertising/Promo                                 ")</f>
        <v xml:space="preserve">     Advertising/Promo                                 </v>
      </c>
      <c r="C101" s="14"/>
      <c r="D101" s="1">
        <f>SUM(OSRRefD22_2x_0)</f>
        <v>1191.44</v>
      </c>
      <c r="E101" s="1"/>
      <c r="F101" s="5">
        <f t="shared" ref="F101:F109" si="37">IF(D$12=0,0,D101/D$12)</f>
        <v>1.0323543943080138E-2</v>
      </c>
      <c r="G101" s="1"/>
      <c r="H101" s="1">
        <f>SUM(OSRRefH22_2x_0)</f>
        <v>3136.71</v>
      </c>
      <c r="I101" s="1"/>
      <c r="J101" s="5">
        <f t="shared" ref="J101:J109" si="38">IF(H$12=0,0,H101/H$12)</f>
        <v>1.193516199304356E-2</v>
      </c>
      <c r="K101" s="1"/>
      <c r="L101" s="1">
        <f t="shared" ref="L101:L109" si="39">+D101-H101</f>
        <v>-1945.27</v>
      </c>
      <c r="M101" s="1"/>
      <c r="N101" s="5">
        <f t="shared" ref="N101:N109" si="40">IF(H101=0,0,L101/H101)</f>
        <v>-0.62016252697890462</v>
      </c>
      <c r="O101" s="14"/>
      <c r="P101" s="1">
        <f>SUM(OSRRefP22_2x_0)</f>
        <v>12225.15</v>
      </c>
      <c r="Q101" s="1"/>
      <c r="R101" s="5">
        <f t="shared" ref="R101:R109" si="41">IF(P$12=0,0,P101/P$12)</f>
        <v>1.7097698195554147E-2</v>
      </c>
      <c r="S101" s="1"/>
      <c r="T101" s="1">
        <f>SUM(OSRRefT22_2x_0)</f>
        <v>6820.21</v>
      </c>
      <c r="U101" s="1"/>
      <c r="V101" s="5">
        <f t="shared" ref="V101:V109" si="42">IF(T$12=0,0,T101/T$12)</f>
        <v>6.0764741170308565E-3</v>
      </c>
      <c r="W101" s="1"/>
      <c r="X101" s="1">
        <f t="shared" ref="X101:X109" si="43">+P101-T101</f>
        <v>5404.94</v>
      </c>
      <c r="Y101" s="1"/>
      <c r="Z101" s="5">
        <f t="shared" ref="Z101:Z109" si="44">IF(T101=0,0,X101/T101)</f>
        <v>0.79248879433331221</v>
      </c>
    </row>
    <row r="102" spans="1:26" s="24" customFormat="1" hidden="1" outlineLevel="2" x14ac:dyDescent="0.25">
      <c r="A102" s="28"/>
      <c r="B102" s="11" t="str">
        <f>CONCATENATE("          ", "6362", " - ", "ADVERTISING EXPENSE")</f>
        <v xml:space="preserve">          6362 - ADVERTISING EXPENSE</v>
      </c>
      <c r="C102" s="11"/>
      <c r="D102" s="6">
        <v>1191.44</v>
      </c>
      <c r="E102" s="2"/>
      <c r="F102" s="7">
        <f t="shared" si="37"/>
        <v>1.0323543943080138E-2</v>
      </c>
      <c r="G102" s="2"/>
      <c r="H102" s="6">
        <v>3136.71</v>
      </c>
      <c r="I102" s="2"/>
      <c r="J102" s="7">
        <f t="shared" si="38"/>
        <v>1.193516199304356E-2</v>
      </c>
      <c r="K102" s="2"/>
      <c r="L102" s="6">
        <f t="shared" si="39"/>
        <v>-1945.27</v>
      </c>
      <c r="M102" s="2"/>
      <c r="N102" s="7">
        <f t="shared" si="40"/>
        <v>-0.62016252697890462</v>
      </c>
      <c r="O102" s="11"/>
      <c r="P102" s="6">
        <v>12225.15</v>
      </c>
      <c r="Q102" s="2"/>
      <c r="R102" s="7">
        <f t="shared" si="41"/>
        <v>1.7097698195554147E-2</v>
      </c>
      <c r="S102" s="2"/>
      <c r="T102" s="6">
        <v>6820.21</v>
      </c>
      <c r="U102" s="2"/>
      <c r="V102" s="7">
        <f t="shared" si="42"/>
        <v>6.0764741170308565E-3</v>
      </c>
      <c r="W102" s="2"/>
      <c r="X102" s="6">
        <f t="shared" si="43"/>
        <v>5404.94</v>
      </c>
      <c r="Y102" s="2"/>
      <c r="Z102" s="7">
        <f t="shared" si="44"/>
        <v>0.79248879433331221</v>
      </c>
    </row>
    <row r="103" spans="1:26" s="29" customFormat="1" outlineLevel="1" collapsed="1" x14ac:dyDescent="0.25">
      <c r="A103" s="27"/>
      <c r="B103" s="14" t="str">
        <f>CONCATENATE("     ","Bad Debts/Over/Short                              ")</f>
        <v xml:space="preserve">     Bad Debts/Over/Short                              </v>
      </c>
      <c r="C103" s="14"/>
      <c r="D103" s="1">
        <f>SUM(OSRRefD22_3x_0)</f>
        <v>-1.23</v>
      </c>
      <c r="E103" s="1"/>
      <c r="F103" s="5">
        <f t="shared" si="37"/>
        <v>-1.0657657162751433E-5</v>
      </c>
      <c r="G103" s="1"/>
      <c r="H103" s="1">
        <f>SUM(OSRRefH22_3x_0)</f>
        <v>-6.68</v>
      </c>
      <c r="I103" s="1"/>
      <c r="J103" s="5">
        <f t="shared" si="38"/>
        <v>-2.5417358351116607E-5</v>
      </c>
      <c r="K103" s="1"/>
      <c r="L103" s="1">
        <f t="shared" si="39"/>
        <v>5.4499999999999993</v>
      </c>
      <c r="M103" s="1"/>
      <c r="N103" s="5">
        <f t="shared" si="40"/>
        <v>-0.81586826347305386</v>
      </c>
      <c r="O103" s="14"/>
      <c r="P103" s="1">
        <f>SUM(OSRRefP22_3x_0)</f>
        <v>-0.53</v>
      </c>
      <c r="Q103" s="1"/>
      <c r="R103" s="5">
        <f t="shared" si="41"/>
        <v>-7.4124080634132908E-7</v>
      </c>
      <c r="S103" s="1"/>
      <c r="T103" s="1">
        <f>SUM(OSRRefT22_3x_0)</f>
        <v>23.03</v>
      </c>
      <c r="U103" s="1"/>
      <c r="V103" s="5">
        <f t="shared" si="42"/>
        <v>2.0518605573027903E-5</v>
      </c>
      <c r="W103" s="1"/>
      <c r="X103" s="1">
        <f t="shared" si="43"/>
        <v>-23.560000000000002</v>
      </c>
      <c r="Y103" s="1"/>
      <c r="Z103" s="5">
        <f t="shared" si="44"/>
        <v>-1.0230134607034305</v>
      </c>
    </row>
    <row r="104" spans="1:26" s="24" customFormat="1" hidden="1" outlineLevel="2" x14ac:dyDescent="0.25">
      <c r="A104" s="28"/>
      <c r="B104" s="11" t="str">
        <f>CONCATENATE("          ", "6272", " - ", "CASH (OVER/SHORT)")</f>
        <v xml:space="preserve">          6272 - CASH (OVER/SHORT)</v>
      </c>
      <c r="C104" s="11"/>
      <c r="D104" s="6">
        <v>-1.23</v>
      </c>
      <c r="E104" s="2"/>
      <c r="F104" s="7">
        <f t="shared" si="37"/>
        <v>-1.0657657162751433E-5</v>
      </c>
      <c r="G104" s="2"/>
      <c r="H104" s="6">
        <v>-6.68</v>
      </c>
      <c r="I104" s="2"/>
      <c r="J104" s="7">
        <f t="shared" si="38"/>
        <v>-2.5417358351116607E-5</v>
      </c>
      <c r="K104" s="2"/>
      <c r="L104" s="6">
        <f t="shared" si="39"/>
        <v>5.4499999999999993</v>
      </c>
      <c r="M104" s="2"/>
      <c r="N104" s="7">
        <f t="shared" si="40"/>
        <v>-0.81586826347305386</v>
      </c>
      <c r="O104" s="11"/>
      <c r="P104" s="6">
        <v>-0.53</v>
      </c>
      <c r="Q104" s="2"/>
      <c r="R104" s="7">
        <f t="shared" si="41"/>
        <v>-7.4124080634132908E-7</v>
      </c>
      <c r="S104" s="2"/>
      <c r="T104" s="6">
        <v>23.03</v>
      </c>
      <c r="U104" s="2"/>
      <c r="V104" s="7">
        <f t="shared" si="42"/>
        <v>2.0518605573027903E-5</v>
      </c>
      <c r="W104" s="2"/>
      <c r="X104" s="6">
        <f t="shared" si="43"/>
        <v>-23.560000000000002</v>
      </c>
      <c r="Y104" s="2"/>
      <c r="Z104" s="7">
        <f t="shared" si="44"/>
        <v>-1.0230134607034305</v>
      </c>
    </row>
    <row r="105" spans="1:26" s="29" customFormat="1" outlineLevel="1" collapsed="1" x14ac:dyDescent="0.25">
      <c r="A105" s="27"/>
      <c r="B105" s="14" t="str">
        <f>CONCATENATE("     ","Bank/card Fees                                    ")</f>
        <v xml:space="preserve">     Bank/card Fees                                    </v>
      </c>
      <c r="C105" s="14"/>
      <c r="D105" s="1">
        <f>SUM(OSRRefD22_4x_0)</f>
        <v>291.5</v>
      </c>
      <c r="E105" s="1"/>
      <c r="F105" s="5">
        <f t="shared" si="37"/>
        <v>2.5257780999528804E-3</v>
      </c>
      <c r="G105" s="1"/>
      <c r="H105" s="1">
        <f>SUM(OSRRefH22_4x_0)</f>
        <v>566.46</v>
      </c>
      <c r="I105" s="1"/>
      <c r="J105" s="5">
        <f t="shared" si="38"/>
        <v>2.1553767681996281E-3</v>
      </c>
      <c r="K105" s="1"/>
      <c r="L105" s="1">
        <f t="shared" si="39"/>
        <v>-274.96000000000004</v>
      </c>
      <c r="M105" s="1"/>
      <c r="N105" s="5">
        <f t="shared" si="40"/>
        <v>-0.48540055785051023</v>
      </c>
      <c r="O105" s="14"/>
      <c r="P105" s="1">
        <f>SUM(OSRRefP22_4x_0)</f>
        <v>1357.67</v>
      </c>
      <c r="Q105" s="1"/>
      <c r="R105" s="5">
        <f t="shared" si="41"/>
        <v>1.8987932180102496E-3</v>
      </c>
      <c r="S105" s="1"/>
      <c r="T105" s="1">
        <f>SUM(OSRRefT22_4x_0)</f>
        <v>2589.2399999999998</v>
      </c>
      <c r="U105" s="1"/>
      <c r="V105" s="5">
        <f t="shared" si="42"/>
        <v>2.3068864217936063E-3</v>
      </c>
      <c r="W105" s="1"/>
      <c r="X105" s="1">
        <f t="shared" si="43"/>
        <v>-1231.5699999999997</v>
      </c>
      <c r="Y105" s="1"/>
      <c r="Z105" s="5">
        <f t="shared" si="44"/>
        <v>-0.47564922525528719</v>
      </c>
    </row>
    <row r="106" spans="1:26" s="24" customFormat="1" hidden="1" outlineLevel="2" x14ac:dyDescent="0.25">
      <c r="A106" s="28"/>
      <c r="B106" s="11" t="str">
        <f>CONCATENATE("          ", "6381", " - ", "BANK/CREDIT CARD FEES")</f>
        <v xml:space="preserve">          6381 - BANK/CREDIT CARD FEES</v>
      </c>
      <c r="C106" s="11"/>
      <c r="D106" s="6">
        <v>291.5</v>
      </c>
      <c r="E106" s="2"/>
      <c r="F106" s="7">
        <f t="shared" si="37"/>
        <v>2.5257780999528804E-3</v>
      </c>
      <c r="G106" s="2"/>
      <c r="H106" s="6">
        <v>566.46</v>
      </c>
      <c r="I106" s="2"/>
      <c r="J106" s="7">
        <f t="shared" si="38"/>
        <v>2.1553767681996281E-3</v>
      </c>
      <c r="K106" s="2"/>
      <c r="L106" s="6">
        <f t="shared" si="39"/>
        <v>-274.96000000000004</v>
      </c>
      <c r="M106" s="2"/>
      <c r="N106" s="7">
        <f t="shared" si="40"/>
        <v>-0.48540055785051023</v>
      </c>
      <c r="O106" s="11"/>
      <c r="P106" s="6">
        <v>1357.67</v>
      </c>
      <c r="Q106" s="2"/>
      <c r="R106" s="7">
        <f t="shared" si="41"/>
        <v>1.8987932180102496E-3</v>
      </c>
      <c r="S106" s="2"/>
      <c r="T106" s="6">
        <v>2589.2399999999998</v>
      </c>
      <c r="U106" s="2"/>
      <c r="V106" s="7">
        <f t="shared" si="42"/>
        <v>2.3068864217936063E-3</v>
      </c>
      <c r="W106" s="2"/>
      <c r="X106" s="6">
        <f t="shared" si="43"/>
        <v>-1231.5699999999997</v>
      </c>
      <c r="Y106" s="2"/>
      <c r="Z106" s="7">
        <f t="shared" si="44"/>
        <v>-0.47564922525528719</v>
      </c>
    </row>
    <row r="107" spans="1:26" s="29" customFormat="1" outlineLevel="1" collapsed="1" x14ac:dyDescent="0.25">
      <c r="A107" s="27"/>
      <c r="B107" s="14" t="str">
        <f>CONCATENATE("     ","Discounts and Markdowns                           ")</f>
        <v xml:space="preserve">     Discounts and Markdowns                           </v>
      </c>
      <c r="C107" s="14"/>
      <c r="D107" s="1">
        <f>SUM(OSRRefD22_5x_0)</f>
        <v>-830.95</v>
      </c>
      <c r="E107" s="1"/>
      <c r="F107" s="5">
        <f t="shared" si="37"/>
        <v>-7.199983918201874E-3</v>
      </c>
      <c r="G107" s="1"/>
      <c r="H107" s="1">
        <f>SUM(OSRRefH22_5x_0)</f>
        <v>31737.860000000004</v>
      </c>
      <c r="I107" s="1"/>
      <c r="J107" s="5">
        <f t="shared" si="38"/>
        <v>0.12076235941879788</v>
      </c>
      <c r="K107" s="1"/>
      <c r="L107" s="1">
        <f t="shared" si="39"/>
        <v>-32568.810000000005</v>
      </c>
      <c r="M107" s="1"/>
      <c r="N107" s="5">
        <f t="shared" si="40"/>
        <v>-1.026181664422239</v>
      </c>
      <c r="O107" s="14"/>
      <c r="P107" s="1">
        <f>SUM(OSRRefP22_5x_0)</f>
        <v>0</v>
      </c>
      <c r="Q107" s="1"/>
      <c r="R107" s="5">
        <f t="shared" si="41"/>
        <v>0</v>
      </c>
      <c r="S107" s="1"/>
      <c r="T107" s="1">
        <f>SUM(OSRRefT22_5x_0)</f>
        <v>92629.67</v>
      </c>
      <c r="U107" s="1"/>
      <c r="V107" s="5">
        <f t="shared" si="42"/>
        <v>8.2528513377756629E-2</v>
      </c>
      <c r="W107" s="1"/>
      <c r="X107" s="1">
        <f t="shared" si="43"/>
        <v>-92629.67</v>
      </c>
      <c r="Y107" s="1"/>
      <c r="Z107" s="5">
        <f t="shared" si="44"/>
        <v>-1</v>
      </c>
    </row>
    <row r="108" spans="1:26" s="24" customFormat="1" hidden="1" outlineLevel="2" x14ac:dyDescent="0.25">
      <c r="A108" s="28"/>
      <c r="B108" s="11" t="str">
        <f>CONCATENATE("          ", "6382", " - ", "DISCOUNTS/MARK DOWNS")</f>
        <v xml:space="preserve">          6382 - DISCOUNTS/MARK DOWNS</v>
      </c>
      <c r="C108" s="11"/>
      <c r="D108" s="6">
        <v>-830.95</v>
      </c>
      <c r="E108" s="2"/>
      <c r="F108" s="7">
        <f t="shared" si="37"/>
        <v>-7.199983918201874E-3</v>
      </c>
      <c r="G108" s="2"/>
      <c r="H108" s="6">
        <v>31707.070000000003</v>
      </c>
      <c r="I108" s="2"/>
      <c r="J108" s="7">
        <f t="shared" si="38"/>
        <v>0.12064520366076931</v>
      </c>
      <c r="K108" s="2"/>
      <c r="L108" s="6">
        <f t="shared" si="39"/>
        <v>-32538.020000000004</v>
      </c>
      <c r="M108" s="2"/>
      <c r="N108" s="7">
        <f t="shared" si="40"/>
        <v>-1.0262070888290844</v>
      </c>
      <c r="O108" s="11"/>
      <c r="P108" s="6">
        <v>0</v>
      </c>
      <c r="Q108" s="2"/>
      <c r="R108" s="7">
        <f t="shared" si="41"/>
        <v>0</v>
      </c>
      <c r="S108" s="2"/>
      <c r="T108" s="6">
        <v>92637.14</v>
      </c>
      <c r="U108" s="2"/>
      <c r="V108" s="7">
        <f t="shared" si="42"/>
        <v>8.2535168783038029E-2</v>
      </c>
      <c r="W108" s="2"/>
      <c r="X108" s="6">
        <f t="shared" si="43"/>
        <v>-92637.14</v>
      </c>
      <c r="Y108" s="2"/>
      <c r="Z108" s="7">
        <f t="shared" si="44"/>
        <v>-1</v>
      </c>
    </row>
    <row r="109" spans="1:26" s="24" customFormat="1" hidden="1" outlineLevel="2" x14ac:dyDescent="0.25">
      <c r="A109" s="28"/>
      <c r="B109" s="11" t="str">
        <f>CONCATENATE("          ", "9175", " - ", "EARNED DISCOUNTS")</f>
        <v xml:space="preserve">          9175 - EARNED DISCOUNTS</v>
      </c>
      <c r="C109" s="11"/>
      <c r="D109" s="6"/>
      <c r="E109" s="2"/>
      <c r="F109" s="7">
        <f t="shared" si="37"/>
        <v>0</v>
      </c>
      <c r="G109" s="2"/>
      <c r="H109" s="6">
        <v>30.79</v>
      </c>
      <c r="I109" s="2"/>
      <c r="J109" s="7">
        <f t="shared" si="38"/>
        <v>1.1715575802857491E-4</v>
      </c>
      <c r="K109" s="2"/>
      <c r="L109" s="6">
        <f t="shared" si="39"/>
        <v>-30.79</v>
      </c>
      <c r="M109" s="2"/>
      <c r="N109" s="7">
        <f t="shared" si="40"/>
        <v>-1</v>
      </c>
      <c r="O109" s="11"/>
      <c r="P109" s="6"/>
      <c r="Q109" s="2"/>
      <c r="R109" s="7">
        <f t="shared" si="41"/>
        <v>0</v>
      </c>
      <c r="S109" s="2"/>
      <c r="T109" s="6">
        <v>-7.47</v>
      </c>
      <c r="U109" s="2"/>
      <c r="V109" s="7">
        <f t="shared" si="42"/>
        <v>-6.6554052813946333E-6</v>
      </c>
      <c r="W109" s="2"/>
      <c r="X109" s="6">
        <f t="shared" si="43"/>
        <v>7.47</v>
      </c>
      <c r="Y109" s="2"/>
      <c r="Z109" s="7">
        <f t="shared" si="44"/>
        <v>-1</v>
      </c>
    </row>
    <row r="110" spans="1:26" s="29" customFormat="1" outlineLevel="1" collapsed="1" x14ac:dyDescent="0.25">
      <c r="A110" s="27"/>
      <c r="B110" s="14" t="str">
        <f>CONCATENATE("     ","Employees' Appreciation                           ")</f>
        <v xml:space="preserve">     Employees' Appreciation                           </v>
      </c>
      <c r="C110" s="14"/>
      <c r="D110" s="1">
        <f>SUM(OSRRefD22_6x_0)</f>
        <v>0</v>
      </c>
      <c r="E110" s="1"/>
      <c r="F110" s="5">
        <f t="shared" ref="F110:F114" si="45">IF(D$12=0,0,D110/D$12)</f>
        <v>0</v>
      </c>
      <c r="G110" s="1"/>
      <c r="H110" s="1">
        <f>SUM(OSRRefH22_6x_0)</f>
        <v>60</v>
      </c>
      <c r="I110" s="1"/>
      <c r="J110" s="5">
        <f t="shared" ref="J110:J114" si="46">IF(H$12=0,0,H110/H$12)</f>
        <v>2.2829962590823302E-4</v>
      </c>
      <c r="K110" s="1"/>
      <c r="L110" s="1">
        <f t="shared" ref="L110:L114" si="47">+D110-H110</f>
        <v>-60</v>
      </c>
      <c r="M110" s="1"/>
      <c r="N110" s="5">
        <f t="shared" ref="N110:N114" si="48">IF(H110=0,0,L110/H110)</f>
        <v>-1</v>
      </c>
      <c r="O110" s="14"/>
      <c r="P110" s="1">
        <f>SUM(OSRRefP22_6x_0)</f>
        <v>0</v>
      </c>
      <c r="Q110" s="1"/>
      <c r="R110" s="5">
        <f t="shared" ref="R110:R114" si="49">IF(P$12=0,0,P110/P$12)</f>
        <v>0</v>
      </c>
      <c r="S110" s="1"/>
      <c r="T110" s="1">
        <f>SUM(OSRRefT22_6x_0)</f>
        <v>193.91</v>
      </c>
      <c r="U110" s="1"/>
      <c r="V110" s="5">
        <f t="shared" ref="V110:V114" si="50">IF(T$12=0,0,T110/T$12)</f>
        <v>1.7276434245183848E-4</v>
      </c>
      <c r="W110" s="1"/>
      <c r="X110" s="1">
        <f t="shared" ref="X110:X114" si="51">+P110-T110</f>
        <v>-193.91</v>
      </c>
      <c r="Y110" s="1"/>
      <c r="Z110" s="5">
        <f t="shared" ref="Z110:Z114" si="52">IF(T110=0,0,X110/T110)</f>
        <v>-1</v>
      </c>
    </row>
    <row r="111" spans="1:26" s="24" customFormat="1" hidden="1" outlineLevel="2" x14ac:dyDescent="0.25">
      <c r="A111" s="28"/>
      <c r="B111" s="11" t="str">
        <f>CONCATENATE("          ", "6277", " - ", "EMPLOYEE APPRECIATION")</f>
        <v xml:space="preserve">          6277 - EMPLOYEE APPRECIATION</v>
      </c>
      <c r="C111" s="11"/>
      <c r="D111" s="6"/>
      <c r="E111" s="2"/>
      <c r="F111" s="7">
        <f t="shared" si="45"/>
        <v>0</v>
      </c>
      <c r="G111" s="2"/>
      <c r="H111" s="6">
        <v>60</v>
      </c>
      <c r="I111" s="2"/>
      <c r="J111" s="7">
        <f t="shared" si="46"/>
        <v>2.2829962590823302E-4</v>
      </c>
      <c r="K111" s="2"/>
      <c r="L111" s="6">
        <f t="shared" si="47"/>
        <v>-60</v>
      </c>
      <c r="M111" s="2"/>
      <c r="N111" s="7">
        <f t="shared" si="48"/>
        <v>-1</v>
      </c>
      <c r="O111" s="11"/>
      <c r="P111" s="6"/>
      <c r="Q111" s="2"/>
      <c r="R111" s="7">
        <f t="shared" si="49"/>
        <v>0</v>
      </c>
      <c r="S111" s="2"/>
      <c r="T111" s="6">
        <v>193.91</v>
      </c>
      <c r="U111" s="2"/>
      <c r="V111" s="7">
        <f t="shared" si="50"/>
        <v>1.7276434245183848E-4</v>
      </c>
      <c r="W111" s="2"/>
      <c r="X111" s="6">
        <f t="shared" si="51"/>
        <v>-193.91</v>
      </c>
      <c r="Y111" s="2"/>
      <c r="Z111" s="7">
        <f t="shared" si="52"/>
        <v>-1</v>
      </c>
    </row>
    <row r="112" spans="1:26" s="29" customFormat="1" outlineLevel="1" collapsed="1" x14ac:dyDescent="0.25">
      <c r="A112" s="27"/>
      <c r="B112" s="14" t="str">
        <f>CONCATENATE("     ","Freight out/Postage                               ")</f>
        <v xml:space="preserve">     Freight out/Postage                               </v>
      </c>
      <c r="C112" s="14"/>
      <c r="D112" s="1">
        <f>SUM(OSRRefD22_7x_0)</f>
        <v>10.85</v>
      </c>
      <c r="E112" s="1"/>
      <c r="F112" s="5">
        <f t="shared" si="45"/>
        <v>9.4012666842156954E-5</v>
      </c>
      <c r="G112" s="1"/>
      <c r="H112" s="1">
        <f>SUM(OSRRefH22_7x_0)</f>
        <v>70.5</v>
      </c>
      <c r="I112" s="1"/>
      <c r="J112" s="5">
        <f t="shared" si="46"/>
        <v>2.682520604421738E-4</v>
      </c>
      <c r="K112" s="1"/>
      <c r="L112" s="1">
        <f t="shared" si="47"/>
        <v>-59.65</v>
      </c>
      <c r="M112" s="1"/>
      <c r="N112" s="5">
        <f t="shared" si="48"/>
        <v>-0.84609929078014179</v>
      </c>
      <c r="O112" s="14"/>
      <c r="P112" s="1">
        <f>SUM(OSRRefP22_7x_0)</f>
        <v>91.96</v>
      </c>
      <c r="Q112" s="1"/>
      <c r="R112" s="5">
        <f t="shared" si="49"/>
        <v>1.2861227273801626E-4</v>
      </c>
      <c r="S112" s="1"/>
      <c r="T112" s="1">
        <f>SUM(OSRRefT22_7x_0)</f>
        <v>70.5</v>
      </c>
      <c r="U112" s="1"/>
      <c r="V112" s="5">
        <f t="shared" si="50"/>
        <v>6.2812057876616024E-5</v>
      </c>
      <c r="W112" s="1"/>
      <c r="X112" s="1">
        <f t="shared" si="51"/>
        <v>21.459999999999994</v>
      </c>
      <c r="Y112" s="1"/>
      <c r="Z112" s="5">
        <f t="shared" si="52"/>
        <v>0.3043971631205673</v>
      </c>
    </row>
    <row r="113" spans="1:26" s="24" customFormat="1" hidden="1" outlineLevel="2" x14ac:dyDescent="0.25">
      <c r="A113" s="28"/>
      <c r="B113" s="11" t="str">
        <f>CONCATENATE("          ", "6305", " - ", "FREIGHT OUT")</f>
        <v xml:space="preserve">          6305 - FREIGHT OUT</v>
      </c>
      <c r="C113" s="11"/>
      <c r="D113" s="6">
        <v>10.85</v>
      </c>
      <c r="E113" s="2"/>
      <c r="F113" s="7">
        <f t="shared" si="45"/>
        <v>9.4012666842156954E-5</v>
      </c>
      <c r="G113" s="2"/>
      <c r="H113" s="6">
        <v>70</v>
      </c>
      <c r="I113" s="2"/>
      <c r="J113" s="7">
        <f t="shared" si="46"/>
        <v>2.6634956355960521E-4</v>
      </c>
      <c r="K113" s="2"/>
      <c r="L113" s="6">
        <f t="shared" si="47"/>
        <v>-59.15</v>
      </c>
      <c r="M113" s="2"/>
      <c r="N113" s="7">
        <f t="shared" si="48"/>
        <v>-0.84499999999999997</v>
      </c>
      <c r="O113" s="11"/>
      <c r="P113" s="6">
        <v>91.96</v>
      </c>
      <c r="Q113" s="2"/>
      <c r="R113" s="7">
        <f t="shared" si="49"/>
        <v>1.2861227273801626E-4</v>
      </c>
      <c r="S113" s="2"/>
      <c r="T113" s="6">
        <v>70</v>
      </c>
      <c r="U113" s="2"/>
      <c r="V113" s="7">
        <f t="shared" si="50"/>
        <v>6.2366582288838598E-5</v>
      </c>
      <c r="W113" s="2"/>
      <c r="X113" s="6">
        <f t="shared" si="51"/>
        <v>21.959999999999994</v>
      </c>
      <c r="Y113" s="2"/>
      <c r="Z113" s="7">
        <f t="shared" si="52"/>
        <v>0.31371428571428561</v>
      </c>
    </row>
    <row r="114" spans="1:26" s="24" customFormat="1" hidden="1" outlineLevel="2" x14ac:dyDescent="0.25">
      <c r="A114" s="28"/>
      <c r="B114" s="11" t="str">
        <f>CONCATENATE("          ", "6307", " - ", "POSTAGE")</f>
        <v xml:space="preserve">          6307 - POSTAGE</v>
      </c>
      <c r="C114" s="11"/>
      <c r="D114" s="6"/>
      <c r="E114" s="2"/>
      <c r="F114" s="7">
        <f t="shared" si="45"/>
        <v>0</v>
      </c>
      <c r="G114" s="2"/>
      <c r="H114" s="6">
        <v>0.5</v>
      </c>
      <c r="I114" s="2"/>
      <c r="J114" s="7">
        <f t="shared" si="46"/>
        <v>1.9024968825686085E-6</v>
      </c>
      <c r="K114" s="2"/>
      <c r="L114" s="6">
        <f t="shared" si="47"/>
        <v>-0.5</v>
      </c>
      <c r="M114" s="2"/>
      <c r="N114" s="7">
        <f t="shared" si="48"/>
        <v>-1</v>
      </c>
      <c r="O114" s="11"/>
      <c r="P114" s="6"/>
      <c r="Q114" s="2"/>
      <c r="R114" s="7">
        <f t="shared" si="49"/>
        <v>0</v>
      </c>
      <c r="S114" s="2"/>
      <c r="T114" s="6">
        <v>0.5</v>
      </c>
      <c r="U114" s="2"/>
      <c r="V114" s="7">
        <f t="shared" si="50"/>
        <v>4.4547558777741861E-7</v>
      </c>
      <c r="W114" s="2"/>
      <c r="X114" s="6">
        <f t="shared" si="51"/>
        <v>-0.5</v>
      </c>
      <c r="Y114" s="2"/>
      <c r="Z114" s="7">
        <f t="shared" si="52"/>
        <v>-1</v>
      </c>
    </row>
    <row r="115" spans="1:26" s="29" customFormat="1" outlineLevel="1" collapsed="1" x14ac:dyDescent="0.25">
      <c r="A115" s="27"/>
      <c r="B115" s="14" t="str">
        <f>CONCATENATE("     ","Insurance                                         ")</f>
        <v xml:space="preserve">     Insurance                                         </v>
      </c>
      <c r="C115" s="14"/>
      <c r="D115" s="1">
        <f>SUM(OSRRefD22_8x_0)</f>
        <v>161.18</v>
      </c>
      <c r="E115" s="1"/>
      <c r="F115" s="5">
        <f t="shared" ref="F115:F125" si="53">IF(D$12=0,0,D115/D$12)</f>
        <v>1.3965863264164848E-3</v>
      </c>
      <c r="G115" s="1"/>
      <c r="H115" s="1">
        <f>SUM(OSRRefH22_8x_0)</f>
        <v>161.18</v>
      </c>
      <c r="I115" s="1"/>
      <c r="J115" s="5">
        <f t="shared" ref="J115:J125" si="54">IF(H$12=0,0,H115/H$12)</f>
        <v>6.1328889506481667E-4</v>
      </c>
      <c r="K115" s="1"/>
      <c r="L115" s="1">
        <f t="shared" ref="L115:L125" si="55">+D115-H115</f>
        <v>0</v>
      </c>
      <c r="M115" s="1"/>
      <c r="N115" s="5">
        <f t="shared" ref="N115:N125" si="56">IF(H115=0,0,L115/H115)</f>
        <v>0</v>
      </c>
      <c r="O115" s="14"/>
      <c r="P115" s="1">
        <f>SUM(OSRRefP22_8x_0)</f>
        <v>644.72</v>
      </c>
      <c r="Q115" s="1"/>
      <c r="R115" s="5">
        <f t="shared" ref="R115:R125" si="57">IF(P$12=0,0,P115/P$12)</f>
        <v>9.016844767252484E-4</v>
      </c>
      <c r="S115" s="1"/>
      <c r="T115" s="1">
        <f>SUM(OSRRefT22_8x_0)</f>
        <v>644.72</v>
      </c>
      <c r="U115" s="1"/>
      <c r="V115" s="5">
        <f t="shared" ref="V115:V125" si="58">IF(T$12=0,0,T115/T$12)</f>
        <v>5.7441404190371464E-4</v>
      </c>
      <c r="W115" s="1"/>
      <c r="X115" s="1">
        <f t="shared" ref="X115:X125" si="59">+P115-T115</f>
        <v>0</v>
      </c>
      <c r="Y115" s="1"/>
      <c r="Z115" s="5">
        <f t="shared" ref="Z115:Z125" si="60">IF(T115=0,0,X115/T115)</f>
        <v>0</v>
      </c>
    </row>
    <row r="116" spans="1:26" s="24" customFormat="1" hidden="1" outlineLevel="2" x14ac:dyDescent="0.25">
      <c r="A116" s="28"/>
      <c r="B116" s="11" t="str">
        <f>CONCATENATE("          ", "6314", " - ", "LIABILITY INSURANCE")</f>
        <v xml:space="preserve">          6314 - LIABILITY INSURANCE</v>
      </c>
      <c r="C116" s="11"/>
      <c r="D116" s="6">
        <v>161.18</v>
      </c>
      <c r="E116" s="2"/>
      <c r="F116" s="7">
        <f t="shared" si="53"/>
        <v>1.3965863264164848E-3</v>
      </c>
      <c r="G116" s="2"/>
      <c r="H116" s="6">
        <v>161.18</v>
      </c>
      <c r="I116" s="2"/>
      <c r="J116" s="7">
        <f t="shared" si="54"/>
        <v>6.1328889506481667E-4</v>
      </c>
      <c r="K116" s="2"/>
      <c r="L116" s="6">
        <f t="shared" si="55"/>
        <v>0</v>
      </c>
      <c r="M116" s="2"/>
      <c r="N116" s="7">
        <f t="shared" si="56"/>
        <v>0</v>
      </c>
      <c r="O116" s="11"/>
      <c r="P116" s="6">
        <v>644.72</v>
      </c>
      <c r="Q116" s="2"/>
      <c r="R116" s="7">
        <f t="shared" si="57"/>
        <v>9.016844767252484E-4</v>
      </c>
      <c r="S116" s="2"/>
      <c r="T116" s="6">
        <v>644.72</v>
      </c>
      <c r="U116" s="2"/>
      <c r="V116" s="7">
        <f t="shared" si="58"/>
        <v>5.7441404190371464E-4</v>
      </c>
      <c r="W116" s="2"/>
      <c r="X116" s="6">
        <f t="shared" si="59"/>
        <v>0</v>
      </c>
      <c r="Y116" s="2"/>
      <c r="Z116" s="7">
        <f t="shared" si="60"/>
        <v>0</v>
      </c>
    </row>
    <row r="117" spans="1:26" s="29" customFormat="1" outlineLevel="1" collapsed="1" x14ac:dyDescent="0.25">
      <c r="A117" s="27"/>
      <c r="B117" s="14" t="str">
        <f>CONCATENATE("     ","Inventory Adjustment                              ")</f>
        <v xml:space="preserve">     Inventory Adjustment                              </v>
      </c>
      <c r="C117" s="14"/>
      <c r="D117" s="1">
        <f>SUM(OSRRefD22_9x_0)</f>
        <v>1100</v>
      </c>
      <c r="E117" s="1"/>
      <c r="F117" s="5">
        <f t="shared" si="53"/>
        <v>9.5312381130297375E-3</v>
      </c>
      <c r="G117" s="1"/>
      <c r="H117" s="1">
        <f>SUM(OSRRefH22_9x_0)</f>
        <v>3150</v>
      </c>
      <c r="I117" s="1"/>
      <c r="J117" s="5">
        <f t="shared" si="54"/>
        <v>1.1985730360182233E-2</v>
      </c>
      <c r="K117" s="1"/>
      <c r="L117" s="1">
        <f t="shared" si="55"/>
        <v>-2050</v>
      </c>
      <c r="M117" s="1"/>
      <c r="N117" s="5">
        <f t="shared" si="56"/>
        <v>-0.65079365079365081</v>
      </c>
      <c r="O117" s="14"/>
      <c r="P117" s="1">
        <f>SUM(OSRRefP22_9x_0)</f>
        <v>4400</v>
      </c>
      <c r="Q117" s="1"/>
      <c r="R117" s="5">
        <f t="shared" si="57"/>
        <v>6.1536972601921652E-3</v>
      </c>
      <c r="S117" s="1"/>
      <c r="T117" s="1">
        <f>SUM(OSRRefT22_9x_0)</f>
        <v>12600</v>
      </c>
      <c r="U117" s="1"/>
      <c r="V117" s="5">
        <f t="shared" si="58"/>
        <v>1.1225984811990948E-2</v>
      </c>
      <c r="W117" s="1"/>
      <c r="X117" s="1">
        <f t="shared" si="59"/>
        <v>-8200</v>
      </c>
      <c r="Y117" s="1"/>
      <c r="Z117" s="5">
        <f t="shared" si="60"/>
        <v>-0.65079365079365081</v>
      </c>
    </row>
    <row r="118" spans="1:26" s="24" customFormat="1" hidden="1" outlineLevel="2" x14ac:dyDescent="0.25">
      <c r="A118" s="28"/>
      <c r="B118" s="11" t="str">
        <f>CONCATENATE("          ", "6408", " - ", "INVENTORY ADJUSTMENT")</f>
        <v xml:space="preserve">          6408 - INVENTORY ADJUSTMENT</v>
      </c>
      <c r="C118" s="11"/>
      <c r="D118" s="6">
        <v>1100</v>
      </c>
      <c r="E118" s="2"/>
      <c r="F118" s="7">
        <f t="shared" si="53"/>
        <v>9.5312381130297375E-3</v>
      </c>
      <c r="G118" s="2"/>
      <c r="H118" s="6">
        <v>3150</v>
      </c>
      <c r="I118" s="2"/>
      <c r="J118" s="7">
        <f t="shared" si="54"/>
        <v>1.1985730360182233E-2</v>
      </c>
      <c r="K118" s="2"/>
      <c r="L118" s="6">
        <f t="shared" si="55"/>
        <v>-2050</v>
      </c>
      <c r="M118" s="2"/>
      <c r="N118" s="7">
        <f t="shared" si="56"/>
        <v>-0.65079365079365081</v>
      </c>
      <c r="O118" s="11"/>
      <c r="P118" s="6">
        <v>4400</v>
      </c>
      <c r="Q118" s="2"/>
      <c r="R118" s="7">
        <f t="shared" si="57"/>
        <v>6.1536972601921652E-3</v>
      </c>
      <c r="S118" s="2"/>
      <c r="T118" s="6">
        <v>12600</v>
      </c>
      <c r="U118" s="2"/>
      <c r="V118" s="7">
        <f t="shared" si="58"/>
        <v>1.1225984811990948E-2</v>
      </c>
      <c r="W118" s="2"/>
      <c r="X118" s="6">
        <f t="shared" si="59"/>
        <v>-8200</v>
      </c>
      <c r="Y118" s="2"/>
      <c r="Z118" s="7">
        <f t="shared" si="60"/>
        <v>-0.65079365079365081</v>
      </c>
    </row>
    <row r="119" spans="1:26" s="29" customFormat="1" outlineLevel="1" collapsed="1" x14ac:dyDescent="0.25">
      <c r="A119" s="27"/>
      <c r="B119" s="14" t="str">
        <f>CONCATENATE("     ","Professional Services                             ")</f>
        <v xml:space="preserve">     Professional Services                             </v>
      </c>
      <c r="C119" s="14"/>
      <c r="D119" s="1">
        <f>SUM(OSRRefD22_10x_0)</f>
        <v>0</v>
      </c>
      <c r="E119" s="1"/>
      <c r="F119" s="5">
        <f t="shared" si="53"/>
        <v>0</v>
      </c>
      <c r="G119" s="1"/>
      <c r="H119" s="1">
        <f>SUM(OSRRefH22_10x_0)</f>
        <v>0</v>
      </c>
      <c r="I119" s="1"/>
      <c r="J119" s="5">
        <f t="shared" si="54"/>
        <v>0</v>
      </c>
      <c r="K119" s="1"/>
      <c r="L119" s="1">
        <f t="shared" si="55"/>
        <v>0</v>
      </c>
      <c r="M119" s="1"/>
      <c r="N119" s="5">
        <f t="shared" si="56"/>
        <v>0</v>
      </c>
      <c r="O119" s="14"/>
      <c r="P119" s="1">
        <f>SUM(OSRRefP22_10x_0)</f>
        <v>0</v>
      </c>
      <c r="Q119" s="1"/>
      <c r="R119" s="5">
        <f t="shared" si="57"/>
        <v>0</v>
      </c>
      <c r="S119" s="1"/>
      <c r="T119" s="1">
        <f>SUM(OSRRefT22_10x_0)</f>
        <v>750</v>
      </c>
      <c r="U119" s="1"/>
      <c r="V119" s="5">
        <f t="shared" si="58"/>
        <v>6.6821338166612792E-4</v>
      </c>
      <c r="W119" s="1"/>
      <c r="X119" s="1">
        <f t="shared" si="59"/>
        <v>-750</v>
      </c>
      <c r="Y119" s="1"/>
      <c r="Z119" s="5">
        <f t="shared" si="60"/>
        <v>-1</v>
      </c>
    </row>
    <row r="120" spans="1:26" s="24" customFormat="1" hidden="1" outlineLevel="2" x14ac:dyDescent="0.25">
      <c r="A120" s="28"/>
      <c r="B120" s="11" t="str">
        <f>CONCATENATE("          ", "6336", " - ", "PROFESSIONAL SERVICES")</f>
        <v xml:space="preserve">          6336 - PROFESSIONAL SERVICES</v>
      </c>
      <c r="C120" s="11"/>
      <c r="D120" s="6"/>
      <c r="E120" s="2"/>
      <c r="F120" s="7">
        <f t="shared" si="53"/>
        <v>0</v>
      </c>
      <c r="G120" s="2"/>
      <c r="H120" s="6"/>
      <c r="I120" s="2"/>
      <c r="J120" s="7">
        <f t="shared" si="54"/>
        <v>0</v>
      </c>
      <c r="K120" s="2"/>
      <c r="L120" s="6">
        <f t="shared" si="55"/>
        <v>0</v>
      </c>
      <c r="M120" s="2"/>
      <c r="N120" s="7">
        <f t="shared" si="56"/>
        <v>0</v>
      </c>
      <c r="O120" s="11"/>
      <c r="P120" s="6"/>
      <c r="Q120" s="2"/>
      <c r="R120" s="7">
        <f t="shared" si="57"/>
        <v>0</v>
      </c>
      <c r="S120" s="2"/>
      <c r="T120" s="6">
        <v>750</v>
      </c>
      <c r="U120" s="2"/>
      <c r="V120" s="7">
        <f t="shared" si="58"/>
        <v>6.6821338166612792E-4</v>
      </c>
      <c r="W120" s="2"/>
      <c r="X120" s="6">
        <f t="shared" si="59"/>
        <v>-750</v>
      </c>
      <c r="Y120" s="2"/>
      <c r="Z120" s="7">
        <f t="shared" si="60"/>
        <v>-1</v>
      </c>
    </row>
    <row r="121" spans="1:26" s="29" customFormat="1" outlineLevel="1" collapsed="1" x14ac:dyDescent="0.25">
      <c r="A121" s="27"/>
      <c r="B121" s="14" t="str">
        <f>CONCATENATE("     ","Rent                                              ")</f>
        <v xml:space="preserve">     Rent                                              </v>
      </c>
      <c r="C121" s="14"/>
      <c r="D121" s="1">
        <f>SUM(OSRRefD22_11x_0)</f>
        <v>6900</v>
      </c>
      <c r="E121" s="1"/>
      <c r="F121" s="5">
        <f t="shared" si="53"/>
        <v>5.9786857254459265E-2</v>
      </c>
      <c r="G121" s="1"/>
      <c r="H121" s="1">
        <f>SUM(OSRRefH22_11x_0)</f>
        <v>6900</v>
      </c>
      <c r="I121" s="1"/>
      <c r="J121" s="5">
        <f t="shared" si="54"/>
        <v>2.6254456979446797E-2</v>
      </c>
      <c r="K121" s="1"/>
      <c r="L121" s="1">
        <f t="shared" si="55"/>
        <v>0</v>
      </c>
      <c r="M121" s="1"/>
      <c r="N121" s="5">
        <f t="shared" si="56"/>
        <v>0</v>
      </c>
      <c r="O121" s="14"/>
      <c r="P121" s="1">
        <f>SUM(OSRRefP22_11x_0)</f>
        <v>27600</v>
      </c>
      <c r="Q121" s="1"/>
      <c r="R121" s="5">
        <f t="shared" si="57"/>
        <v>3.8600464632114494E-2</v>
      </c>
      <c r="S121" s="1"/>
      <c r="T121" s="1">
        <f>SUM(OSRRefT22_11x_0)</f>
        <v>27600</v>
      </c>
      <c r="U121" s="1"/>
      <c r="V121" s="5">
        <f t="shared" si="58"/>
        <v>2.4590252445313508E-2</v>
      </c>
      <c r="W121" s="1"/>
      <c r="X121" s="1">
        <f t="shared" si="59"/>
        <v>0</v>
      </c>
      <c r="Y121" s="1"/>
      <c r="Z121" s="5">
        <f t="shared" si="60"/>
        <v>0</v>
      </c>
    </row>
    <row r="122" spans="1:26" s="24" customFormat="1" hidden="1" outlineLevel="2" x14ac:dyDescent="0.25">
      <c r="A122" s="28"/>
      <c r="B122" s="11" t="str">
        <f>CONCATENATE("          ", "6273", " - ", "RENT")</f>
        <v xml:space="preserve">          6273 - RENT</v>
      </c>
      <c r="C122" s="11"/>
      <c r="D122" s="6">
        <v>6900</v>
      </c>
      <c r="E122" s="2"/>
      <c r="F122" s="7">
        <f t="shared" si="53"/>
        <v>5.9786857254459265E-2</v>
      </c>
      <c r="G122" s="2"/>
      <c r="H122" s="6">
        <v>6900</v>
      </c>
      <c r="I122" s="2"/>
      <c r="J122" s="7">
        <f t="shared" si="54"/>
        <v>2.6254456979446797E-2</v>
      </c>
      <c r="K122" s="2"/>
      <c r="L122" s="6">
        <f t="shared" si="55"/>
        <v>0</v>
      </c>
      <c r="M122" s="2"/>
      <c r="N122" s="7">
        <f t="shared" si="56"/>
        <v>0</v>
      </c>
      <c r="O122" s="11"/>
      <c r="P122" s="6">
        <v>27600</v>
      </c>
      <c r="Q122" s="2"/>
      <c r="R122" s="7">
        <f t="shared" si="57"/>
        <v>3.8600464632114494E-2</v>
      </c>
      <c r="S122" s="2"/>
      <c r="T122" s="6">
        <v>27600</v>
      </c>
      <c r="U122" s="2"/>
      <c r="V122" s="7">
        <f t="shared" si="58"/>
        <v>2.4590252445313508E-2</v>
      </c>
      <c r="W122" s="2"/>
      <c r="X122" s="6">
        <f t="shared" si="59"/>
        <v>0</v>
      </c>
      <c r="Y122" s="2"/>
      <c r="Z122" s="7">
        <f t="shared" si="60"/>
        <v>0</v>
      </c>
    </row>
    <row r="123" spans="1:26" s="29" customFormat="1" outlineLevel="1" collapsed="1" x14ac:dyDescent="0.25">
      <c r="A123" s="27"/>
      <c r="B123" s="14" t="str">
        <f>CONCATENATE("     ","Repair and Maintenance                            ")</f>
        <v xml:space="preserve">     Repair and Maintenance                            </v>
      </c>
      <c r="C123" s="14"/>
      <c r="D123" s="1">
        <f>SUM(OSRRefD22_12x_0)</f>
        <v>0</v>
      </c>
      <c r="E123" s="1"/>
      <c r="F123" s="5">
        <f t="shared" si="53"/>
        <v>0</v>
      </c>
      <c r="G123" s="1"/>
      <c r="H123" s="1">
        <f>SUM(OSRRefH22_12x_0)</f>
        <v>104.28999999999999</v>
      </c>
      <c r="I123" s="1"/>
      <c r="J123" s="5">
        <f t="shared" si="54"/>
        <v>3.9682279976616032E-4</v>
      </c>
      <c r="K123" s="1"/>
      <c r="L123" s="1">
        <f t="shared" si="55"/>
        <v>-104.28999999999999</v>
      </c>
      <c r="M123" s="1"/>
      <c r="N123" s="5">
        <f t="shared" si="56"/>
        <v>-1</v>
      </c>
      <c r="O123" s="14"/>
      <c r="P123" s="1">
        <f>SUM(OSRRefP22_12x_0)</f>
        <v>48.21</v>
      </c>
      <c r="Q123" s="1"/>
      <c r="R123" s="5">
        <f t="shared" si="57"/>
        <v>6.7424942025878253E-5</v>
      </c>
      <c r="S123" s="1"/>
      <c r="T123" s="1">
        <f>SUM(OSRRefT22_12x_0)</f>
        <v>104.28999999999999</v>
      </c>
      <c r="U123" s="1"/>
      <c r="V123" s="5">
        <f t="shared" si="58"/>
        <v>9.2917298098613968E-5</v>
      </c>
      <c r="W123" s="1"/>
      <c r="X123" s="1">
        <f t="shared" si="59"/>
        <v>-56.079999999999991</v>
      </c>
      <c r="Y123" s="1"/>
      <c r="Z123" s="5">
        <f t="shared" si="60"/>
        <v>-0.53773132610988583</v>
      </c>
    </row>
    <row r="124" spans="1:26" s="24" customFormat="1" hidden="1" outlineLevel="2" x14ac:dyDescent="0.25">
      <c r="A124" s="28"/>
      <c r="B124" s="11" t="str">
        <f>CONCATENATE("          ", "6373", " - ", "MAINTENANCE CONTRACTS")</f>
        <v xml:space="preserve">          6373 - MAINTENANCE CONTRACTS</v>
      </c>
      <c r="C124" s="11"/>
      <c r="D124" s="6"/>
      <c r="E124" s="2"/>
      <c r="F124" s="7">
        <f t="shared" si="53"/>
        <v>0</v>
      </c>
      <c r="G124" s="2"/>
      <c r="H124" s="6">
        <v>45.65</v>
      </c>
      <c r="I124" s="2"/>
      <c r="J124" s="7">
        <f t="shared" si="54"/>
        <v>1.7369796537851395E-4</v>
      </c>
      <c r="K124" s="2"/>
      <c r="L124" s="6">
        <f t="shared" si="55"/>
        <v>-45.65</v>
      </c>
      <c r="M124" s="2"/>
      <c r="N124" s="7">
        <f t="shared" si="56"/>
        <v>-1</v>
      </c>
      <c r="O124" s="11"/>
      <c r="P124" s="6">
        <v>48.21</v>
      </c>
      <c r="Q124" s="2"/>
      <c r="R124" s="7">
        <f t="shared" si="57"/>
        <v>6.7424942025878253E-5</v>
      </c>
      <c r="S124" s="2"/>
      <c r="T124" s="6">
        <v>45.65</v>
      </c>
      <c r="U124" s="2"/>
      <c r="V124" s="7">
        <f t="shared" si="58"/>
        <v>4.0671921164078315E-5</v>
      </c>
      <c r="W124" s="2"/>
      <c r="X124" s="6">
        <f t="shared" si="59"/>
        <v>2.5600000000000023</v>
      </c>
      <c r="Y124" s="2"/>
      <c r="Z124" s="7">
        <f t="shared" si="60"/>
        <v>5.6078860898138058E-2</v>
      </c>
    </row>
    <row r="125" spans="1:26" s="24" customFormat="1" hidden="1" outlineLevel="2" x14ac:dyDescent="0.25">
      <c r="A125" s="28"/>
      <c r="B125" s="11" t="str">
        <f>CONCATENATE("          ", "6375", " - ", "OUTSIDE REPAIRS &amp; MAINTENANCE")</f>
        <v xml:space="preserve">          6375 - OUTSIDE REPAIRS &amp; MAINTENANCE</v>
      </c>
      <c r="C125" s="11"/>
      <c r="D125" s="6"/>
      <c r="E125" s="2"/>
      <c r="F125" s="7">
        <f t="shared" si="53"/>
        <v>0</v>
      </c>
      <c r="G125" s="2"/>
      <c r="H125" s="6">
        <v>58.64</v>
      </c>
      <c r="I125" s="2"/>
      <c r="J125" s="7">
        <f t="shared" si="54"/>
        <v>2.2312483438764641E-4</v>
      </c>
      <c r="K125" s="2"/>
      <c r="L125" s="6">
        <f t="shared" si="55"/>
        <v>-58.64</v>
      </c>
      <c r="M125" s="2"/>
      <c r="N125" s="7">
        <f t="shared" si="56"/>
        <v>-1</v>
      </c>
      <c r="O125" s="11"/>
      <c r="P125" s="6"/>
      <c r="Q125" s="2"/>
      <c r="R125" s="7">
        <f t="shared" si="57"/>
        <v>0</v>
      </c>
      <c r="S125" s="2"/>
      <c r="T125" s="6">
        <v>58.64</v>
      </c>
      <c r="U125" s="2"/>
      <c r="V125" s="7">
        <f t="shared" si="58"/>
        <v>5.2245376934535653E-5</v>
      </c>
      <c r="W125" s="2"/>
      <c r="X125" s="6">
        <f t="shared" si="59"/>
        <v>-58.64</v>
      </c>
      <c r="Y125" s="2"/>
      <c r="Z125" s="7">
        <f t="shared" si="60"/>
        <v>-1</v>
      </c>
    </row>
    <row r="126" spans="1:26" s="29" customFormat="1" outlineLevel="1" collapsed="1" x14ac:dyDescent="0.25">
      <c r="A126" s="27"/>
      <c r="B126" s="14" t="str">
        <f>CONCATENATE("     ","Royalty &amp; Commissions                             ")</f>
        <v xml:space="preserve">     Royalty &amp; Commissions                             </v>
      </c>
      <c r="C126" s="14"/>
      <c r="D126" s="1">
        <f>SUM(OSRRefD22_13x_0)</f>
        <v>10489.6</v>
      </c>
      <c r="E126" s="1"/>
      <c r="F126" s="5">
        <f t="shared" ref="F126:F128" si="61">IF(D$12=0,0,D126/D$12)</f>
        <v>9.0889886645851584E-2</v>
      </c>
      <c r="G126" s="1"/>
      <c r="H126" s="1">
        <f>SUM(OSRRefH22_13x_0)</f>
        <v>882.02</v>
      </c>
      <c r="I126" s="1"/>
      <c r="J126" s="5">
        <f t="shared" ref="J126:J128" si="62">IF(H$12=0,0,H126/H$12)</f>
        <v>3.3560806007263281E-3</v>
      </c>
      <c r="K126" s="1"/>
      <c r="L126" s="1">
        <f t="shared" ref="L126:L128" si="63">+D126-H126</f>
        <v>9607.58</v>
      </c>
      <c r="M126" s="1"/>
      <c r="N126" s="5">
        <f t="shared" ref="N126:N128" si="64">IF(H126=0,0,L126/H126)</f>
        <v>10.892700845785811</v>
      </c>
      <c r="O126" s="14"/>
      <c r="P126" s="1">
        <f>SUM(OSRRefP22_13x_0)</f>
        <v>18411.8</v>
      </c>
      <c r="Q126" s="1"/>
      <c r="R126" s="5">
        <f t="shared" ref="R126:R128" si="65">IF(P$12=0,0,P126/P$12)</f>
        <v>2.5750146185274117E-2</v>
      </c>
      <c r="S126" s="1"/>
      <c r="T126" s="1">
        <f>SUM(OSRRefT22_13x_0)</f>
        <v>5864.84</v>
      </c>
      <c r="U126" s="1"/>
      <c r="V126" s="5">
        <f t="shared" ref="V126:V128" si="66">IF(T$12=0,0,T126/T$12)</f>
        <v>5.2252860924410314E-3</v>
      </c>
      <c r="W126" s="1"/>
      <c r="X126" s="1">
        <f t="shared" ref="X126:X128" si="67">+P126-T126</f>
        <v>12546.96</v>
      </c>
      <c r="Y126" s="1"/>
      <c r="Z126" s="5">
        <f t="shared" ref="Z126:Z128" si="68">IF(T126=0,0,X126/T126)</f>
        <v>2.1393524802040633</v>
      </c>
    </row>
    <row r="127" spans="1:26" s="24" customFormat="1" hidden="1" outlineLevel="2" x14ac:dyDescent="0.25">
      <c r="A127" s="28"/>
      <c r="B127" s="11" t="str">
        <f>CONCATENATE("          ", "6253", " - ", "ROYALTY DUE ATHLETICS-LRG")</f>
        <v xml:space="preserve">          6253 - ROYALTY DUE ATHLETICS-LRG</v>
      </c>
      <c r="C127" s="11"/>
      <c r="D127" s="6">
        <v>10489.6</v>
      </c>
      <c r="E127" s="2"/>
      <c r="F127" s="7">
        <f t="shared" si="61"/>
        <v>9.0889886645851584E-2</v>
      </c>
      <c r="G127" s="2"/>
      <c r="H127" s="6"/>
      <c r="I127" s="2"/>
      <c r="J127" s="7">
        <f t="shared" si="62"/>
        <v>0</v>
      </c>
      <c r="K127" s="2"/>
      <c r="L127" s="6">
        <f t="shared" si="63"/>
        <v>10489.6</v>
      </c>
      <c r="M127" s="2"/>
      <c r="N127" s="7">
        <f t="shared" si="64"/>
        <v>0</v>
      </c>
      <c r="O127" s="11"/>
      <c r="P127" s="6">
        <v>18411.8</v>
      </c>
      <c r="Q127" s="2"/>
      <c r="R127" s="7">
        <f t="shared" si="65"/>
        <v>2.5750146185274117E-2</v>
      </c>
      <c r="S127" s="2"/>
      <c r="T127" s="6">
        <v>4366.95</v>
      </c>
      <c r="U127" s="2"/>
      <c r="V127" s="7">
        <f t="shared" si="66"/>
        <v>3.8907392360891962E-3</v>
      </c>
      <c r="W127" s="2"/>
      <c r="X127" s="6">
        <f t="shared" si="67"/>
        <v>14044.849999999999</v>
      </c>
      <c r="Y127" s="2"/>
      <c r="Z127" s="7">
        <f t="shared" si="68"/>
        <v>3.216169179862375</v>
      </c>
    </row>
    <row r="128" spans="1:26" s="24" customFormat="1" hidden="1" outlineLevel="2" x14ac:dyDescent="0.25">
      <c r="A128" s="28"/>
      <c r="B128" s="11" t="str">
        <f>CONCATENATE("          ", "6254", " - ", "ROYALTY &amp; COMMISSIONS")</f>
        <v xml:space="preserve">          6254 - ROYALTY &amp; COMMISSIONS</v>
      </c>
      <c r="C128" s="11"/>
      <c r="D128" s="6"/>
      <c r="E128" s="2"/>
      <c r="F128" s="7">
        <f t="shared" si="61"/>
        <v>0</v>
      </c>
      <c r="G128" s="2"/>
      <c r="H128" s="6">
        <v>882.02</v>
      </c>
      <c r="I128" s="2"/>
      <c r="J128" s="7">
        <f t="shared" si="62"/>
        <v>3.3560806007263281E-3</v>
      </c>
      <c r="K128" s="2"/>
      <c r="L128" s="6">
        <f t="shared" si="63"/>
        <v>-882.02</v>
      </c>
      <c r="M128" s="2"/>
      <c r="N128" s="7">
        <f t="shared" si="64"/>
        <v>-1</v>
      </c>
      <c r="O128" s="11"/>
      <c r="P128" s="6"/>
      <c r="Q128" s="2"/>
      <c r="R128" s="7">
        <f t="shared" si="65"/>
        <v>0</v>
      </c>
      <c r="S128" s="2"/>
      <c r="T128" s="6">
        <v>1497.89</v>
      </c>
      <c r="U128" s="2"/>
      <c r="V128" s="7">
        <f t="shared" si="66"/>
        <v>1.3345468563518352E-3</v>
      </c>
      <c r="W128" s="2"/>
      <c r="X128" s="6">
        <f t="shared" si="67"/>
        <v>-1497.89</v>
      </c>
      <c r="Y128" s="2"/>
      <c r="Z128" s="7">
        <f t="shared" si="68"/>
        <v>-1</v>
      </c>
    </row>
    <row r="129" spans="1:26" s="29" customFormat="1" outlineLevel="1" collapsed="1" x14ac:dyDescent="0.25">
      <c r="A129" s="27"/>
      <c r="B129" s="14" t="str">
        <f>CONCATENATE("     ","Services                                          ")</f>
        <v xml:space="preserve">     Services                                          </v>
      </c>
      <c r="C129" s="14"/>
      <c r="D129" s="1">
        <f>SUM(OSRRefD22_14x_0)</f>
        <v>96.860000000000014</v>
      </c>
      <c r="E129" s="1"/>
      <c r="F129" s="5">
        <f t="shared" ref="F129:F132" si="69">IF(D$12=0,0,D129/D$12)</f>
        <v>8.3926883966187324E-4</v>
      </c>
      <c r="G129" s="1"/>
      <c r="H129" s="1">
        <f>SUM(OSRRefH22_14x_0)</f>
        <v>914.53</v>
      </c>
      <c r="I129" s="1"/>
      <c r="J129" s="5">
        <f t="shared" ref="J129:J132" si="70">IF(H$12=0,0,H129/H$12)</f>
        <v>3.4797809480309389E-3</v>
      </c>
      <c r="K129" s="1"/>
      <c r="L129" s="1">
        <f t="shared" ref="L129:L132" si="71">+D129-H129</f>
        <v>-817.67</v>
      </c>
      <c r="M129" s="1"/>
      <c r="N129" s="5">
        <f t="shared" ref="N129:N132" si="72">IF(H129=0,0,L129/H129)</f>
        <v>-0.89408767344975015</v>
      </c>
      <c r="O129" s="14"/>
      <c r="P129" s="1">
        <f>SUM(OSRRefP22_14x_0)</f>
        <v>-12.170000000000073</v>
      </c>
      <c r="Q129" s="1"/>
      <c r="R129" s="5">
        <f t="shared" ref="R129:R132" si="73">IF(P$12=0,0,P129/P$12)</f>
        <v>-1.7020567194667979E-5</v>
      </c>
      <c r="S129" s="1"/>
      <c r="T129" s="1">
        <f>SUM(OSRRefT22_14x_0)</f>
        <v>1638.6399999999999</v>
      </c>
      <c r="U129" s="1"/>
      <c r="V129" s="5">
        <f t="shared" ref="V129:V132" si="74">IF(T$12=0,0,T129/T$12)</f>
        <v>1.4599482343111783E-3</v>
      </c>
      <c r="W129" s="1"/>
      <c r="X129" s="1">
        <f t="shared" ref="X129:X132" si="75">+P129-T129</f>
        <v>-1650.81</v>
      </c>
      <c r="Y129" s="1"/>
      <c r="Z129" s="5">
        <f t="shared" ref="Z129:Z132" si="76">IF(T129=0,0,X129/T129)</f>
        <v>-1.0074268905921984</v>
      </c>
    </row>
    <row r="130" spans="1:26" s="24" customFormat="1" hidden="1" outlineLevel="2" x14ac:dyDescent="0.25">
      <c r="A130" s="28"/>
      <c r="B130" s="11" t="str">
        <f>CONCATENATE("          ", "6283", " - ", "PLANT SERVICE")</f>
        <v xml:space="preserve">          6283 - PLANT SERVICE</v>
      </c>
      <c r="C130" s="11"/>
      <c r="D130" s="6"/>
      <c r="E130" s="2"/>
      <c r="F130" s="7">
        <f t="shared" si="69"/>
        <v>0</v>
      </c>
      <c r="G130" s="2"/>
      <c r="H130" s="6"/>
      <c r="I130" s="2"/>
      <c r="J130" s="7">
        <f t="shared" si="70"/>
        <v>0</v>
      </c>
      <c r="K130" s="2"/>
      <c r="L130" s="6">
        <f t="shared" si="71"/>
        <v>0</v>
      </c>
      <c r="M130" s="2"/>
      <c r="N130" s="7">
        <f t="shared" si="72"/>
        <v>0</v>
      </c>
      <c r="O130" s="11"/>
      <c r="P130" s="6"/>
      <c r="Q130" s="2"/>
      <c r="R130" s="7">
        <f t="shared" si="73"/>
        <v>0</v>
      </c>
      <c r="S130" s="2"/>
      <c r="T130" s="6">
        <v>178.65</v>
      </c>
      <c r="U130" s="2"/>
      <c r="V130" s="7">
        <f t="shared" si="74"/>
        <v>1.5916842751287168E-4</v>
      </c>
      <c r="W130" s="2"/>
      <c r="X130" s="6">
        <f t="shared" si="75"/>
        <v>-178.65</v>
      </c>
      <c r="Y130" s="2"/>
      <c r="Z130" s="7">
        <f t="shared" si="76"/>
        <v>-1</v>
      </c>
    </row>
    <row r="131" spans="1:26" s="24" customFormat="1" hidden="1" outlineLevel="2" x14ac:dyDescent="0.25">
      <c r="A131" s="28"/>
      <c r="B131" s="11" t="str">
        <f>CONCATENATE("          ", "6284", " - ", "TRASH REMOVAL EXPENSE")</f>
        <v xml:space="preserve">          6284 - TRASH REMOVAL EXPENSE</v>
      </c>
      <c r="C131" s="11"/>
      <c r="D131" s="6">
        <v>157.59</v>
      </c>
      <c r="E131" s="2"/>
      <c r="F131" s="7">
        <f t="shared" si="69"/>
        <v>1.365479831120324E-3</v>
      </c>
      <c r="G131" s="2"/>
      <c r="H131" s="6">
        <v>134.82</v>
      </c>
      <c r="I131" s="2"/>
      <c r="J131" s="7">
        <f t="shared" si="70"/>
        <v>5.1298925941579954E-4</v>
      </c>
      <c r="K131" s="2"/>
      <c r="L131" s="6">
        <f t="shared" si="71"/>
        <v>22.77000000000001</v>
      </c>
      <c r="M131" s="2"/>
      <c r="N131" s="7">
        <f t="shared" si="72"/>
        <v>0.16889185580774374</v>
      </c>
      <c r="O131" s="11"/>
      <c r="P131" s="6">
        <v>585.29999999999995</v>
      </c>
      <c r="Q131" s="2"/>
      <c r="R131" s="7">
        <f t="shared" si="73"/>
        <v>8.1858159236147137E-4</v>
      </c>
      <c r="S131" s="2"/>
      <c r="T131" s="6">
        <v>539.28</v>
      </c>
      <c r="U131" s="2"/>
      <c r="V131" s="7">
        <f t="shared" si="74"/>
        <v>4.8047214995321257E-4</v>
      </c>
      <c r="W131" s="2"/>
      <c r="X131" s="6">
        <f t="shared" si="75"/>
        <v>46.019999999999982</v>
      </c>
      <c r="Y131" s="2"/>
      <c r="Z131" s="7">
        <f t="shared" si="76"/>
        <v>8.533600356030259E-2</v>
      </c>
    </row>
    <row r="132" spans="1:26" s="24" customFormat="1" hidden="1" outlineLevel="2" x14ac:dyDescent="0.25">
      <c r="A132" s="28"/>
      <c r="B132" s="11" t="str">
        <f>CONCATENATE("          ", "6285", " - ", "JANITORIAL SERVICES")</f>
        <v xml:space="preserve">          6285 - JANITORIAL SERVICES</v>
      </c>
      <c r="C132" s="11"/>
      <c r="D132" s="6">
        <v>-60.73</v>
      </c>
      <c r="E132" s="2"/>
      <c r="F132" s="7">
        <f t="shared" si="69"/>
        <v>-5.2621099145845087E-4</v>
      </c>
      <c r="G132" s="2"/>
      <c r="H132" s="6">
        <v>779.71</v>
      </c>
      <c r="I132" s="2"/>
      <c r="J132" s="7">
        <f t="shared" si="70"/>
        <v>2.9667916886151396E-3</v>
      </c>
      <c r="K132" s="2"/>
      <c r="L132" s="6">
        <f t="shared" si="71"/>
        <v>-840.44</v>
      </c>
      <c r="M132" s="2"/>
      <c r="N132" s="7">
        <f t="shared" si="72"/>
        <v>-1.0778879326929243</v>
      </c>
      <c r="O132" s="11"/>
      <c r="P132" s="6">
        <v>-597.47</v>
      </c>
      <c r="Q132" s="2"/>
      <c r="R132" s="7">
        <f t="shared" si="73"/>
        <v>-8.3560215955613942E-4</v>
      </c>
      <c r="S132" s="2"/>
      <c r="T132" s="6">
        <v>920.71</v>
      </c>
      <c r="U132" s="2"/>
      <c r="V132" s="7">
        <f t="shared" si="74"/>
        <v>8.203076568450942E-4</v>
      </c>
      <c r="W132" s="2"/>
      <c r="X132" s="6">
        <f t="shared" si="75"/>
        <v>-1518.18</v>
      </c>
      <c r="Y132" s="2"/>
      <c r="Z132" s="7">
        <f t="shared" si="76"/>
        <v>-1.6489231136840048</v>
      </c>
    </row>
    <row r="133" spans="1:26" s="29" customFormat="1" outlineLevel="1" collapsed="1" x14ac:dyDescent="0.25">
      <c r="A133" s="27"/>
      <c r="B133" s="14" t="str">
        <f>CONCATENATE("     ","Subscriptions &amp; Dues                              ")</f>
        <v xml:space="preserve">     Subscriptions &amp; Dues                              </v>
      </c>
      <c r="C133" s="14"/>
      <c r="D133" s="1">
        <f>SUM(OSRRefD22_15x_0)</f>
        <v>75</v>
      </c>
      <c r="E133" s="1"/>
      <c r="F133" s="5">
        <f t="shared" ref="F133:F140" si="77">IF(D$12=0,0,D133/D$12)</f>
        <v>6.4985714407020943E-4</v>
      </c>
      <c r="G133" s="1"/>
      <c r="H133" s="1">
        <f>SUM(OSRRefH22_15x_0)</f>
        <v>75</v>
      </c>
      <c r="I133" s="1"/>
      <c r="J133" s="5">
        <f t="shared" ref="J133:J140" si="78">IF(H$12=0,0,H133/H$12)</f>
        <v>2.8537453238529126E-4</v>
      </c>
      <c r="K133" s="1"/>
      <c r="L133" s="1">
        <f t="shared" ref="L133:L140" si="79">+D133-H133</f>
        <v>0</v>
      </c>
      <c r="M133" s="1"/>
      <c r="N133" s="5">
        <f t="shared" ref="N133:N140" si="80">IF(H133=0,0,L133/H133)</f>
        <v>0</v>
      </c>
      <c r="O133" s="14"/>
      <c r="P133" s="1">
        <f>SUM(OSRRefP22_15x_0)</f>
        <v>225.73</v>
      </c>
      <c r="Q133" s="1"/>
      <c r="R133" s="5">
        <f t="shared" ref="R133:R140" si="81">IF(P$12=0,0,P133/P$12)</f>
        <v>3.1569865512344941E-4</v>
      </c>
      <c r="S133" s="1"/>
      <c r="T133" s="1">
        <f>SUM(OSRRefT22_15x_0)</f>
        <v>385.06</v>
      </c>
      <c r="U133" s="1"/>
      <c r="V133" s="5">
        <f t="shared" ref="V133:V140" si="82">IF(T$12=0,0,T133/T$12)</f>
        <v>3.430696596591456E-4</v>
      </c>
      <c r="W133" s="1"/>
      <c r="X133" s="1">
        <f t="shared" ref="X133:X140" si="83">+P133-T133</f>
        <v>-159.33000000000001</v>
      </c>
      <c r="Y133" s="1"/>
      <c r="Z133" s="5">
        <f t="shared" ref="Z133:Z140" si="84">IF(T133=0,0,X133/T133)</f>
        <v>-0.41377967070067007</v>
      </c>
    </row>
    <row r="134" spans="1:26" s="24" customFormat="1" hidden="1" outlineLevel="2" x14ac:dyDescent="0.25">
      <c r="A134" s="28"/>
      <c r="B134" s="11" t="str">
        <f>CONCATENATE("          ", "6275", " - ", "SUBSCRIPTIONS")</f>
        <v xml:space="preserve">          6275 - SUBSCRIPTIONS</v>
      </c>
      <c r="C134" s="11"/>
      <c r="D134" s="6">
        <v>75</v>
      </c>
      <c r="E134" s="2"/>
      <c r="F134" s="7">
        <f t="shared" si="77"/>
        <v>6.4985714407020943E-4</v>
      </c>
      <c r="G134" s="2"/>
      <c r="H134" s="6">
        <v>75</v>
      </c>
      <c r="I134" s="2"/>
      <c r="J134" s="7">
        <f t="shared" si="78"/>
        <v>2.8537453238529126E-4</v>
      </c>
      <c r="K134" s="2"/>
      <c r="L134" s="6">
        <f t="shared" si="79"/>
        <v>0</v>
      </c>
      <c r="M134" s="2"/>
      <c r="N134" s="7">
        <f t="shared" si="80"/>
        <v>0</v>
      </c>
      <c r="O134" s="11"/>
      <c r="P134" s="6">
        <v>225.73</v>
      </c>
      <c r="Q134" s="2"/>
      <c r="R134" s="7">
        <f t="shared" si="81"/>
        <v>3.1569865512344941E-4</v>
      </c>
      <c r="S134" s="2"/>
      <c r="T134" s="6">
        <v>385.06</v>
      </c>
      <c r="U134" s="2"/>
      <c r="V134" s="7">
        <f t="shared" si="82"/>
        <v>3.430696596591456E-4</v>
      </c>
      <c r="W134" s="2"/>
      <c r="X134" s="6">
        <f t="shared" si="83"/>
        <v>-159.33000000000001</v>
      </c>
      <c r="Y134" s="2"/>
      <c r="Z134" s="7">
        <f t="shared" si="84"/>
        <v>-0.41377967070067007</v>
      </c>
    </row>
    <row r="135" spans="1:26" s="29" customFormat="1" outlineLevel="1" collapsed="1" x14ac:dyDescent="0.25">
      <c r="A135" s="27"/>
      <c r="B135" s="14" t="str">
        <f>CONCATENATE("     ","Supplies                                          ")</f>
        <v xml:space="preserve">     Supplies                                          </v>
      </c>
      <c r="C135" s="14"/>
      <c r="D135" s="1">
        <f>SUM(OSRRefD22_16x_0)</f>
        <v>259.3</v>
      </c>
      <c r="E135" s="1"/>
      <c r="F135" s="5">
        <f t="shared" si="77"/>
        <v>2.2467727660987371E-3</v>
      </c>
      <c r="G135" s="1"/>
      <c r="H135" s="1">
        <f>SUM(OSRRefH22_16x_0)</f>
        <v>627.19999999999993</v>
      </c>
      <c r="I135" s="1"/>
      <c r="J135" s="5">
        <f t="shared" si="78"/>
        <v>2.3864920894940624E-3</v>
      </c>
      <c r="K135" s="1"/>
      <c r="L135" s="1">
        <f t="shared" si="79"/>
        <v>-367.89999999999992</v>
      </c>
      <c r="M135" s="1"/>
      <c r="N135" s="5">
        <f t="shared" si="80"/>
        <v>-0.58657525510204078</v>
      </c>
      <c r="O135" s="14"/>
      <c r="P135" s="1">
        <f>SUM(OSRRefP22_16x_0)</f>
        <v>1769.01</v>
      </c>
      <c r="Q135" s="1"/>
      <c r="R135" s="5">
        <f t="shared" si="81"/>
        <v>2.4740799977846688E-3</v>
      </c>
      <c r="S135" s="1"/>
      <c r="T135" s="1">
        <f>SUM(OSRRefT22_16x_0)</f>
        <v>3348.34</v>
      </c>
      <c r="U135" s="1"/>
      <c r="V135" s="5">
        <f t="shared" si="82"/>
        <v>2.9832074591572837E-3</v>
      </c>
      <c r="W135" s="1"/>
      <c r="X135" s="1">
        <f t="shared" si="83"/>
        <v>-1579.3300000000002</v>
      </c>
      <c r="Y135" s="1"/>
      <c r="Z135" s="5">
        <f t="shared" si="84"/>
        <v>-0.4716755168232617</v>
      </c>
    </row>
    <row r="136" spans="1:26" s="24" customFormat="1" hidden="1" outlineLevel="2" x14ac:dyDescent="0.25">
      <c r="A136" s="28"/>
      <c r="B136" s="11" t="str">
        <f>CONCATENATE("          ", "6234", " - ", "EXPENDABLE SUPPLIES &amp; EQUIPMEN")</f>
        <v xml:space="preserve">          6234 - EXPENDABLE SUPPLIES &amp; EQUIPMEN</v>
      </c>
      <c r="C136" s="11"/>
      <c r="D136" s="6"/>
      <c r="E136" s="2"/>
      <c r="F136" s="7">
        <f t="shared" si="77"/>
        <v>0</v>
      </c>
      <c r="G136" s="2"/>
      <c r="H136" s="6"/>
      <c r="I136" s="2"/>
      <c r="J136" s="7">
        <f t="shared" si="78"/>
        <v>0</v>
      </c>
      <c r="K136" s="2"/>
      <c r="L136" s="6">
        <f t="shared" si="79"/>
        <v>0</v>
      </c>
      <c r="M136" s="2"/>
      <c r="N136" s="7">
        <f t="shared" si="80"/>
        <v>0</v>
      </c>
      <c r="O136" s="11"/>
      <c r="P136" s="6"/>
      <c r="Q136" s="2"/>
      <c r="R136" s="7">
        <f t="shared" si="81"/>
        <v>0</v>
      </c>
      <c r="S136" s="2"/>
      <c r="T136" s="6">
        <v>-15.95</v>
      </c>
      <c r="U136" s="2"/>
      <c r="V136" s="7">
        <f t="shared" si="82"/>
        <v>-1.4210671250099652E-5</v>
      </c>
      <c r="W136" s="2"/>
      <c r="X136" s="6">
        <f t="shared" si="83"/>
        <v>15.95</v>
      </c>
      <c r="Y136" s="2"/>
      <c r="Z136" s="7">
        <f t="shared" si="84"/>
        <v>-1</v>
      </c>
    </row>
    <row r="137" spans="1:26" s="24" customFormat="1" hidden="1" outlineLevel="2" x14ac:dyDescent="0.25">
      <c r="A137" s="28"/>
      <c r="B137" s="11" t="str">
        <f>CONCATENATE("          ", "6235", " - ", "COVID-19 EXPENSES")</f>
        <v xml:space="preserve">          6235 - COVID-19 EXPENSES</v>
      </c>
      <c r="C137" s="11"/>
      <c r="D137" s="6"/>
      <c r="E137" s="2"/>
      <c r="F137" s="7">
        <f t="shared" si="77"/>
        <v>0</v>
      </c>
      <c r="G137" s="2"/>
      <c r="H137" s="6"/>
      <c r="I137" s="2"/>
      <c r="J137" s="7">
        <f t="shared" si="78"/>
        <v>0</v>
      </c>
      <c r="K137" s="2"/>
      <c r="L137" s="6">
        <f t="shared" si="79"/>
        <v>0</v>
      </c>
      <c r="M137" s="2"/>
      <c r="N137" s="7">
        <f t="shared" si="80"/>
        <v>0</v>
      </c>
      <c r="O137" s="11"/>
      <c r="P137" s="6">
        <v>1227.08</v>
      </c>
      <c r="Q137" s="2"/>
      <c r="R137" s="7">
        <f t="shared" si="81"/>
        <v>1.7161542804628642E-3</v>
      </c>
      <c r="S137" s="2"/>
      <c r="T137" s="6"/>
      <c r="U137" s="2"/>
      <c r="V137" s="7">
        <f t="shared" si="82"/>
        <v>0</v>
      </c>
      <c r="W137" s="2"/>
      <c r="X137" s="6">
        <f t="shared" si="83"/>
        <v>1227.08</v>
      </c>
      <c r="Y137" s="2"/>
      <c r="Z137" s="7">
        <f t="shared" si="84"/>
        <v>0</v>
      </c>
    </row>
    <row r="138" spans="1:26" s="24" customFormat="1" hidden="1" outlineLevel="2" x14ac:dyDescent="0.25">
      <c r="A138" s="28"/>
      <c r="B138" s="11" t="str">
        <f>CONCATENATE("          ", "6237", " - ", "JANITORIAL SUPPLIES")</f>
        <v xml:space="preserve">          6237 - JANITORIAL SUPPLIES</v>
      </c>
      <c r="C138" s="11"/>
      <c r="D138" s="6">
        <v>52.43</v>
      </c>
      <c r="E138" s="2"/>
      <c r="F138" s="7">
        <f t="shared" si="77"/>
        <v>4.5429346751468103E-4</v>
      </c>
      <c r="G138" s="2"/>
      <c r="H138" s="6">
        <v>83.06</v>
      </c>
      <c r="I138" s="2"/>
      <c r="J138" s="7">
        <f t="shared" si="78"/>
        <v>3.1604278213229724E-4</v>
      </c>
      <c r="K138" s="2"/>
      <c r="L138" s="6">
        <f t="shared" si="79"/>
        <v>-30.630000000000003</v>
      </c>
      <c r="M138" s="2"/>
      <c r="N138" s="7">
        <f t="shared" si="80"/>
        <v>-0.36876956417047918</v>
      </c>
      <c r="O138" s="11"/>
      <c r="P138" s="6">
        <v>191.74</v>
      </c>
      <c r="Q138" s="2"/>
      <c r="R138" s="7">
        <f t="shared" si="81"/>
        <v>2.6816134378846498E-4</v>
      </c>
      <c r="S138" s="2"/>
      <c r="T138" s="6">
        <v>287.72000000000003</v>
      </c>
      <c r="U138" s="2"/>
      <c r="V138" s="7">
        <f t="shared" si="82"/>
        <v>2.5634447223063777E-4</v>
      </c>
      <c r="W138" s="2"/>
      <c r="X138" s="6">
        <f t="shared" si="83"/>
        <v>-95.980000000000018</v>
      </c>
      <c r="Y138" s="2"/>
      <c r="Z138" s="7">
        <f t="shared" si="84"/>
        <v>-0.33358821076046158</v>
      </c>
    </row>
    <row r="139" spans="1:26" s="24" customFormat="1" hidden="1" outlineLevel="2" x14ac:dyDescent="0.25">
      <c r="A139" s="28"/>
      <c r="B139" s="11" t="str">
        <f>CONCATENATE("          ", "6241", " - ", "OFFICE EXPENSE")</f>
        <v xml:space="preserve">          6241 - OFFICE EXPENSE</v>
      </c>
      <c r="C139" s="11"/>
      <c r="D139" s="6">
        <v>20.16</v>
      </c>
      <c r="E139" s="2"/>
      <c r="F139" s="7">
        <f t="shared" si="77"/>
        <v>1.7468160032607229E-4</v>
      </c>
      <c r="G139" s="2"/>
      <c r="H139" s="6">
        <v>430.98</v>
      </c>
      <c r="I139" s="2"/>
      <c r="J139" s="7">
        <f t="shared" si="78"/>
        <v>1.6398762128988378E-3</v>
      </c>
      <c r="K139" s="2"/>
      <c r="L139" s="6">
        <f t="shared" si="79"/>
        <v>-410.82</v>
      </c>
      <c r="M139" s="2"/>
      <c r="N139" s="7">
        <f t="shared" si="80"/>
        <v>-0.9532228873729639</v>
      </c>
      <c r="O139" s="11"/>
      <c r="P139" s="6">
        <v>163.47999999999999</v>
      </c>
      <c r="Q139" s="2"/>
      <c r="R139" s="7">
        <f t="shared" si="81"/>
        <v>2.2863782456732164E-4</v>
      </c>
      <c r="S139" s="2"/>
      <c r="T139" s="6">
        <v>2783.78</v>
      </c>
      <c r="U139" s="2"/>
      <c r="V139" s="7">
        <f t="shared" si="82"/>
        <v>2.4802120634860448E-3</v>
      </c>
      <c r="W139" s="2"/>
      <c r="X139" s="6">
        <f t="shared" si="83"/>
        <v>-2620.3000000000002</v>
      </c>
      <c r="Y139" s="2"/>
      <c r="Z139" s="7">
        <f t="shared" si="84"/>
        <v>-0.94127409493566305</v>
      </c>
    </row>
    <row r="140" spans="1:26" s="24" customFormat="1" hidden="1" outlineLevel="2" x14ac:dyDescent="0.25">
      <c r="A140" s="28"/>
      <c r="B140" s="11" t="str">
        <f>CONCATENATE("          ", "6247", " - ", "STORE SUPPLIES")</f>
        <v xml:space="preserve">          6247 - STORE SUPPLIES</v>
      </c>
      <c r="C140" s="11"/>
      <c r="D140" s="6">
        <v>186.71</v>
      </c>
      <c r="E140" s="2"/>
      <c r="F140" s="7">
        <f t="shared" si="77"/>
        <v>1.617797698257984E-3</v>
      </c>
      <c r="G140" s="2"/>
      <c r="H140" s="6">
        <v>113.16</v>
      </c>
      <c r="I140" s="2"/>
      <c r="J140" s="7">
        <f t="shared" si="78"/>
        <v>4.3057309446292746E-4</v>
      </c>
      <c r="K140" s="2"/>
      <c r="L140" s="6">
        <f t="shared" si="79"/>
        <v>73.550000000000011</v>
      </c>
      <c r="M140" s="2"/>
      <c r="N140" s="7">
        <f t="shared" si="80"/>
        <v>0.64996465182043139</v>
      </c>
      <c r="O140" s="11"/>
      <c r="P140" s="6">
        <v>186.71</v>
      </c>
      <c r="Q140" s="2"/>
      <c r="R140" s="7">
        <f t="shared" si="81"/>
        <v>2.6112654896601802E-4</v>
      </c>
      <c r="S140" s="2"/>
      <c r="T140" s="6">
        <v>292.79000000000002</v>
      </c>
      <c r="U140" s="2"/>
      <c r="V140" s="7">
        <f t="shared" si="82"/>
        <v>2.608615946907008E-4</v>
      </c>
      <c r="W140" s="2"/>
      <c r="X140" s="6">
        <f t="shared" si="83"/>
        <v>-106.08000000000001</v>
      </c>
      <c r="Y140" s="2"/>
      <c r="Z140" s="7">
        <f t="shared" si="84"/>
        <v>-0.36230745585573282</v>
      </c>
    </row>
    <row r="141" spans="1:26" s="29" customFormat="1" outlineLevel="1" collapsed="1" x14ac:dyDescent="0.25">
      <c r="A141" s="27"/>
      <c r="B141" s="14" t="str">
        <f>CONCATENATE("     ","Telephone/Data Lines                              ")</f>
        <v xml:space="preserve">     Telephone/Data Lines                              </v>
      </c>
      <c r="C141" s="14"/>
      <c r="D141" s="1">
        <f>SUM(OSRRefD22_17x_0)</f>
        <v>556.03</v>
      </c>
      <c r="E141" s="1"/>
      <c r="F141" s="5">
        <f t="shared" ref="F141:F147" si="85">IF(D$12=0,0,D141/D$12)</f>
        <v>4.8178675708981135E-3</v>
      </c>
      <c r="G141" s="1"/>
      <c r="H141" s="1">
        <f>SUM(OSRRefH22_17x_0)</f>
        <v>-7.33</v>
      </c>
      <c r="I141" s="1"/>
      <c r="J141" s="5">
        <f t="shared" ref="J141:J147" si="86">IF(H$12=0,0,H141/H$12)</f>
        <v>-2.7890604298455801E-5</v>
      </c>
      <c r="K141" s="1"/>
      <c r="L141" s="1">
        <f t="shared" ref="L141:L147" si="87">+D141-H141</f>
        <v>563.36</v>
      </c>
      <c r="M141" s="1"/>
      <c r="N141" s="5">
        <f t="shared" ref="N141:N147" si="88">IF(H141=0,0,L141/H141)</f>
        <v>-76.856753069577081</v>
      </c>
      <c r="O141" s="14"/>
      <c r="P141" s="1">
        <f>SUM(OSRRefP22_17x_0)</f>
        <v>3373.09</v>
      </c>
      <c r="Q141" s="1"/>
      <c r="R141" s="5">
        <f t="shared" ref="R141:R147" si="89">IF(P$12=0,0,P141/P$12)</f>
        <v>4.7174942480412707E-3</v>
      </c>
      <c r="S141" s="1"/>
      <c r="T141" s="1">
        <f>SUM(OSRRefT22_17x_0)</f>
        <v>4018.09</v>
      </c>
      <c r="U141" s="1"/>
      <c r="V141" s="5">
        <f t="shared" ref="V141:V147" si="90">IF(T$12=0,0,T141/T$12)</f>
        <v>3.5799220089851361E-3</v>
      </c>
      <c r="W141" s="1"/>
      <c r="X141" s="1">
        <f t="shared" ref="X141:X147" si="91">+P141-T141</f>
        <v>-645</v>
      </c>
      <c r="Y141" s="1"/>
      <c r="Z141" s="5">
        <f t="shared" ref="Z141:Z147" si="92">IF(T141=0,0,X141/T141)</f>
        <v>-0.16052403007399038</v>
      </c>
    </row>
    <row r="142" spans="1:26" s="24" customFormat="1" hidden="1" outlineLevel="2" x14ac:dyDescent="0.25">
      <c r="A142" s="28"/>
      <c r="B142" s="11" t="str">
        <f>CONCATENATE("          ", "6309", " - ", "TELEPHONE")</f>
        <v xml:space="preserve">          6309 - TELEPHONE</v>
      </c>
      <c r="C142" s="11"/>
      <c r="D142" s="6">
        <v>556.03</v>
      </c>
      <c r="E142" s="2"/>
      <c r="F142" s="7">
        <f t="shared" si="85"/>
        <v>4.8178675708981135E-3</v>
      </c>
      <c r="G142" s="2"/>
      <c r="H142" s="6">
        <v>-7.33</v>
      </c>
      <c r="I142" s="2"/>
      <c r="J142" s="7">
        <f t="shared" si="86"/>
        <v>-2.7890604298455801E-5</v>
      </c>
      <c r="K142" s="2"/>
      <c r="L142" s="6">
        <f t="shared" si="87"/>
        <v>563.36</v>
      </c>
      <c r="M142" s="2"/>
      <c r="N142" s="7">
        <f t="shared" si="88"/>
        <v>-76.856753069577081</v>
      </c>
      <c r="O142" s="11"/>
      <c r="P142" s="6">
        <v>3373.09</v>
      </c>
      <c r="Q142" s="2"/>
      <c r="R142" s="7">
        <f t="shared" si="89"/>
        <v>4.7174942480412707E-3</v>
      </c>
      <c r="S142" s="2"/>
      <c r="T142" s="6">
        <v>4018.09</v>
      </c>
      <c r="U142" s="2"/>
      <c r="V142" s="7">
        <f t="shared" si="90"/>
        <v>3.5799220089851361E-3</v>
      </c>
      <c r="W142" s="2"/>
      <c r="X142" s="6">
        <f t="shared" si="91"/>
        <v>-645</v>
      </c>
      <c r="Y142" s="2"/>
      <c r="Z142" s="7">
        <f t="shared" si="92"/>
        <v>-0.16052403007399038</v>
      </c>
    </row>
    <row r="143" spans="1:26" s="29" customFormat="1" outlineLevel="1" collapsed="1" x14ac:dyDescent="0.25">
      <c r="A143" s="27"/>
      <c r="B143" s="14" t="str">
        <f>CONCATENATE("     ","Training                                          ")</f>
        <v xml:space="preserve">     Training                                          </v>
      </c>
      <c r="C143" s="14"/>
      <c r="D143" s="1">
        <f>SUM(OSRRefD22_18x_0)</f>
        <v>0</v>
      </c>
      <c r="E143" s="1"/>
      <c r="F143" s="5">
        <f t="shared" si="85"/>
        <v>0</v>
      </c>
      <c r="G143" s="1"/>
      <c r="H143" s="1">
        <f>SUM(OSRRefH22_18x_0)</f>
        <v>1042.56</v>
      </c>
      <c r="I143" s="1"/>
      <c r="J143" s="5">
        <f t="shared" si="86"/>
        <v>3.9669342997814567E-3</v>
      </c>
      <c r="K143" s="1"/>
      <c r="L143" s="1">
        <f t="shared" si="87"/>
        <v>-1042.56</v>
      </c>
      <c r="M143" s="1"/>
      <c r="N143" s="5">
        <f t="shared" si="88"/>
        <v>-1</v>
      </c>
      <c r="O143" s="14"/>
      <c r="P143" s="1">
        <f>SUM(OSRRefP22_18x_0)</f>
        <v>0</v>
      </c>
      <c r="Q143" s="1"/>
      <c r="R143" s="5">
        <f t="shared" si="89"/>
        <v>0</v>
      </c>
      <c r="S143" s="1"/>
      <c r="T143" s="1">
        <f>SUM(OSRRefT22_18x_0)</f>
        <v>1146.06</v>
      </c>
      <c r="U143" s="1"/>
      <c r="V143" s="5">
        <f t="shared" si="90"/>
        <v>1.0210835042563768E-3</v>
      </c>
      <c r="W143" s="1"/>
      <c r="X143" s="1">
        <f t="shared" si="91"/>
        <v>-1146.06</v>
      </c>
      <c r="Y143" s="1"/>
      <c r="Z143" s="5">
        <f t="shared" si="92"/>
        <v>-1</v>
      </c>
    </row>
    <row r="144" spans="1:26" s="24" customFormat="1" hidden="1" outlineLevel="2" x14ac:dyDescent="0.25">
      <c r="A144" s="28"/>
      <c r="B144" s="11" t="str">
        <f>CONCATENATE("          ", "6376", " - ", "TRAINING")</f>
        <v xml:space="preserve">          6376 - TRAINING</v>
      </c>
      <c r="C144" s="11"/>
      <c r="D144" s="6"/>
      <c r="E144" s="2"/>
      <c r="F144" s="7">
        <f t="shared" si="85"/>
        <v>0</v>
      </c>
      <c r="G144" s="2"/>
      <c r="H144" s="6">
        <v>1042.56</v>
      </c>
      <c r="I144" s="2"/>
      <c r="J144" s="7">
        <f t="shared" si="86"/>
        <v>3.9669342997814567E-3</v>
      </c>
      <c r="K144" s="2"/>
      <c r="L144" s="6">
        <f t="shared" si="87"/>
        <v>-1042.56</v>
      </c>
      <c r="M144" s="2"/>
      <c r="N144" s="7">
        <f t="shared" si="88"/>
        <v>-1</v>
      </c>
      <c r="O144" s="11"/>
      <c r="P144" s="6"/>
      <c r="Q144" s="2"/>
      <c r="R144" s="7">
        <f t="shared" si="89"/>
        <v>0</v>
      </c>
      <c r="S144" s="2"/>
      <c r="T144" s="6">
        <v>1146.06</v>
      </c>
      <c r="U144" s="2"/>
      <c r="V144" s="7">
        <f t="shared" si="90"/>
        <v>1.0210835042563768E-3</v>
      </c>
      <c r="W144" s="2"/>
      <c r="X144" s="6">
        <f t="shared" si="91"/>
        <v>-1146.06</v>
      </c>
      <c r="Y144" s="2"/>
      <c r="Z144" s="7">
        <f t="shared" si="92"/>
        <v>-1</v>
      </c>
    </row>
    <row r="145" spans="1:26" s="29" customFormat="1" outlineLevel="1" collapsed="1" x14ac:dyDescent="0.25">
      <c r="A145" s="27"/>
      <c r="B145" s="14" t="str">
        <f>CONCATENATE("     ","Travel                                            ")</f>
        <v xml:space="preserve">     Travel                                            </v>
      </c>
      <c r="C145" s="14"/>
      <c r="D145" s="1">
        <f>SUM(OSRRefD22_19x_0)</f>
        <v>80.959999999999994</v>
      </c>
      <c r="E145" s="1"/>
      <c r="F145" s="5">
        <f t="shared" si="85"/>
        <v>7.0149912511898859E-4</v>
      </c>
      <c r="G145" s="1"/>
      <c r="H145" s="1">
        <f>SUM(OSRRefH22_19x_0)</f>
        <v>441.41</v>
      </c>
      <c r="I145" s="1"/>
      <c r="J145" s="5">
        <f t="shared" si="86"/>
        <v>1.679562297869219E-3</v>
      </c>
      <c r="K145" s="1"/>
      <c r="L145" s="1">
        <f t="shared" si="87"/>
        <v>-360.45000000000005</v>
      </c>
      <c r="M145" s="1"/>
      <c r="N145" s="5">
        <f t="shared" si="88"/>
        <v>-0.81658775288280738</v>
      </c>
      <c r="O145" s="14"/>
      <c r="P145" s="1">
        <f>SUM(OSRRefP22_19x_0)</f>
        <v>321.88</v>
      </c>
      <c r="Q145" s="1"/>
      <c r="R145" s="5">
        <f t="shared" si="89"/>
        <v>4.5017092593423961E-4</v>
      </c>
      <c r="S145" s="1"/>
      <c r="T145" s="1">
        <f>SUM(OSRRefT22_19x_0)</f>
        <v>543.51</v>
      </c>
      <c r="U145" s="1"/>
      <c r="V145" s="5">
        <f t="shared" si="90"/>
        <v>4.8424087342580958E-4</v>
      </c>
      <c r="W145" s="1"/>
      <c r="X145" s="1">
        <f t="shared" si="91"/>
        <v>-221.63</v>
      </c>
      <c r="Y145" s="1"/>
      <c r="Z145" s="5">
        <f t="shared" si="92"/>
        <v>-0.40777538591746243</v>
      </c>
    </row>
    <row r="146" spans="1:26" s="24" customFormat="1" hidden="1" outlineLevel="2" x14ac:dyDescent="0.25">
      <c r="A146" s="28"/>
      <c r="B146" s="11" t="str">
        <f>CONCATENATE("          ", "6292", " - ", "TRAVEL/CONFERENCE")</f>
        <v xml:space="preserve">          6292 - TRAVEL/CONFERENCE</v>
      </c>
      <c r="C146" s="11"/>
      <c r="D146" s="6"/>
      <c r="E146" s="2"/>
      <c r="F146" s="7">
        <f t="shared" si="85"/>
        <v>0</v>
      </c>
      <c r="G146" s="2"/>
      <c r="H146" s="6">
        <v>107.04</v>
      </c>
      <c r="I146" s="2"/>
      <c r="J146" s="7">
        <f t="shared" si="86"/>
        <v>4.0728653262028775E-4</v>
      </c>
      <c r="K146" s="2"/>
      <c r="L146" s="6">
        <f t="shared" si="87"/>
        <v>-107.04</v>
      </c>
      <c r="M146" s="2"/>
      <c r="N146" s="7">
        <f t="shared" si="88"/>
        <v>-1</v>
      </c>
      <c r="O146" s="11"/>
      <c r="P146" s="6"/>
      <c r="Q146" s="2"/>
      <c r="R146" s="7">
        <f t="shared" si="89"/>
        <v>0</v>
      </c>
      <c r="S146" s="2"/>
      <c r="T146" s="6">
        <v>107.04</v>
      </c>
      <c r="U146" s="2"/>
      <c r="V146" s="7">
        <f t="shared" si="90"/>
        <v>9.536741383138978E-5</v>
      </c>
      <c r="W146" s="2"/>
      <c r="X146" s="6">
        <f t="shared" si="91"/>
        <v>-107.04</v>
      </c>
      <c r="Y146" s="2"/>
      <c r="Z146" s="7">
        <f t="shared" si="92"/>
        <v>-1</v>
      </c>
    </row>
    <row r="147" spans="1:26" s="24" customFormat="1" hidden="1" outlineLevel="2" x14ac:dyDescent="0.25">
      <c r="A147" s="28"/>
      <c r="B147" s="11" t="str">
        <f>CONCATENATE("          ", "6294", " - ", "TRAVEL OPERATIONAL")</f>
        <v xml:space="preserve">          6294 - TRAVEL OPERATIONAL</v>
      </c>
      <c r="C147" s="11"/>
      <c r="D147" s="6">
        <v>80.959999999999994</v>
      </c>
      <c r="E147" s="2"/>
      <c r="F147" s="7">
        <f t="shared" si="85"/>
        <v>7.0149912511898859E-4</v>
      </c>
      <c r="G147" s="2"/>
      <c r="H147" s="6">
        <v>334.37</v>
      </c>
      <c r="I147" s="2"/>
      <c r="J147" s="7">
        <f t="shared" si="86"/>
        <v>1.2722757652489313E-3</v>
      </c>
      <c r="K147" s="2"/>
      <c r="L147" s="6">
        <f t="shared" si="87"/>
        <v>-253.41000000000003</v>
      </c>
      <c r="M147" s="2"/>
      <c r="N147" s="7">
        <f t="shared" si="88"/>
        <v>-0.75787301492358772</v>
      </c>
      <c r="O147" s="11"/>
      <c r="P147" s="6">
        <v>321.88</v>
      </c>
      <c r="Q147" s="2"/>
      <c r="R147" s="7">
        <f t="shared" si="89"/>
        <v>4.5017092593423961E-4</v>
      </c>
      <c r="S147" s="2"/>
      <c r="T147" s="6">
        <v>436.47</v>
      </c>
      <c r="U147" s="2"/>
      <c r="V147" s="7">
        <f t="shared" si="90"/>
        <v>3.8887345959441984E-4</v>
      </c>
      <c r="W147" s="2"/>
      <c r="X147" s="6">
        <f t="shared" si="91"/>
        <v>-114.59000000000003</v>
      </c>
      <c r="Y147" s="2"/>
      <c r="Z147" s="7">
        <f t="shared" si="92"/>
        <v>-0.26253808967397535</v>
      </c>
    </row>
    <row r="148" spans="1:26" s="29" customFormat="1" outlineLevel="1" collapsed="1" x14ac:dyDescent="0.25">
      <c r="A148" s="27"/>
      <c r="B148" s="14" t="str">
        <f>CONCATENATE("     ","Utilities                                         ")</f>
        <v xml:space="preserve">     Utilities                                         </v>
      </c>
      <c r="C148" s="14"/>
      <c r="D148" s="1">
        <f>SUM(OSRRefD22_20x_0)</f>
        <v>16.05</v>
      </c>
      <c r="E148" s="1"/>
      <c r="F148" s="5">
        <f t="shared" ref="F148:F149" si="93">IF(D$12=0,0,D148/D$12)</f>
        <v>1.3906942883102483E-4</v>
      </c>
      <c r="G148" s="1"/>
      <c r="H148" s="1">
        <f>SUM(OSRRefH22_20x_0)</f>
        <v>43.86</v>
      </c>
      <c r="I148" s="1"/>
      <c r="J148" s="5">
        <f t="shared" ref="J148:J149" si="94">IF(H$12=0,0,H148/H$12)</f>
        <v>1.6688702653891834E-4</v>
      </c>
      <c r="K148" s="1"/>
      <c r="L148" s="1">
        <f t="shared" ref="L148:L149" si="95">+D148-H148</f>
        <v>-27.81</v>
      </c>
      <c r="M148" s="1"/>
      <c r="N148" s="5">
        <f t="shared" ref="N148:N149" si="96">IF(H148=0,0,L148/H148)</f>
        <v>-0.63406292749658</v>
      </c>
      <c r="O148" s="14"/>
      <c r="P148" s="1">
        <f>SUM(OSRRefP22_20x_0)</f>
        <v>84.41</v>
      </c>
      <c r="Q148" s="1"/>
      <c r="R148" s="5">
        <f t="shared" ref="R148:R149" si="97">IF(P$12=0,0,P148/P$12)</f>
        <v>1.1805308766655016E-4</v>
      </c>
      <c r="S148" s="1"/>
      <c r="T148" s="1">
        <f>SUM(OSRRefT22_20x_0)</f>
        <v>195.66</v>
      </c>
      <c r="U148" s="1"/>
      <c r="V148" s="5">
        <f t="shared" ref="V148:V149" si="98">IF(T$12=0,0,T148/T$12)</f>
        <v>1.7432350700905946E-4</v>
      </c>
      <c r="W148" s="1"/>
      <c r="X148" s="1">
        <f t="shared" ref="X148:X149" si="99">+P148-T148</f>
        <v>-111.25</v>
      </c>
      <c r="Y148" s="1"/>
      <c r="Z148" s="5">
        <f t="shared" ref="Z148:Z149" si="100">IF(T148=0,0,X148/T148)</f>
        <v>-0.56858836757640807</v>
      </c>
    </row>
    <row r="149" spans="1:26" s="24" customFormat="1" hidden="1" outlineLevel="2" x14ac:dyDescent="0.25">
      <c r="A149" s="28"/>
      <c r="B149" s="11" t="str">
        <f>CONCATENATE("          ", "6274", " - ", "UTILITIES")</f>
        <v xml:space="preserve">          6274 - UTILITIES</v>
      </c>
      <c r="C149" s="11"/>
      <c r="D149" s="6">
        <v>16.05</v>
      </c>
      <c r="E149" s="2"/>
      <c r="F149" s="7">
        <f t="shared" si="93"/>
        <v>1.3906942883102483E-4</v>
      </c>
      <c r="G149" s="2"/>
      <c r="H149" s="6">
        <v>43.86</v>
      </c>
      <c r="I149" s="2"/>
      <c r="J149" s="7">
        <f t="shared" si="94"/>
        <v>1.6688702653891834E-4</v>
      </c>
      <c r="K149" s="2"/>
      <c r="L149" s="6">
        <f t="shared" si="95"/>
        <v>-27.81</v>
      </c>
      <c r="M149" s="2"/>
      <c r="N149" s="7">
        <f t="shared" si="96"/>
        <v>-0.63406292749658</v>
      </c>
      <c r="O149" s="11"/>
      <c r="P149" s="6">
        <v>84.41</v>
      </c>
      <c r="Q149" s="2"/>
      <c r="R149" s="7">
        <f t="shared" si="97"/>
        <v>1.1805308766655016E-4</v>
      </c>
      <c r="S149" s="2"/>
      <c r="T149" s="6">
        <v>195.66</v>
      </c>
      <c r="U149" s="2"/>
      <c r="V149" s="7">
        <f t="shared" si="98"/>
        <v>1.7432350700905946E-4</v>
      </c>
      <c r="W149" s="2"/>
      <c r="X149" s="6">
        <f t="shared" si="99"/>
        <v>-111.25</v>
      </c>
      <c r="Y149" s="2"/>
      <c r="Z149" s="7">
        <f t="shared" si="100"/>
        <v>-0.56858836757640807</v>
      </c>
    </row>
    <row r="150" spans="1:26" s="57" customFormat="1" x14ac:dyDescent="0.25">
      <c r="A150" s="37"/>
      <c r="B150" s="37"/>
      <c r="C150" s="37"/>
      <c r="D150" s="1"/>
      <c r="E150" s="1"/>
      <c r="F150" s="5"/>
      <c r="G150" s="1"/>
      <c r="H150" s="1"/>
      <c r="I150" s="1"/>
      <c r="J150" s="5"/>
      <c r="K150" s="1"/>
      <c r="L150" s="1"/>
      <c r="M150" s="1"/>
      <c r="N150" s="5"/>
      <c r="O150" s="37"/>
      <c r="P150" s="1"/>
      <c r="Q150" s="1"/>
      <c r="R150" s="5"/>
      <c r="S150" s="1"/>
      <c r="T150" s="1"/>
      <c r="U150" s="1"/>
      <c r="V150" s="5"/>
      <c r="W150" s="1"/>
      <c r="X150" s="1"/>
      <c r="Y150" s="1"/>
      <c r="Z150" s="5"/>
    </row>
    <row r="151" spans="1:26" s="23" customFormat="1" collapsed="1" x14ac:dyDescent="0.25">
      <c r="A151" s="10"/>
      <c r="B151" s="26" t="s">
        <v>0</v>
      </c>
      <c r="C151" s="10"/>
      <c r="D151" s="4">
        <f>SUM(OSRRefD25x_0)</f>
        <v>20979.200000000001</v>
      </c>
      <c r="E151" s="4"/>
      <c r="F151" s="12">
        <f t="shared" ref="F151:F153" si="101">IF(D$12=0,0,D151/D$12)</f>
        <v>0.18177977329170317</v>
      </c>
      <c r="G151" s="4"/>
      <c r="H151" s="4">
        <f>SUM(OSRRefH25x_0)</f>
        <v>0</v>
      </c>
      <c r="I151" s="4"/>
      <c r="J151" s="12">
        <f t="shared" ref="J151:J153" si="102">IF(H$12=0,0,H151/H$12)</f>
        <v>0</v>
      </c>
      <c r="K151" s="4"/>
      <c r="L151" s="4">
        <f t="shared" ref="L151:L153" si="103">+D151-H151</f>
        <v>20979.200000000001</v>
      </c>
      <c r="M151" s="4"/>
      <c r="N151" s="12">
        <f t="shared" ref="N151:N153" si="104">IF(H151=0,0,L151/H151)</f>
        <v>0</v>
      </c>
      <c r="O151" s="10"/>
      <c r="P151" s="4">
        <f>SUM(OSRRefP25x_0)</f>
        <v>192987.51</v>
      </c>
      <c r="Q151" s="4"/>
      <c r="R151" s="12">
        <f t="shared" ref="R151:R153" si="105">IF(P$12=0,0,P151/P$12)</f>
        <v>0.26990607080416096</v>
      </c>
      <c r="S151" s="4"/>
      <c r="T151" s="4">
        <f>SUM(OSRRefT25x_0)</f>
        <v>14396.98</v>
      </c>
      <c r="U151" s="4"/>
      <c r="V151" s="12">
        <f t="shared" ref="V151:V153" si="106">IF(T$12=0,0,T151/T$12)</f>
        <v>1.2827006255439481E-2</v>
      </c>
      <c r="W151" s="4"/>
      <c r="X151" s="4">
        <f t="shared" ref="X151:X153" si="107">+P151-T151</f>
        <v>178590.53</v>
      </c>
      <c r="Y151" s="4"/>
      <c r="Z151" s="12">
        <f t="shared" ref="Z151:Z153" si="108">IF(T151=0,0,X151/T151)</f>
        <v>12.404721684686649</v>
      </c>
    </row>
    <row r="152" spans="1:26" s="24" customFormat="1" hidden="1" outlineLevel="1" x14ac:dyDescent="0.25">
      <c r="A152" s="44"/>
      <c r="B152" s="11" t="str">
        <f>CONCATENATE("          ", "9150", " - ", "MISC. INCOME")</f>
        <v xml:space="preserve">          9150 - MISC. INCOME</v>
      </c>
      <c r="C152" s="11"/>
      <c r="D152" s="2">
        <f>--20979.2</f>
        <v>20979.200000000001</v>
      </c>
      <c r="E152" s="2"/>
      <c r="F152" s="19">
        <f t="shared" si="101"/>
        <v>0.18177977329170317</v>
      </c>
      <c r="G152" s="2"/>
      <c r="H152" s="2">
        <f t="shared" ref="H152:H153" si="109">0</f>
        <v>0</v>
      </c>
      <c r="I152" s="2"/>
      <c r="J152" s="19">
        <f t="shared" si="102"/>
        <v>0</v>
      </c>
      <c r="K152" s="2"/>
      <c r="L152" s="2">
        <f t="shared" si="103"/>
        <v>20979.200000000001</v>
      </c>
      <c r="M152" s="2"/>
      <c r="N152" s="19">
        <f t="shared" si="104"/>
        <v>0</v>
      </c>
      <c r="O152" s="11"/>
      <c r="P152" s="2">
        <f>--32323.61</f>
        <v>32323.61</v>
      </c>
      <c r="Q152" s="2"/>
      <c r="R152" s="19">
        <f t="shared" si="105"/>
        <v>4.52067523401182E-2</v>
      </c>
      <c r="S152" s="2"/>
      <c r="T152" s="2">
        <f>--14396.98</f>
        <v>14396.98</v>
      </c>
      <c r="U152" s="2"/>
      <c r="V152" s="19">
        <f t="shared" si="106"/>
        <v>1.2827006255439481E-2</v>
      </c>
      <c r="W152" s="2"/>
      <c r="X152" s="2">
        <f t="shared" si="107"/>
        <v>17926.63</v>
      </c>
      <c r="Y152" s="2"/>
      <c r="Z152" s="19">
        <f t="shared" si="108"/>
        <v>1.245166000091686</v>
      </c>
    </row>
    <row r="153" spans="1:26" s="24" customFormat="1" hidden="1" outlineLevel="1" x14ac:dyDescent="0.25">
      <c r="A153" s="44"/>
      <c r="B153" s="11" t="str">
        <f>CONCATENATE("          ", "9163", " - ", "MISC. INCOME")</f>
        <v xml:space="preserve">          9163 - MISC. INCOME</v>
      </c>
      <c r="C153" s="11"/>
      <c r="D153" s="2">
        <f>0</f>
        <v>0</v>
      </c>
      <c r="E153" s="2"/>
      <c r="F153" s="19">
        <f t="shared" si="101"/>
        <v>0</v>
      </c>
      <c r="G153" s="2"/>
      <c r="H153" s="2">
        <f t="shared" si="109"/>
        <v>0</v>
      </c>
      <c r="I153" s="2"/>
      <c r="J153" s="19">
        <f t="shared" si="102"/>
        <v>0</v>
      </c>
      <c r="K153" s="2"/>
      <c r="L153" s="2">
        <f t="shared" si="103"/>
        <v>0</v>
      </c>
      <c r="M153" s="2"/>
      <c r="N153" s="19">
        <f t="shared" si="104"/>
        <v>0</v>
      </c>
      <c r="O153" s="11"/>
      <c r="P153" s="2">
        <f>--160663.9</f>
        <v>160663.9</v>
      </c>
      <c r="Q153" s="2"/>
      <c r="R153" s="19">
        <f t="shared" si="105"/>
        <v>0.22469931846404273</v>
      </c>
      <c r="S153" s="2"/>
      <c r="T153" s="2">
        <f>0</f>
        <v>0</v>
      </c>
      <c r="U153" s="2"/>
      <c r="V153" s="19">
        <f t="shared" si="106"/>
        <v>0</v>
      </c>
      <c r="W153" s="2"/>
      <c r="X153" s="2">
        <f t="shared" si="107"/>
        <v>160663.9</v>
      </c>
      <c r="Y153" s="2"/>
      <c r="Z153" s="19">
        <f t="shared" si="108"/>
        <v>0</v>
      </c>
    </row>
    <row r="154" spans="1:26" x14ac:dyDescent="0.25">
      <c r="A154" s="9"/>
      <c r="B154" s="10"/>
      <c r="C154" s="10"/>
      <c r="D154" s="3"/>
      <c r="E154" s="3"/>
      <c r="F154" s="8"/>
      <c r="G154" s="3"/>
      <c r="H154" s="3"/>
      <c r="I154" s="3"/>
      <c r="J154" s="8"/>
      <c r="K154" s="3"/>
      <c r="L154" s="3"/>
      <c r="M154" s="3"/>
      <c r="N154" s="8"/>
      <c r="O154" s="10"/>
      <c r="P154" s="3"/>
      <c r="Q154" s="3"/>
      <c r="R154" s="8"/>
      <c r="S154" s="3"/>
      <c r="T154" s="3"/>
      <c r="U154" s="3"/>
      <c r="V154" s="8"/>
      <c r="W154" s="3"/>
      <c r="X154" s="3"/>
      <c r="Y154" s="3"/>
      <c r="Z154" s="8"/>
    </row>
    <row r="155" spans="1:26" s="23" customFormat="1" x14ac:dyDescent="0.25">
      <c r="A155" s="10"/>
      <c r="B155" s="25" t="s">
        <v>3</v>
      </c>
      <c r="C155" s="25"/>
      <c r="D155" s="20">
        <f>+D82-D84+D151</f>
        <v>332.670000000031</v>
      </c>
      <c r="E155" s="13"/>
      <c r="F155" s="21">
        <f>IF(D$12=0,0,D155/D$12)</f>
        <v>2.8825063482380894E-3</v>
      </c>
      <c r="G155" s="13"/>
      <c r="H155" s="20">
        <f>+H82-H84+H151</f>
        <v>35163.76999999999</v>
      </c>
      <c r="I155" s="13"/>
      <c r="J155" s="21">
        <f>IF(H$12=0,0,H155/H$12)</f>
        <v>0.13379792560871909</v>
      </c>
      <c r="K155" s="15"/>
      <c r="L155" s="20">
        <f>+D155-H155</f>
        <v>-34831.099999999962</v>
      </c>
      <c r="M155" s="15"/>
      <c r="N155" s="21">
        <f>IF(H155=0,0,L155/H155)</f>
        <v>-0.99053941030782455</v>
      </c>
      <c r="O155" s="26"/>
      <c r="P155" s="20">
        <f>+P82-P84+P151</f>
        <v>202665.94999999995</v>
      </c>
      <c r="Q155" s="13"/>
      <c r="R155" s="21">
        <f>IF(P$12=0,0,P155/P$12)</f>
        <v>0.28344202301119137</v>
      </c>
      <c r="S155" s="13"/>
      <c r="T155" s="20">
        <f>+T82-T84+T151</f>
        <v>273506.26</v>
      </c>
      <c r="U155" s="13"/>
      <c r="V155" s="21">
        <f>IF(T$12=0,0,T155/T$12)</f>
        <v>0.24368072386860695</v>
      </c>
      <c r="W155" s="15"/>
      <c r="X155" s="20">
        <f>+P155-T155</f>
        <v>-70840.310000000056</v>
      </c>
      <c r="Y155" s="15"/>
      <c r="Z155" s="21">
        <f>IF(T155=0,0,X155/T155)</f>
        <v>-0.25900800223000398</v>
      </c>
    </row>
    <row r="156" spans="1:26" x14ac:dyDescent="0.25">
      <c r="A156" s="9"/>
      <c r="B156" s="10"/>
      <c r="C156" s="9"/>
      <c r="D156" s="3"/>
      <c r="E156" s="3"/>
      <c r="F156" s="8"/>
      <c r="G156" s="3"/>
      <c r="H156" s="3"/>
      <c r="I156" s="3"/>
      <c r="J156" s="8"/>
      <c r="K156" s="3"/>
      <c r="L156" s="3"/>
      <c r="M156" s="3"/>
      <c r="N156" s="8"/>
      <c r="P156" s="3"/>
      <c r="Q156" s="3"/>
      <c r="R156" s="8"/>
      <c r="S156" s="3"/>
      <c r="T156" s="3"/>
      <c r="U156" s="3"/>
      <c r="V156" s="8"/>
      <c r="W156" s="3"/>
      <c r="X156" s="3"/>
      <c r="Y156" s="3"/>
      <c r="Z156" s="8"/>
    </row>
    <row r="157" spans="1:26" s="23" customFormat="1" x14ac:dyDescent="0.25">
      <c r="A157" s="51"/>
      <c r="B157" s="10" t="s">
        <v>13</v>
      </c>
      <c r="C157" s="10"/>
      <c r="D157" s="4">
        <v>43807.9</v>
      </c>
      <c r="E157" s="4"/>
      <c r="F157" s="12">
        <f>IF(D$12=0,0,D157/D$12)</f>
        <v>0.3795850237561777</v>
      </c>
      <c r="G157" s="4"/>
      <c r="H157" s="4">
        <v>20652.59</v>
      </c>
      <c r="I157" s="4"/>
      <c r="J157" s="12">
        <f>IF(H$12=0,0,H157/H$12)</f>
        <v>7.8582976183935241E-2</v>
      </c>
      <c r="K157" s="4"/>
      <c r="L157" s="4">
        <f>+D157-H157</f>
        <v>23155.31</v>
      </c>
      <c r="M157" s="4"/>
      <c r="N157" s="12">
        <f>IF(H157=0,0,L157/H157)</f>
        <v>1.1211818953458139</v>
      </c>
      <c r="O157" s="10"/>
      <c r="P157" s="4">
        <v>154888.15</v>
      </c>
      <c r="Q157" s="4"/>
      <c r="R157" s="12">
        <f>IF(P$12=0,0,P157/P$12)</f>
        <v>0.21662154188437116</v>
      </c>
      <c r="S157" s="4"/>
      <c r="T157" s="4">
        <v>112983.23999999999</v>
      </c>
      <c r="U157" s="4"/>
      <c r="V157" s="12">
        <f>IF(T$12=0,0,T157/T$12)</f>
        <v>0.10066255049599429</v>
      </c>
      <c r="W157" s="4"/>
      <c r="X157" s="4">
        <f>+P157-T157</f>
        <v>41904.910000000003</v>
      </c>
      <c r="Y157" s="4"/>
      <c r="Z157" s="12">
        <f>IF(T157=0,0,X157/T157)</f>
        <v>0.37089492211411185</v>
      </c>
    </row>
    <row r="158" spans="1:26" x14ac:dyDescent="0.25">
      <c r="A158" s="9"/>
      <c r="B158" s="10"/>
      <c r="C158" s="10"/>
      <c r="D158" s="3"/>
      <c r="E158" s="3"/>
      <c r="F158" s="8"/>
      <c r="G158" s="3"/>
      <c r="H158" s="3"/>
      <c r="I158" s="3"/>
      <c r="J158" s="8"/>
      <c r="K158" s="3"/>
      <c r="L158" s="3"/>
      <c r="M158" s="3"/>
      <c r="N158" s="8"/>
      <c r="O158" s="10"/>
      <c r="P158" s="3"/>
      <c r="Q158" s="3"/>
      <c r="R158" s="8"/>
      <c r="S158" s="3"/>
      <c r="T158" s="3"/>
      <c r="U158" s="3"/>
      <c r="V158" s="8"/>
      <c r="W158" s="3"/>
      <c r="X158" s="3"/>
      <c r="Y158" s="3"/>
      <c r="Z158" s="8"/>
    </row>
    <row r="159" spans="1:26" s="23" customFormat="1" ht="15.75" thickBot="1" x14ac:dyDescent="0.3">
      <c r="A159" s="10"/>
      <c r="B159" s="25" t="s">
        <v>4</v>
      </c>
      <c r="C159" s="25"/>
      <c r="D159" s="30">
        <f>+D155-D157</f>
        <v>-43475.229999999967</v>
      </c>
      <c r="E159" s="13"/>
      <c r="F159" s="33">
        <f>IF(D$12=0,0,D159/D$12)</f>
        <v>-0.37670251740793959</v>
      </c>
      <c r="G159" s="13"/>
      <c r="H159" s="30">
        <f>+H155-H157</f>
        <v>14511.179999999989</v>
      </c>
      <c r="I159" s="13"/>
      <c r="J159" s="33">
        <f>IF(H$12=0,0,H159/H$12)</f>
        <v>5.5214949424783839E-2</v>
      </c>
      <c r="K159" s="15"/>
      <c r="L159" s="30">
        <f>D159-H159</f>
        <v>-57986.40999999996</v>
      </c>
      <c r="M159" s="15"/>
      <c r="N159" s="33">
        <f>IF(H159=0,0,L159/H159)</f>
        <v>-3.995981718922927</v>
      </c>
      <c r="O159" s="26"/>
      <c r="P159" s="30">
        <f>+P155-P157</f>
        <v>47777.799999999959</v>
      </c>
      <c r="Q159" s="13"/>
      <c r="R159" s="33">
        <f>IF(P$12=0,0,P159/P$12)</f>
        <v>6.6820481126820222E-2</v>
      </c>
      <c r="S159" s="13"/>
      <c r="T159" s="30">
        <f>+T155-T157</f>
        <v>160523.02000000002</v>
      </c>
      <c r="U159" s="13"/>
      <c r="V159" s="33">
        <f>IF(T$12=0,0,T159/T$12)</f>
        <v>0.14301817337261266</v>
      </c>
      <c r="W159" s="15"/>
      <c r="X159" s="30">
        <f>P159-T159</f>
        <v>-112745.22000000006</v>
      </c>
      <c r="Y159" s="15"/>
      <c r="Z159" s="33">
        <f>IF(T159=0,0,X159/T159)</f>
        <v>-0.70236169242268209</v>
      </c>
    </row>
    <row r="160" spans="1:26" ht="15.75" thickTop="1" x14ac:dyDescent="0.25">
      <c r="A160" s="9"/>
      <c r="B160" s="9"/>
      <c r="C160" s="9"/>
      <c r="D160" s="3"/>
      <c r="E160" s="3"/>
      <c r="F160" s="8"/>
      <c r="G160" s="3"/>
      <c r="H160" s="3"/>
      <c r="I160" s="3"/>
      <c r="J160" s="8"/>
      <c r="K160" s="3"/>
      <c r="L160" s="3"/>
      <c r="M160" s="3"/>
      <c r="N160" s="8"/>
      <c r="P160" s="3"/>
      <c r="Q160" s="3"/>
      <c r="R160" s="8"/>
      <c r="S160" s="3"/>
      <c r="T160" s="3"/>
      <c r="U160" s="3"/>
      <c r="V160" s="8"/>
      <c r="W160" s="3"/>
      <c r="X160" s="3"/>
      <c r="Y160" s="3"/>
      <c r="Z160" s="8"/>
    </row>
    <row r="161" spans="1:26" x14ac:dyDescent="0.25">
      <c r="A161" s="9"/>
      <c r="B161" s="9"/>
      <c r="C161" s="9"/>
      <c r="D161" s="3"/>
      <c r="E161" s="3"/>
      <c r="F161" s="8"/>
      <c r="G161" s="3"/>
      <c r="H161" s="3"/>
      <c r="I161" s="3"/>
      <c r="J161" s="8"/>
      <c r="K161" s="3"/>
      <c r="L161" s="3"/>
      <c r="M161" s="3"/>
      <c r="N161" s="8"/>
      <c r="P161" s="3"/>
      <c r="Q161" s="3"/>
      <c r="R161" s="8"/>
      <c r="S161" s="3"/>
      <c r="T161" s="3"/>
      <c r="U161" s="3"/>
      <c r="V161" s="8"/>
      <c r="W161" s="3"/>
      <c r="X161" s="3"/>
      <c r="Y161" s="3"/>
      <c r="Z161" s="8"/>
    </row>
    <row r="162" spans="1:26" s="23" customFormat="1" ht="15.75" thickBot="1" x14ac:dyDescent="0.3">
      <c r="A162" s="10"/>
      <c r="B162" s="25" t="s">
        <v>5</v>
      </c>
      <c r="C162" s="25"/>
      <c r="D162" s="34">
        <f>SUM(D159:D161)</f>
        <v>-43475.229999999967</v>
      </c>
      <c r="E162" s="13"/>
      <c r="F162" s="35">
        <f>IF(D$12=0,0,D162/D$12)</f>
        <v>-0.37670251740793959</v>
      </c>
      <c r="G162" s="13"/>
      <c r="H162" s="34">
        <f>SUM(H159:H161)</f>
        <v>14511.179999999989</v>
      </c>
      <c r="I162" s="13"/>
      <c r="J162" s="35">
        <f>IF(H$12=0,0,H162/H$12)</f>
        <v>5.5214949424783839E-2</v>
      </c>
      <c r="K162" s="15"/>
      <c r="L162" s="34">
        <f>+D162-H162</f>
        <v>-57986.40999999996</v>
      </c>
      <c r="M162" s="15"/>
      <c r="N162" s="35">
        <f>IF(H162=0,0,L162/H162)</f>
        <v>-3.995981718922927</v>
      </c>
      <c r="O162" s="26"/>
      <c r="P162" s="34">
        <f>SUM(P159:P161)</f>
        <v>47777.799999999959</v>
      </c>
      <c r="Q162" s="13"/>
      <c r="R162" s="35">
        <f>IF(P$12=0,0,P162/P$12)</f>
        <v>6.6820481126820222E-2</v>
      </c>
      <c r="S162" s="13"/>
      <c r="T162" s="34">
        <f>SUM(T159:T161)</f>
        <v>160523.02000000002</v>
      </c>
      <c r="U162" s="13"/>
      <c r="V162" s="35">
        <f>IF(T$12=0,0,T162/T$12)</f>
        <v>0.14301817337261266</v>
      </c>
      <c r="W162" s="15"/>
      <c r="X162" s="34">
        <f>+P162-T162</f>
        <v>-112745.22000000006</v>
      </c>
      <c r="Y162" s="15"/>
      <c r="Z162" s="35">
        <f>IF(T162=0,0,X162/T162)</f>
        <v>-0.70236169242268209</v>
      </c>
    </row>
    <row r="163" spans="1:26" ht="15.75" thickTop="1" x14ac:dyDescent="0.25">
      <c r="A163" s="9"/>
      <c r="C163" s="9"/>
      <c r="D163" s="18"/>
      <c r="E163" s="18"/>
      <c r="G163" s="18"/>
      <c r="H163" s="18"/>
      <c r="I163" s="18"/>
      <c r="J163" s="43"/>
      <c r="K163" s="18"/>
      <c r="L163" s="18"/>
      <c r="M163" s="18"/>
      <c r="P163" s="18"/>
      <c r="Q163" s="18"/>
      <c r="R163" s="43"/>
      <c r="S163" s="18"/>
      <c r="T163" s="18"/>
      <c r="U163" s="18"/>
      <c r="V163" s="43"/>
      <c r="W163" s="18"/>
      <c r="X163" s="18"/>
    </row>
    <row r="164" spans="1:26" x14ac:dyDescent="0.25">
      <c r="A164" s="9"/>
      <c r="B164" s="56">
        <v>44151.571963159724</v>
      </c>
      <c r="D164" s="18"/>
      <c r="E164" s="18"/>
      <c r="G164" s="18"/>
      <c r="H164" s="18"/>
      <c r="I164" s="18"/>
      <c r="J164" s="43"/>
      <c r="K164" s="18"/>
      <c r="L164" s="18"/>
      <c r="M164" s="18"/>
      <c r="P164" s="18"/>
      <c r="Q164" s="18"/>
      <c r="R164" s="43"/>
      <c r="S164" s="18"/>
      <c r="T164" s="18"/>
      <c r="U164" s="18"/>
      <c r="V164" s="43"/>
      <c r="W164" s="18"/>
      <c r="X164" s="18"/>
    </row>
    <row r="165" spans="1:26" x14ac:dyDescent="0.25">
      <c r="A165" s="9"/>
      <c r="B165" s="62" t="s">
        <v>313</v>
      </c>
      <c r="D165" s="18"/>
      <c r="E165" s="18"/>
      <c r="G165" s="18"/>
      <c r="H165" s="18"/>
      <c r="I165" s="18"/>
      <c r="J165" s="43"/>
      <c r="K165" s="18"/>
      <c r="L165" s="18"/>
      <c r="M165" s="18"/>
      <c r="P165" s="18"/>
      <c r="Q165" s="18"/>
      <c r="R165" s="43"/>
      <c r="S165" s="18"/>
      <c r="T165" s="18"/>
      <c r="U165" s="18"/>
      <c r="V165" s="43"/>
      <c r="W165" s="18"/>
      <c r="X165" s="18"/>
    </row>
    <row r="166" spans="1:26" x14ac:dyDescent="0.25">
      <c r="A166" s="9"/>
      <c r="B166" s="54"/>
      <c r="D166" s="18"/>
      <c r="E166" s="18"/>
      <c r="G166" s="18"/>
      <c r="H166" s="18"/>
      <c r="I166" s="18"/>
      <c r="J166" s="43"/>
      <c r="K166" s="18"/>
      <c r="L166" s="18"/>
      <c r="M166" s="18"/>
      <c r="P166" s="18"/>
      <c r="Q166" s="18"/>
      <c r="R166" s="43"/>
      <c r="S166" s="18"/>
      <c r="T166" s="18"/>
      <c r="U166" s="18"/>
      <c r="V166" s="43"/>
      <c r="W166" s="18"/>
      <c r="X166" s="18"/>
    </row>
    <row r="167" spans="1:26" x14ac:dyDescent="0.25">
      <c r="D167" s="18"/>
      <c r="E167" s="18"/>
      <c r="G167" s="18"/>
      <c r="H167" s="18"/>
      <c r="I167" s="18"/>
      <c r="J167" s="43"/>
      <c r="K167" s="18"/>
      <c r="L167" s="18"/>
      <c r="M167" s="18"/>
      <c r="P167" s="18"/>
      <c r="Q167" s="18"/>
      <c r="R167" s="43"/>
      <c r="S167" s="18"/>
      <c r="T167" s="18"/>
      <c r="U167" s="18"/>
      <c r="V167" s="43"/>
      <c r="W167" s="18"/>
      <c r="X167" s="18"/>
    </row>
  </sheetData>
  <pageMargins left="0.25" right="0.25" top="0.75" bottom="0.75" header="0.3" footer="0.3"/>
  <pageSetup scale="55" fitToWidth="2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",RIGHT(202104,2),", ",2021)</f>
        <v>Period 04,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44135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297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61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50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50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2"/>
      <c r="F10" s="31" t="s">
        <v>14</v>
      </c>
      <c r="G10" s="32"/>
      <c r="H10" s="49" t="s">
        <v>306</v>
      </c>
      <c r="I10" s="32"/>
      <c r="J10" s="31" t="s">
        <v>14</v>
      </c>
      <c r="K10" s="10"/>
      <c r="L10" s="42" t="s">
        <v>11</v>
      </c>
      <c r="M10" s="10"/>
      <c r="N10" s="31" t="s">
        <v>15</v>
      </c>
      <c r="O10" s="10"/>
      <c r="P10" s="59" t="s">
        <v>10</v>
      </c>
      <c r="Q10" s="32"/>
      <c r="R10" s="31" t="s">
        <v>14</v>
      </c>
      <c r="S10" s="32"/>
      <c r="T10" s="49" t="s">
        <v>306</v>
      </c>
      <c r="U10" s="32"/>
      <c r="V10" s="31" t="s">
        <v>14</v>
      </c>
      <c r="W10" s="10"/>
      <c r="X10" s="42" t="s">
        <v>11</v>
      </c>
      <c r="Y10" s="10"/>
      <c r="Z10" s="31" t="s">
        <v>15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6</v>
      </c>
      <c r="C16" s="25"/>
      <c r="D16" s="20">
        <f>D12-D14</f>
        <v>0</v>
      </c>
      <c r="E16" s="13"/>
      <c r="F16" s="21">
        <f>IF(D$12=0,0,D16/D$12)</f>
        <v>0</v>
      </c>
      <c r="G16" s="13"/>
      <c r="H16" s="20">
        <f>H12-H14</f>
        <v>0</v>
      </c>
      <c r="I16" s="13"/>
      <c r="J16" s="21">
        <f>IF(H$12=0,0,H16/H$12)</f>
        <v>0</v>
      </c>
      <c r="K16" s="15"/>
      <c r="L16" s="20">
        <f>+D16-H16</f>
        <v>0</v>
      </c>
      <c r="M16" s="15"/>
      <c r="N16" s="21">
        <f>IF(H16=0,0,L16/H16)</f>
        <v>0</v>
      </c>
      <c r="O16" s="26"/>
      <c r="P16" s="20">
        <f>P12-P14</f>
        <v>0</v>
      </c>
      <c r="Q16" s="13"/>
      <c r="R16" s="21">
        <f>IF(P$12=0,0,P16/P$12)</f>
        <v>0</v>
      </c>
      <c r="S16" s="13"/>
      <c r="T16" s="20">
        <f>T12-T14</f>
        <v>0</v>
      </c>
      <c r="U16" s="13"/>
      <c r="V16" s="21">
        <f>IF(T$12=0,0,T16/T$12)</f>
        <v>0</v>
      </c>
      <c r="W16" s="15"/>
      <c r="X16" s="20">
        <f>+P16-T16</f>
        <v>0</v>
      </c>
      <c r="Y16" s="15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9</v>
      </c>
      <c r="C18" s="10"/>
      <c r="D18" s="22">
        <f>SUM(0)</f>
        <v>0</v>
      </c>
      <c r="E18" s="22"/>
      <c r="F18" s="36">
        <f>IF(D$12=0,0,D18/D$12)</f>
        <v>0</v>
      </c>
      <c r="G18" s="22"/>
      <c r="H18" s="22">
        <f>SUM(0)</f>
        <v>0</v>
      </c>
      <c r="I18" s="22"/>
      <c r="J18" s="36">
        <f>IF(H$12=0,0,H18/H$12)</f>
        <v>0</v>
      </c>
      <c r="K18" s="4"/>
      <c r="L18" s="22">
        <f>+D18-H18</f>
        <v>0</v>
      </c>
      <c r="M18" s="4"/>
      <c r="N18" s="36">
        <f>IF(H18=0,0,L18/H18)</f>
        <v>0</v>
      </c>
      <c r="O18" s="10"/>
      <c r="P18" s="22">
        <f>SUM(0)</f>
        <v>0</v>
      </c>
      <c r="Q18" s="22"/>
      <c r="R18" s="36">
        <f>IF(P$12=0,0,P18/P$12)</f>
        <v>0</v>
      </c>
      <c r="S18" s="22"/>
      <c r="T18" s="22">
        <f>SUM(0)</f>
        <v>0</v>
      </c>
      <c r="U18" s="22"/>
      <c r="V18" s="36">
        <f>IF(T$12=0,0,T18/T$12)</f>
        <v>0</v>
      </c>
      <c r="W18" s="4"/>
      <c r="X18" s="22">
        <f>+P18-T18</f>
        <v>0</v>
      </c>
      <c r="Y18" s="4"/>
      <c r="Z18" s="36">
        <f>IF(T18=0,0,X18/T18)</f>
        <v>0</v>
      </c>
    </row>
    <row r="19" spans="1:26" s="57" customFormat="1" x14ac:dyDescent="0.25">
      <c r="A19" s="37"/>
      <c r="B19" s="37"/>
      <c r="C19" s="37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5" t="s">
        <v>3</v>
      </c>
      <c r="C22" s="25"/>
      <c r="D22" s="20">
        <f>+D16-D18+D20</f>
        <v>0</v>
      </c>
      <c r="E22" s="13"/>
      <c r="F22" s="21">
        <f>IF(D$12=0,0,D22/D$12)</f>
        <v>0</v>
      </c>
      <c r="G22" s="13"/>
      <c r="H22" s="20">
        <f>+H16-H18+H20</f>
        <v>0</v>
      </c>
      <c r="I22" s="13"/>
      <c r="J22" s="21">
        <f>IF(H$12=0,0,H22/H$12)</f>
        <v>0</v>
      </c>
      <c r="K22" s="15"/>
      <c r="L22" s="20">
        <f>+D22-H22</f>
        <v>0</v>
      </c>
      <c r="M22" s="15"/>
      <c r="N22" s="21">
        <f>IF(H22=0,0,L22/H22)</f>
        <v>0</v>
      </c>
      <c r="O22" s="26"/>
      <c r="P22" s="20">
        <f>+P16-P18+P20</f>
        <v>0</v>
      </c>
      <c r="Q22" s="13"/>
      <c r="R22" s="21">
        <f>IF(P$12=0,0,P22/P$12)</f>
        <v>0</v>
      </c>
      <c r="S22" s="13"/>
      <c r="T22" s="20">
        <f>+T16-T18+T20</f>
        <v>0</v>
      </c>
      <c r="U22" s="13"/>
      <c r="V22" s="21">
        <f>IF(T$12=0,0,T22/T$12)</f>
        <v>0</v>
      </c>
      <c r="W22" s="15"/>
      <c r="X22" s="20">
        <f>+P22-T22</f>
        <v>0</v>
      </c>
      <c r="Y22" s="15"/>
      <c r="Z22" s="21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1"/>
      <c r="B24" s="10" t="s">
        <v>13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5" t="s">
        <v>4</v>
      </c>
      <c r="C26" s="25"/>
      <c r="D26" s="30">
        <f>+D22-D24</f>
        <v>0</v>
      </c>
      <c r="E26" s="13"/>
      <c r="F26" s="33">
        <f>IF(D$12=0,0,D26/D$12)</f>
        <v>0</v>
      </c>
      <c r="G26" s="13"/>
      <c r="H26" s="30">
        <f>+H22-H24</f>
        <v>0</v>
      </c>
      <c r="I26" s="13"/>
      <c r="J26" s="33">
        <f>IF(H$12=0,0,H26/H$12)</f>
        <v>0</v>
      </c>
      <c r="K26" s="15"/>
      <c r="L26" s="30">
        <f>D26-H26</f>
        <v>0</v>
      </c>
      <c r="M26" s="15"/>
      <c r="N26" s="33">
        <f>IF(H26=0,0,L26/H26)</f>
        <v>0</v>
      </c>
      <c r="O26" s="26"/>
      <c r="P26" s="30">
        <f>+P22-P24</f>
        <v>0</v>
      </c>
      <c r="Q26" s="13"/>
      <c r="R26" s="33">
        <f>IF(P$12=0,0,P26/P$12)</f>
        <v>0</v>
      </c>
      <c r="S26" s="13"/>
      <c r="T26" s="30">
        <f>+T22-T24</f>
        <v>0</v>
      </c>
      <c r="U26" s="13"/>
      <c r="V26" s="33">
        <f>IF(T$12=0,0,T26/T$12)</f>
        <v>0</v>
      </c>
      <c r="W26" s="15"/>
      <c r="X26" s="30">
        <f>P26-T26</f>
        <v>0</v>
      </c>
      <c r="Y26" s="15"/>
      <c r="Z26" s="33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51"/>
      <c r="B28" s="10" t="s">
        <v>2</v>
      </c>
      <c r="C28" s="10"/>
      <c r="D28" s="4">
        <f>-139066.28</f>
        <v>-139066.28</v>
      </c>
      <c r="E28" s="4"/>
      <c r="F28" s="12">
        <f t="shared" ref="F28:F29" si="0">IF(D$12=0,0,D28/D$12)</f>
        <v>0</v>
      </c>
      <c r="G28" s="4"/>
      <c r="H28" s="4">
        <f>--215833.16</f>
        <v>215833.16</v>
      </c>
      <c r="I28" s="4"/>
      <c r="J28" s="12">
        <f t="shared" ref="J28:J29" si="1">IF(H$12=0,0,H28/H$12)</f>
        <v>0</v>
      </c>
      <c r="K28" s="4"/>
      <c r="L28" s="4">
        <f t="shared" ref="L28:L29" si="2">+D28-H28</f>
        <v>-354899.44</v>
      </c>
      <c r="M28" s="4"/>
      <c r="N28" s="12">
        <f t="shared" ref="N28:N29" si="3">IF(H28=0,0,L28/H28)</f>
        <v>-1.64432305026716</v>
      </c>
      <c r="O28" s="10"/>
      <c r="P28" s="4">
        <f>--580692.78</f>
        <v>580692.78</v>
      </c>
      <c r="Q28" s="4"/>
      <c r="R28" s="12">
        <f t="shared" ref="R28:R29" si="4">IF(P$12=0,0,P28/P$12)</f>
        <v>0</v>
      </c>
      <c r="S28" s="4"/>
      <c r="T28" s="4">
        <f>--118303.25</f>
        <v>118303.25</v>
      </c>
      <c r="U28" s="4"/>
      <c r="V28" s="12">
        <f t="shared" ref="V28:V29" si="5">IF(T$12=0,0,T28/T$12)</f>
        <v>0</v>
      </c>
      <c r="W28" s="4"/>
      <c r="X28" s="4">
        <f t="shared" ref="X28:X29" si="6">+P28-T28</f>
        <v>462389.53</v>
      </c>
      <c r="Y28" s="4"/>
      <c r="Z28" s="12">
        <f t="shared" ref="Z28:Z29" si="7">IF(T28=0,0,X28/T28)</f>
        <v>3.9085107974632991</v>
      </c>
    </row>
    <row r="29" spans="1:26" s="23" customFormat="1" x14ac:dyDescent="0.25">
      <c r="A29" s="51"/>
      <c r="B29" s="10" t="s">
        <v>1</v>
      </c>
      <c r="C29" s="10"/>
      <c r="D29" s="4">
        <f>--10141.14</f>
        <v>10141.14</v>
      </c>
      <c r="E29" s="4"/>
      <c r="F29" s="12">
        <f t="shared" si="0"/>
        <v>0</v>
      </c>
      <c r="G29" s="4"/>
      <c r="H29" s="4">
        <f>--13441.85</f>
        <v>13441.85</v>
      </c>
      <c r="I29" s="4"/>
      <c r="J29" s="12">
        <f t="shared" si="1"/>
        <v>0</v>
      </c>
      <c r="K29" s="4"/>
      <c r="L29" s="4">
        <f t="shared" si="2"/>
        <v>-3300.7100000000009</v>
      </c>
      <c r="M29" s="4"/>
      <c r="N29" s="12">
        <f t="shared" si="3"/>
        <v>-0.24555474134884714</v>
      </c>
      <c r="O29" s="10"/>
      <c r="P29" s="4">
        <f>-23119.82</f>
        <v>-23119.82</v>
      </c>
      <c r="Q29" s="4"/>
      <c r="R29" s="12">
        <f t="shared" si="4"/>
        <v>0</v>
      </c>
      <c r="S29" s="4"/>
      <c r="T29" s="4">
        <f>--65213.01</f>
        <v>65213.01</v>
      </c>
      <c r="U29" s="4"/>
      <c r="V29" s="12">
        <f t="shared" si="5"/>
        <v>0</v>
      </c>
      <c r="W29" s="4"/>
      <c r="X29" s="4">
        <f t="shared" si="6"/>
        <v>-88332.83</v>
      </c>
      <c r="Y29" s="4"/>
      <c r="Z29" s="12">
        <f t="shared" si="7"/>
        <v>-1.3545277238391542</v>
      </c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5</v>
      </c>
      <c r="C31" s="25"/>
      <c r="D31" s="34">
        <f>SUM(D26:D30)</f>
        <v>-128925.14</v>
      </c>
      <c r="E31" s="13"/>
      <c r="F31" s="35">
        <f>IF(D$12=0,0,D31/D$12)</f>
        <v>0</v>
      </c>
      <c r="G31" s="13"/>
      <c r="H31" s="34">
        <f>SUM(H26:H30)</f>
        <v>229275.01</v>
      </c>
      <c r="I31" s="13"/>
      <c r="J31" s="35">
        <f>IF(H$12=0,0,H31/H$12)</f>
        <v>0</v>
      </c>
      <c r="K31" s="15"/>
      <c r="L31" s="34">
        <f>+D31-H31</f>
        <v>-358200.15</v>
      </c>
      <c r="M31" s="15"/>
      <c r="N31" s="35">
        <f>IF(H31=0,0,L31/H31)</f>
        <v>-1.56231658216916</v>
      </c>
      <c r="O31" s="26"/>
      <c r="P31" s="34">
        <f>SUM(P26:P30)</f>
        <v>557572.96000000008</v>
      </c>
      <c r="Q31" s="13"/>
      <c r="R31" s="35">
        <f>IF(P$12=0,0,P31/P$12)</f>
        <v>0</v>
      </c>
      <c r="S31" s="13"/>
      <c r="T31" s="34">
        <f>SUM(T26:T30)</f>
        <v>183516.26</v>
      </c>
      <c r="U31" s="13"/>
      <c r="V31" s="35">
        <f>IF(T$12=0,0,T31/T$12)</f>
        <v>0</v>
      </c>
      <c r="W31" s="15"/>
      <c r="X31" s="34">
        <f>+P31-T31</f>
        <v>374056.70000000007</v>
      </c>
      <c r="Y31" s="15"/>
      <c r="Z31" s="35">
        <f>IF(T31=0,0,X31/T31)</f>
        <v>2.0382755184744941</v>
      </c>
    </row>
    <row r="32" spans="1:26" ht="15.75" thickTop="1" x14ac:dyDescent="0.25">
      <c r="A32" s="9"/>
      <c r="C32" s="9"/>
      <c r="D32" s="18"/>
      <c r="E32" s="18"/>
      <c r="G32" s="18"/>
      <c r="H32" s="18"/>
      <c r="I32" s="18"/>
      <c r="J32" s="43"/>
      <c r="K32" s="18"/>
      <c r="L32" s="18"/>
      <c r="M32" s="18"/>
      <c r="P32" s="18"/>
      <c r="Q32" s="18"/>
      <c r="R32" s="43"/>
      <c r="S32" s="18"/>
      <c r="T32" s="18"/>
      <c r="U32" s="18"/>
      <c r="V32" s="43"/>
      <c r="W32" s="18"/>
      <c r="X32" s="18"/>
    </row>
    <row r="33" spans="1:24" x14ac:dyDescent="0.25">
      <c r="A33" s="9"/>
      <c r="B33" s="56">
        <v>44151.571772800926</v>
      </c>
      <c r="D33" s="18"/>
      <c r="E33" s="18"/>
      <c r="G33" s="18"/>
      <c r="H33" s="18"/>
      <c r="I33" s="18"/>
      <c r="J33" s="43"/>
      <c r="K33" s="18"/>
      <c r="L33" s="18"/>
      <c r="M33" s="18"/>
      <c r="P33" s="18"/>
      <c r="Q33" s="18"/>
      <c r="R33" s="43"/>
      <c r="S33" s="18"/>
      <c r="T33" s="18"/>
      <c r="U33" s="18"/>
      <c r="V33" s="43"/>
      <c r="W33" s="18"/>
      <c r="X33" s="18"/>
    </row>
    <row r="34" spans="1:24" x14ac:dyDescent="0.25">
      <c r="A34" s="9"/>
      <c r="B34" s="62" t="s">
        <v>313</v>
      </c>
      <c r="D34" s="18"/>
      <c r="E34" s="18"/>
      <c r="G34" s="18"/>
      <c r="H34" s="18"/>
      <c r="I34" s="18"/>
      <c r="J34" s="43"/>
      <c r="K34" s="18"/>
      <c r="L34" s="18"/>
      <c r="M34" s="18"/>
      <c r="P34" s="18"/>
      <c r="Q34" s="18"/>
      <c r="R34" s="43"/>
      <c r="S34" s="18"/>
      <c r="T34" s="18"/>
      <c r="U34" s="18"/>
      <c r="V34" s="43"/>
      <c r="W34" s="18"/>
      <c r="X34" s="18"/>
    </row>
    <row r="35" spans="1:24" x14ac:dyDescent="0.25">
      <c r="A35" s="9"/>
      <c r="B35" s="54"/>
      <c r="D35" s="18"/>
      <c r="E35" s="18"/>
      <c r="G35" s="18"/>
      <c r="H35" s="18"/>
      <c r="I35" s="18"/>
      <c r="J35" s="43"/>
      <c r="K35" s="18"/>
      <c r="L35" s="18"/>
      <c r="M35" s="18"/>
      <c r="P35" s="18"/>
      <c r="Q35" s="18"/>
      <c r="R35" s="43"/>
      <c r="S35" s="18"/>
      <c r="T35" s="18"/>
      <c r="U35" s="18"/>
      <c r="V35" s="43"/>
      <c r="W35" s="18"/>
      <c r="X35" s="18"/>
    </row>
    <row r="36" spans="1:24" x14ac:dyDescent="0.25"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</sheetData>
  <pageMargins left="0.25" right="0.25" top="0.75" bottom="0.75" header="0.3" footer="0.3"/>
  <pageSetup scale="55" fitToWidth="2" orientation="landscape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3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",RIGHT(202104,2),", ",2021)</f>
        <v>Period 04,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44135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","315", " - ", "Beach Shop")</f>
        <v>Department 315 - Beach Shop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61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50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50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2"/>
      <c r="F10" s="31" t="s">
        <v>14</v>
      </c>
      <c r="G10" s="32"/>
      <c r="H10" s="49" t="s">
        <v>306</v>
      </c>
      <c r="I10" s="32"/>
      <c r="J10" s="31" t="s">
        <v>14</v>
      </c>
      <c r="K10" s="10"/>
      <c r="L10" s="42" t="s">
        <v>11</v>
      </c>
      <c r="M10" s="10"/>
      <c r="N10" s="31" t="s">
        <v>15</v>
      </c>
      <c r="O10" s="10"/>
      <c r="P10" s="59" t="s">
        <v>10</v>
      </c>
      <c r="Q10" s="32"/>
      <c r="R10" s="31" t="s">
        <v>14</v>
      </c>
      <c r="S10" s="32"/>
      <c r="T10" s="49" t="s">
        <v>306</v>
      </c>
      <c r="U10" s="32"/>
      <c r="V10" s="31" t="s">
        <v>14</v>
      </c>
      <c r="W10" s="10"/>
      <c r="X10" s="42" t="s">
        <v>11</v>
      </c>
      <c r="Y10" s="10"/>
      <c r="Z10" s="31" t="s">
        <v>15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96631.999999999971</v>
      </c>
      <c r="E12" s="4"/>
      <c r="F12" s="12"/>
      <c r="G12" s="4"/>
      <c r="H12" s="4">
        <f>SUM(OSRRefH13x_0)</f>
        <v>221882.75999999998</v>
      </c>
      <c r="I12" s="4"/>
      <c r="J12" s="12"/>
      <c r="K12" s="4"/>
      <c r="L12" s="4">
        <f t="shared" ref="L12:L48" si="0">+D12-H12</f>
        <v>-125250.76000000001</v>
      </c>
      <c r="M12" s="4"/>
      <c r="N12" s="12">
        <f t="shared" ref="N12:N48" si="1">IF(H12=0,0,L12/H12)</f>
        <v>-0.56449072474130035</v>
      </c>
      <c r="O12" s="10"/>
      <c r="P12" s="4">
        <f>SUM(OSRRefP13x_0)</f>
        <v>626595.43999999994</v>
      </c>
      <c r="Q12" s="4"/>
      <c r="R12" s="12"/>
      <c r="S12" s="4"/>
      <c r="T12" s="4">
        <f>SUM(OSRRefT13x_0)</f>
        <v>927927.5199999999</v>
      </c>
      <c r="U12" s="4"/>
      <c r="V12" s="12"/>
      <c r="W12" s="4"/>
      <c r="X12" s="4">
        <f t="shared" ref="X12:X48" si="2">+P12-T12</f>
        <v>-301332.07999999996</v>
      </c>
      <c r="Y12" s="4"/>
      <c r="Z12" s="12">
        <f t="shared" ref="Z12:Z48" si="3">IF(T12=0,0,X12/T12)</f>
        <v>-0.32473665615607561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-8145.92</f>
        <v>-8145.92</v>
      </c>
      <c r="E13" s="2"/>
      <c r="F13" s="19"/>
      <c r="G13" s="2"/>
      <c r="H13" s="2">
        <f t="shared" ref="H13:H18" si="4">0</f>
        <v>0</v>
      </c>
      <c r="I13" s="2"/>
      <c r="J13" s="19"/>
      <c r="K13" s="2"/>
      <c r="L13" s="2">
        <f t="shared" si="0"/>
        <v>-8145.92</v>
      </c>
      <c r="M13" s="2"/>
      <c r="N13" s="19">
        <f t="shared" si="1"/>
        <v>0</v>
      </c>
      <c r="O13" s="11"/>
      <c r="P13" s="2">
        <f>-37481.46</f>
        <v>-37481.46</v>
      </c>
      <c r="Q13" s="2"/>
      <c r="R13" s="19"/>
      <c r="S13" s="2"/>
      <c r="T13" s="2">
        <f t="shared" ref="T13:T18" si="5">0</f>
        <v>0</v>
      </c>
      <c r="U13" s="2"/>
      <c r="V13" s="19"/>
      <c r="W13" s="2"/>
      <c r="X13" s="2">
        <f t="shared" si="2"/>
        <v>-37481.46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>0</f>
        <v>0</v>
      </c>
      <c r="E14" s="2"/>
      <c r="F14" s="19"/>
      <c r="G14" s="2"/>
      <c r="H14" s="2">
        <f t="shared" si="4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--221.99</f>
        <v>221.99</v>
      </c>
      <c r="Q14" s="2"/>
      <c r="R14" s="19"/>
      <c r="S14" s="2"/>
      <c r="T14" s="2">
        <f t="shared" si="5"/>
        <v>0</v>
      </c>
      <c r="U14" s="2"/>
      <c r="V14" s="19"/>
      <c r="W14" s="2"/>
      <c r="X14" s="2">
        <f t="shared" si="2"/>
        <v>221.99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>--2322.55</f>
        <v>2322.5500000000002</v>
      </c>
      <c r="E15" s="2"/>
      <c r="F15" s="19"/>
      <c r="G15" s="2"/>
      <c r="H15" s="2">
        <f t="shared" si="4"/>
        <v>0</v>
      </c>
      <c r="I15" s="2"/>
      <c r="J15" s="19"/>
      <c r="K15" s="2"/>
      <c r="L15" s="2">
        <f t="shared" si="0"/>
        <v>2322.5500000000002</v>
      </c>
      <c r="M15" s="2"/>
      <c r="N15" s="19">
        <f t="shared" si="1"/>
        <v>0</v>
      </c>
      <c r="O15" s="11"/>
      <c r="P15" s="2">
        <f>--26995.72</f>
        <v>26995.72</v>
      </c>
      <c r="Q15" s="2"/>
      <c r="R15" s="19"/>
      <c r="S15" s="2"/>
      <c r="T15" s="2">
        <f t="shared" si="5"/>
        <v>0</v>
      </c>
      <c r="U15" s="2"/>
      <c r="V15" s="19"/>
      <c r="W15" s="2"/>
      <c r="X15" s="2">
        <f t="shared" si="2"/>
        <v>26995.72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"4028", " - ", "TAXABLE SALES-ART/TECH")</f>
        <v xml:space="preserve">          4028 - TAXABLE SALES-ART/TECH</v>
      </c>
      <c r="C16" s="11"/>
      <c r="D16" s="2">
        <f>--1769.95</f>
        <v>1769.95</v>
      </c>
      <c r="E16" s="2"/>
      <c r="F16" s="19"/>
      <c r="G16" s="2"/>
      <c r="H16" s="2">
        <f t="shared" si="4"/>
        <v>0</v>
      </c>
      <c r="I16" s="2"/>
      <c r="J16" s="19"/>
      <c r="K16" s="2"/>
      <c r="L16" s="2">
        <f t="shared" si="0"/>
        <v>1769.95</v>
      </c>
      <c r="M16" s="2"/>
      <c r="N16" s="19">
        <f t="shared" si="1"/>
        <v>0</v>
      </c>
      <c r="O16" s="11"/>
      <c r="P16" s="2">
        <f>--1789.8</f>
        <v>1789.8</v>
      </c>
      <c r="Q16" s="2"/>
      <c r="R16" s="19"/>
      <c r="S16" s="2"/>
      <c r="T16" s="2">
        <f t="shared" si="5"/>
        <v>0</v>
      </c>
      <c r="U16" s="2"/>
      <c r="V16" s="19"/>
      <c r="W16" s="2"/>
      <c r="X16" s="2">
        <f t="shared" si="2"/>
        <v>1789.8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"4031", " - ", "TAXABLE SALES-FOOD")</f>
        <v xml:space="preserve">          4031 - TAXABLE SALES-FOOD</v>
      </c>
      <c r="C17" s="11"/>
      <c r="D17" s="2">
        <f>--424.62</f>
        <v>424.62</v>
      </c>
      <c r="E17" s="2"/>
      <c r="F17" s="19"/>
      <c r="G17" s="2"/>
      <c r="H17" s="2">
        <f t="shared" si="4"/>
        <v>0</v>
      </c>
      <c r="I17" s="2"/>
      <c r="J17" s="19"/>
      <c r="K17" s="2"/>
      <c r="L17" s="2">
        <f t="shared" si="0"/>
        <v>424.62</v>
      </c>
      <c r="M17" s="2"/>
      <c r="N17" s="19">
        <f t="shared" si="1"/>
        <v>0</v>
      </c>
      <c r="O17" s="11"/>
      <c r="P17" s="2">
        <f>--1293.41</f>
        <v>1293.4100000000001</v>
      </c>
      <c r="Q17" s="2"/>
      <c r="R17" s="19"/>
      <c r="S17" s="2"/>
      <c r="T17" s="2">
        <f t="shared" si="5"/>
        <v>0</v>
      </c>
      <c r="U17" s="2"/>
      <c r="V17" s="19"/>
      <c r="W17" s="2"/>
      <c r="X17" s="2">
        <f t="shared" si="2"/>
        <v>1293.4100000000001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"4034", " - ", "TAXABLE SALES-SODA")</f>
        <v xml:space="preserve">          4034 - TAXABLE SALES-SODA</v>
      </c>
      <c r="C18" s="11"/>
      <c r="D18" s="2">
        <f>0</f>
        <v>0</v>
      </c>
      <c r="E18" s="2"/>
      <c r="F18" s="19"/>
      <c r="G18" s="2"/>
      <c r="H18" s="2">
        <f t="shared" si="4"/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--6.78</f>
        <v>6.78</v>
      </c>
      <c r="Q18" s="2"/>
      <c r="R18" s="19"/>
      <c r="S18" s="2"/>
      <c r="T18" s="2">
        <f t="shared" si="5"/>
        <v>0</v>
      </c>
      <c r="U18" s="2"/>
      <c r="V18" s="19"/>
      <c r="W18" s="2"/>
      <c r="X18" s="2">
        <f t="shared" si="2"/>
        <v>6.78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"4040", " - ", "TAXABLE SALES-LOGO CLOTHING")</f>
        <v xml:space="preserve">          4040 - TAXABLE SALES-LOGO CLOTHING</v>
      </c>
      <c r="C19" s="11"/>
      <c r="D19" s="2">
        <f>--36719.43</f>
        <v>36719.43</v>
      </c>
      <c r="E19" s="2"/>
      <c r="F19" s="19"/>
      <c r="G19" s="2"/>
      <c r="H19" s="2">
        <f>--180151.01</f>
        <v>180151.01</v>
      </c>
      <c r="I19" s="2"/>
      <c r="J19" s="19"/>
      <c r="K19" s="2"/>
      <c r="L19" s="2">
        <f t="shared" si="0"/>
        <v>-143431.58000000002</v>
      </c>
      <c r="M19" s="2"/>
      <c r="N19" s="19">
        <f t="shared" si="1"/>
        <v>-0.79617416521839102</v>
      </c>
      <c r="O19" s="11"/>
      <c r="P19" s="2">
        <f>--308104.72</f>
        <v>308104.71999999997</v>
      </c>
      <c r="Q19" s="2"/>
      <c r="R19" s="19"/>
      <c r="S19" s="2"/>
      <c r="T19" s="2">
        <f>--684694.08</f>
        <v>684694.08</v>
      </c>
      <c r="U19" s="2"/>
      <c r="V19" s="19"/>
      <c r="W19" s="2"/>
      <c r="X19" s="2">
        <f t="shared" si="2"/>
        <v>-376589.36</v>
      </c>
      <c r="Y19" s="2"/>
      <c r="Z19" s="19">
        <f t="shared" si="3"/>
        <v>-0.55001112321578716</v>
      </c>
    </row>
    <row r="20" spans="1:26" s="24" customFormat="1" hidden="1" outlineLevel="1" x14ac:dyDescent="0.25">
      <c r="A20" s="44"/>
      <c r="B20" s="11" t="str">
        <f>CONCATENATE("          ", "4041", " - ", "TAXABLE SALES-LOGO GIFTS")</f>
        <v xml:space="preserve">          4041 - TAXABLE SALES-LOGO GIFTS</v>
      </c>
      <c r="C20" s="11"/>
      <c r="D20" s="2">
        <f>--11407.8</f>
        <v>11407.8</v>
      </c>
      <c r="E20" s="2"/>
      <c r="F20" s="19"/>
      <c r="G20" s="2"/>
      <c r="H20" s="2">
        <f>--21919.24</f>
        <v>21919.24</v>
      </c>
      <c r="I20" s="2"/>
      <c r="J20" s="19"/>
      <c r="K20" s="2"/>
      <c r="L20" s="2">
        <f t="shared" si="0"/>
        <v>-10511.440000000002</v>
      </c>
      <c r="M20" s="2"/>
      <c r="N20" s="19">
        <f t="shared" si="1"/>
        <v>-0.47955312319222754</v>
      </c>
      <c r="O20" s="11"/>
      <c r="P20" s="2">
        <f>--80694.3</f>
        <v>80694.3</v>
      </c>
      <c r="Q20" s="2"/>
      <c r="R20" s="19"/>
      <c r="S20" s="2"/>
      <c r="T20" s="2">
        <f>--110862.96</f>
        <v>110862.96</v>
      </c>
      <c r="U20" s="2"/>
      <c r="V20" s="19"/>
      <c r="W20" s="2"/>
      <c r="X20" s="2">
        <f t="shared" si="2"/>
        <v>-30168.660000000003</v>
      </c>
      <c r="Y20" s="2"/>
      <c r="Z20" s="19">
        <f t="shared" si="3"/>
        <v>-0.27212569464138431</v>
      </c>
    </row>
    <row r="21" spans="1:26" s="24" customFormat="1" hidden="1" outlineLevel="1" x14ac:dyDescent="0.25">
      <c r="A21" s="44"/>
      <c r="B21" s="11" t="str">
        <f>CONCATENATE("          ", "4042", " - ", "TAXABLE SALES-EVERYDAY GIFTS")</f>
        <v xml:space="preserve">          4042 - TAXABLE SALES-EVERYDAY GIFTS</v>
      </c>
      <c r="C21" s="11"/>
      <c r="D21" s="2">
        <f>--4494.86</f>
        <v>4494.8599999999997</v>
      </c>
      <c r="E21" s="2"/>
      <c r="F21" s="19"/>
      <c r="G21" s="2"/>
      <c r="H21" s="2">
        <f>--14300.31</f>
        <v>14300.31</v>
      </c>
      <c r="I21" s="2"/>
      <c r="J21" s="19"/>
      <c r="K21" s="2"/>
      <c r="L21" s="2">
        <f t="shared" si="0"/>
        <v>-9805.4500000000007</v>
      </c>
      <c r="M21" s="2"/>
      <c r="N21" s="19">
        <f t="shared" si="1"/>
        <v>-0.68568093978382294</v>
      </c>
      <c r="O21" s="11"/>
      <c r="P21" s="2">
        <f>--38703.08</f>
        <v>38703.08</v>
      </c>
      <c r="Q21" s="2"/>
      <c r="R21" s="19"/>
      <c r="S21" s="2"/>
      <c r="T21" s="2">
        <f>--78178.19</f>
        <v>78178.19</v>
      </c>
      <c r="U21" s="2"/>
      <c r="V21" s="19"/>
      <c r="W21" s="2"/>
      <c r="X21" s="2">
        <f t="shared" si="2"/>
        <v>-39475.11</v>
      </c>
      <c r="Y21" s="2"/>
      <c r="Z21" s="19">
        <f t="shared" si="3"/>
        <v>-0.50493763030328531</v>
      </c>
    </row>
    <row r="22" spans="1:26" s="24" customFormat="1" hidden="1" outlineLevel="1" x14ac:dyDescent="0.25">
      <c r="A22" s="44"/>
      <c r="B22" s="11" t="str">
        <f>CONCATENATE("          ", "4043", " - ", "TAXABLE SALES-CARDS")</f>
        <v xml:space="preserve">          4043 - TAXABLE SALES-CARDS</v>
      </c>
      <c r="C22" s="11"/>
      <c r="D22" s="2">
        <f>--30265.07</f>
        <v>30265.07</v>
      </c>
      <c r="E22" s="2"/>
      <c r="F22" s="19"/>
      <c r="G22" s="2"/>
      <c r="H22" s="2">
        <f>--60.49</f>
        <v>60.49</v>
      </c>
      <c r="I22" s="2"/>
      <c r="J22" s="19"/>
      <c r="K22" s="2"/>
      <c r="L22" s="2">
        <f t="shared" si="0"/>
        <v>30204.579999999998</v>
      </c>
      <c r="M22" s="2"/>
      <c r="N22" s="19">
        <f t="shared" si="1"/>
        <v>499.33179037857491</v>
      </c>
      <c r="O22" s="11"/>
      <c r="P22" s="2">
        <f>--39420.84</f>
        <v>39420.839999999997</v>
      </c>
      <c r="Q22" s="2"/>
      <c r="R22" s="19"/>
      <c r="S22" s="2"/>
      <c r="T22" s="2">
        <f>--422.57</f>
        <v>422.57</v>
      </c>
      <c r="U22" s="2"/>
      <c r="V22" s="19"/>
      <c r="W22" s="2"/>
      <c r="X22" s="2">
        <f t="shared" si="2"/>
        <v>38998.269999999997</v>
      </c>
      <c r="Y22" s="2"/>
      <c r="Z22" s="19">
        <f t="shared" si="3"/>
        <v>92.288307262702034</v>
      </c>
    </row>
    <row r="23" spans="1:26" s="24" customFormat="1" hidden="1" outlineLevel="1" x14ac:dyDescent="0.25">
      <c r="A23" s="44"/>
      <c r="B23" s="11" t="str">
        <f>CONCATENATE("          ", "4044", " - ", "TAXABLE SALES-ACCESSORIES")</f>
        <v xml:space="preserve">          4044 - TAXABLE SALES-ACCESSORIES</v>
      </c>
      <c r="C23" s="11"/>
      <c r="D23" s="2">
        <f>--943.09</f>
        <v>943.09</v>
      </c>
      <c r="E23" s="2"/>
      <c r="F23" s="19"/>
      <c r="G23" s="2"/>
      <c r="H23" s="2">
        <f>--4564.29</f>
        <v>4564.29</v>
      </c>
      <c r="I23" s="2"/>
      <c r="J23" s="19"/>
      <c r="K23" s="2"/>
      <c r="L23" s="2">
        <f t="shared" si="0"/>
        <v>-3621.2</v>
      </c>
      <c r="M23" s="2"/>
      <c r="N23" s="19">
        <f t="shared" si="1"/>
        <v>-0.79337640684531441</v>
      </c>
      <c r="O23" s="11"/>
      <c r="P23" s="2">
        <f>--11492.14</f>
        <v>11492.14</v>
      </c>
      <c r="Q23" s="2"/>
      <c r="R23" s="19"/>
      <c r="S23" s="2"/>
      <c r="T23" s="2">
        <f>--31854.2</f>
        <v>31854.2</v>
      </c>
      <c r="U23" s="2"/>
      <c r="V23" s="19"/>
      <c r="W23" s="2"/>
      <c r="X23" s="2">
        <f t="shared" si="2"/>
        <v>-20362.060000000001</v>
      </c>
      <c r="Y23" s="2"/>
      <c r="Z23" s="19">
        <f t="shared" si="3"/>
        <v>-0.63922685234600152</v>
      </c>
    </row>
    <row r="24" spans="1:26" s="24" customFormat="1" hidden="1" outlineLevel="1" x14ac:dyDescent="0.25">
      <c r="A24" s="44"/>
      <c r="B24" s="11" t="str">
        <f>CONCATENATE("          ", "4045", " - ", "TAXABLE SALES-SPECIAL ORDERS")</f>
        <v xml:space="preserve">          4045 - TAXABLE SALES-SPECIAL ORDERS</v>
      </c>
      <c r="C24" s="11"/>
      <c r="D24" s="2">
        <f>--4713.55</f>
        <v>4713.55</v>
      </c>
      <c r="E24" s="2"/>
      <c r="F24" s="19"/>
      <c r="G24" s="2"/>
      <c r="H24" s="2">
        <f>--4525.99</f>
        <v>4525.99</v>
      </c>
      <c r="I24" s="2"/>
      <c r="J24" s="19"/>
      <c r="K24" s="2"/>
      <c r="L24" s="2">
        <f t="shared" si="0"/>
        <v>187.5600000000004</v>
      </c>
      <c r="M24" s="2"/>
      <c r="N24" s="19">
        <f t="shared" si="1"/>
        <v>4.1440657182185647E-2</v>
      </c>
      <c r="O24" s="11"/>
      <c r="P24" s="2">
        <f>--96685.09</f>
        <v>96685.09</v>
      </c>
      <c r="Q24" s="2"/>
      <c r="R24" s="19"/>
      <c r="S24" s="2"/>
      <c r="T24" s="2">
        <f>--35485.34</f>
        <v>35485.339999999997</v>
      </c>
      <c r="U24" s="2"/>
      <c r="V24" s="19"/>
      <c r="W24" s="2"/>
      <c r="X24" s="2">
        <f t="shared" si="2"/>
        <v>61199.75</v>
      </c>
      <c r="Y24" s="2"/>
      <c r="Z24" s="19">
        <f t="shared" si="3"/>
        <v>1.7246488268112974</v>
      </c>
    </row>
    <row r="25" spans="1:26" s="24" customFormat="1" hidden="1" outlineLevel="1" x14ac:dyDescent="0.25">
      <c r="A25" s="44"/>
      <c r="B25" s="11" t="str">
        <f>CONCATENATE("          ", "4126", " - ", "NON-TAXABLE SALES-WRITING INST")</f>
        <v xml:space="preserve">          4126 - NON-TAXABLE SALES-WRITING INST</v>
      </c>
      <c r="C25" s="11"/>
      <c r="D25" s="2">
        <f>0</f>
        <v>0</v>
      </c>
      <c r="E25" s="2"/>
      <c r="F25" s="19"/>
      <c r="G25" s="2"/>
      <c r="H25" s="2">
        <f t="shared" ref="H25:H31" si="6">0</f>
        <v>0</v>
      </c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--52.68</f>
        <v>52.68</v>
      </c>
      <c r="Q25" s="2"/>
      <c r="R25" s="19"/>
      <c r="S25" s="2"/>
      <c r="T25" s="2">
        <f t="shared" ref="T25:T31" si="7">0</f>
        <v>0</v>
      </c>
      <c r="U25" s="2"/>
      <c r="V25" s="19"/>
      <c r="W25" s="2"/>
      <c r="X25" s="2">
        <f t="shared" si="2"/>
        <v>52.68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"4127", " - ", "NON-TAXABLE SALES-SCHOOL SUPPL")</f>
        <v xml:space="preserve">          4127 - NON-TAXABLE SALES-SCHOOL SUPPL</v>
      </c>
      <c r="C26" s="11"/>
      <c r="D26" s="2">
        <f>--160.95</f>
        <v>160.94999999999999</v>
      </c>
      <c r="E26" s="2"/>
      <c r="F26" s="19"/>
      <c r="G26" s="2"/>
      <c r="H26" s="2">
        <f t="shared" si="6"/>
        <v>0</v>
      </c>
      <c r="I26" s="2"/>
      <c r="J26" s="19"/>
      <c r="K26" s="2"/>
      <c r="L26" s="2">
        <f t="shared" si="0"/>
        <v>160.94999999999999</v>
      </c>
      <c r="M26" s="2"/>
      <c r="N26" s="19">
        <f t="shared" si="1"/>
        <v>0</v>
      </c>
      <c r="O26" s="11"/>
      <c r="P26" s="2">
        <f>--2831.69</f>
        <v>2831.69</v>
      </c>
      <c r="Q26" s="2"/>
      <c r="R26" s="19"/>
      <c r="S26" s="2"/>
      <c r="T26" s="2">
        <f t="shared" si="7"/>
        <v>0</v>
      </c>
      <c r="U26" s="2"/>
      <c r="V26" s="19"/>
      <c r="W26" s="2"/>
      <c r="X26" s="2">
        <f t="shared" si="2"/>
        <v>2831.69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"4131", " - ", "NON-TAXABLE SALES-FOOD")</f>
        <v xml:space="preserve">          4131 - NON-TAXABLE SALES-FOOD</v>
      </c>
      <c r="C27" s="11"/>
      <c r="D27" s="2">
        <f>--1499.52</f>
        <v>1499.52</v>
      </c>
      <c r="E27" s="2"/>
      <c r="F27" s="19"/>
      <c r="G27" s="2"/>
      <c r="H27" s="2">
        <f t="shared" si="6"/>
        <v>0</v>
      </c>
      <c r="I27" s="2"/>
      <c r="J27" s="19"/>
      <c r="K27" s="2"/>
      <c r="L27" s="2">
        <f t="shared" si="0"/>
        <v>1499.52</v>
      </c>
      <c r="M27" s="2"/>
      <c r="N27" s="19">
        <f t="shared" si="1"/>
        <v>0</v>
      </c>
      <c r="O27" s="11"/>
      <c r="P27" s="2">
        <f>--3648.28</f>
        <v>3648.28</v>
      </c>
      <c r="Q27" s="2"/>
      <c r="R27" s="19"/>
      <c r="S27" s="2"/>
      <c r="T27" s="2">
        <f t="shared" si="7"/>
        <v>0</v>
      </c>
      <c r="U27" s="2"/>
      <c r="V27" s="19"/>
      <c r="W27" s="2"/>
      <c r="X27" s="2">
        <f t="shared" si="2"/>
        <v>3648.28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"4132", " - ", "NON-TAXABLE SALES-JUICE")</f>
        <v xml:space="preserve">          4132 - NON-TAXABLE SALES-JUICE</v>
      </c>
      <c r="C28" s="11"/>
      <c r="D28" s="2">
        <f t="shared" ref="D28:D31" si="8">0</f>
        <v>0</v>
      </c>
      <c r="E28" s="2"/>
      <c r="F28" s="19"/>
      <c r="G28" s="2"/>
      <c r="H28" s="2">
        <f t="shared" si="6"/>
        <v>0</v>
      </c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--22.49</f>
        <v>22.49</v>
      </c>
      <c r="Q28" s="2"/>
      <c r="R28" s="19"/>
      <c r="S28" s="2"/>
      <c r="T28" s="2">
        <f t="shared" si="7"/>
        <v>0</v>
      </c>
      <c r="U28" s="2"/>
      <c r="V28" s="19"/>
      <c r="W28" s="2"/>
      <c r="X28" s="2">
        <f t="shared" si="2"/>
        <v>22.49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"4133", " - ", "NON-TAXABLE SALES-CANDY")</f>
        <v xml:space="preserve">          4133 - NON-TAXABLE SALES-CANDY</v>
      </c>
      <c r="C29" s="11"/>
      <c r="D29" s="2">
        <f t="shared" si="8"/>
        <v>0</v>
      </c>
      <c r="E29" s="2"/>
      <c r="F29" s="19"/>
      <c r="G29" s="2"/>
      <c r="H29" s="2">
        <f t="shared" si="6"/>
        <v>0</v>
      </c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>--80.71</f>
        <v>80.709999999999994</v>
      </c>
      <c r="Q29" s="2"/>
      <c r="R29" s="19"/>
      <c r="S29" s="2"/>
      <c r="T29" s="2">
        <f t="shared" si="7"/>
        <v>0</v>
      </c>
      <c r="U29" s="2"/>
      <c r="V29" s="19"/>
      <c r="W29" s="2"/>
      <c r="X29" s="2">
        <f t="shared" si="2"/>
        <v>80.709999999999994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"4134", " - ", "NON-TAXABLE SALES-SODA")</f>
        <v xml:space="preserve">          4134 - NON-TAXABLE SALES-SODA</v>
      </c>
      <c r="C30" s="11"/>
      <c r="D30" s="2">
        <f t="shared" si="8"/>
        <v>0</v>
      </c>
      <c r="E30" s="2"/>
      <c r="F30" s="19"/>
      <c r="G30" s="2"/>
      <c r="H30" s="2">
        <f t="shared" si="6"/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--45.53</f>
        <v>45.53</v>
      </c>
      <c r="Q30" s="2"/>
      <c r="R30" s="19"/>
      <c r="S30" s="2"/>
      <c r="T30" s="2">
        <f t="shared" si="7"/>
        <v>0</v>
      </c>
      <c r="U30" s="2"/>
      <c r="V30" s="19"/>
      <c r="W30" s="2"/>
      <c r="X30" s="2">
        <f t="shared" si="2"/>
        <v>45.53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"4137", " - ", "NON-TAXABLE SALES-WATER")</f>
        <v xml:space="preserve">          4137 - NON-TAXABLE SALES-WATER</v>
      </c>
      <c r="C31" s="11"/>
      <c r="D31" s="2">
        <f t="shared" si="8"/>
        <v>0</v>
      </c>
      <c r="E31" s="2"/>
      <c r="F31" s="19"/>
      <c r="G31" s="2"/>
      <c r="H31" s="2">
        <f t="shared" si="6"/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--59.25</f>
        <v>59.25</v>
      </c>
      <c r="Q31" s="2"/>
      <c r="R31" s="19"/>
      <c r="S31" s="2"/>
      <c r="T31" s="2">
        <f t="shared" si="7"/>
        <v>0</v>
      </c>
      <c r="U31" s="2"/>
      <c r="V31" s="19"/>
      <c r="W31" s="2"/>
      <c r="X31" s="2">
        <f t="shared" si="2"/>
        <v>59.25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"4140", " - ", "NON-TAXABLE SALES-LOGO CLOTHIN")</f>
        <v xml:space="preserve">          4140 - NON-TAXABLE SALES-LOGO CLOTHIN</v>
      </c>
      <c r="C32" s="11"/>
      <c r="D32" s="2">
        <f>--13113.14</f>
        <v>13113.14</v>
      </c>
      <c r="E32" s="2"/>
      <c r="F32" s="19"/>
      <c r="G32" s="2"/>
      <c r="H32" s="2">
        <f>--4377.82</f>
        <v>4377.82</v>
      </c>
      <c r="I32" s="2"/>
      <c r="J32" s="19"/>
      <c r="K32" s="2"/>
      <c r="L32" s="2">
        <f t="shared" si="0"/>
        <v>8735.32</v>
      </c>
      <c r="M32" s="2"/>
      <c r="N32" s="19">
        <f t="shared" si="1"/>
        <v>1.9953584204010215</v>
      </c>
      <c r="O32" s="11"/>
      <c r="P32" s="2">
        <f>--30474.65</f>
        <v>30474.65</v>
      </c>
      <c r="Q32" s="2"/>
      <c r="R32" s="19"/>
      <c r="S32" s="2"/>
      <c r="T32" s="2">
        <f>--12635.52</f>
        <v>12635.52</v>
      </c>
      <c r="U32" s="2"/>
      <c r="V32" s="19"/>
      <c r="W32" s="2"/>
      <c r="X32" s="2">
        <f t="shared" si="2"/>
        <v>17839.13</v>
      </c>
      <c r="Y32" s="2"/>
      <c r="Z32" s="19">
        <f t="shared" si="3"/>
        <v>1.4118239692549259</v>
      </c>
    </row>
    <row r="33" spans="1:26" s="24" customFormat="1" hidden="1" outlineLevel="1" x14ac:dyDescent="0.25">
      <c r="A33" s="44"/>
      <c r="B33" s="11" t="str">
        <f>CONCATENATE("          ", "4141", " - ", "NON-TAXABLE SALES-LOGO GIFTS")</f>
        <v xml:space="preserve">          4141 - NON-TAXABLE SALES-LOGO GIFTS</v>
      </c>
      <c r="C33" s="11"/>
      <c r="D33" s="2">
        <f>--383.71</f>
        <v>383.71</v>
      </c>
      <c r="E33" s="2"/>
      <c r="F33" s="19"/>
      <c r="G33" s="2"/>
      <c r="H33" s="2">
        <f>--581.29</f>
        <v>581.29</v>
      </c>
      <c r="I33" s="2"/>
      <c r="J33" s="19"/>
      <c r="K33" s="2"/>
      <c r="L33" s="2">
        <f t="shared" si="0"/>
        <v>-197.57999999999998</v>
      </c>
      <c r="M33" s="2"/>
      <c r="N33" s="19">
        <f t="shared" si="1"/>
        <v>-0.33989918973317962</v>
      </c>
      <c r="O33" s="11"/>
      <c r="P33" s="2">
        <f>--2871.2</f>
        <v>2871.2</v>
      </c>
      <c r="Q33" s="2"/>
      <c r="R33" s="19"/>
      <c r="S33" s="2"/>
      <c r="T33" s="2">
        <f>--1243.18</f>
        <v>1243.18</v>
      </c>
      <c r="U33" s="2"/>
      <c r="V33" s="19"/>
      <c r="W33" s="2"/>
      <c r="X33" s="2">
        <f t="shared" si="2"/>
        <v>1628.0199999999998</v>
      </c>
      <c r="Y33" s="2"/>
      <c r="Z33" s="19">
        <f t="shared" si="3"/>
        <v>1.3095609646229827</v>
      </c>
    </row>
    <row r="34" spans="1:26" s="24" customFormat="1" hidden="1" outlineLevel="1" x14ac:dyDescent="0.25">
      <c r="A34" s="44"/>
      <c r="B34" s="11" t="str">
        <f>CONCATENATE("          ", "4142", " - ", "NON-TAXABLE SALES-EVERYDAY GIF")</f>
        <v xml:space="preserve">          4142 - NON-TAXABLE SALES-EVERYDAY GIF</v>
      </c>
      <c r="C34" s="11"/>
      <c r="D34" s="2">
        <f>--65.68</f>
        <v>65.680000000000007</v>
      </c>
      <c r="E34" s="2"/>
      <c r="F34" s="19"/>
      <c r="G34" s="2"/>
      <c r="H34" s="2">
        <f>--592.21</f>
        <v>592.21</v>
      </c>
      <c r="I34" s="2"/>
      <c r="J34" s="19"/>
      <c r="K34" s="2"/>
      <c r="L34" s="2">
        <f t="shared" si="0"/>
        <v>-526.53</v>
      </c>
      <c r="M34" s="2"/>
      <c r="N34" s="19">
        <f t="shared" si="1"/>
        <v>-0.88909339592374315</v>
      </c>
      <c r="O34" s="11"/>
      <c r="P34" s="2">
        <f>--1069.43</f>
        <v>1069.43</v>
      </c>
      <c r="Q34" s="2"/>
      <c r="R34" s="19"/>
      <c r="S34" s="2"/>
      <c r="T34" s="2">
        <f>--1413.74</f>
        <v>1413.74</v>
      </c>
      <c r="U34" s="2"/>
      <c r="V34" s="19"/>
      <c r="W34" s="2"/>
      <c r="X34" s="2">
        <f t="shared" si="2"/>
        <v>-344.30999999999995</v>
      </c>
      <c r="Y34" s="2"/>
      <c r="Z34" s="19">
        <f t="shared" si="3"/>
        <v>-0.2435454892695969</v>
      </c>
    </row>
    <row r="35" spans="1:26" s="24" customFormat="1" hidden="1" outlineLevel="1" x14ac:dyDescent="0.25">
      <c r="A35" s="44"/>
      <c r="B35" s="11" t="str">
        <f>CONCATENATE("          ", "4143", " - ", "NON-TAXABLE SALES-CARDS")</f>
        <v xml:space="preserve">          4143 - NON-TAXABLE SALES-CARDS</v>
      </c>
      <c r="C35" s="11"/>
      <c r="D35" s="2">
        <f>--9.99</f>
        <v>9.99</v>
      </c>
      <c r="E35" s="2"/>
      <c r="F35" s="19"/>
      <c r="G35" s="2"/>
      <c r="H35" s="2">
        <f>0</f>
        <v>0</v>
      </c>
      <c r="I35" s="2"/>
      <c r="J35" s="19"/>
      <c r="K35" s="2"/>
      <c r="L35" s="2">
        <f t="shared" si="0"/>
        <v>9.99</v>
      </c>
      <c r="M35" s="2"/>
      <c r="N35" s="19">
        <f t="shared" si="1"/>
        <v>0</v>
      </c>
      <c r="O35" s="11"/>
      <c r="P35" s="2">
        <f>--29.97</f>
        <v>29.97</v>
      </c>
      <c r="Q35" s="2"/>
      <c r="R35" s="19"/>
      <c r="S35" s="2"/>
      <c r="T35" s="2">
        <f>0</f>
        <v>0</v>
      </c>
      <c r="U35" s="2"/>
      <c r="V35" s="19"/>
      <c r="W35" s="2"/>
      <c r="X35" s="2">
        <f t="shared" si="2"/>
        <v>29.97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"4144", " - ", "NON-TAXABLE SALES-ACCESSORIES")</f>
        <v xml:space="preserve">          4144 - NON-TAXABLE SALES-ACCESSORIES</v>
      </c>
      <c r="C36" s="11"/>
      <c r="D36" s="2">
        <f>--154</f>
        <v>154</v>
      </c>
      <c r="E36" s="2"/>
      <c r="F36" s="19"/>
      <c r="G36" s="2"/>
      <c r="H36" s="2">
        <f>--71.85</f>
        <v>71.849999999999994</v>
      </c>
      <c r="I36" s="2"/>
      <c r="J36" s="19"/>
      <c r="K36" s="2"/>
      <c r="L36" s="2">
        <f t="shared" si="0"/>
        <v>82.15</v>
      </c>
      <c r="M36" s="2"/>
      <c r="N36" s="19">
        <f t="shared" si="1"/>
        <v>1.1433542101600558</v>
      </c>
      <c r="O36" s="11"/>
      <c r="P36" s="2">
        <f>--369.75</f>
        <v>369.75</v>
      </c>
      <c r="Q36" s="2"/>
      <c r="R36" s="19"/>
      <c r="S36" s="2"/>
      <c r="T36" s="2">
        <f>--211.61</f>
        <v>211.61</v>
      </c>
      <c r="U36" s="2"/>
      <c r="V36" s="19"/>
      <c r="W36" s="2"/>
      <c r="X36" s="2">
        <f t="shared" si="2"/>
        <v>158.13999999999999</v>
      </c>
      <c r="Y36" s="2"/>
      <c r="Z36" s="19">
        <f t="shared" si="3"/>
        <v>0.7473181796701478</v>
      </c>
    </row>
    <row r="37" spans="1:26" s="24" customFormat="1" hidden="1" outlineLevel="1" x14ac:dyDescent="0.25">
      <c r="A37" s="44"/>
      <c r="B37" s="11" t="str">
        <f>CONCATENATE("          ", "4145", " - ", "NON-TAXABLE SALES-SPECIAL ORDE")</f>
        <v xml:space="preserve">          4145 - NON-TAXABLE SALES-SPECIAL ORDE</v>
      </c>
      <c r="C37" s="11"/>
      <c r="D37" s="2">
        <f t="shared" ref="D37:D38" si="9">0</f>
        <v>0</v>
      </c>
      <c r="E37" s="2"/>
      <c r="F37" s="19"/>
      <c r="G37" s="2"/>
      <c r="H37" s="2">
        <f t="shared" ref="H37:H39" si="10">0</f>
        <v>0</v>
      </c>
      <c r="I37" s="2"/>
      <c r="J37" s="19"/>
      <c r="K37" s="2"/>
      <c r="L37" s="2">
        <f t="shared" si="0"/>
        <v>0</v>
      </c>
      <c r="M37" s="2"/>
      <c r="N37" s="19">
        <f t="shared" si="1"/>
        <v>0</v>
      </c>
      <c r="O37" s="11"/>
      <c r="P37" s="2">
        <f>--35839</f>
        <v>35839</v>
      </c>
      <c r="Q37" s="2"/>
      <c r="R37" s="19"/>
      <c r="S37" s="2"/>
      <c r="T37" s="2">
        <f>--90</f>
        <v>90</v>
      </c>
      <c r="U37" s="2"/>
      <c r="V37" s="19"/>
      <c r="W37" s="2"/>
      <c r="X37" s="2">
        <f t="shared" si="2"/>
        <v>35749</v>
      </c>
      <c r="Y37" s="2"/>
      <c r="Z37" s="19">
        <f t="shared" si="3"/>
        <v>397.21111111111111</v>
      </c>
    </row>
    <row r="38" spans="1:26" s="24" customFormat="1" hidden="1" outlineLevel="1" x14ac:dyDescent="0.25">
      <c r="A38" s="44"/>
      <c r="B38" s="11" t="str">
        <f>CONCATENATE("          ", "4226", " - ", "SALES RETURN TAXABLE-WRITING I")</f>
        <v xml:space="preserve">          4226 - SALES RETURN TAXABLE-WRITING I</v>
      </c>
      <c r="C38" s="11"/>
      <c r="D38" s="2">
        <f t="shared" si="9"/>
        <v>0</v>
      </c>
      <c r="E38" s="2"/>
      <c r="F38" s="19"/>
      <c r="G38" s="2"/>
      <c r="H38" s="2">
        <f t="shared" si="10"/>
        <v>0</v>
      </c>
      <c r="I38" s="2"/>
      <c r="J38" s="19"/>
      <c r="K38" s="2"/>
      <c r="L38" s="2">
        <f t="shared" si="0"/>
        <v>0</v>
      </c>
      <c r="M38" s="2"/>
      <c r="N38" s="19">
        <f t="shared" si="1"/>
        <v>0</v>
      </c>
      <c r="O38" s="11"/>
      <c r="P38" s="2">
        <f>-6.38</f>
        <v>-6.38</v>
      </c>
      <c r="Q38" s="2"/>
      <c r="R38" s="19"/>
      <c r="S38" s="2"/>
      <c r="T38" s="2">
        <f t="shared" ref="T38:T39" si="11">0</f>
        <v>0</v>
      </c>
      <c r="U38" s="2"/>
      <c r="V38" s="19"/>
      <c r="W38" s="2"/>
      <c r="X38" s="2">
        <f t="shared" si="2"/>
        <v>-6.38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"4227", " - ", "SALES RETURN TAXABLE-SCHOOL SU")</f>
        <v xml:space="preserve">          4227 - SALES RETURN TAXABLE-SCHOOL SU</v>
      </c>
      <c r="C39" s="11"/>
      <c r="D39" s="2">
        <f>-9.99</f>
        <v>-9.99</v>
      </c>
      <c r="E39" s="2"/>
      <c r="F39" s="19"/>
      <c r="G39" s="2"/>
      <c r="H39" s="2">
        <f t="shared" si="10"/>
        <v>0</v>
      </c>
      <c r="I39" s="2"/>
      <c r="J39" s="19"/>
      <c r="K39" s="2"/>
      <c r="L39" s="2">
        <f t="shared" si="0"/>
        <v>-9.99</v>
      </c>
      <c r="M39" s="2"/>
      <c r="N39" s="19">
        <f t="shared" si="1"/>
        <v>0</v>
      </c>
      <c r="O39" s="11"/>
      <c r="P39" s="2">
        <f>-388.69</f>
        <v>-388.69</v>
      </c>
      <c r="Q39" s="2"/>
      <c r="R39" s="19"/>
      <c r="S39" s="2"/>
      <c r="T39" s="2">
        <f t="shared" si="11"/>
        <v>0</v>
      </c>
      <c r="U39" s="2"/>
      <c r="V39" s="19"/>
      <c r="W39" s="2"/>
      <c r="X39" s="2">
        <f t="shared" si="2"/>
        <v>-388.69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"4240", " - ", "SALES RETURN TAXABLE-LOGO CLOT")</f>
        <v xml:space="preserve">          4240 - SALES RETURN TAXABLE-LOGO CLOT</v>
      </c>
      <c r="C40" s="11"/>
      <c r="D40" s="2">
        <f>-1722.21</f>
        <v>-1722.21</v>
      </c>
      <c r="E40" s="2"/>
      <c r="F40" s="19"/>
      <c r="G40" s="2"/>
      <c r="H40" s="2">
        <f>-8619.62</f>
        <v>-8619.6200000000008</v>
      </c>
      <c r="I40" s="2"/>
      <c r="J40" s="19"/>
      <c r="K40" s="2"/>
      <c r="L40" s="2">
        <f t="shared" si="0"/>
        <v>6897.4100000000008</v>
      </c>
      <c r="M40" s="2"/>
      <c r="N40" s="19">
        <f t="shared" si="1"/>
        <v>-0.80019884867314339</v>
      </c>
      <c r="O40" s="11"/>
      <c r="P40" s="2">
        <f>-11428.29</f>
        <v>-11428.29</v>
      </c>
      <c r="Q40" s="2"/>
      <c r="R40" s="19"/>
      <c r="S40" s="2"/>
      <c r="T40" s="2">
        <f>-25056.56</f>
        <v>-25056.560000000001</v>
      </c>
      <c r="U40" s="2"/>
      <c r="V40" s="19"/>
      <c r="W40" s="2"/>
      <c r="X40" s="2">
        <f t="shared" si="2"/>
        <v>13628.27</v>
      </c>
      <c r="Y40" s="2"/>
      <c r="Z40" s="19">
        <f t="shared" si="3"/>
        <v>-0.54390028000651325</v>
      </c>
    </row>
    <row r="41" spans="1:26" s="24" customFormat="1" hidden="1" outlineLevel="1" x14ac:dyDescent="0.25">
      <c r="A41" s="44"/>
      <c r="B41" s="11" t="str">
        <f>CONCATENATE("          ", "4241", " - ", "SALES RETURN TAXABLE-LOGO GIFT")</f>
        <v xml:space="preserve">          4241 - SALES RETURN TAXABLE-LOGO GIFT</v>
      </c>
      <c r="C41" s="11"/>
      <c r="D41" s="2">
        <f>-289.6</f>
        <v>-289.60000000000002</v>
      </c>
      <c r="E41" s="2"/>
      <c r="F41" s="19"/>
      <c r="G41" s="2"/>
      <c r="H41" s="2">
        <f>-248.32</f>
        <v>-248.32</v>
      </c>
      <c r="I41" s="2"/>
      <c r="J41" s="19"/>
      <c r="K41" s="2"/>
      <c r="L41" s="2">
        <f t="shared" si="0"/>
        <v>-41.28000000000003</v>
      </c>
      <c r="M41" s="2"/>
      <c r="N41" s="19">
        <f t="shared" si="1"/>
        <v>0.16623711340206199</v>
      </c>
      <c r="O41" s="11"/>
      <c r="P41" s="2">
        <f>-1756.36</f>
        <v>-1756.36</v>
      </c>
      <c r="Q41" s="2"/>
      <c r="R41" s="19"/>
      <c r="S41" s="2"/>
      <c r="T41" s="2">
        <f>-1348.95</f>
        <v>-1348.95</v>
      </c>
      <c r="U41" s="2"/>
      <c r="V41" s="19"/>
      <c r="W41" s="2"/>
      <c r="X41" s="2">
        <f t="shared" si="2"/>
        <v>-407.40999999999985</v>
      </c>
      <c r="Y41" s="2"/>
      <c r="Z41" s="19">
        <f t="shared" si="3"/>
        <v>0.3020200896993957</v>
      </c>
    </row>
    <row r="42" spans="1:26" s="24" customFormat="1" hidden="1" outlineLevel="1" x14ac:dyDescent="0.25">
      <c r="A42" s="44"/>
      <c r="B42" s="11" t="str">
        <f>CONCATENATE("          ", "4242", " - ", "SALES RETURN TAXABLE-EVERYDAY")</f>
        <v xml:space="preserve">          4242 - SALES RETURN TAXABLE-EVERYDAY</v>
      </c>
      <c r="C42" s="11"/>
      <c r="D42" s="2">
        <f>-258.97</f>
        <v>-258.97000000000003</v>
      </c>
      <c r="E42" s="2"/>
      <c r="F42" s="19"/>
      <c r="G42" s="2"/>
      <c r="H42" s="2">
        <f>-116.15</f>
        <v>-116.15</v>
      </c>
      <c r="I42" s="2"/>
      <c r="J42" s="19"/>
      <c r="K42" s="2"/>
      <c r="L42" s="2">
        <f t="shared" si="0"/>
        <v>-142.82000000000002</v>
      </c>
      <c r="M42" s="2"/>
      <c r="N42" s="19">
        <f t="shared" si="1"/>
        <v>1.2296168747309515</v>
      </c>
      <c r="O42" s="11"/>
      <c r="P42" s="2">
        <f>-1209.71</f>
        <v>-1209.71</v>
      </c>
      <c r="Q42" s="2"/>
      <c r="R42" s="19"/>
      <c r="S42" s="2"/>
      <c r="T42" s="2">
        <f>-855.28</f>
        <v>-855.28</v>
      </c>
      <c r="U42" s="2"/>
      <c r="V42" s="19"/>
      <c r="W42" s="2"/>
      <c r="X42" s="2">
        <f t="shared" si="2"/>
        <v>-354.43000000000006</v>
      </c>
      <c r="Y42" s="2"/>
      <c r="Z42" s="19">
        <f t="shared" si="3"/>
        <v>0.41440230100084191</v>
      </c>
    </row>
    <row r="43" spans="1:26" s="24" customFormat="1" hidden="1" outlineLevel="1" x14ac:dyDescent="0.25">
      <c r="A43" s="44"/>
      <c r="B43" s="11" t="str">
        <f>CONCATENATE("          ", "4243", " - ", "SALES RETURN TAXABLE-CARDS")</f>
        <v xml:space="preserve">          4243 - SALES RETURN TAXABLE-CARDS</v>
      </c>
      <c r="C43" s="11"/>
      <c r="D43" s="2">
        <f>-829.55</f>
        <v>-829.55</v>
      </c>
      <c r="E43" s="2"/>
      <c r="F43" s="19"/>
      <c r="G43" s="2"/>
      <c r="H43" s="2">
        <f>0</f>
        <v>0</v>
      </c>
      <c r="I43" s="2"/>
      <c r="J43" s="19"/>
      <c r="K43" s="2"/>
      <c r="L43" s="2">
        <f t="shared" si="0"/>
        <v>-829.55</v>
      </c>
      <c r="M43" s="2"/>
      <c r="N43" s="19">
        <f t="shared" si="1"/>
        <v>0</v>
      </c>
      <c r="O43" s="11"/>
      <c r="P43" s="2">
        <f>-982.92</f>
        <v>-982.92</v>
      </c>
      <c r="Q43" s="2"/>
      <c r="R43" s="19"/>
      <c r="S43" s="2"/>
      <c r="T43" s="2">
        <f>-4.5</f>
        <v>-4.5</v>
      </c>
      <c r="U43" s="2"/>
      <c r="V43" s="19"/>
      <c r="W43" s="2"/>
      <c r="X43" s="2">
        <f t="shared" si="2"/>
        <v>-978.42</v>
      </c>
      <c r="Y43" s="2"/>
      <c r="Z43" s="19">
        <f t="shared" si="3"/>
        <v>217.42666666666665</v>
      </c>
    </row>
    <row r="44" spans="1:26" s="24" customFormat="1" hidden="1" outlineLevel="1" x14ac:dyDescent="0.25">
      <c r="A44" s="44"/>
      <c r="B44" s="11" t="str">
        <f>CONCATENATE("          ", "4244", " - ", "SALES RETURN TAXABLE-ACCESSORI")</f>
        <v xml:space="preserve">          4244 - SALES RETURN TAXABLE-ACCESSORI</v>
      </c>
      <c r="C44" s="11"/>
      <c r="D44" s="2">
        <f>0</f>
        <v>0</v>
      </c>
      <c r="E44" s="2"/>
      <c r="F44" s="19"/>
      <c r="G44" s="2"/>
      <c r="H44" s="2">
        <f>-177.85</f>
        <v>-177.85</v>
      </c>
      <c r="I44" s="2"/>
      <c r="J44" s="19"/>
      <c r="K44" s="2"/>
      <c r="L44" s="2">
        <f t="shared" si="0"/>
        <v>177.85</v>
      </c>
      <c r="M44" s="2"/>
      <c r="N44" s="19">
        <f t="shared" si="1"/>
        <v>-1</v>
      </c>
      <c r="O44" s="11"/>
      <c r="P44" s="2">
        <f>-410.99</f>
        <v>-410.99</v>
      </c>
      <c r="Q44" s="2"/>
      <c r="R44" s="19"/>
      <c r="S44" s="2"/>
      <c r="T44" s="2">
        <f>-1409.41</f>
        <v>-1409.41</v>
      </c>
      <c r="U44" s="2"/>
      <c r="V44" s="19"/>
      <c r="W44" s="2"/>
      <c r="X44" s="2">
        <f t="shared" si="2"/>
        <v>998.42000000000007</v>
      </c>
      <c r="Y44" s="2"/>
      <c r="Z44" s="19">
        <f t="shared" si="3"/>
        <v>-0.7083957116807742</v>
      </c>
    </row>
    <row r="45" spans="1:26" s="24" customFormat="1" hidden="1" outlineLevel="1" x14ac:dyDescent="0.25">
      <c r="A45" s="44"/>
      <c r="B45" s="11" t="str">
        <f>CONCATENATE("          ", "4245", " - ", "SALES RETURN TAXABLE-SPECIAL O")</f>
        <v xml:space="preserve">          4245 - SALES RETURN TAXABLE-SPECIAL O</v>
      </c>
      <c r="C45" s="11"/>
      <c r="D45" s="2">
        <f>-363.98</f>
        <v>-363.98</v>
      </c>
      <c r="E45" s="2"/>
      <c r="F45" s="19"/>
      <c r="G45" s="2"/>
      <c r="H45" s="2">
        <f t="shared" ref="H45:H46" si="12">0</f>
        <v>0</v>
      </c>
      <c r="I45" s="2"/>
      <c r="J45" s="19"/>
      <c r="K45" s="2"/>
      <c r="L45" s="2">
        <f t="shared" si="0"/>
        <v>-363.98</v>
      </c>
      <c r="M45" s="2"/>
      <c r="N45" s="19">
        <f t="shared" si="1"/>
        <v>0</v>
      </c>
      <c r="O45" s="11"/>
      <c r="P45" s="2">
        <f>-1539.93</f>
        <v>-1539.93</v>
      </c>
      <c r="Q45" s="2"/>
      <c r="R45" s="19"/>
      <c r="S45" s="2"/>
      <c r="T45" s="2">
        <f>-81.97</f>
        <v>-81.97</v>
      </c>
      <c r="U45" s="2"/>
      <c r="V45" s="19"/>
      <c r="W45" s="2"/>
      <c r="X45" s="2">
        <f t="shared" si="2"/>
        <v>-1457.96</v>
      </c>
      <c r="Y45" s="2"/>
      <c r="Z45" s="19">
        <f t="shared" si="3"/>
        <v>17.786507258753204</v>
      </c>
    </row>
    <row r="46" spans="1:26" s="24" customFormat="1" hidden="1" outlineLevel="1" x14ac:dyDescent="0.25">
      <c r="A46" s="44"/>
      <c r="B46" s="11" t="str">
        <f>CONCATENATE("          ", "4340", " - ", "SALES RETURN NON TAXABLE-LOGO")</f>
        <v xml:space="preserve">          4340 - SALES RETURN NON TAXABLE-LOGO</v>
      </c>
      <c r="C46" s="11"/>
      <c r="D46" s="2">
        <f>-195.69</f>
        <v>-195.69</v>
      </c>
      <c r="E46" s="2"/>
      <c r="F46" s="19"/>
      <c r="G46" s="2"/>
      <c r="H46" s="2">
        <f t="shared" si="12"/>
        <v>0</v>
      </c>
      <c r="I46" s="2"/>
      <c r="J46" s="19"/>
      <c r="K46" s="2"/>
      <c r="L46" s="2">
        <f t="shared" si="0"/>
        <v>-195.69</v>
      </c>
      <c r="M46" s="2"/>
      <c r="N46" s="19">
        <f t="shared" si="1"/>
        <v>0</v>
      </c>
      <c r="O46" s="11"/>
      <c r="P46" s="2">
        <f>-736.73</f>
        <v>-736.73</v>
      </c>
      <c r="Q46" s="2"/>
      <c r="R46" s="19"/>
      <c r="S46" s="2"/>
      <c r="T46" s="2">
        <f>-293.45</f>
        <v>-293.45</v>
      </c>
      <c r="U46" s="2"/>
      <c r="V46" s="19"/>
      <c r="W46" s="2"/>
      <c r="X46" s="2">
        <f t="shared" si="2"/>
        <v>-443.28000000000003</v>
      </c>
      <c r="Y46" s="2"/>
      <c r="Z46" s="19">
        <f t="shared" si="3"/>
        <v>1.5105810189129325</v>
      </c>
    </row>
    <row r="47" spans="1:26" s="24" customFormat="1" hidden="1" outlineLevel="1" x14ac:dyDescent="0.25">
      <c r="A47" s="44"/>
      <c r="B47" s="11" t="str">
        <f>CONCATENATE("          ", "4341", " - ", "SALES RETURN NON TAXABLE-LOGO")</f>
        <v xml:space="preserve">          4341 - SALES RETURN NON TAXABLE-LOGO</v>
      </c>
      <c r="C47" s="11"/>
      <c r="D47" s="2">
        <f t="shared" ref="D47:D48" si="13">0</f>
        <v>0</v>
      </c>
      <c r="E47" s="2"/>
      <c r="F47" s="19"/>
      <c r="G47" s="2"/>
      <c r="H47" s="2">
        <f>-6.95</f>
        <v>-6.95</v>
      </c>
      <c r="I47" s="2"/>
      <c r="J47" s="19"/>
      <c r="K47" s="2"/>
      <c r="L47" s="2">
        <f t="shared" si="0"/>
        <v>6.95</v>
      </c>
      <c r="M47" s="2"/>
      <c r="N47" s="19">
        <f t="shared" si="1"/>
        <v>-1</v>
      </c>
      <c r="O47" s="11"/>
      <c r="P47" s="2">
        <f>-146.9</f>
        <v>-146.9</v>
      </c>
      <c r="Q47" s="2"/>
      <c r="R47" s="19"/>
      <c r="S47" s="2"/>
      <c r="T47" s="2">
        <f>-10.9</f>
        <v>-10.9</v>
      </c>
      <c r="U47" s="2"/>
      <c r="V47" s="19"/>
      <c r="W47" s="2"/>
      <c r="X47" s="2">
        <f t="shared" si="2"/>
        <v>-136</v>
      </c>
      <c r="Y47" s="2"/>
      <c r="Z47" s="19">
        <f t="shared" si="3"/>
        <v>12.477064220183486</v>
      </c>
    </row>
    <row r="48" spans="1:26" s="24" customFormat="1" hidden="1" outlineLevel="1" x14ac:dyDescent="0.25">
      <c r="A48" s="44"/>
      <c r="B48" s="11" t="str">
        <f>CONCATENATE("          ", "4342", " - ", "SALES RETURN NON TAXABLE-EVERY")</f>
        <v xml:space="preserve">          4342 - SALES RETURN NON TAXABLE-EVERY</v>
      </c>
      <c r="C48" s="11"/>
      <c r="D48" s="2">
        <f t="shared" si="13"/>
        <v>0</v>
      </c>
      <c r="E48" s="2"/>
      <c r="F48" s="19"/>
      <c r="G48" s="2"/>
      <c r="H48" s="2">
        <f>-92.85</f>
        <v>-92.85</v>
      </c>
      <c r="I48" s="2"/>
      <c r="J48" s="19"/>
      <c r="K48" s="2"/>
      <c r="L48" s="2">
        <f t="shared" si="0"/>
        <v>92.85</v>
      </c>
      <c r="M48" s="2"/>
      <c r="N48" s="19">
        <f t="shared" si="1"/>
        <v>-1</v>
      </c>
      <c r="O48" s="11"/>
      <c r="P48" s="2">
        <f>-118.7</f>
        <v>-118.7</v>
      </c>
      <c r="Q48" s="2"/>
      <c r="R48" s="19"/>
      <c r="S48" s="2"/>
      <c r="T48" s="2">
        <f>-102.85</f>
        <v>-102.85</v>
      </c>
      <c r="U48" s="2"/>
      <c r="V48" s="19"/>
      <c r="W48" s="2"/>
      <c r="X48" s="2">
        <f t="shared" si="2"/>
        <v>-15.850000000000009</v>
      </c>
      <c r="Y48" s="2"/>
      <c r="Z48" s="19">
        <f t="shared" si="3"/>
        <v>0.15410792416140018</v>
      </c>
    </row>
    <row r="49" spans="1:26" x14ac:dyDescent="0.25">
      <c r="A49" s="9"/>
      <c r="B49" s="10"/>
      <c r="C49" s="9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collapsed="1" x14ac:dyDescent="0.25">
      <c r="A50" s="10"/>
      <c r="B50" s="26" t="s">
        <v>8</v>
      </c>
      <c r="C50" s="10"/>
      <c r="D50" s="4">
        <f>SUM(OSRRefD16x_0)</f>
        <v>52899.000000000007</v>
      </c>
      <c r="E50" s="4"/>
      <c r="F50" s="12">
        <f t="shared" ref="F50:F73" si="14">IF(D$12=0,0,D50/D$12)</f>
        <v>0.54742735325772029</v>
      </c>
      <c r="G50" s="4"/>
      <c r="H50" s="4">
        <f>SUM(OSRRefH16x_0)</f>
        <v>103691.41000000002</v>
      </c>
      <c r="I50" s="4"/>
      <c r="J50" s="12">
        <f t="shared" ref="J50:J73" si="15">IF(H$12=0,0,H50/H$12)</f>
        <v>0.46732522166210672</v>
      </c>
      <c r="K50" s="4"/>
      <c r="L50" s="4">
        <f t="shared" ref="L50:L73" si="16">+D50-H50</f>
        <v>-50792.410000000011</v>
      </c>
      <c r="M50" s="4"/>
      <c r="N50" s="12">
        <f t="shared" ref="N50:N73" si="17">IF(H50=0,0,L50/H50)</f>
        <v>-0.4898420225937713</v>
      </c>
      <c r="O50" s="10"/>
      <c r="P50" s="4">
        <f>SUM(OSRRefP16x_0)</f>
        <v>384173.5400000001</v>
      </c>
      <c r="Q50" s="4"/>
      <c r="R50" s="12">
        <f t="shared" ref="R50:R73" si="18">IF(P$12=0,0,P50/P$12)</f>
        <v>0.61311256909242773</v>
      </c>
      <c r="S50" s="4"/>
      <c r="T50" s="4">
        <f>SUM(OSRRefT16x_0)</f>
        <v>428700.07</v>
      </c>
      <c r="U50" s="4"/>
      <c r="V50" s="12">
        <f t="shared" ref="V50:V73" si="19">IF(T$12=0,0,T50/T$12)</f>
        <v>0.4619973659149586</v>
      </c>
      <c r="W50" s="4"/>
      <c r="X50" s="4">
        <f t="shared" ref="X50:X73" si="20">+P50-T50</f>
        <v>-44526.529999999912</v>
      </c>
      <c r="Y50" s="4"/>
      <c r="Z50" s="12">
        <f t="shared" ref="Z50:Z73" si="21">IF(T50=0,0,X50/T50)</f>
        <v>-0.10386406048405802</v>
      </c>
    </row>
    <row r="51" spans="1:26" s="24" customFormat="1" hidden="1" outlineLevel="1" x14ac:dyDescent="0.25">
      <c r="A51" s="44"/>
      <c r="B51" s="11" t="str">
        <f>CONCATENATE("          ", "5025", " - ", "PURCHASES @ COST-TEST FORMS")</f>
        <v xml:space="preserve">          5025 - PURCHASES @ COST-TEST FORMS</v>
      </c>
      <c r="C51" s="11"/>
      <c r="D51" s="2">
        <v>599.29</v>
      </c>
      <c r="E51" s="2"/>
      <c r="F51" s="19">
        <f t="shared" si="14"/>
        <v>6.201775809255735E-3</v>
      </c>
      <c r="G51" s="2"/>
      <c r="H51" s="2"/>
      <c r="I51" s="2"/>
      <c r="J51" s="19">
        <f t="shared" si="15"/>
        <v>0</v>
      </c>
      <c r="K51" s="2"/>
      <c r="L51" s="2">
        <f t="shared" si="16"/>
        <v>599.29</v>
      </c>
      <c r="M51" s="2"/>
      <c r="N51" s="19">
        <f t="shared" si="17"/>
        <v>0</v>
      </c>
      <c r="O51" s="11"/>
      <c r="P51" s="2">
        <v>599.29</v>
      </c>
      <c r="Q51" s="2"/>
      <c r="R51" s="19">
        <f t="shared" si="18"/>
        <v>9.5642253636572913E-4</v>
      </c>
      <c r="S51" s="2"/>
      <c r="T51" s="2"/>
      <c r="U51" s="2"/>
      <c r="V51" s="19">
        <f t="shared" si="19"/>
        <v>0</v>
      </c>
      <c r="W51" s="2"/>
      <c r="X51" s="2">
        <f t="shared" si="20"/>
        <v>599.29</v>
      </c>
      <c r="Y51" s="2"/>
      <c r="Z51" s="19">
        <f t="shared" si="21"/>
        <v>0</v>
      </c>
    </row>
    <row r="52" spans="1:26" s="24" customFormat="1" hidden="1" outlineLevel="1" x14ac:dyDescent="0.25">
      <c r="A52" s="44"/>
      <c r="B52" s="11" t="str">
        <f>CONCATENATE("          ", "5026", " - ", "PURCHASES @ COST-WRITING INSTR")</f>
        <v xml:space="preserve">          5026 - PURCHASES @ COST-WRITING INSTR</v>
      </c>
      <c r="C52" s="11"/>
      <c r="D52" s="2">
        <v>10</v>
      </c>
      <c r="E52" s="2"/>
      <c r="F52" s="19">
        <f t="shared" si="14"/>
        <v>1.0348538786323375E-4</v>
      </c>
      <c r="G52" s="2"/>
      <c r="H52" s="2"/>
      <c r="I52" s="2"/>
      <c r="J52" s="19">
        <f t="shared" si="15"/>
        <v>0</v>
      </c>
      <c r="K52" s="2"/>
      <c r="L52" s="2">
        <f t="shared" si="16"/>
        <v>10</v>
      </c>
      <c r="M52" s="2"/>
      <c r="N52" s="19">
        <f t="shared" si="17"/>
        <v>0</v>
      </c>
      <c r="O52" s="11"/>
      <c r="P52" s="2">
        <v>10</v>
      </c>
      <c r="Q52" s="2"/>
      <c r="R52" s="19">
        <f t="shared" si="18"/>
        <v>1.5959260731294184E-5</v>
      </c>
      <c r="S52" s="2"/>
      <c r="T52" s="2"/>
      <c r="U52" s="2"/>
      <c r="V52" s="19">
        <f t="shared" si="19"/>
        <v>0</v>
      </c>
      <c r="W52" s="2"/>
      <c r="X52" s="2">
        <f t="shared" si="20"/>
        <v>10</v>
      </c>
      <c r="Y52" s="2"/>
      <c r="Z52" s="19">
        <f t="shared" si="21"/>
        <v>0</v>
      </c>
    </row>
    <row r="53" spans="1:26" s="24" customFormat="1" hidden="1" outlineLevel="1" x14ac:dyDescent="0.25">
      <c r="A53" s="44"/>
      <c r="B53" s="11" t="str">
        <f>CONCATENATE("          ", "5027", " - ", "PURCHASES @ COST-SCHOOL SUPPLI")</f>
        <v xml:space="preserve">          5027 - PURCHASES @ COST-SCHOOL SUPPLI</v>
      </c>
      <c r="C53" s="11"/>
      <c r="D53" s="2">
        <v>9672.48</v>
      </c>
      <c r="E53" s="2"/>
      <c r="F53" s="19">
        <f t="shared" si="14"/>
        <v>0.1000960344399371</v>
      </c>
      <c r="G53" s="2"/>
      <c r="H53" s="2"/>
      <c r="I53" s="2"/>
      <c r="J53" s="19">
        <f t="shared" si="15"/>
        <v>0</v>
      </c>
      <c r="K53" s="2"/>
      <c r="L53" s="2">
        <f t="shared" si="16"/>
        <v>9672.48</v>
      </c>
      <c r="M53" s="2"/>
      <c r="N53" s="19">
        <f t="shared" si="17"/>
        <v>0</v>
      </c>
      <c r="O53" s="11"/>
      <c r="P53" s="2">
        <v>18175.88</v>
      </c>
      <c r="Q53" s="2"/>
      <c r="R53" s="19">
        <f t="shared" si="18"/>
        <v>2.9007360794071534E-2</v>
      </c>
      <c r="S53" s="2"/>
      <c r="T53" s="2"/>
      <c r="U53" s="2"/>
      <c r="V53" s="19">
        <f t="shared" si="19"/>
        <v>0</v>
      </c>
      <c r="W53" s="2"/>
      <c r="X53" s="2">
        <f t="shared" si="20"/>
        <v>18175.88</v>
      </c>
      <c r="Y53" s="2"/>
      <c r="Z53" s="19">
        <f t="shared" si="21"/>
        <v>0</v>
      </c>
    </row>
    <row r="54" spans="1:26" s="24" customFormat="1" hidden="1" outlineLevel="1" x14ac:dyDescent="0.25">
      <c r="A54" s="44"/>
      <c r="B54" s="11" t="str">
        <f>CONCATENATE("          ", "5028", " - ", "PURCHASES @ COST-ART/TECH")</f>
        <v xml:space="preserve">          5028 - PURCHASES @ COST-ART/TECH</v>
      </c>
      <c r="C54" s="11"/>
      <c r="D54" s="2"/>
      <c r="E54" s="2"/>
      <c r="F54" s="19">
        <f t="shared" si="14"/>
        <v>0</v>
      </c>
      <c r="G54" s="2"/>
      <c r="H54" s="2"/>
      <c r="I54" s="2"/>
      <c r="J54" s="19">
        <f t="shared" si="15"/>
        <v>0</v>
      </c>
      <c r="K54" s="2"/>
      <c r="L54" s="2">
        <f t="shared" si="16"/>
        <v>0</v>
      </c>
      <c r="M54" s="2"/>
      <c r="N54" s="19">
        <f t="shared" si="17"/>
        <v>0</v>
      </c>
      <c r="O54" s="11"/>
      <c r="P54" s="2">
        <v>-83.4</v>
      </c>
      <c r="Q54" s="2"/>
      <c r="R54" s="19">
        <f t="shared" si="18"/>
        <v>-1.331002344989935E-4</v>
      </c>
      <c r="S54" s="2"/>
      <c r="T54" s="2"/>
      <c r="U54" s="2"/>
      <c r="V54" s="19">
        <f t="shared" si="19"/>
        <v>0</v>
      </c>
      <c r="W54" s="2"/>
      <c r="X54" s="2">
        <f t="shared" si="20"/>
        <v>-83.4</v>
      </c>
      <c r="Y54" s="2"/>
      <c r="Z54" s="19">
        <f t="shared" si="21"/>
        <v>0</v>
      </c>
    </row>
    <row r="55" spans="1:26" s="24" customFormat="1" hidden="1" outlineLevel="1" x14ac:dyDescent="0.25">
      <c r="A55" s="44"/>
      <c r="B55" s="11" t="str">
        <f>CONCATENATE("          ", "5031", " - ", "PURCHASES @ COST-FOOD")</f>
        <v xml:space="preserve">          5031 - PURCHASES @ COST-FOOD</v>
      </c>
      <c r="C55" s="11"/>
      <c r="D55" s="2">
        <v>4421.92</v>
      </c>
      <c r="E55" s="2"/>
      <c r="F55" s="19">
        <f t="shared" si="14"/>
        <v>4.5760410630019059E-2</v>
      </c>
      <c r="G55" s="2"/>
      <c r="H55" s="2"/>
      <c r="I55" s="2"/>
      <c r="J55" s="19">
        <f t="shared" si="15"/>
        <v>0</v>
      </c>
      <c r="K55" s="2"/>
      <c r="L55" s="2">
        <f t="shared" si="16"/>
        <v>4421.92</v>
      </c>
      <c r="M55" s="2"/>
      <c r="N55" s="19">
        <f t="shared" si="17"/>
        <v>0</v>
      </c>
      <c r="O55" s="11"/>
      <c r="P55" s="2">
        <v>5605.43</v>
      </c>
      <c r="Q55" s="2"/>
      <c r="R55" s="19">
        <f t="shared" si="18"/>
        <v>8.9458518881018363E-3</v>
      </c>
      <c r="S55" s="2"/>
      <c r="T55" s="2"/>
      <c r="U55" s="2"/>
      <c r="V55" s="19">
        <f t="shared" si="19"/>
        <v>0</v>
      </c>
      <c r="W55" s="2"/>
      <c r="X55" s="2">
        <f t="shared" si="20"/>
        <v>5605.43</v>
      </c>
      <c r="Y55" s="2"/>
      <c r="Z55" s="19">
        <f t="shared" si="21"/>
        <v>0</v>
      </c>
    </row>
    <row r="56" spans="1:26" s="24" customFormat="1" hidden="1" outlineLevel="1" x14ac:dyDescent="0.25">
      <c r="A56" s="44"/>
      <c r="B56" s="11" t="str">
        <f>CONCATENATE("          ", "5040", " - ", "PURCHASES @ COST-LOGO CLOTHING")</f>
        <v xml:space="preserve">          5040 - PURCHASES @ COST-LOGO CLOTHING</v>
      </c>
      <c r="C56" s="11"/>
      <c r="D56" s="2">
        <v>25420.9</v>
      </c>
      <c r="E56" s="2"/>
      <c r="F56" s="19">
        <f t="shared" si="14"/>
        <v>0.26306916963324789</v>
      </c>
      <c r="G56" s="2"/>
      <c r="H56" s="2">
        <v>160395.88</v>
      </c>
      <c r="I56" s="2"/>
      <c r="J56" s="19">
        <f t="shared" si="15"/>
        <v>0.72288572577698251</v>
      </c>
      <c r="K56" s="2"/>
      <c r="L56" s="2">
        <f t="shared" si="16"/>
        <v>-134974.98000000001</v>
      </c>
      <c r="M56" s="2"/>
      <c r="N56" s="19">
        <f t="shared" si="17"/>
        <v>-0.8415115151336805</v>
      </c>
      <c r="O56" s="11"/>
      <c r="P56" s="2">
        <v>39170.950000000004</v>
      </c>
      <c r="Q56" s="2"/>
      <c r="R56" s="19">
        <f t="shared" si="18"/>
        <v>6.2513940414248792E-2</v>
      </c>
      <c r="S56" s="2"/>
      <c r="T56" s="2">
        <v>411825.38</v>
      </c>
      <c r="U56" s="2"/>
      <c r="V56" s="19">
        <f t="shared" si="19"/>
        <v>0.44381201238648471</v>
      </c>
      <c r="W56" s="2"/>
      <c r="X56" s="2">
        <f t="shared" si="20"/>
        <v>-372654.43</v>
      </c>
      <c r="Y56" s="2"/>
      <c r="Z56" s="19">
        <f t="shared" si="21"/>
        <v>-0.90488456539516815</v>
      </c>
    </row>
    <row r="57" spans="1:26" s="24" customFormat="1" hidden="1" outlineLevel="1" x14ac:dyDescent="0.25">
      <c r="A57" s="44"/>
      <c r="B57" s="11" t="str">
        <f>CONCATENATE("          ", "5041", " - ", "PURCHASES @ COST-LOGO GIFTS")</f>
        <v xml:space="preserve">          5041 - PURCHASES @ COST-LOGO GIFTS</v>
      </c>
      <c r="C57" s="11"/>
      <c r="D57" s="2">
        <v>15082.2</v>
      </c>
      <c r="E57" s="2"/>
      <c r="F57" s="19">
        <f t="shared" si="14"/>
        <v>0.15607873168308639</v>
      </c>
      <c r="G57" s="2"/>
      <c r="H57" s="2">
        <v>27090.09</v>
      </c>
      <c r="I57" s="2"/>
      <c r="J57" s="19">
        <f t="shared" si="15"/>
        <v>0.12209191016012241</v>
      </c>
      <c r="K57" s="2"/>
      <c r="L57" s="2">
        <f t="shared" si="16"/>
        <v>-12007.89</v>
      </c>
      <c r="M57" s="2"/>
      <c r="N57" s="19">
        <f t="shared" si="17"/>
        <v>-0.44325766359580199</v>
      </c>
      <c r="O57" s="11"/>
      <c r="P57" s="2">
        <v>17079.740000000002</v>
      </c>
      <c r="Q57" s="2"/>
      <c r="R57" s="19">
        <f t="shared" si="18"/>
        <v>2.7258002388271457E-2</v>
      </c>
      <c r="S57" s="2"/>
      <c r="T57" s="2">
        <v>58401.82</v>
      </c>
      <c r="U57" s="2"/>
      <c r="V57" s="19">
        <f t="shared" si="19"/>
        <v>6.2937911357559481E-2</v>
      </c>
      <c r="W57" s="2"/>
      <c r="X57" s="2">
        <f t="shared" si="20"/>
        <v>-41322.080000000002</v>
      </c>
      <c r="Y57" s="2"/>
      <c r="Z57" s="19">
        <f t="shared" si="21"/>
        <v>-0.70754781272227474</v>
      </c>
    </row>
    <row r="58" spans="1:26" s="24" customFormat="1" hidden="1" outlineLevel="1" x14ac:dyDescent="0.25">
      <c r="A58" s="44"/>
      <c r="B58" s="11" t="str">
        <f>CONCATENATE("          ", "5042", " - ", "PURCHASES @ COST-EVERYDAY GIFT")</f>
        <v xml:space="preserve">          5042 - PURCHASES @ COST-EVERYDAY GIFT</v>
      </c>
      <c r="C58" s="11"/>
      <c r="D58" s="2">
        <v>1475.49</v>
      </c>
      <c r="E58" s="2"/>
      <c r="F58" s="19">
        <f t="shared" si="14"/>
        <v>1.5269165493832275E-2</v>
      </c>
      <c r="G58" s="2"/>
      <c r="H58" s="2">
        <v>12151.42</v>
      </c>
      <c r="I58" s="2"/>
      <c r="J58" s="19">
        <f t="shared" si="15"/>
        <v>5.4765047992011644E-2</v>
      </c>
      <c r="K58" s="2"/>
      <c r="L58" s="2">
        <f t="shared" si="16"/>
        <v>-10675.93</v>
      </c>
      <c r="M58" s="2"/>
      <c r="N58" s="19">
        <f t="shared" si="17"/>
        <v>-0.87857468509853176</v>
      </c>
      <c r="O58" s="11"/>
      <c r="P58" s="2">
        <v>2966.64</v>
      </c>
      <c r="Q58" s="2"/>
      <c r="R58" s="19">
        <f t="shared" si="18"/>
        <v>4.7345381255886575E-3</v>
      </c>
      <c r="S58" s="2"/>
      <c r="T58" s="2">
        <v>39807.93</v>
      </c>
      <c r="U58" s="2"/>
      <c r="V58" s="19">
        <f t="shared" si="19"/>
        <v>4.2899826917516148E-2</v>
      </c>
      <c r="W58" s="2"/>
      <c r="X58" s="2">
        <f t="shared" si="20"/>
        <v>-36841.29</v>
      </c>
      <c r="Y58" s="2"/>
      <c r="Z58" s="19">
        <f t="shared" si="21"/>
        <v>-0.92547615512788539</v>
      </c>
    </row>
    <row r="59" spans="1:26" s="24" customFormat="1" hidden="1" outlineLevel="1" x14ac:dyDescent="0.25">
      <c r="A59" s="44"/>
      <c r="B59" s="11" t="str">
        <f>CONCATENATE("          ", "5043", " - ", "PURCHASES @ COST-CARDS")</f>
        <v xml:space="preserve">          5043 - PURCHASES @ COST-CARDS</v>
      </c>
      <c r="C59" s="11"/>
      <c r="D59" s="2">
        <v>2526.75</v>
      </c>
      <c r="E59" s="2"/>
      <c r="F59" s="19">
        <f t="shared" si="14"/>
        <v>2.6148170378342585E-2</v>
      </c>
      <c r="G59" s="2"/>
      <c r="H59" s="2">
        <v>331.09</v>
      </c>
      <c r="I59" s="2"/>
      <c r="J59" s="19">
        <f t="shared" si="15"/>
        <v>1.4921844310932496E-3</v>
      </c>
      <c r="K59" s="2"/>
      <c r="L59" s="2">
        <f t="shared" si="16"/>
        <v>2195.66</v>
      </c>
      <c r="M59" s="2"/>
      <c r="N59" s="19">
        <f t="shared" si="17"/>
        <v>6.631610740282099</v>
      </c>
      <c r="O59" s="11"/>
      <c r="P59" s="2">
        <v>5643</v>
      </c>
      <c r="Q59" s="2"/>
      <c r="R59" s="19">
        <f t="shared" si="18"/>
        <v>9.0058108306693072E-3</v>
      </c>
      <c r="S59" s="2"/>
      <c r="T59" s="2">
        <v>1340.08</v>
      </c>
      <c r="U59" s="2"/>
      <c r="V59" s="19">
        <f t="shared" si="19"/>
        <v>1.4441645183666933E-3</v>
      </c>
      <c r="W59" s="2"/>
      <c r="X59" s="2">
        <f t="shared" si="20"/>
        <v>4302.92</v>
      </c>
      <c r="Y59" s="2"/>
      <c r="Z59" s="19">
        <f t="shared" si="21"/>
        <v>3.2109426302907291</v>
      </c>
    </row>
    <row r="60" spans="1:26" s="24" customFormat="1" hidden="1" outlineLevel="1" x14ac:dyDescent="0.25">
      <c r="A60" s="44"/>
      <c r="B60" s="11" t="str">
        <f>CONCATENATE("          ", "5044", " - ", "PURCHASES @ COST-ACCESSORIES")</f>
        <v xml:space="preserve">          5044 - PURCHASES @ COST-ACCESSORIES</v>
      </c>
      <c r="C60" s="11"/>
      <c r="D60" s="2"/>
      <c r="E60" s="2"/>
      <c r="F60" s="19">
        <f t="shared" si="14"/>
        <v>0</v>
      </c>
      <c r="G60" s="2"/>
      <c r="H60" s="2">
        <v>3142.34</v>
      </c>
      <c r="I60" s="2"/>
      <c r="J60" s="19">
        <f t="shared" si="15"/>
        <v>1.4162163838236014E-2</v>
      </c>
      <c r="K60" s="2"/>
      <c r="L60" s="2">
        <f t="shared" si="16"/>
        <v>-3142.34</v>
      </c>
      <c r="M60" s="2"/>
      <c r="N60" s="19">
        <f t="shared" si="17"/>
        <v>-1</v>
      </c>
      <c r="O60" s="11"/>
      <c r="P60" s="2"/>
      <c r="Q60" s="2"/>
      <c r="R60" s="19">
        <f t="shared" si="18"/>
        <v>0</v>
      </c>
      <c r="S60" s="2"/>
      <c r="T60" s="2">
        <v>21798.560000000001</v>
      </c>
      <c r="U60" s="2"/>
      <c r="V60" s="19">
        <f t="shared" si="19"/>
        <v>2.3491662366043421E-2</v>
      </c>
      <c r="W60" s="2"/>
      <c r="X60" s="2">
        <f t="shared" si="20"/>
        <v>-21798.560000000001</v>
      </c>
      <c r="Y60" s="2"/>
      <c r="Z60" s="19">
        <f t="shared" si="21"/>
        <v>-1</v>
      </c>
    </row>
    <row r="61" spans="1:26" s="24" customFormat="1" hidden="1" outlineLevel="1" x14ac:dyDescent="0.25">
      <c r="A61" s="44"/>
      <c r="B61" s="11" t="str">
        <f>CONCATENATE("          ", "5045", " - ", "PURCHASES @ COST-SPECIAL ORDER")</f>
        <v xml:space="preserve">          5045 - PURCHASES @ COST-SPECIAL ORDER</v>
      </c>
      <c r="C61" s="11"/>
      <c r="D61" s="2">
        <v>10080.23</v>
      </c>
      <c r="E61" s="2"/>
      <c r="F61" s="19">
        <f t="shared" si="14"/>
        <v>0.10431565113006046</v>
      </c>
      <c r="G61" s="2"/>
      <c r="H61" s="2">
        <v>3599.17</v>
      </c>
      <c r="I61" s="2"/>
      <c r="J61" s="19">
        <f t="shared" si="15"/>
        <v>1.6221043942305387E-2</v>
      </c>
      <c r="K61" s="2"/>
      <c r="L61" s="2">
        <f t="shared" si="16"/>
        <v>6481.0599999999995</v>
      </c>
      <c r="M61" s="2"/>
      <c r="N61" s="19">
        <f t="shared" si="17"/>
        <v>1.8007096080485221</v>
      </c>
      <c r="O61" s="11"/>
      <c r="P61" s="2">
        <v>71254.52</v>
      </c>
      <c r="Q61" s="2"/>
      <c r="R61" s="19">
        <f t="shared" si="18"/>
        <v>0.11371694629632161</v>
      </c>
      <c r="S61" s="2"/>
      <c r="T61" s="2">
        <v>29031.4</v>
      </c>
      <c r="U61" s="2"/>
      <c r="V61" s="19">
        <f t="shared" si="19"/>
        <v>3.128627977323057E-2</v>
      </c>
      <c r="W61" s="2"/>
      <c r="X61" s="2">
        <f t="shared" si="20"/>
        <v>42223.12</v>
      </c>
      <c r="Y61" s="2"/>
      <c r="Z61" s="19">
        <f t="shared" si="21"/>
        <v>1.4543948965602762</v>
      </c>
    </row>
    <row r="62" spans="1:26" s="24" customFormat="1" hidden="1" outlineLevel="1" x14ac:dyDescent="0.25">
      <c r="A62" s="44"/>
      <c r="B62" s="11" t="str">
        <f>CONCATENATE("          ", "5200", " - ", "PURCHASES OFFSET")</f>
        <v xml:space="preserve">          5200 - PURCHASES OFFSET</v>
      </c>
      <c r="C62" s="11"/>
      <c r="D62" s="2">
        <v>-71608.86</v>
      </c>
      <c r="E62" s="2"/>
      <c r="F62" s="19">
        <f t="shared" si="14"/>
        <v>-0.74104706515440044</v>
      </c>
      <c r="G62" s="2"/>
      <c r="H62" s="2">
        <v>-217435</v>
      </c>
      <c r="I62" s="2"/>
      <c r="J62" s="19">
        <f t="shared" si="15"/>
        <v>-0.97995445883222299</v>
      </c>
      <c r="K62" s="2"/>
      <c r="L62" s="2">
        <f t="shared" si="16"/>
        <v>145826.14000000001</v>
      </c>
      <c r="M62" s="2"/>
      <c r="N62" s="19">
        <f t="shared" si="17"/>
        <v>-0.67066544024651054</v>
      </c>
      <c r="O62" s="11"/>
      <c r="P62" s="2">
        <v>-165165.74</v>
      </c>
      <c r="Q62" s="2"/>
      <c r="R62" s="19">
        <f t="shared" si="18"/>
        <v>-0.26359231085371448</v>
      </c>
      <c r="S62" s="2"/>
      <c r="T62" s="2">
        <v>-579330</v>
      </c>
      <c r="U62" s="2"/>
      <c r="V62" s="19">
        <f t="shared" si="19"/>
        <v>-0.62432677931569491</v>
      </c>
      <c r="W62" s="2"/>
      <c r="X62" s="2">
        <f t="shared" si="20"/>
        <v>414164.26</v>
      </c>
      <c r="Y62" s="2"/>
      <c r="Z62" s="19">
        <f t="shared" si="21"/>
        <v>-0.71490214558196541</v>
      </c>
    </row>
    <row r="63" spans="1:26" s="24" customFormat="1" hidden="1" outlineLevel="1" x14ac:dyDescent="0.25">
      <c r="A63" s="44"/>
      <c r="B63" s="11" t="str">
        <f>CONCATENATE("          ", "5300", " - ", "COG$ OFFSET")</f>
        <v xml:space="preserve">          5300 - COG$ OFFSET</v>
      </c>
      <c r="C63" s="11"/>
      <c r="D63" s="2">
        <v>52899</v>
      </c>
      <c r="E63" s="2"/>
      <c r="F63" s="19">
        <f t="shared" si="14"/>
        <v>0.54742735325772018</v>
      </c>
      <c r="G63" s="2"/>
      <c r="H63" s="2">
        <v>103662</v>
      </c>
      <c r="I63" s="2"/>
      <c r="J63" s="19">
        <f t="shared" si="15"/>
        <v>0.46719267418523192</v>
      </c>
      <c r="K63" s="2"/>
      <c r="L63" s="2">
        <f t="shared" si="16"/>
        <v>-50763</v>
      </c>
      <c r="M63" s="2"/>
      <c r="N63" s="19">
        <f t="shared" si="17"/>
        <v>-0.48969728540834634</v>
      </c>
      <c r="O63" s="11"/>
      <c r="P63" s="2">
        <v>383257</v>
      </c>
      <c r="Q63" s="2"/>
      <c r="R63" s="19">
        <f t="shared" si="18"/>
        <v>0.61164983900936154</v>
      </c>
      <c r="S63" s="2"/>
      <c r="T63" s="2">
        <v>428673</v>
      </c>
      <c r="U63" s="2"/>
      <c r="V63" s="19">
        <f t="shared" si="19"/>
        <v>0.46196819337786216</v>
      </c>
      <c r="W63" s="2"/>
      <c r="X63" s="2">
        <f t="shared" si="20"/>
        <v>-45416</v>
      </c>
      <c r="Y63" s="2"/>
      <c r="Z63" s="19">
        <f t="shared" si="21"/>
        <v>-0.10594555756952269</v>
      </c>
    </row>
    <row r="64" spans="1:26" s="24" customFormat="1" hidden="1" outlineLevel="1" x14ac:dyDescent="0.25">
      <c r="A64" s="44"/>
      <c r="B64" s="11" t="str">
        <f>CONCATENATE("          ", "5500", " - ", "FREIGHT-IN")</f>
        <v xml:space="preserve">          5500 - FREIGHT-IN</v>
      </c>
      <c r="C64" s="11"/>
      <c r="D64" s="2"/>
      <c r="E64" s="2"/>
      <c r="F64" s="19">
        <f t="shared" si="14"/>
        <v>0</v>
      </c>
      <c r="G64" s="2"/>
      <c r="H64" s="2">
        <v>29.23</v>
      </c>
      <c r="I64" s="2"/>
      <c r="J64" s="19">
        <f t="shared" si="15"/>
        <v>1.3173623764189702E-4</v>
      </c>
      <c r="K64" s="2"/>
      <c r="L64" s="2">
        <f t="shared" si="16"/>
        <v>-29.23</v>
      </c>
      <c r="M64" s="2"/>
      <c r="N64" s="19">
        <f t="shared" si="17"/>
        <v>-1</v>
      </c>
      <c r="O64" s="11"/>
      <c r="P64" s="2"/>
      <c r="Q64" s="2"/>
      <c r="R64" s="19">
        <f t="shared" si="18"/>
        <v>0</v>
      </c>
      <c r="S64" s="2"/>
      <c r="T64" s="2">
        <v>29.23</v>
      </c>
      <c r="U64" s="2"/>
      <c r="V64" s="19">
        <f t="shared" si="19"/>
        <v>3.1500305110037048E-5</v>
      </c>
      <c r="W64" s="2"/>
      <c r="X64" s="2">
        <f t="shared" si="20"/>
        <v>-29.23</v>
      </c>
      <c r="Y64" s="2"/>
      <c r="Z64" s="19">
        <f t="shared" si="21"/>
        <v>-1</v>
      </c>
    </row>
    <row r="65" spans="1:26" s="24" customFormat="1" hidden="1" outlineLevel="1" x14ac:dyDescent="0.25">
      <c r="A65" s="44"/>
      <c r="B65" s="11" t="str">
        <f>CONCATENATE("          ", "5525", " - ", "FREIGHT-IN-TEST FORMS")</f>
        <v xml:space="preserve">          5525 - FREIGHT-IN-TEST FORMS</v>
      </c>
      <c r="C65" s="11"/>
      <c r="D65" s="2">
        <v>48.14</v>
      </c>
      <c r="E65" s="2"/>
      <c r="F65" s="19">
        <f t="shared" si="14"/>
        <v>4.9817865717360725E-4</v>
      </c>
      <c r="G65" s="2"/>
      <c r="H65" s="2"/>
      <c r="I65" s="2"/>
      <c r="J65" s="19">
        <f t="shared" si="15"/>
        <v>0</v>
      </c>
      <c r="K65" s="2"/>
      <c r="L65" s="2">
        <f t="shared" si="16"/>
        <v>48.14</v>
      </c>
      <c r="M65" s="2"/>
      <c r="N65" s="19">
        <f t="shared" si="17"/>
        <v>0</v>
      </c>
      <c r="O65" s="11"/>
      <c r="P65" s="2">
        <v>48.14</v>
      </c>
      <c r="Q65" s="2"/>
      <c r="R65" s="19">
        <f t="shared" si="18"/>
        <v>7.6827881160450203E-5</v>
      </c>
      <c r="S65" s="2"/>
      <c r="T65" s="2"/>
      <c r="U65" s="2"/>
      <c r="V65" s="19">
        <f t="shared" si="19"/>
        <v>0</v>
      </c>
      <c r="W65" s="2"/>
      <c r="X65" s="2">
        <f t="shared" si="20"/>
        <v>48.14</v>
      </c>
      <c r="Y65" s="2"/>
      <c r="Z65" s="19">
        <f t="shared" si="21"/>
        <v>0</v>
      </c>
    </row>
    <row r="66" spans="1:26" s="24" customFormat="1" hidden="1" outlineLevel="1" x14ac:dyDescent="0.25">
      <c r="A66" s="44"/>
      <c r="B66" s="11" t="str">
        <f>CONCATENATE("          ", "5527", " - ", "FREIGHT-IN-SCHOOL SUPPLIES")</f>
        <v xml:space="preserve">          5527 - FREIGHT-IN-SCHOOL SUPPLIES</v>
      </c>
      <c r="C66" s="11"/>
      <c r="D66" s="2">
        <v>56</v>
      </c>
      <c r="E66" s="2"/>
      <c r="F66" s="19">
        <f t="shared" si="14"/>
        <v>5.7951817203410897E-4</v>
      </c>
      <c r="G66" s="2"/>
      <c r="H66" s="2"/>
      <c r="I66" s="2"/>
      <c r="J66" s="19">
        <f t="shared" si="15"/>
        <v>0</v>
      </c>
      <c r="K66" s="2"/>
      <c r="L66" s="2">
        <f t="shared" si="16"/>
        <v>56</v>
      </c>
      <c r="M66" s="2"/>
      <c r="N66" s="19">
        <f t="shared" si="17"/>
        <v>0</v>
      </c>
      <c r="O66" s="11"/>
      <c r="P66" s="2">
        <v>56</v>
      </c>
      <c r="Q66" s="2"/>
      <c r="R66" s="19">
        <f t="shared" si="18"/>
        <v>8.9371860095247433E-5</v>
      </c>
      <c r="S66" s="2"/>
      <c r="T66" s="2"/>
      <c r="U66" s="2"/>
      <c r="V66" s="19">
        <f t="shared" si="19"/>
        <v>0</v>
      </c>
      <c r="W66" s="2"/>
      <c r="X66" s="2">
        <f t="shared" si="20"/>
        <v>56</v>
      </c>
      <c r="Y66" s="2"/>
      <c r="Z66" s="19">
        <f t="shared" si="21"/>
        <v>0</v>
      </c>
    </row>
    <row r="67" spans="1:26" s="24" customFormat="1" hidden="1" outlineLevel="1" x14ac:dyDescent="0.25">
      <c r="A67" s="44"/>
      <c r="B67" s="11" t="str">
        <f>CONCATENATE("          ", "5528", " - ", "FREIGHT-IN-ART/TECH")</f>
        <v xml:space="preserve">          5528 - FREIGHT-IN-ART/TECH</v>
      </c>
      <c r="C67" s="11"/>
      <c r="D67" s="2">
        <v>3.94</v>
      </c>
      <c r="E67" s="2"/>
      <c r="F67" s="19">
        <f t="shared" si="14"/>
        <v>4.0773242818114097E-5</v>
      </c>
      <c r="G67" s="2"/>
      <c r="H67" s="2"/>
      <c r="I67" s="2"/>
      <c r="J67" s="19">
        <f t="shared" si="15"/>
        <v>0</v>
      </c>
      <c r="K67" s="2"/>
      <c r="L67" s="2">
        <f t="shared" si="16"/>
        <v>3.94</v>
      </c>
      <c r="M67" s="2"/>
      <c r="N67" s="19">
        <f t="shared" si="17"/>
        <v>0</v>
      </c>
      <c r="O67" s="11"/>
      <c r="P67" s="2">
        <v>3.94</v>
      </c>
      <c r="Q67" s="2"/>
      <c r="R67" s="19">
        <f t="shared" si="18"/>
        <v>6.2879487281299087E-6</v>
      </c>
      <c r="S67" s="2"/>
      <c r="T67" s="2"/>
      <c r="U67" s="2"/>
      <c r="V67" s="19">
        <f t="shared" si="19"/>
        <v>0</v>
      </c>
      <c r="W67" s="2"/>
      <c r="X67" s="2">
        <f t="shared" si="20"/>
        <v>3.94</v>
      </c>
      <c r="Y67" s="2"/>
      <c r="Z67" s="19">
        <f t="shared" si="21"/>
        <v>0</v>
      </c>
    </row>
    <row r="68" spans="1:26" s="24" customFormat="1" hidden="1" outlineLevel="1" x14ac:dyDescent="0.25">
      <c r="A68" s="44"/>
      <c r="B68" s="11" t="str">
        <f>CONCATENATE("          ", "5540", " - ", "FREIGHT-IN-LOGO CLOTHING")</f>
        <v xml:space="preserve">          5540 - FREIGHT-IN-LOGO CLOTHING</v>
      </c>
      <c r="C68" s="11"/>
      <c r="D68" s="2">
        <v>1036.57</v>
      </c>
      <c r="E68" s="2"/>
      <c r="F68" s="19">
        <f t="shared" si="14"/>
        <v>1.072698484973922E-2</v>
      </c>
      <c r="G68" s="2"/>
      <c r="H68" s="2">
        <v>9102.58</v>
      </c>
      <c r="I68" s="2"/>
      <c r="J68" s="19">
        <f t="shared" si="15"/>
        <v>4.102427786638313E-2</v>
      </c>
      <c r="K68" s="2"/>
      <c r="L68" s="2">
        <f t="shared" si="16"/>
        <v>-8066.01</v>
      </c>
      <c r="M68" s="2"/>
      <c r="N68" s="19">
        <f t="shared" si="17"/>
        <v>-0.88612349465755869</v>
      </c>
      <c r="O68" s="11"/>
      <c r="P68" s="2">
        <v>3202.33</v>
      </c>
      <c r="Q68" s="2"/>
      <c r="R68" s="19">
        <f t="shared" si="18"/>
        <v>5.1106819417645307E-3</v>
      </c>
      <c r="S68" s="2"/>
      <c r="T68" s="2">
        <v>14107.44</v>
      </c>
      <c r="U68" s="2"/>
      <c r="V68" s="19">
        <f t="shared" si="19"/>
        <v>1.5203170178636368E-2</v>
      </c>
      <c r="W68" s="2"/>
      <c r="X68" s="2">
        <f t="shared" si="20"/>
        <v>-10905.11</v>
      </c>
      <c r="Y68" s="2"/>
      <c r="Z68" s="19">
        <f t="shared" si="21"/>
        <v>-0.77300417368424035</v>
      </c>
    </row>
    <row r="69" spans="1:26" s="24" customFormat="1" hidden="1" outlineLevel="1" x14ac:dyDescent="0.25">
      <c r="A69" s="44"/>
      <c r="B69" s="11" t="str">
        <f>CONCATENATE("          ", "5541", " - ", "FREIGHT-IN-LOGO GIFTS")</f>
        <v xml:space="preserve">          5541 - FREIGHT-IN-LOGO GIFTS</v>
      </c>
      <c r="C69" s="11"/>
      <c r="D69" s="2">
        <v>773.7</v>
      </c>
      <c r="E69" s="2"/>
      <c r="F69" s="19">
        <f t="shared" si="14"/>
        <v>8.0066644589783954E-3</v>
      </c>
      <c r="G69" s="2"/>
      <c r="H69" s="2">
        <v>718.84</v>
      </c>
      <c r="I69" s="2"/>
      <c r="J69" s="19">
        <f t="shared" si="15"/>
        <v>3.2397289451420205E-3</v>
      </c>
      <c r="K69" s="2"/>
      <c r="L69" s="2">
        <f t="shared" si="16"/>
        <v>54.860000000000014</v>
      </c>
      <c r="M69" s="2"/>
      <c r="N69" s="19">
        <f t="shared" si="17"/>
        <v>7.6317400255967963E-2</v>
      </c>
      <c r="O69" s="11"/>
      <c r="P69" s="2">
        <v>1134.81</v>
      </c>
      <c r="Q69" s="2"/>
      <c r="R69" s="19">
        <f t="shared" si="18"/>
        <v>1.8110728670479952E-3</v>
      </c>
      <c r="S69" s="2"/>
      <c r="T69" s="2">
        <v>1536.85</v>
      </c>
      <c r="U69" s="2"/>
      <c r="V69" s="19">
        <f t="shared" si="19"/>
        <v>1.6562177183838669E-3</v>
      </c>
      <c r="W69" s="2"/>
      <c r="X69" s="2">
        <f t="shared" si="20"/>
        <v>-402.03999999999996</v>
      </c>
      <c r="Y69" s="2"/>
      <c r="Z69" s="19">
        <f t="shared" si="21"/>
        <v>-0.26160002602726357</v>
      </c>
    </row>
    <row r="70" spans="1:26" s="24" customFormat="1" hidden="1" outlineLevel="1" x14ac:dyDescent="0.25">
      <c r="A70" s="44"/>
      <c r="B70" s="11" t="str">
        <f>CONCATENATE("          ", "5542", " - ", "FREIGHT-IN-EVERYDAY GIFTS")</f>
        <v xml:space="preserve">          5542 - FREIGHT-IN-EVERYDAY GIFTS</v>
      </c>
      <c r="C70" s="11"/>
      <c r="D70" s="2">
        <v>104.17</v>
      </c>
      <c r="E70" s="2"/>
      <c r="F70" s="19">
        <f t="shared" si="14"/>
        <v>1.078007285371306E-3</v>
      </c>
      <c r="G70" s="2"/>
      <c r="H70" s="2">
        <v>596.04999999999995</v>
      </c>
      <c r="I70" s="2"/>
      <c r="J70" s="19">
        <f t="shared" si="15"/>
        <v>2.6863285818150089E-3</v>
      </c>
      <c r="K70" s="2"/>
      <c r="L70" s="2">
        <f t="shared" si="16"/>
        <v>-491.87999999999994</v>
      </c>
      <c r="M70" s="2"/>
      <c r="N70" s="19">
        <f t="shared" si="17"/>
        <v>-0.8252327824846909</v>
      </c>
      <c r="O70" s="11"/>
      <c r="P70" s="2">
        <v>175.55</v>
      </c>
      <c r="Q70" s="2"/>
      <c r="R70" s="19">
        <f t="shared" si="18"/>
        <v>2.801648221378694E-4</v>
      </c>
      <c r="S70" s="2"/>
      <c r="T70" s="2">
        <v>767.73</v>
      </c>
      <c r="U70" s="2"/>
      <c r="V70" s="19">
        <f t="shared" si="19"/>
        <v>8.2735987828014854E-4</v>
      </c>
      <c r="W70" s="2"/>
      <c r="X70" s="2">
        <f t="shared" si="20"/>
        <v>-592.18000000000006</v>
      </c>
      <c r="Y70" s="2"/>
      <c r="Z70" s="19">
        <f t="shared" si="21"/>
        <v>-0.77133888215909241</v>
      </c>
    </row>
    <row r="71" spans="1:26" s="24" customFormat="1" hidden="1" outlineLevel="1" x14ac:dyDescent="0.25">
      <c r="A71" s="44"/>
      <c r="B71" s="11" t="str">
        <f>CONCATENATE("          ", "5543", " - ", "FREIGHT-IN-CARDS")</f>
        <v xml:space="preserve">          5543 - FREIGHT-IN-CARDS</v>
      </c>
      <c r="C71" s="11"/>
      <c r="D71" s="2">
        <v>107.42</v>
      </c>
      <c r="E71" s="2"/>
      <c r="F71" s="19">
        <f t="shared" si="14"/>
        <v>1.1116400364268569E-3</v>
      </c>
      <c r="G71" s="2"/>
      <c r="H71" s="2"/>
      <c r="I71" s="2"/>
      <c r="J71" s="19">
        <f t="shared" si="15"/>
        <v>0</v>
      </c>
      <c r="K71" s="2"/>
      <c r="L71" s="2">
        <f t="shared" si="16"/>
        <v>107.42</v>
      </c>
      <c r="M71" s="2"/>
      <c r="N71" s="19">
        <f t="shared" si="17"/>
        <v>0</v>
      </c>
      <c r="O71" s="11"/>
      <c r="P71" s="2">
        <v>189.19</v>
      </c>
      <c r="Q71" s="2"/>
      <c r="R71" s="19">
        <f t="shared" si="18"/>
        <v>3.0193325377535468E-4</v>
      </c>
      <c r="S71" s="2"/>
      <c r="T71" s="2">
        <v>4.58</v>
      </c>
      <c r="U71" s="2"/>
      <c r="V71" s="19">
        <f t="shared" si="19"/>
        <v>4.9357303251443613E-6</v>
      </c>
      <c r="W71" s="2"/>
      <c r="X71" s="2">
        <f t="shared" si="20"/>
        <v>184.60999999999999</v>
      </c>
      <c r="Y71" s="2"/>
      <c r="Z71" s="19">
        <f t="shared" si="21"/>
        <v>40.307860262008731</v>
      </c>
    </row>
    <row r="72" spans="1:26" s="24" customFormat="1" hidden="1" outlineLevel="1" x14ac:dyDescent="0.25">
      <c r="A72" s="44"/>
      <c r="B72" s="11" t="str">
        <f>CONCATENATE("          ", "5544", " - ", "FREIGHT-IN-ACCESSORIES")</f>
        <v xml:space="preserve">          5544 - FREIGHT-IN-ACCESSORIES</v>
      </c>
      <c r="C72" s="11"/>
      <c r="D72" s="2"/>
      <c r="E72" s="2"/>
      <c r="F72" s="19">
        <f t="shared" si="14"/>
        <v>0</v>
      </c>
      <c r="G72" s="2"/>
      <c r="H72" s="2">
        <v>223.25</v>
      </c>
      <c r="I72" s="2"/>
      <c r="J72" s="19">
        <f t="shared" si="15"/>
        <v>1.0061619929371711E-3</v>
      </c>
      <c r="K72" s="2"/>
      <c r="L72" s="2">
        <f t="shared" si="16"/>
        <v>-223.25</v>
      </c>
      <c r="M72" s="2"/>
      <c r="N72" s="19">
        <f t="shared" si="17"/>
        <v>-1</v>
      </c>
      <c r="O72" s="11"/>
      <c r="P72" s="2"/>
      <c r="Q72" s="2"/>
      <c r="R72" s="19">
        <f t="shared" si="18"/>
        <v>0</v>
      </c>
      <c r="S72" s="2"/>
      <c r="T72" s="2">
        <v>359.09</v>
      </c>
      <c r="U72" s="2"/>
      <c r="V72" s="19">
        <f t="shared" si="19"/>
        <v>3.8698065555809792E-4</v>
      </c>
      <c r="W72" s="2"/>
      <c r="X72" s="2">
        <f t="shared" si="20"/>
        <v>-359.09</v>
      </c>
      <c r="Y72" s="2"/>
      <c r="Z72" s="19">
        <f t="shared" si="21"/>
        <v>-1</v>
      </c>
    </row>
    <row r="73" spans="1:26" s="24" customFormat="1" hidden="1" outlineLevel="1" x14ac:dyDescent="0.25">
      <c r="A73" s="44"/>
      <c r="B73" s="11" t="str">
        <f>CONCATENATE("          ", "5545", " - ", "FREIGHT-IN-SPECIAL ORDERS")</f>
        <v xml:space="preserve">          5545 - FREIGHT-IN-SPECIAL ORDERS</v>
      </c>
      <c r="C73" s="11"/>
      <c r="D73" s="2">
        <v>189.66</v>
      </c>
      <c r="E73" s="2"/>
      <c r="F73" s="19">
        <f t="shared" si="14"/>
        <v>1.962703866214091E-3</v>
      </c>
      <c r="G73" s="2"/>
      <c r="H73" s="2">
        <v>84.47</v>
      </c>
      <c r="I73" s="2"/>
      <c r="J73" s="19">
        <f t="shared" si="15"/>
        <v>3.8069654442733636E-4</v>
      </c>
      <c r="K73" s="2"/>
      <c r="L73" s="2">
        <f t="shared" si="16"/>
        <v>105.19</v>
      </c>
      <c r="M73" s="2"/>
      <c r="N73" s="19">
        <f t="shared" si="17"/>
        <v>1.2452941872854268</v>
      </c>
      <c r="O73" s="11"/>
      <c r="P73" s="2">
        <v>850.27</v>
      </c>
      <c r="Q73" s="2"/>
      <c r="R73" s="19">
        <f t="shared" si="18"/>
        <v>1.3569680621997506E-3</v>
      </c>
      <c r="S73" s="2"/>
      <c r="T73" s="2">
        <v>346.98</v>
      </c>
      <c r="U73" s="2"/>
      <c r="V73" s="19">
        <f t="shared" si="19"/>
        <v>3.7393006729663546E-4</v>
      </c>
      <c r="W73" s="2"/>
      <c r="X73" s="2">
        <f t="shared" si="20"/>
        <v>503.28999999999996</v>
      </c>
      <c r="Y73" s="2"/>
      <c r="Z73" s="19">
        <f t="shared" si="21"/>
        <v>1.4504870597728974</v>
      </c>
    </row>
    <row r="74" spans="1:26" x14ac:dyDescent="0.25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25">
      <c r="A75" s="10"/>
      <c r="B75" s="25" t="s">
        <v>6</v>
      </c>
      <c r="C75" s="25"/>
      <c r="D75" s="20">
        <f>D12-D50</f>
        <v>43732.999999999964</v>
      </c>
      <c r="E75" s="13"/>
      <c r="F75" s="21">
        <f>IF(D$12=0,0,D75/D$12)</f>
        <v>0.45257264674227976</v>
      </c>
      <c r="G75" s="13"/>
      <c r="H75" s="20">
        <f>H12-H50</f>
        <v>118191.34999999996</v>
      </c>
      <c r="I75" s="13"/>
      <c r="J75" s="21">
        <f>IF(H$12=0,0,H75/H$12)</f>
        <v>0.53267477833789323</v>
      </c>
      <c r="K75" s="15"/>
      <c r="L75" s="20">
        <f>+D75-H75</f>
        <v>-74458.350000000006</v>
      </c>
      <c r="M75" s="15"/>
      <c r="N75" s="21">
        <f>IF(H75=0,0,L75/H75)</f>
        <v>-0.62998138188623809</v>
      </c>
      <c r="O75" s="26"/>
      <c r="P75" s="20">
        <f>P12-P50</f>
        <v>242421.89999999985</v>
      </c>
      <c r="Q75" s="13"/>
      <c r="R75" s="21">
        <f>IF(P$12=0,0,P75/P$12)</f>
        <v>0.38688743090757233</v>
      </c>
      <c r="S75" s="13"/>
      <c r="T75" s="20">
        <f>T12-T50</f>
        <v>499227.4499999999</v>
      </c>
      <c r="U75" s="13"/>
      <c r="V75" s="21">
        <f>IF(T$12=0,0,T75/T$12)</f>
        <v>0.53800263408504145</v>
      </c>
      <c r="W75" s="15"/>
      <c r="X75" s="20">
        <f>+P75-T75</f>
        <v>-256805.55000000005</v>
      </c>
      <c r="Y75" s="15"/>
      <c r="Z75" s="21">
        <f>IF(T75=0,0,X75/T75)</f>
        <v>-0.51440590856933066</v>
      </c>
    </row>
    <row r="76" spans="1:26" x14ac:dyDescent="0.25">
      <c r="A76" s="9"/>
      <c r="B76" s="10"/>
      <c r="C76" s="9"/>
      <c r="D76" s="1"/>
      <c r="E76" s="1"/>
      <c r="F76" s="5"/>
      <c r="G76" s="1"/>
      <c r="H76" s="1"/>
      <c r="I76" s="1"/>
      <c r="J76" s="5"/>
      <c r="K76" s="1"/>
      <c r="L76" s="1"/>
      <c r="M76" s="1"/>
      <c r="N76" s="5"/>
      <c r="O76" s="37"/>
      <c r="P76" s="1"/>
      <c r="Q76" s="1"/>
      <c r="R76" s="5"/>
      <c r="S76" s="1"/>
      <c r="T76" s="1"/>
      <c r="U76" s="1"/>
      <c r="V76" s="5"/>
      <c r="W76" s="1"/>
      <c r="X76" s="1"/>
      <c r="Y76" s="1"/>
      <c r="Z76" s="5"/>
    </row>
    <row r="77" spans="1:26" s="23" customFormat="1" x14ac:dyDescent="0.25">
      <c r="A77" s="10"/>
      <c r="B77" s="26" t="s">
        <v>9</v>
      </c>
      <c r="C77" s="10"/>
      <c r="D77" s="22">
        <f>SUM(OSRRefD22x_0)</f>
        <v>53063.6</v>
      </c>
      <c r="E77" s="22"/>
      <c r="F77" s="36">
        <f t="shared" ref="F77:F86" si="22">IF(D$12=0,0,D77/D$12)</f>
        <v>0.54913072274194896</v>
      </c>
      <c r="G77" s="22"/>
      <c r="H77" s="22">
        <f>SUM(OSRRefH22x_0)</f>
        <v>76370.34</v>
      </c>
      <c r="I77" s="22"/>
      <c r="J77" s="36">
        <f t="shared" ref="J77:J86" si="23">IF(H$12=0,0,H77/H$12)</f>
        <v>0.34419231129088174</v>
      </c>
      <c r="K77" s="4"/>
      <c r="L77" s="22">
        <f t="shared" ref="L77:L86" si="24">+D77-H77</f>
        <v>-23306.739999999998</v>
      </c>
      <c r="M77" s="4"/>
      <c r="N77" s="36">
        <f t="shared" ref="N77:N86" si="25">IF(H77=0,0,L77/H77)</f>
        <v>-0.30518051903396004</v>
      </c>
      <c r="O77" s="10"/>
      <c r="P77" s="22">
        <f>SUM(OSRRefP22x_0)</f>
        <v>199967.35999999993</v>
      </c>
      <c r="Q77" s="22"/>
      <c r="R77" s="36">
        <f t="shared" ref="R77:R86" si="26">IF(P$12=0,0,P77/P$12)</f>
        <v>0.31913312359885659</v>
      </c>
      <c r="S77" s="22"/>
      <c r="T77" s="22">
        <f>SUM(OSRRefT22x_0)</f>
        <v>232445.00000000006</v>
      </c>
      <c r="U77" s="22"/>
      <c r="V77" s="36">
        <f t="shared" ref="V77:V86" si="27">IF(T$12=0,0,T77/T$12)</f>
        <v>0.25049909070484305</v>
      </c>
      <c r="W77" s="4"/>
      <c r="X77" s="22">
        <f t="shared" ref="X77:X86" si="28">+P77-T77</f>
        <v>-32477.64000000013</v>
      </c>
      <c r="Y77" s="4"/>
      <c r="Z77" s="36">
        <f t="shared" ref="Z77:Z86" si="29">IF(T77=0,0,X77/T77)</f>
        <v>-0.13972182666867483</v>
      </c>
    </row>
    <row r="78" spans="1:26" s="29" customFormat="1" outlineLevel="1" collapsed="1" x14ac:dyDescent="0.25">
      <c r="A78" s="27"/>
      <c r="B78" s="14" t="str">
        <f>CONCATENATE("     ","*Benefits                                         ")</f>
        <v xml:space="preserve">     *Benefits                                         </v>
      </c>
      <c r="C78" s="14"/>
      <c r="D78" s="1">
        <f>SUM(OSRRefD22_0x_0)</f>
        <v>9376.01</v>
      </c>
      <c r="E78" s="1"/>
      <c r="F78" s="5">
        <f t="shared" si="22"/>
        <v>9.7028003145955818E-2</v>
      </c>
      <c r="G78" s="1"/>
      <c r="H78" s="1">
        <f>SUM(OSRRefH22_0x_0)</f>
        <v>9835.81</v>
      </c>
      <c r="I78" s="1"/>
      <c r="J78" s="5">
        <f t="shared" si="23"/>
        <v>4.4328860881305068E-2</v>
      </c>
      <c r="K78" s="1"/>
      <c r="L78" s="1">
        <f t="shared" si="24"/>
        <v>-459.79999999999927</v>
      </c>
      <c r="M78" s="1"/>
      <c r="N78" s="5">
        <f t="shared" si="25"/>
        <v>-4.6747547990455211E-2</v>
      </c>
      <c r="O78" s="14"/>
      <c r="P78" s="1">
        <f>SUM(OSRRefP22_0x_0)</f>
        <v>42607.72</v>
      </c>
      <c r="Q78" s="1"/>
      <c r="R78" s="5">
        <f t="shared" si="26"/>
        <v>6.7998771264597788E-2</v>
      </c>
      <c r="S78" s="1"/>
      <c r="T78" s="1">
        <f>SUM(OSRRefT22_0x_0)</f>
        <v>31552.45</v>
      </c>
      <c r="U78" s="1"/>
      <c r="V78" s="5">
        <f t="shared" si="27"/>
        <v>3.4003140676332137E-2</v>
      </c>
      <c r="W78" s="1"/>
      <c r="X78" s="1">
        <f t="shared" si="28"/>
        <v>11055.27</v>
      </c>
      <c r="Y78" s="1"/>
      <c r="Z78" s="5">
        <f t="shared" si="29"/>
        <v>0.35037754595918857</v>
      </c>
    </row>
    <row r="79" spans="1:26" s="24" customFormat="1" hidden="1" outlineLevel="2" x14ac:dyDescent="0.25">
      <c r="A79" s="28"/>
      <c r="B79" s="11" t="str">
        <f>CONCATENATE("          ", "6111", " - ", "F.I.C.A.")</f>
        <v xml:space="preserve">          6111 - F.I.C.A.</v>
      </c>
      <c r="C79" s="11"/>
      <c r="D79" s="6">
        <v>2370.91</v>
      </c>
      <c r="E79" s="2"/>
      <c r="F79" s="7">
        <f t="shared" si="22"/>
        <v>2.4535454093881949E-2</v>
      </c>
      <c r="G79" s="2"/>
      <c r="H79" s="6">
        <v>2583.54</v>
      </c>
      <c r="I79" s="2"/>
      <c r="J79" s="7">
        <f t="shared" si="23"/>
        <v>1.1643716708769984E-2</v>
      </c>
      <c r="K79" s="2"/>
      <c r="L79" s="6">
        <f t="shared" si="24"/>
        <v>-212.63000000000011</v>
      </c>
      <c r="M79" s="2"/>
      <c r="N79" s="7">
        <f t="shared" si="25"/>
        <v>-8.2301802952538028E-2</v>
      </c>
      <c r="O79" s="11"/>
      <c r="P79" s="6">
        <v>10989.37</v>
      </c>
      <c r="Q79" s="2"/>
      <c r="R79" s="7">
        <f t="shared" si="26"/>
        <v>1.7538222110266236E-2</v>
      </c>
      <c r="S79" s="2"/>
      <c r="T79" s="6">
        <v>7021.3</v>
      </c>
      <c r="U79" s="2"/>
      <c r="V79" s="7">
        <f t="shared" si="27"/>
        <v>7.5666470157065725E-3</v>
      </c>
      <c r="W79" s="2"/>
      <c r="X79" s="6">
        <f t="shared" si="28"/>
        <v>3968.0700000000006</v>
      </c>
      <c r="Y79" s="2"/>
      <c r="Z79" s="7">
        <f t="shared" si="29"/>
        <v>0.56514747981143099</v>
      </c>
    </row>
    <row r="80" spans="1:26" s="24" customFormat="1" hidden="1" outlineLevel="2" x14ac:dyDescent="0.25">
      <c r="A80" s="28"/>
      <c r="B80" s="11" t="str">
        <f>CONCATENATE("          ", "6112", " - ", "COMPENSATION INSURANCE")</f>
        <v xml:space="preserve">          6112 - COMPENSATION INSURANCE</v>
      </c>
      <c r="C80" s="11"/>
      <c r="D80" s="6">
        <v>500.44</v>
      </c>
      <c r="E80" s="2"/>
      <c r="F80" s="7">
        <f t="shared" si="22"/>
        <v>5.1788227502276695E-3</v>
      </c>
      <c r="G80" s="2"/>
      <c r="H80" s="6">
        <v>293.91000000000003</v>
      </c>
      <c r="I80" s="2"/>
      <c r="J80" s="7">
        <f t="shared" si="23"/>
        <v>1.3246184606681476E-3</v>
      </c>
      <c r="K80" s="2"/>
      <c r="L80" s="6">
        <f t="shared" si="24"/>
        <v>206.52999999999997</v>
      </c>
      <c r="M80" s="2"/>
      <c r="N80" s="7">
        <f t="shared" si="25"/>
        <v>0.70269810486203244</v>
      </c>
      <c r="O80" s="11"/>
      <c r="P80" s="6">
        <v>3928.65</v>
      </c>
      <c r="Q80" s="2"/>
      <c r="R80" s="7">
        <f t="shared" si="26"/>
        <v>6.2698349671998898E-3</v>
      </c>
      <c r="S80" s="2"/>
      <c r="T80" s="6">
        <v>1655.2</v>
      </c>
      <c r="U80" s="2"/>
      <c r="V80" s="7">
        <f t="shared" si="27"/>
        <v>1.7837600074626521E-3</v>
      </c>
      <c r="W80" s="2"/>
      <c r="X80" s="6">
        <f t="shared" si="28"/>
        <v>2273.4499999999998</v>
      </c>
      <c r="Y80" s="2"/>
      <c r="Z80" s="7">
        <f t="shared" si="29"/>
        <v>1.3735198163363942</v>
      </c>
    </row>
    <row r="81" spans="1:26" s="24" customFormat="1" hidden="1" outlineLevel="2" x14ac:dyDescent="0.25">
      <c r="A81" s="28"/>
      <c r="B81" s="11" t="str">
        <f>CONCATENATE("          ", "6113", " - ", "GROUP INSURANCE")</f>
        <v xml:space="preserve">          6113 - GROUP INSURANCE</v>
      </c>
      <c r="C81" s="11"/>
      <c r="D81" s="6">
        <v>2826.13</v>
      </c>
      <c r="E81" s="2"/>
      <c r="F81" s="7">
        <f t="shared" si="22"/>
        <v>2.9246315920192077E-2</v>
      </c>
      <c r="G81" s="2"/>
      <c r="H81" s="6">
        <v>3252.74</v>
      </c>
      <c r="I81" s="2"/>
      <c r="J81" s="7">
        <f t="shared" si="23"/>
        <v>1.4659723901036746E-2</v>
      </c>
      <c r="K81" s="2"/>
      <c r="L81" s="6">
        <f t="shared" si="24"/>
        <v>-426.60999999999967</v>
      </c>
      <c r="M81" s="2"/>
      <c r="N81" s="7">
        <f t="shared" si="25"/>
        <v>-0.1311540424380675</v>
      </c>
      <c r="O81" s="11"/>
      <c r="P81" s="6">
        <v>12140.74</v>
      </c>
      <c r="Q81" s="2"/>
      <c r="R81" s="7">
        <f t="shared" si="26"/>
        <v>1.9375723513085256E-2</v>
      </c>
      <c r="S81" s="2"/>
      <c r="T81" s="6">
        <v>11047.03</v>
      </c>
      <c r="U81" s="2"/>
      <c r="V81" s="7">
        <f t="shared" si="27"/>
        <v>1.1905056981174566E-2</v>
      </c>
      <c r="W81" s="2"/>
      <c r="X81" s="6">
        <f t="shared" si="28"/>
        <v>1093.7099999999991</v>
      </c>
      <c r="Y81" s="2"/>
      <c r="Z81" s="7">
        <f t="shared" si="29"/>
        <v>9.9004890907329765E-2</v>
      </c>
    </row>
    <row r="82" spans="1:26" s="24" customFormat="1" hidden="1" outlineLevel="2" x14ac:dyDescent="0.25">
      <c r="A82" s="28"/>
      <c r="B82" s="11" t="str">
        <f>CONCATENATE("          ", "6114", " - ", "STATE UNEMPLOYMENT INSURANCE")</f>
        <v xml:space="preserve">          6114 - STATE UNEMPLOYMENT INSURANCE</v>
      </c>
      <c r="C82" s="11"/>
      <c r="D82" s="6">
        <v>70.33</v>
      </c>
      <c r="E82" s="2"/>
      <c r="F82" s="7">
        <f t="shared" si="22"/>
        <v>7.2781273284212291E-4</v>
      </c>
      <c r="G82" s="2"/>
      <c r="H82" s="6">
        <v>101.54</v>
      </c>
      <c r="I82" s="2"/>
      <c r="J82" s="7">
        <f t="shared" si="23"/>
        <v>4.5762906500712363E-4</v>
      </c>
      <c r="K82" s="2"/>
      <c r="L82" s="6">
        <f t="shared" si="24"/>
        <v>-31.210000000000008</v>
      </c>
      <c r="M82" s="2"/>
      <c r="N82" s="7">
        <f t="shared" si="25"/>
        <v>-0.30736655505219623</v>
      </c>
      <c r="O82" s="11"/>
      <c r="P82" s="6">
        <v>378.36</v>
      </c>
      <c r="Q82" s="2"/>
      <c r="R82" s="7">
        <f t="shared" si="26"/>
        <v>6.0383458902924674E-4</v>
      </c>
      <c r="S82" s="2"/>
      <c r="T82" s="6">
        <v>279.08999999999997</v>
      </c>
      <c r="U82" s="2"/>
      <c r="V82" s="7">
        <f t="shared" si="27"/>
        <v>3.0076702542457197E-4</v>
      </c>
      <c r="W82" s="2"/>
      <c r="X82" s="6">
        <f t="shared" si="28"/>
        <v>99.270000000000039</v>
      </c>
      <c r="Y82" s="2"/>
      <c r="Z82" s="7">
        <f t="shared" si="29"/>
        <v>0.35569171235085473</v>
      </c>
    </row>
    <row r="83" spans="1:26" s="24" customFormat="1" hidden="1" outlineLevel="2" x14ac:dyDescent="0.25">
      <c r="A83" s="28"/>
      <c r="B83" s="11" t="str">
        <f>CONCATENATE("          ", "6115", " - ", "P.E.R.S.")</f>
        <v xml:space="preserve">          6115 - P.E.R.S.</v>
      </c>
      <c r="C83" s="11"/>
      <c r="D83" s="6">
        <v>1018.93</v>
      </c>
      <c r="E83" s="2"/>
      <c r="F83" s="7">
        <f t="shared" si="22"/>
        <v>1.0544436625548475E-2</v>
      </c>
      <c r="G83" s="2"/>
      <c r="H83" s="6">
        <v>1710.53</v>
      </c>
      <c r="I83" s="2"/>
      <c r="J83" s="7">
        <f t="shared" si="23"/>
        <v>7.7091613607113965E-3</v>
      </c>
      <c r="K83" s="2"/>
      <c r="L83" s="6">
        <f t="shared" si="24"/>
        <v>-691.6</v>
      </c>
      <c r="M83" s="2"/>
      <c r="N83" s="7">
        <f t="shared" si="25"/>
        <v>-0.40431912915879875</v>
      </c>
      <c r="O83" s="11"/>
      <c r="P83" s="6">
        <v>5817.36</v>
      </c>
      <c r="Q83" s="2"/>
      <c r="R83" s="7">
        <f t="shared" si="26"/>
        <v>9.2840765007801522E-3</v>
      </c>
      <c r="S83" s="2"/>
      <c r="T83" s="6">
        <v>3977.44</v>
      </c>
      <c r="U83" s="2"/>
      <c r="V83" s="7">
        <f t="shared" si="27"/>
        <v>4.2863692629786431E-3</v>
      </c>
      <c r="W83" s="2"/>
      <c r="X83" s="6">
        <f t="shared" si="28"/>
        <v>1839.9199999999996</v>
      </c>
      <c r="Y83" s="2"/>
      <c r="Z83" s="7">
        <f t="shared" si="29"/>
        <v>0.46258900197111702</v>
      </c>
    </row>
    <row r="84" spans="1:26" s="24" customFormat="1" hidden="1" outlineLevel="2" x14ac:dyDescent="0.25">
      <c r="A84" s="28"/>
      <c r="B84" s="11" t="str">
        <f>CONCATENATE("          ", "6118", " - ", "VACATION")</f>
        <v xml:space="preserve">          6118 - VACATION</v>
      </c>
      <c r="C84" s="11"/>
      <c r="D84" s="6">
        <v>1209.6500000000001</v>
      </c>
      <c r="E84" s="2"/>
      <c r="F84" s="7">
        <f t="shared" si="22"/>
        <v>1.251810994287607E-2</v>
      </c>
      <c r="G84" s="2"/>
      <c r="H84" s="6">
        <v>1130.4000000000001</v>
      </c>
      <c r="I84" s="2"/>
      <c r="J84" s="7">
        <f t="shared" si="23"/>
        <v>5.0945823821553337E-3</v>
      </c>
      <c r="K84" s="2"/>
      <c r="L84" s="6">
        <f t="shared" si="24"/>
        <v>79.25</v>
      </c>
      <c r="M84" s="2"/>
      <c r="N84" s="7">
        <f t="shared" si="25"/>
        <v>7.0107926397735304E-2</v>
      </c>
      <c r="O84" s="11"/>
      <c r="P84" s="6">
        <v>4669.99</v>
      </c>
      <c r="Q84" s="2"/>
      <c r="R84" s="7">
        <f t="shared" si="26"/>
        <v>7.4529588022536524E-3</v>
      </c>
      <c r="S84" s="2"/>
      <c r="T84" s="6">
        <v>3403.01</v>
      </c>
      <c r="U84" s="2"/>
      <c r="V84" s="7">
        <f t="shared" si="27"/>
        <v>3.6673230685086273E-3</v>
      </c>
      <c r="W84" s="2"/>
      <c r="X84" s="6">
        <f t="shared" si="28"/>
        <v>1266.9799999999996</v>
      </c>
      <c r="Y84" s="2"/>
      <c r="Z84" s="7">
        <f t="shared" si="29"/>
        <v>0.37231157122664921</v>
      </c>
    </row>
    <row r="85" spans="1:26" s="24" customFormat="1" hidden="1" outlineLevel="2" x14ac:dyDescent="0.25">
      <c r="A85" s="28"/>
      <c r="B85" s="11" t="str">
        <f>CONCATENATE("          ", "6119", " - ", "SICK LEAVE")</f>
        <v xml:space="preserve">          6119 - SICK LEAVE</v>
      </c>
      <c r="C85" s="11"/>
      <c r="D85" s="6">
        <v>1021.86</v>
      </c>
      <c r="E85" s="2"/>
      <c r="F85" s="7">
        <f t="shared" si="22"/>
        <v>1.0574757844192404E-2</v>
      </c>
      <c r="G85" s="2"/>
      <c r="H85" s="6">
        <v>698.55</v>
      </c>
      <c r="I85" s="2"/>
      <c r="J85" s="7">
        <f t="shared" si="23"/>
        <v>3.1482842560638783E-3</v>
      </c>
      <c r="K85" s="2"/>
      <c r="L85" s="6">
        <f t="shared" si="24"/>
        <v>323.31000000000006</v>
      </c>
      <c r="M85" s="2"/>
      <c r="N85" s="7">
        <f t="shared" si="25"/>
        <v>0.46283014816405421</v>
      </c>
      <c r="O85" s="11"/>
      <c r="P85" s="6">
        <v>3449.34</v>
      </c>
      <c r="Q85" s="2"/>
      <c r="R85" s="7">
        <f t="shared" si="26"/>
        <v>5.5048916410882281E-3</v>
      </c>
      <c r="S85" s="2"/>
      <c r="T85" s="6">
        <v>3544.75</v>
      </c>
      <c r="U85" s="2"/>
      <c r="V85" s="7">
        <f t="shared" si="27"/>
        <v>3.8200720676977015E-3</v>
      </c>
      <c r="W85" s="2"/>
      <c r="X85" s="6">
        <f t="shared" si="28"/>
        <v>-95.409999999999854</v>
      </c>
      <c r="Y85" s="2"/>
      <c r="Z85" s="7">
        <f t="shared" si="29"/>
        <v>-2.6915861485295112E-2</v>
      </c>
    </row>
    <row r="86" spans="1:26" s="24" customFormat="1" hidden="1" outlineLevel="2" x14ac:dyDescent="0.25">
      <c r="A86" s="28"/>
      <c r="B86" s="11" t="str">
        <f>CONCATENATE("          ", "6156", " - ", "EMPLOYEE MEALS")</f>
        <v xml:space="preserve">          6156 - EMPLOYEE MEALS</v>
      </c>
      <c r="C86" s="11"/>
      <c r="D86" s="6">
        <v>357.76</v>
      </c>
      <c r="E86" s="2"/>
      <c r="F86" s="7">
        <f t="shared" si="22"/>
        <v>3.7022932361950502E-3</v>
      </c>
      <c r="G86" s="2"/>
      <c r="H86" s="6">
        <v>64.599999999999994</v>
      </c>
      <c r="I86" s="2"/>
      <c r="J86" s="7">
        <f t="shared" si="23"/>
        <v>2.91144746892458E-4</v>
      </c>
      <c r="K86" s="2"/>
      <c r="L86" s="6">
        <f t="shared" si="24"/>
        <v>293.15999999999997</v>
      </c>
      <c r="M86" s="2"/>
      <c r="N86" s="7">
        <f t="shared" si="25"/>
        <v>4.538080495356037</v>
      </c>
      <c r="O86" s="11"/>
      <c r="P86" s="6">
        <v>1233.9100000000001</v>
      </c>
      <c r="Q86" s="2"/>
      <c r="R86" s="7">
        <f t="shared" si="26"/>
        <v>1.9692291408951209E-3</v>
      </c>
      <c r="S86" s="2"/>
      <c r="T86" s="6">
        <v>624.63</v>
      </c>
      <c r="U86" s="2"/>
      <c r="V86" s="7">
        <f t="shared" si="27"/>
        <v>6.7314524737880396E-4</v>
      </c>
      <c r="W86" s="2"/>
      <c r="X86" s="6">
        <f t="shared" si="28"/>
        <v>609.28000000000009</v>
      </c>
      <c r="Y86" s="2"/>
      <c r="Z86" s="7">
        <f t="shared" si="29"/>
        <v>0.97542545186750573</v>
      </c>
    </row>
    <row r="87" spans="1:26" s="29" customFormat="1" outlineLevel="1" collapsed="1" x14ac:dyDescent="0.25">
      <c r="A87" s="27"/>
      <c r="B87" s="14" t="str">
        <f>CONCATENATE("     ","*Payroll                                          ")</f>
        <v xml:space="preserve">     *Payroll                                          </v>
      </c>
      <c r="C87" s="14"/>
      <c r="D87" s="1">
        <f>SUM(OSRRefD22_1x_0)</f>
        <v>31450.28</v>
      </c>
      <c r="E87" s="1"/>
      <c r="F87" s="5">
        <f t="shared" ref="F87:F93" si="30">IF(D$12=0,0,D87/D$12)</f>
        <v>0.3254644424207303</v>
      </c>
      <c r="G87" s="1"/>
      <c r="H87" s="1">
        <f>SUM(OSRRefH22_1x_0)</f>
        <v>31497.199999999997</v>
      </c>
      <c r="I87" s="1"/>
      <c r="J87" s="5">
        <f t="shared" ref="J87:J93" si="31">IF(H$12=0,0,H87/H$12)</f>
        <v>0.14195424646781932</v>
      </c>
      <c r="K87" s="1"/>
      <c r="L87" s="1">
        <f t="shared" ref="L87:L93" si="32">+D87-H87</f>
        <v>-46.919999999998254</v>
      </c>
      <c r="M87" s="1"/>
      <c r="N87" s="5">
        <f t="shared" ref="N87:N93" si="33">IF(H87=0,0,L87/H87)</f>
        <v>-1.4896562234102797E-3</v>
      </c>
      <c r="O87" s="14"/>
      <c r="P87" s="1">
        <f>SUM(OSRRefP22_1x_0)</f>
        <v>120164.06</v>
      </c>
      <c r="Q87" s="1"/>
      <c r="R87" s="5">
        <f t="shared" ref="R87:R93" si="34">IF(P$12=0,0,P87/P$12)</f>
        <v>0.1917729564070878</v>
      </c>
      <c r="S87" s="1"/>
      <c r="T87" s="1">
        <f>SUM(OSRRefT22_1x_0)</f>
        <v>107429.95000000001</v>
      </c>
      <c r="U87" s="1"/>
      <c r="V87" s="5">
        <f t="shared" ref="V87:V93" si="35">IF(T$12=0,0,T87/T$12)</f>
        <v>0.11577407468203985</v>
      </c>
      <c r="W87" s="1"/>
      <c r="X87" s="1">
        <f t="shared" ref="X87:X93" si="36">+P87-T87</f>
        <v>12734.109999999986</v>
      </c>
      <c r="Y87" s="1"/>
      <c r="Z87" s="5">
        <f t="shared" ref="Z87:Z93" si="37">IF(T87=0,0,X87/T87)</f>
        <v>0.11853407732201295</v>
      </c>
    </row>
    <row r="88" spans="1:26" s="24" customFormat="1" hidden="1" outlineLevel="2" x14ac:dyDescent="0.25">
      <c r="A88" s="28"/>
      <c r="B88" s="11" t="str">
        <f>CONCATENATE("          ", "6002", " - ", "STAFF SALARIES")</f>
        <v xml:space="preserve">          6002 - STAFF SALARIES</v>
      </c>
      <c r="C88" s="11"/>
      <c r="D88" s="6">
        <v>10383.09</v>
      </c>
      <c r="E88" s="2"/>
      <c r="F88" s="7">
        <f t="shared" si="30"/>
        <v>0.10744980958688637</v>
      </c>
      <c r="G88" s="2"/>
      <c r="H88" s="6">
        <v>11306.98</v>
      </c>
      <c r="I88" s="2"/>
      <c r="J88" s="7">
        <f t="shared" si="31"/>
        <v>5.0959254337741247E-2</v>
      </c>
      <c r="K88" s="2"/>
      <c r="L88" s="6">
        <f t="shared" si="32"/>
        <v>-923.88999999999942</v>
      </c>
      <c r="M88" s="2"/>
      <c r="N88" s="7">
        <f t="shared" si="33"/>
        <v>-8.1709704978694522E-2</v>
      </c>
      <c r="O88" s="11"/>
      <c r="P88" s="6">
        <v>50846.049999999996</v>
      </c>
      <c r="Q88" s="2"/>
      <c r="R88" s="7">
        <f t="shared" si="34"/>
        <v>8.1146536910642053E-2</v>
      </c>
      <c r="S88" s="2"/>
      <c r="T88" s="6">
        <v>38026.61</v>
      </c>
      <c r="U88" s="2"/>
      <c r="V88" s="7">
        <f t="shared" si="35"/>
        <v>4.0980151122147992E-2</v>
      </c>
      <c r="W88" s="2"/>
      <c r="X88" s="6">
        <f t="shared" si="36"/>
        <v>12819.439999999995</v>
      </c>
      <c r="Y88" s="2"/>
      <c r="Z88" s="7">
        <f t="shared" si="37"/>
        <v>0.33711761316614852</v>
      </c>
    </row>
    <row r="89" spans="1:26" s="24" customFormat="1" hidden="1" outlineLevel="2" x14ac:dyDescent="0.25">
      <c r="A89" s="28"/>
      <c r="B89" s="11" t="str">
        <f>CONCATENATE("          ", "6004", " - ", "STAFF HOURLY")</f>
        <v xml:space="preserve">          6004 - STAFF HOURLY</v>
      </c>
      <c r="C89" s="11"/>
      <c r="D89" s="6">
        <v>7145.46</v>
      </c>
      <c r="E89" s="2"/>
      <c r="F89" s="7">
        <f t="shared" si="30"/>
        <v>7.3945069956122211E-2</v>
      </c>
      <c r="G89" s="2"/>
      <c r="H89" s="6"/>
      <c r="I89" s="2"/>
      <c r="J89" s="7">
        <f t="shared" si="31"/>
        <v>0</v>
      </c>
      <c r="K89" s="2"/>
      <c r="L89" s="6">
        <f t="shared" si="32"/>
        <v>7145.46</v>
      </c>
      <c r="M89" s="2"/>
      <c r="N89" s="7">
        <f t="shared" si="33"/>
        <v>0</v>
      </c>
      <c r="O89" s="11"/>
      <c r="P89" s="6">
        <v>30949.01</v>
      </c>
      <c r="Q89" s="2"/>
      <c r="R89" s="7">
        <f t="shared" si="34"/>
        <v>4.9392331996543096E-2</v>
      </c>
      <c r="S89" s="2"/>
      <c r="T89" s="6"/>
      <c r="U89" s="2"/>
      <c r="V89" s="7">
        <f t="shared" si="35"/>
        <v>0</v>
      </c>
      <c r="W89" s="2"/>
      <c r="X89" s="6">
        <f t="shared" si="36"/>
        <v>30949.01</v>
      </c>
      <c r="Y89" s="2"/>
      <c r="Z89" s="7">
        <f t="shared" si="37"/>
        <v>0</v>
      </c>
    </row>
    <row r="90" spans="1:26" s="24" customFormat="1" hidden="1" outlineLevel="2" x14ac:dyDescent="0.25">
      <c r="A90" s="28"/>
      <c r="B90" s="11" t="str">
        <f>CONCATENATE("          ", "6005", " - ", "TEMPORARY WAGES-HOURLY")</f>
        <v xml:space="preserve">          6005 - TEMPORARY WAGES-HOURLY</v>
      </c>
      <c r="C90" s="11"/>
      <c r="D90" s="6">
        <v>6544.32</v>
      </c>
      <c r="E90" s="2"/>
      <c r="F90" s="7">
        <f t="shared" si="30"/>
        <v>6.7724149350111784E-2</v>
      </c>
      <c r="G90" s="2"/>
      <c r="H90" s="6">
        <v>5384.23</v>
      </c>
      <c r="I90" s="2"/>
      <c r="J90" s="7">
        <f t="shared" si="31"/>
        <v>2.4266103414253545E-2</v>
      </c>
      <c r="K90" s="2"/>
      <c r="L90" s="6">
        <f t="shared" si="32"/>
        <v>1160.0900000000001</v>
      </c>
      <c r="M90" s="2"/>
      <c r="N90" s="7">
        <f t="shared" si="33"/>
        <v>0.21546070654485419</v>
      </c>
      <c r="O90" s="11"/>
      <c r="P90" s="6">
        <v>15953.5</v>
      </c>
      <c r="Q90" s="2"/>
      <c r="R90" s="7">
        <f t="shared" si="34"/>
        <v>2.5460606607670175E-2</v>
      </c>
      <c r="S90" s="2"/>
      <c r="T90" s="6">
        <v>15736.42</v>
      </c>
      <c r="U90" s="2"/>
      <c r="V90" s="7">
        <f t="shared" si="35"/>
        <v>1.6958673668822758E-2</v>
      </c>
      <c r="W90" s="2"/>
      <c r="X90" s="6">
        <f t="shared" si="36"/>
        <v>217.07999999999993</v>
      </c>
      <c r="Y90" s="2"/>
      <c r="Z90" s="7">
        <f t="shared" si="37"/>
        <v>1.37947512839642E-2</v>
      </c>
    </row>
    <row r="91" spans="1:26" s="24" customFormat="1" hidden="1" outlineLevel="2" x14ac:dyDescent="0.25">
      <c r="A91" s="28"/>
      <c r="B91" s="11" t="str">
        <f>CONCATENATE("          ", "6006", " - ", "TEMPORARY PART TIME")</f>
        <v xml:space="preserve">          6006 - TEMPORARY PART TIME</v>
      </c>
      <c r="C91" s="11"/>
      <c r="D91" s="6"/>
      <c r="E91" s="2"/>
      <c r="F91" s="7">
        <f t="shared" si="30"/>
        <v>0</v>
      </c>
      <c r="G91" s="2"/>
      <c r="H91" s="6">
        <v>66.5</v>
      </c>
      <c r="I91" s="2"/>
      <c r="J91" s="7">
        <f t="shared" si="31"/>
        <v>2.9970782768341266E-4</v>
      </c>
      <c r="K91" s="2"/>
      <c r="L91" s="6">
        <f t="shared" si="32"/>
        <v>-66.5</v>
      </c>
      <c r="M91" s="2"/>
      <c r="N91" s="7">
        <f t="shared" si="33"/>
        <v>-1</v>
      </c>
      <c r="O91" s="11"/>
      <c r="P91" s="6"/>
      <c r="Q91" s="2"/>
      <c r="R91" s="7">
        <f t="shared" si="34"/>
        <v>0</v>
      </c>
      <c r="S91" s="2"/>
      <c r="T91" s="6">
        <v>66.5</v>
      </c>
      <c r="U91" s="2"/>
      <c r="V91" s="7">
        <f t="shared" si="35"/>
        <v>7.1665080048493454E-5</v>
      </c>
      <c r="W91" s="2"/>
      <c r="X91" s="6">
        <f t="shared" si="36"/>
        <v>-66.5</v>
      </c>
      <c r="Y91" s="2"/>
      <c r="Z91" s="7">
        <f t="shared" si="37"/>
        <v>-1</v>
      </c>
    </row>
    <row r="92" spans="1:26" s="24" customFormat="1" hidden="1" outlineLevel="2" x14ac:dyDescent="0.25">
      <c r="A92" s="28"/>
      <c r="B92" s="11" t="str">
        <f>CONCATENATE("          ", "6007", " - ", "STUDENT HOURLY")</f>
        <v xml:space="preserve">          6007 - STUDENT HOURLY</v>
      </c>
      <c r="C92" s="11"/>
      <c r="D92" s="6">
        <v>6431.14</v>
      </c>
      <c r="E92" s="2"/>
      <c r="F92" s="7">
        <f t="shared" si="30"/>
        <v>6.6552901730275713E-2</v>
      </c>
      <c r="G92" s="2"/>
      <c r="H92" s="6">
        <v>14739.49</v>
      </c>
      <c r="I92" s="2"/>
      <c r="J92" s="7">
        <f t="shared" si="31"/>
        <v>6.6429180888141107E-2</v>
      </c>
      <c r="K92" s="2"/>
      <c r="L92" s="6">
        <f t="shared" si="32"/>
        <v>-8308.3499999999985</v>
      </c>
      <c r="M92" s="2"/>
      <c r="N92" s="7">
        <f t="shared" si="33"/>
        <v>-0.56367961170976733</v>
      </c>
      <c r="O92" s="11"/>
      <c r="P92" s="6">
        <v>20445.670000000002</v>
      </c>
      <c r="Q92" s="2"/>
      <c r="R92" s="7">
        <f t="shared" si="34"/>
        <v>3.2629777835599956E-2</v>
      </c>
      <c r="S92" s="2"/>
      <c r="T92" s="6">
        <v>53405.420000000006</v>
      </c>
      <c r="U92" s="2"/>
      <c r="V92" s="7">
        <f t="shared" si="35"/>
        <v>5.755343908757013E-2</v>
      </c>
      <c r="W92" s="2"/>
      <c r="X92" s="6">
        <f t="shared" si="36"/>
        <v>-32959.75</v>
      </c>
      <c r="Y92" s="2"/>
      <c r="Z92" s="7">
        <f t="shared" si="37"/>
        <v>-0.61716114207134776</v>
      </c>
    </row>
    <row r="93" spans="1:26" s="24" customFormat="1" hidden="1" outlineLevel="2" x14ac:dyDescent="0.25">
      <c r="A93" s="28"/>
      <c r="B93" s="11" t="str">
        <f>CONCATENATE("          ", "6008", " - ", "STUDENT HOURLY-FICA EXEMPT")</f>
        <v xml:space="preserve">          6008 - STUDENT HOURLY-FICA EXEMPT</v>
      </c>
      <c r="C93" s="11"/>
      <c r="D93" s="6">
        <v>946.27</v>
      </c>
      <c r="E93" s="2"/>
      <c r="F93" s="7">
        <f t="shared" si="30"/>
        <v>9.7925117973342198E-3</v>
      </c>
      <c r="G93" s="2"/>
      <c r="H93" s="6"/>
      <c r="I93" s="2"/>
      <c r="J93" s="7">
        <f t="shared" si="31"/>
        <v>0</v>
      </c>
      <c r="K93" s="2"/>
      <c r="L93" s="6">
        <f t="shared" si="32"/>
        <v>946.27</v>
      </c>
      <c r="M93" s="2"/>
      <c r="N93" s="7">
        <f t="shared" si="33"/>
        <v>0</v>
      </c>
      <c r="O93" s="11"/>
      <c r="P93" s="6">
        <v>1969.83</v>
      </c>
      <c r="Q93" s="2"/>
      <c r="R93" s="7">
        <f t="shared" si="34"/>
        <v>3.1437030566325219E-3</v>
      </c>
      <c r="S93" s="2"/>
      <c r="T93" s="6">
        <v>195</v>
      </c>
      <c r="U93" s="2"/>
      <c r="V93" s="7">
        <f t="shared" si="35"/>
        <v>2.1014572345046952E-4</v>
      </c>
      <c r="W93" s="2"/>
      <c r="X93" s="6">
        <f t="shared" si="36"/>
        <v>1774.83</v>
      </c>
      <c r="Y93" s="2"/>
      <c r="Z93" s="7">
        <f t="shared" si="37"/>
        <v>9.1016923076923071</v>
      </c>
    </row>
    <row r="94" spans="1:26" s="29" customFormat="1" outlineLevel="1" collapsed="1" x14ac:dyDescent="0.25">
      <c r="A94" s="27"/>
      <c r="B94" s="14" t="str">
        <f>CONCATENATE("     ","Advertising/Promo                                 ")</f>
        <v xml:space="preserve">     Advertising/Promo                                 </v>
      </c>
      <c r="C94" s="14"/>
      <c r="D94" s="1">
        <f>SUM(OSRRefD22_2x_0)</f>
        <v>255.44</v>
      </c>
      <c r="E94" s="1"/>
      <c r="F94" s="5">
        <f t="shared" ref="F94:F98" si="38">IF(D$12=0,0,D94/D$12)</f>
        <v>2.6434307475784427E-3</v>
      </c>
      <c r="G94" s="1"/>
      <c r="H94" s="1">
        <f>SUM(OSRRefH22_2x_0)</f>
        <v>2800.37</v>
      </c>
      <c r="I94" s="1"/>
      <c r="J94" s="5">
        <f t="shared" ref="J94:J98" si="39">IF(H$12=0,0,H94/H$12)</f>
        <v>1.2620944502402981E-2</v>
      </c>
      <c r="K94" s="1"/>
      <c r="L94" s="1">
        <f t="shared" ref="L94:L98" si="40">+D94-H94</f>
        <v>-2544.9299999999998</v>
      </c>
      <c r="M94" s="1"/>
      <c r="N94" s="5">
        <f t="shared" ref="N94:N98" si="41">IF(H94=0,0,L94/H94)</f>
        <v>-0.90878348218271154</v>
      </c>
      <c r="O94" s="14"/>
      <c r="P94" s="1">
        <f>SUM(OSRRefP22_2x_0)</f>
        <v>11289.15</v>
      </c>
      <c r="Q94" s="1"/>
      <c r="R94" s="5">
        <f t="shared" ref="R94:R98" si="42">IF(P$12=0,0,P94/P$12)</f>
        <v>1.8016648828468974E-2</v>
      </c>
      <c r="S94" s="1"/>
      <c r="T94" s="1">
        <f>SUM(OSRRefT22_2x_0)</f>
        <v>5562.48</v>
      </c>
      <c r="U94" s="1"/>
      <c r="V94" s="5">
        <f t="shared" ref="V94:V98" si="43">IF(T$12=0,0,T94/T$12)</f>
        <v>5.9945199168141925E-3</v>
      </c>
      <c r="W94" s="1"/>
      <c r="X94" s="1">
        <f t="shared" ref="X94:X98" si="44">+P94-T94</f>
        <v>5726.67</v>
      </c>
      <c r="Y94" s="1"/>
      <c r="Z94" s="5">
        <f t="shared" ref="Z94:Z98" si="45">IF(T94=0,0,X94/T94)</f>
        <v>1.0295174095007984</v>
      </c>
    </row>
    <row r="95" spans="1:26" s="24" customFormat="1" hidden="1" outlineLevel="2" x14ac:dyDescent="0.25">
      <c r="A95" s="28"/>
      <c r="B95" s="11" t="str">
        <f>CONCATENATE("          ", "6362", " - ", "ADVERTISING EXPENSE")</f>
        <v xml:space="preserve">          6362 - ADVERTISING EXPENSE</v>
      </c>
      <c r="C95" s="11"/>
      <c r="D95" s="6">
        <v>255.44</v>
      </c>
      <c r="E95" s="2"/>
      <c r="F95" s="7">
        <f t="shared" si="38"/>
        <v>2.6434307475784427E-3</v>
      </c>
      <c r="G95" s="2"/>
      <c r="H95" s="6">
        <v>2800.37</v>
      </c>
      <c r="I95" s="2"/>
      <c r="J95" s="7">
        <f t="shared" si="39"/>
        <v>1.2620944502402981E-2</v>
      </c>
      <c r="K95" s="2"/>
      <c r="L95" s="6">
        <f t="shared" si="40"/>
        <v>-2544.9299999999998</v>
      </c>
      <c r="M95" s="2"/>
      <c r="N95" s="7">
        <f t="shared" si="41"/>
        <v>-0.90878348218271154</v>
      </c>
      <c r="O95" s="11"/>
      <c r="P95" s="6">
        <v>11289.15</v>
      </c>
      <c r="Q95" s="2"/>
      <c r="R95" s="7">
        <f t="shared" si="42"/>
        <v>1.8016648828468974E-2</v>
      </c>
      <c r="S95" s="2"/>
      <c r="T95" s="6">
        <v>5562.48</v>
      </c>
      <c r="U95" s="2"/>
      <c r="V95" s="7">
        <f t="shared" si="43"/>
        <v>5.9945199168141925E-3</v>
      </c>
      <c r="W95" s="2"/>
      <c r="X95" s="6">
        <f t="shared" si="44"/>
        <v>5726.67</v>
      </c>
      <c r="Y95" s="2"/>
      <c r="Z95" s="7">
        <f t="shared" si="45"/>
        <v>1.0295174095007984</v>
      </c>
    </row>
    <row r="96" spans="1:26" s="29" customFormat="1" outlineLevel="1" collapsed="1" x14ac:dyDescent="0.25">
      <c r="A96" s="27"/>
      <c r="B96" s="14" t="str">
        <f>CONCATENATE("     ","Discounts and Markdowns                           ")</f>
        <v xml:space="preserve">     Discounts and Markdowns                           </v>
      </c>
      <c r="C96" s="14"/>
      <c r="D96" s="1">
        <f>SUM(OSRRefD22_3x_0)</f>
        <v>0</v>
      </c>
      <c r="E96" s="1"/>
      <c r="F96" s="5">
        <f t="shared" si="38"/>
        <v>0</v>
      </c>
      <c r="G96" s="1"/>
      <c r="H96" s="1">
        <f>SUM(OSRRefH22_3x_0)</f>
        <v>26169.39</v>
      </c>
      <c r="I96" s="1"/>
      <c r="J96" s="5">
        <f t="shared" si="39"/>
        <v>0.11794242148421086</v>
      </c>
      <c r="K96" s="1"/>
      <c r="L96" s="1">
        <f t="shared" si="40"/>
        <v>-26169.39</v>
      </c>
      <c r="M96" s="1"/>
      <c r="N96" s="5">
        <f t="shared" si="41"/>
        <v>-1</v>
      </c>
      <c r="O96" s="14"/>
      <c r="P96" s="1">
        <f>SUM(OSRRefP22_3x_0)</f>
        <v>0</v>
      </c>
      <c r="Q96" s="1"/>
      <c r="R96" s="5">
        <f t="shared" si="42"/>
        <v>0</v>
      </c>
      <c r="S96" s="1"/>
      <c r="T96" s="1">
        <f>SUM(OSRRefT22_3x_0)</f>
        <v>64404.840000000004</v>
      </c>
      <c r="U96" s="1"/>
      <c r="V96" s="5">
        <f t="shared" si="43"/>
        <v>6.9407188182111473E-2</v>
      </c>
      <c r="W96" s="1"/>
      <c r="X96" s="1">
        <f t="shared" si="44"/>
        <v>-64404.840000000004</v>
      </c>
      <c r="Y96" s="1"/>
      <c r="Z96" s="5">
        <f t="shared" si="45"/>
        <v>-1</v>
      </c>
    </row>
    <row r="97" spans="1:26" s="24" customFormat="1" hidden="1" outlineLevel="2" x14ac:dyDescent="0.25">
      <c r="A97" s="28"/>
      <c r="B97" s="11" t="str">
        <f>CONCATENATE("          ", "6382", " - ", "DISCOUNTS/MARK DOWNS")</f>
        <v xml:space="preserve">          6382 - DISCOUNTS/MARK DOWNS</v>
      </c>
      <c r="C97" s="11"/>
      <c r="D97" s="6"/>
      <c r="E97" s="2"/>
      <c r="F97" s="7">
        <f t="shared" si="38"/>
        <v>0</v>
      </c>
      <c r="G97" s="2"/>
      <c r="H97" s="6">
        <v>26138.6</v>
      </c>
      <c r="I97" s="2"/>
      <c r="J97" s="7">
        <f t="shared" si="39"/>
        <v>0.11780365450655113</v>
      </c>
      <c r="K97" s="2"/>
      <c r="L97" s="6">
        <f t="shared" si="40"/>
        <v>-26138.6</v>
      </c>
      <c r="M97" s="2"/>
      <c r="N97" s="7">
        <f t="shared" si="41"/>
        <v>-1</v>
      </c>
      <c r="O97" s="11"/>
      <c r="P97" s="6"/>
      <c r="Q97" s="2"/>
      <c r="R97" s="7">
        <f t="shared" si="42"/>
        <v>0</v>
      </c>
      <c r="S97" s="2"/>
      <c r="T97" s="6">
        <v>64412.310000000005</v>
      </c>
      <c r="U97" s="2"/>
      <c r="V97" s="7">
        <f t="shared" si="43"/>
        <v>6.9415238379825189E-2</v>
      </c>
      <c r="W97" s="2"/>
      <c r="X97" s="6">
        <f t="shared" si="44"/>
        <v>-64412.310000000005</v>
      </c>
      <c r="Y97" s="2"/>
      <c r="Z97" s="7">
        <f t="shared" si="45"/>
        <v>-1</v>
      </c>
    </row>
    <row r="98" spans="1:26" s="24" customFormat="1" hidden="1" outlineLevel="2" x14ac:dyDescent="0.25">
      <c r="A98" s="28"/>
      <c r="B98" s="11" t="str">
        <f>CONCATENATE("          ", "9175", " - ", "EARNED DISCOUNTS")</f>
        <v xml:space="preserve">          9175 - EARNED DISCOUNTS</v>
      </c>
      <c r="C98" s="11"/>
      <c r="D98" s="6"/>
      <c r="E98" s="2"/>
      <c r="F98" s="7">
        <f t="shared" si="38"/>
        <v>0</v>
      </c>
      <c r="G98" s="2"/>
      <c r="H98" s="6">
        <v>30.79</v>
      </c>
      <c r="I98" s="2"/>
      <c r="J98" s="7">
        <f t="shared" si="39"/>
        <v>1.3876697765973346E-4</v>
      </c>
      <c r="K98" s="2"/>
      <c r="L98" s="6">
        <f t="shared" si="40"/>
        <v>-30.79</v>
      </c>
      <c r="M98" s="2"/>
      <c r="N98" s="7">
        <f t="shared" si="41"/>
        <v>-1</v>
      </c>
      <c r="O98" s="11"/>
      <c r="P98" s="6"/>
      <c r="Q98" s="2"/>
      <c r="R98" s="7">
        <f t="shared" si="42"/>
        <v>0</v>
      </c>
      <c r="S98" s="2"/>
      <c r="T98" s="6">
        <v>-7.47</v>
      </c>
      <c r="U98" s="2"/>
      <c r="V98" s="7">
        <f t="shared" si="43"/>
        <v>-8.0501977137179859E-6</v>
      </c>
      <c r="W98" s="2"/>
      <c r="X98" s="6">
        <f t="shared" si="44"/>
        <v>7.47</v>
      </c>
      <c r="Y98" s="2"/>
      <c r="Z98" s="7">
        <f t="shared" si="45"/>
        <v>-1</v>
      </c>
    </row>
    <row r="99" spans="1:26" s="29" customFormat="1" outlineLevel="1" collapsed="1" x14ac:dyDescent="0.25">
      <c r="A99" s="27"/>
      <c r="B99" s="14" t="str">
        <f>CONCATENATE("     ","Employees' Appreciation                           ")</f>
        <v xml:space="preserve">     Employees' Appreciation                           </v>
      </c>
      <c r="C99" s="14"/>
      <c r="D99" s="1">
        <f>SUM(OSRRefD22_4x_0)</f>
        <v>0</v>
      </c>
      <c r="E99" s="1"/>
      <c r="F99" s="5">
        <f t="shared" ref="F99:F103" si="46">IF(D$12=0,0,D99/D$12)</f>
        <v>0</v>
      </c>
      <c r="G99" s="1"/>
      <c r="H99" s="1">
        <f>SUM(OSRRefH22_4x_0)</f>
        <v>60</v>
      </c>
      <c r="I99" s="1"/>
      <c r="J99" s="5">
        <f t="shared" ref="J99:J103" si="47">IF(H$12=0,0,H99/H$12)</f>
        <v>2.7041307760909412E-4</v>
      </c>
      <c r="K99" s="1"/>
      <c r="L99" s="1">
        <f t="shared" ref="L99:L103" si="48">+D99-H99</f>
        <v>-60</v>
      </c>
      <c r="M99" s="1"/>
      <c r="N99" s="5">
        <f t="shared" ref="N99:N103" si="49">IF(H99=0,0,L99/H99)</f>
        <v>-1</v>
      </c>
      <c r="O99" s="14"/>
      <c r="P99" s="1">
        <f>SUM(OSRRefP22_4x_0)</f>
        <v>0</v>
      </c>
      <c r="Q99" s="1"/>
      <c r="R99" s="5">
        <f t="shared" ref="R99:R103" si="50">IF(P$12=0,0,P99/P$12)</f>
        <v>0</v>
      </c>
      <c r="S99" s="1"/>
      <c r="T99" s="1">
        <f>SUM(OSRRefT22_4x_0)</f>
        <v>72.98</v>
      </c>
      <c r="U99" s="1"/>
      <c r="V99" s="5">
        <f t="shared" ref="V99:V103" si="51">IF(T$12=0,0,T99/T$12)</f>
        <v>7.864838408930906E-5</v>
      </c>
      <c r="W99" s="1"/>
      <c r="X99" s="1">
        <f t="shared" ref="X99:X103" si="52">+P99-T99</f>
        <v>-72.98</v>
      </c>
      <c r="Y99" s="1"/>
      <c r="Z99" s="5">
        <f t="shared" ref="Z99:Z103" si="53">IF(T99=0,0,X99/T99)</f>
        <v>-1</v>
      </c>
    </row>
    <row r="100" spans="1:26" s="24" customFormat="1" hidden="1" outlineLevel="2" x14ac:dyDescent="0.25">
      <c r="A100" s="28"/>
      <c r="B100" s="11" t="str">
        <f>CONCATENATE("          ", "6277", " - ", "EMPLOYEE APPRECIATION")</f>
        <v xml:space="preserve">          6277 - EMPLOYEE APPRECIATION</v>
      </c>
      <c r="C100" s="11"/>
      <c r="D100" s="6"/>
      <c r="E100" s="2"/>
      <c r="F100" s="7">
        <f t="shared" si="46"/>
        <v>0</v>
      </c>
      <c r="G100" s="2"/>
      <c r="H100" s="6">
        <v>60</v>
      </c>
      <c r="I100" s="2"/>
      <c r="J100" s="7">
        <f t="shared" si="47"/>
        <v>2.7041307760909412E-4</v>
      </c>
      <c r="K100" s="2"/>
      <c r="L100" s="6">
        <f t="shared" si="48"/>
        <v>-60</v>
      </c>
      <c r="M100" s="2"/>
      <c r="N100" s="7">
        <f t="shared" si="49"/>
        <v>-1</v>
      </c>
      <c r="O100" s="11"/>
      <c r="P100" s="6"/>
      <c r="Q100" s="2"/>
      <c r="R100" s="7">
        <f t="shared" si="50"/>
        <v>0</v>
      </c>
      <c r="S100" s="2"/>
      <c r="T100" s="6">
        <v>72.98</v>
      </c>
      <c r="U100" s="2"/>
      <c r="V100" s="7">
        <f t="shared" si="51"/>
        <v>7.864838408930906E-5</v>
      </c>
      <c r="W100" s="2"/>
      <c r="X100" s="6">
        <f t="shared" si="52"/>
        <v>-72.98</v>
      </c>
      <c r="Y100" s="2"/>
      <c r="Z100" s="7">
        <f t="shared" si="53"/>
        <v>-1</v>
      </c>
    </row>
    <row r="101" spans="1:26" s="29" customFormat="1" outlineLevel="1" collapsed="1" x14ac:dyDescent="0.25">
      <c r="A101" s="27"/>
      <c r="B101" s="14" t="str">
        <f>CONCATENATE("     ","Freight out/Postage                               ")</f>
        <v xml:space="preserve">     Freight out/Postage                               </v>
      </c>
      <c r="C101" s="14"/>
      <c r="D101" s="1">
        <f>SUM(OSRRefD22_5x_0)</f>
        <v>10.85</v>
      </c>
      <c r="E101" s="1"/>
      <c r="F101" s="5">
        <f t="shared" si="46"/>
        <v>1.122816458316086E-4</v>
      </c>
      <c r="G101" s="1"/>
      <c r="H101" s="1">
        <f>SUM(OSRRefH22_5x_0)</f>
        <v>70.5</v>
      </c>
      <c r="I101" s="1"/>
      <c r="J101" s="5">
        <f t="shared" si="47"/>
        <v>3.1773536619068561E-4</v>
      </c>
      <c r="K101" s="1"/>
      <c r="L101" s="1">
        <f t="shared" si="48"/>
        <v>-59.65</v>
      </c>
      <c r="M101" s="1"/>
      <c r="N101" s="5">
        <f t="shared" si="49"/>
        <v>-0.84609929078014179</v>
      </c>
      <c r="O101" s="14"/>
      <c r="P101" s="1">
        <f>SUM(OSRRefP22_5x_0)</f>
        <v>91.96</v>
      </c>
      <c r="Q101" s="1"/>
      <c r="R101" s="5">
        <f t="shared" si="50"/>
        <v>1.4676136168498131E-4</v>
      </c>
      <c r="S101" s="1"/>
      <c r="T101" s="1">
        <f>SUM(OSRRefT22_5x_0)</f>
        <v>70.5</v>
      </c>
      <c r="U101" s="1"/>
      <c r="V101" s="5">
        <f t="shared" si="51"/>
        <v>7.5975761555169746E-5</v>
      </c>
      <c r="W101" s="1"/>
      <c r="X101" s="1">
        <f t="shared" si="52"/>
        <v>21.459999999999994</v>
      </c>
      <c r="Y101" s="1"/>
      <c r="Z101" s="5">
        <f t="shared" si="53"/>
        <v>0.3043971631205673</v>
      </c>
    </row>
    <row r="102" spans="1:26" s="24" customFormat="1" hidden="1" outlineLevel="2" x14ac:dyDescent="0.25">
      <c r="A102" s="28"/>
      <c r="B102" s="11" t="str">
        <f>CONCATENATE("          ", "6305", " - ", "FREIGHT OUT")</f>
        <v xml:space="preserve">          6305 - FREIGHT OUT</v>
      </c>
      <c r="C102" s="11"/>
      <c r="D102" s="6">
        <v>10.85</v>
      </c>
      <c r="E102" s="2"/>
      <c r="F102" s="7">
        <f t="shared" si="46"/>
        <v>1.122816458316086E-4</v>
      </c>
      <c r="G102" s="2"/>
      <c r="H102" s="6">
        <v>70</v>
      </c>
      <c r="I102" s="2"/>
      <c r="J102" s="7">
        <f t="shared" si="47"/>
        <v>3.1548192387727649E-4</v>
      </c>
      <c r="K102" s="2"/>
      <c r="L102" s="6">
        <f t="shared" si="48"/>
        <v>-59.15</v>
      </c>
      <c r="M102" s="2"/>
      <c r="N102" s="7">
        <f t="shared" si="49"/>
        <v>-0.84499999999999997</v>
      </c>
      <c r="O102" s="11"/>
      <c r="P102" s="6">
        <v>91.96</v>
      </c>
      <c r="Q102" s="2"/>
      <c r="R102" s="7">
        <f t="shared" si="50"/>
        <v>1.4676136168498131E-4</v>
      </c>
      <c r="S102" s="2"/>
      <c r="T102" s="6">
        <v>70</v>
      </c>
      <c r="U102" s="2"/>
      <c r="V102" s="7">
        <f t="shared" si="51"/>
        <v>7.5436926366835211E-5</v>
      </c>
      <c r="W102" s="2"/>
      <c r="X102" s="6">
        <f t="shared" si="52"/>
        <v>21.959999999999994</v>
      </c>
      <c r="Y102" s="2"/>
      <c r="Z102" s="7">
        <f t="shared" si="53"/>
        <v>0.31371428571428561</v>
      </c>
    </row>
    <row r="103" spans="1:26" s="24" customFormat="1" hidden="1" outlineLevel="2" x14ac:dyDescent="0.25">
      <c r="A103" s="28"/>
      <c r="B103" s="11" t="str">
        <f>CONCATENATE("          ", "6307", " - ", "POSTAGE")</f>
        <v xml:space="preserve">          6307 - POSTAGE</v>
      </c>
      <c r="C103" s="11"/>
      <c r="D103" s="6"/>
      <c r="E103" s="2"/>
      <c r="F103" s="7">
        <f t="shared" si="46"/>
        <v>0</v>
      </c>
      <c r="G103" s="2"/>
      <c r="H103" s="6">
        <v>0.5</v>
      </c>
      <c r="I103" s="2"/>
      <c r="J103" s="7">
        <f t="shared" si="47"/>
        <v>2.2534423134091177E-6</v>
      </c>
      <c r="K103" s="2"/>
      <c r="L103" s="6">
        <f t="shared" si="48"/>
        <v>-0.5</v>
      </c>
      <c r="M103" s="2"/>
      <c r="N103" s="7">
        <f t="shared" si="49"/>
        <v>-1</v>
      </c>
      <c r="O103" s="11"/>
      <c r="P103" s="6"/>
      <c r="Q103" s="2"/>
      <c r="R103" s="7">
        <f t="shared" si="50"/>
        <v>0</v>
      </c>
      <c r="S103" s="2"/>
      <c r="T103" s="6">
        <v>0.5</v>
      </c>
      <c r="U103" s="2"/>
      <c r="V103" s="7">
        <f t="shared" si="51"/>
        <v>5.3883518833453724E-7</v>
      </c>
      <c r="W103" s="2"/>
      <c r="X103" s="6">
        <f t="shared" si="52"/>
        <v>-0.5</v>
      </c>
      <c r="Y103" s="2"/>
      <c r="Z103" s="7">
        <f t="shared" si="53"/>
        <v>-1</v>
      </c>
    </row>
    <row r="104" spans="1:26" s="29" customFormat="1" outlineLevel="1" collapsed="1" x14ac:dyDescent="0.25">
      <c r="A104" s="27"/>
      <c r="B104" s="14" t="str">
        <f>CONCATENATE("     ","Inventory Adjustment                              ")</f>
        <v xml:space="preserve">     Inventory Adjustment                              </v>
      </c>
      <c r="C104" s="14"/>
      <c r="D104" s="1">
        <f>SUM(OSRRefD22_6x_0)</f>
        <v>1000</v>
      </c>
      <c r="E104" s="1"/>
      <c r="F104" s="5">
        <f t="shared" ref="F104:F108" si="54">IF(D$12=0,0,D104/D$12)</f>
        <v>1.0348538786323374E-2</v>
      </c>
      <c r="G104" s="1"/>
      <c r="H104" s="1">
        <f>SUM(OSRRefH22_6x_0)</f>
        <v>2850</v>
      </c>
      <c r="I104" s="1"/>
      <c r="J104" s="5">
        <f t="shared" ref="J104:J108" si="55">IF(H$12=0,0,H104/H$12)</f>
        <v>1.2844621186431971E-2</v>
      </c>
      <c r="K104" s="1"/>
      <c r="L104" s="1">
        <f t="shared" ref="L104:L108" si="56">+D104-H104</f>
        <v>-1850</v>
      </c>
      <c r="M104" s="1"/>
      <c r="N104" s="5">
        <f t="shared" ref="N104:N108" si="57">IF(H104=0,0,L104/H104)</f>
        <v>-0.64912280701754388</v>
      </c>
      <c r="O104" s="14"/>
      <c r="P104" s="1">
        <f>SUM(OSRRefP22_6x_0)</f>
        <v>4000</v>
      </c>
      <c r="Q104" s="1"/>
      <c r="R104" s="5">
        <f t="shared" ref="R104:R108" si="58">IF(P$12=0,0,P104/P$12)</f>
        <v>6.3837042925176737E-3</v>
      </c>
      <c r="S104" s="1"/>
      <c r="T104" s="1">
        <f>SUM(OSRRefT22_6x_0)</f>
        <v>11400</v>
      </c>
      <c r="U104" s="1"/>
      <c r="V104" s="5">
        <f t="shared" ref="V104:V108" si="59">IF(T$12=0,0,T104/T$12)</f>
        <v>1.2285442294027449E-2</v>
      </c>
      <c r="W104" s="1"/>
      <c r="X104" s="1">
        <f t="shared" ref="X104:X108" si="60">+P104-T104</f>
        <v>-7400</v>
      </c>
      <c r="Y104" s="1"/>
      <c r="Z104" s="5">
        <f t="shared" ref="Z104:Z108" si="61">IF(T104=0,0,X104/T104)</f>
        <v>-0.64912280701754388</v>
      </c>
    </row>
    <row r="105" spans="1:26" s="24" customFormat="1" hidden="1" outlineLevel="2" x14ac:dyDescent="0.25">
      <c r="A105" s="28"/>
      <c r="B105" s="11" t="str">
        <f>CONCATENATE("          ", "6408", " - ", "INVENTORY ADJUSTMENT")</f>
        <v xml:space="preserve">          6408 - INVENTORY ADJUSTMENT</v>
      </c>
      <c r="C105" s="11"/>
      <c r="D105" s="6">
        <v>1000</v>
      </c>
      <c r="E105" s="2"/>
      <c r="F105" s="7">
        <f t="shared" si="54"/>
        <v>1.0348538786323374E-2</v>
      </c>
      <c r="G105" s="2"/>
      <c r="H105" s="6">
        <v>2850</v>
      </c>
      <c r="I105" s="2"/>
      <c r="J105" s="7">
        <f t="shared" si="55"/>
        <v>1.2844621186431971E-2</v>
      </c>
      <c r="K105" s="2"/>
      <c r="L105" s="6">
        <f t="shared" si="56"/>
        <v>-1850</v>
      </c>
      <c r="M105" s="2"/>
      <c r="N105" s="7">
        <f t="shared" si="57"/>
        <v>-0.64912280701754388</v>
      </c>
      <c r="O105" s="11"/>
      <c r="P105" s="6">
        <v>4000</v>
      </c>
      <c r="Q105" s="2"/>
      <c r="R105" s="7">
        <f t="shared" si="58"/>
        <v>6.3837042925176737E-3</v>
      </c>
      <c r="S105" s="2"/>
      <c r="T105" s="6">
        <v>11400</v>
      </c>
      <c r="U105" s="2"/>
      <c r="V105" s="7">
        <f t="shared" si="59"/>
        <v>1.2285442294027449E-2</v>
      </c>
      <c r="W105" s="2"/>
      <c r="X105" s="6">
        <f t="shared" si="60"/>
        <v>-7400</v>
      </c>
      <c r="Y105" s="2"/>
      <c r="Z105" s="7">
        <f t="shared" si="61"/>
        <v>-0.64912280701754388</v>
      </c>
    </row>
    <row r="106" spans="1:26" s="29" customFormat="1" outlineLevel="1" collapsed="1" x14ac:dyDescent="0.25">
      <c r="A106" s="27"/>
      <c r="B106" s="14" t="str">
        <f>CONCATENATE("     ","Royalty &amp; Commissions                             ")</f>
        <v xml:space="preserve">     Royalty &amp; Commissions                             </v>
      </c>
      <c r="C106" s="14"/>
      <c r="D106" s="1">
        <f>SUM(OSRRefD22_7x_0)</f>
        <v>10489.6</v>
      </c>
      <c r="E106" s="1"/>
      <c r="F106" s="5">
        <f t="shared" si="54"/>
        <v>0.10855203245301767</v>
      </c>
      <c r="G106" s="1"/>
      <c r="H106" s="1">
        <f>SUM(OSRRefH22_7x_0)</f>
        <v>882.02</v>
      </c>
      <c r="I106" s="1"/>
      <c r="J106" s="5">
        <f t="shared" si="55"/>
        <v>3.9751623785462195E-3</v>
      </c>
      <c r="K106" s="1"/>
      <c r="L106" s="1">
        <f t="shared" si="56"/>
        <v>9607.58</v>
      </c>
      <c r="M106" s="1"/>
      <c r="N106" s="5">
        <f t="shared" si="57"/>
        <v>10.892700845785811</v>
      </c>
      <c r="O106" s="14"/>
      <c r="P106" s="1">
        <f>SUM(OSRRefP22_7x_0)</f>
        <v>18411.8</v>
      </c>
      <c r="Q106" s="1"/>
      <c r="R106" s="5">
        <f t="shared" si="58"/>
        <v>2.9383871673244223E-2</v>
      </c>
      <c r="S106" s="1"/>
      <c r="T106" s="1">
        <f>SUM(OSRRefT22_7x_0)</f>
        <v>5864.84</v>
      </c>
      <c r="U106" s="1"/>
      <c r="V106" s="5">
        <f t="shared" si="59"/>
        <v>6.3203643319038544E-3</v>
      </c>
      <c r="W106" s="1"/>
      <c r="X106" s="1">
        <f t="shared" si="60"/>
        <v>12546.96</v>
      </c>
      <c r="Y106" s="1"/>
      <c r="Z106" s="5">
        <f t="shared" si="61"/>
        <v>2.1393524802040633</v>
      </c>
    </row>
    <row r="107" spans="1:26" s="24" customFormat="1" hidden="1" outlineLevel="2" x14ac:dyDescent="0.25">
      <c r="A107" s="28"/>
      <c r="B107" s="11" t="str">
        <f>CONCATENATE("          ", "6253", " - ", "ROYALTY DUE ATHLETICS-LRG")</f>
        <v xml:space="preserve">          6253 - ROYALTY DUE ATHLETICS-LRG</v>
      </c>
      <c r="C107" s="11"/>
      <c r="D107" s="6">
        <v>10489.6</v>
      </c>
      <c r="E107" s="2"/>
      <c r="F107" s="7">
        <f t="shared" si="54"/>
        <v>0.10855203245301767</v>
      </c>
      <c r="G107" s="2"/>
      <c r="H107" s="6"/>
      <c r="I107" s="2"/>
      <c r="J107" s="7">
        <f t="shared" si="55"/>
        <v>0</v>
      </c>
      <c r="K107" s="2"/>
      <c r="L107" s="6">
        <f t="shared" si="56"/>
        <v>10489.6</v>
      </c>
      <c r="M107" s="2"/>
      <c r="N107" s="7">
        <f t="shared" si="57"/>
        <v>0</v>
      </c>
      <c r="O107" s="11"/>
      <c r="P107" s="6">
        <v>18411.8</v>
      </c>
      <c r="Q107" s="2"/>
      <c r="R107" s="7">
        <f t="shared" si="58"/>
        <v>2.9383871673244223E-2</v>
      </c>
      <c r="S107" s="2"/>
      <c r="T107" s="6">
        <v>4366.95</v>
      </c>
      <c r="U107" s="2"/>
      <c r="V107" s="7">
        <f t="shared" si="59"/>
        <v>4.7061326513950143E-3</v>
      </c>
      <c r="W107" s="2"/>
      <c r="X107" s="6">
        <f t="shared" si="60"/>
        <v>14044.849999999999</v>
      </c>
      <c r="Y107" s="2"/>
      <c r="Z107" s="7">
        <f t="shared" si="61"/>
        <v>3.216169179862375</v>
      </c>
    </row>
    <row r="108" spans="1:26" s="24" customFormat="1" hidden="1" outlineLevel="2" x14ac:dyDescent="0.25">
      <c r="A108" s="28"/>
      <c r="B108" s="11" t="str">
        <f>CONCATENATE("          ", "6254", " - ", "ROYALTY &amp; COMMISSIONS")</f>
        <v xml:space="preserve">          6254 - ROYALTY &amp; COMMISSIONS</v>
      </c>
      <c r="C108" s="11"/>
      <c r="D108" s="6"/>
      <c r="E108" s="2"/>
      <c r="F108" s="7">
        <f t="shared" si="54"/>
        <v>0</v>
      </c>
      <c r="G108" s="2"/>
      <c r="H108" s="6">
        <v>882.02</v>
      </c>
      <c r="I108" s="2"/>
      <c r="J108" s="7">
        <f t="shared" si="55"/>
        <v>3.9751623785462195E-3</v>
      </c>
      <c r="K108" s="2"/>
      <c r="L108" s="6">
        <f t="shared" si="56"/>
        <v>-882.02</v>
      </c>
      <c r="M108" s="2"/>
      <c r="N108" s="7">
        <f t="shared" si="57"/>
        <v>-1</v>
      </c>
      <c r="O108" s="11"/>
      <c r="P108" s="6"/>
      <c r="Q108" s="2"/>
      <c r="R108" s="7">
        <f t="shared" si="58"/>
        <v>0</v>
      </c>
      <c r="S108" s="2"/>
      <c r="T108" s="6">
        <v>1497.89</v>
      </c>
      <c r="U108" s="2"/>
      <c r="V108" s="7">
        <f t="shared" si="59"/>
        <v>1.6142316805088401E-3</v>
      </c>
      <c r="W108" s="2"/>
      <c r="X108" s="6">
        <f t="shared" si="60"/>
        <v>-1497.89</v>
      </c>
      <c r="Y108" s="2"/>
      <c r="Z108" s="7">
        <f t="shared" si="61"/>
        <v>-1</v>
      </c>
    </row>
    <row r="109" spans="1:26" s="29" customFormat="1" outlineLevel="1" collapsed="1" x14ac:dyDescent="0.25">
      <c r="A109" s="27"/>
      <c r="B109" s="14" t="str">
        <f>CONCATENATE("     ","Subscriptions &amp; Dues                              ")</f>
        <v xml:space="preserve">     Subscriptions &amp; Dues                              </v>
      </c>
      <c r="C109" s="14"/>
      <c r="D109" s="1">
        <f>SUM(OSRRefD22_8x_0)</f>
        <v>0</v>
      </c>
      <c r="E109" s="1"/>
      <c r="F109" s="5">
        <f t="shared" ref="F109:F115" si="62">IF(D$12=0,0,D109/D$12)</f>
        <v>0</v>
      </c>
      <c r="G109" s="1"/>
      <c r="H109" s="1">
        <f>SUM(OSRRefH22_8x_0)</f>
        <v>0</v>
      </c>
      <c r="I109" s="1"/>
      <c r="J109" s="5">
        <f t="shared" ref="J109:J115" si="63">IF(H$12=0,0,H109/H$12)</f>
        <v>0</v>
      </c>
      <c r="K109" s="1"/>
      <c r="L109" s="1">
        <f t="shared" ref="L109:L115" si="64">+D109-H109</f>
        <v>0</v>
      </c>
      <c r="M109" s="1"/>
      <c r="N109" s="5">
        <f t="shared" ref="N109:N115" si="65">IF(H109=0,0,L109/H109)</f>
        <v>0</v>
      </c>
      <c r="O109" s="14"/>
      <c r="P109" s="1">
        <f>SUM(OSRRefP22_8x_0)</f>
        <v>75.73</v>
      </c>
      <c r="Q109" s="1"/>
      <c r="R109" s="5">
        <f t="shared" ref="R109:R115" si="66">IF(P$12=0,0,P109/P$12)</f>
        <v>1.2085948151809087E-4</v>
      </c>
      <c r="S109" s="1"/>
      <c r="T109" s="1">
        <f>SUM(OSRRefT22_8x_0)</f>
        <v>296.64</v>
      </c>
      <c r="U109" s="1"/>
      <c r="V109" s="5">
        <f t="shared" ref="V109:V115" si="67">IF(T$12=0,0,T109/T$12)</f>
        <v>3.1968014053511423E-4</v>
      </c>
      <c r="W109" s="1"/>
      <c r="X109" s="1">
        <f t="shared" ref="X109:X115" si="68">+P109-T109</f>
        <v>-220.90999999999997</v>
      </c>
      <c r="Y109" s="1"/>
      <c r="Z109" s="5">
        <f t="shared" ref="Z109:Z115" si="69">IF(T109=0,0,X109/T109)</f>
        <v>-0.74470738942826309</v>
      </c>
    </row>
    <row r="110" spans="1:26" s="24" customFormat="1" hidden="1" outlineLevel="2" x14ac:dyDescent="0.25">
      <c r="A110" s="28"/>
      <c r="B110" s="11" t="str">
        <f>CONCATENATE("          ", "6275", " - ", "SUBSCRIPTIONS")</f>
        <v xml:space="preserve">          6275 - SUBSCRIPTIONS</v>
      </c>
      <c r="C110" s="11"/>
      <c r="D110" s="6"/>
      <c r="E110" s="2"/>
      <c r="F110" s="7">
        <f t="shared" si="62"/>
        <v>0</v>
      </c>
      <c r="G110" s="2"/>
      <c r="H110" s="6"/>
      <c r="I110" s="2"/>
      <c r="J110" s="7">
        <f t="shared" si="63"/>
        <v>0</v>
      </c>
      <c r="K110" s="2"/>
      <c r="L110" s="6">
        <f t="shared" si="64"/>
        <v>0</v>
      </c>
      <c r="M110" s="2"/>
      <c r="N110" s="7">
        <f t="shared" si="65"/>
        <v>0</v>
      </c>
      <c r="O110" s="11"/>
      <c r="P110" s="6">
        <v>75.73</v>
      </c>
      <c r="Q110" s="2"/>
      <c r="R110" s="7">
        <f t="shared" si="66"/>
        <v>1.2085948151809087E-4</v>
      </c>
      <c r="S110" s="2"/>
      <c r="T110" s="6">
        <v>296.64</v>
      </c>
      <c r="U110" s="2"/>
      <c r="V110" s="7">
        <f t="shared" si="67"/>
        <v>3.1968014053511423E-4</v>
      </c>
      <c r="W110" s="2"/>
      <c r="X110" s="6">
        <f t="shared" si="68"/>
        <v>-220.90999999999997</v>
      </c>
      <c r="Y110" s="2"/>
      <c r="Z110" s="7">
        <f t="shared" si="69"/>
        <v>-0.74470738942826309</v>
      </c>
    </row>
    <row r="111" spans="1:26" s="29" customFormat="1" outlineLevel="1" collapsed="1" x14ac:dyDescent="0.25">
      <c r="A111" s="27"/>
      <c r="B111" s="14" t="str">
        <f>CONCATENATE("     ","Supplies                                          ")</f>
        <v xml:space="preserve">     Supplies                                          </v>
      </c>
      <c r="C111" s="14"/>
      <c r="D111" s="1">
        <f>SUM(OSRRefD22_9x_0)</f>
        <v>206.87</v>
      </c>
      <c r="E111" s="1"/>
      <c r="F111" s="5">
        <f t="shared" si="62"/>
        <v>2.1408022187267167E-3</v>
      </c>
      <c r="G111" s="1"/>
      <c r="H111" s="1">
        <f>SUM(OSRRefH22_9x_0)</f>
        <v>500.04999999999995</v>
      </c>
      <c r="I111" s="1"/>
      <c r="J111" s="5">
        <f t="shared" si="63"/>
        <v>2.2536676576404586E-3</v>
      </c>
      <c r="K111" s="1"/>
      <c r="L111" s="1">
        <f t="shared" si="64"/>
        <v>-293.17999999999995</v>
      </c>
      <c r="M111" s="1"/>
      <c r="N111" s="5">
        <f t="shared" si="65"/>
        <v>-0.58630136986301362</v>
      </c>
      <c r="O111" s="14"/>
      <c r="P111" s="1">
        <f>SUM(OSRRefP22_9x_0)</f>
        <v>1306.6100000000001</v>
      </c>
      <c r="Q111" s="1"/>
      <c r="R111" s="5">
        <f t="shared" si="66"/>
        <v>2.0852529664116297E-3</v>
      </c>
      <c r="S111" s="1"/>
      <c r="T111" s="1">
        <f>SUM(OSRRefT22_9x_0)</f>
        <v>1933.3</v>
      </c>
      <c r="U111" s="1"/>
      <c r="V111" s="5">
        <f t="shared" si="67"/>
        <v>2.0834601392143216E-3</v>
      </c>
      <c r="W111" s="1"/>
      <c r="X111" s="1">
        <f t="shared" si="68"/>
        <v>-626.68999999999983</v>
      </c>
      <c r="Y111" s="1"/>
      <c r="Z111" s="5">
        <f t="shared" si="69"/>
        <v>-0.32415558888946355</v>
      </c>
    </row>
    <row r="112" spans="1:26" s="24" customFormat="1" hidden="1" outlineLevel="2" x14ac:dyDescent="0.25">
      <c r="A112" s="28"/>
      <c r="B112" s="11" t="str">
        <f>CONCATENATE("          ", "6234", " - ", "EXPENDABLE SUPPLIES &amp; EQUIPMEN")</f>
        <v xml:space="preserve">          6234 - EXPENDABLE SUPPLIES &amp; EQUIPMEN</v>
      </c>
      <c r="C112" s="11"/>
      <c r="D112" s="6"/>
      <c r="E112" s="2"/>
      <c r="F112" s="7">
        <f t="shared" si="62"/>
        <v>0</v>
      </c>
      <c r="G112" s="2"/>
      <c r="H112" s="6"/>
      <c r="I112" s="2"/>
      <c r="J112" s="7">
        <f t="shared" si="63"/>
        <v>0</v>
      </c>
      <c r="K112" s="2"/>
      <c r="L112" s="6">
        <f t="shared" si="64"/>
        <v>0</v>
      </c>
      <c r="M112" s="2"/>
      <c r="N112" s="7">
        <f t="shared" si="65"/>
        <v>0</v>
      </c>
      <c r="O112" s="11"/>
      <c r="P112" s="6"/>
      <c r="Q112" s="2"/>
      <c r="R112" s="7">
        <f t="shared" si="66"/>
        <v>0</v>
      </c>
      <c r="S112" s="2"/>
      <c r="T112" s="6">
        <v>-15.95</v>
      </c>
      <c r="U112" s="2"/>
      <c r="V112" s="7">
        <f t="shared" si="67"/>
        <v>-1.7188842507871738E-5</v>
      </c>
      <c r="W112" s="2"/>
      <c r="X112" s="6">
        <f t="shared" si="68"/>
        <v>15.95</v>
      </c>
      <c r="Y112" s="2"/>
      <c r="Z112" s="7">
        <f t="shared" si="69"/>
        <v>-1</v>
      </c>
    </row>
    <row r="113" spans="1:26" s="24" customFormat="1" hidden="1" outlineLevel="2" x14ac:dyDescent="0.25">
      <c r="A113" s="28"/>
      <c r="B113" s="11" t="str">
        <f>CONCATENATE("          ", "6235", " - ", "COVID-19 EXPENSES")</f>
        <v xml:space="preserve">          6235 - COVID-19 EXPENSES</v>
      </c>
      <c r="C113" s="11"/>
      <c r="D113" s="6"/>
      <c r="E113" s="2"/>
      <c r="F113" s="7">
        <f t="shared" si="62"/>
        <v>0</v>
      </c>
      <c r="G113" s="2"/>
      <c r="H113" s="6"/>
      <c r="I113" s="2"/>
      <c r="J113" s="7">
        <f t="shared" si="63"/>
        <v>0</v>
      </c>
      <c r="K113" s="2"/>
      <c r="L113" s="6">
        <f t="shared" si="64"/>
        <v>0</v>
      </c>
      <c r="M113" s="2"/>
      <c r="N113" s="7">
        <f t="shared" si="65"/>
        <v>0</v>
      </c>
      <c r="O113" s="11"/>
      <c r="P113" s="6">
        <v>961.38</v>
      </c>
      <c r="Q113" s="2"/>
      <c r="R113" s="7">
        <f t="shared" si="66"/>
        <v>1.5342914081851603E-3</v>
      </c>
      <c r="S113" s="2"/>
      <c r="T113" s="6"/>
      <c r="U113" s="2"/>
      <c r="V113" s="7">
        <f t="shared" si="67"/>
        <v>0</v>
      </c>
      <c r="W113" s="2"/>
      <c r="X113" s="6">
        <f t="shared" si="68"/>
        <v>961.38</v>
      </c>
      <c r="Y113" s="2"/>
      <c r="Z113" s="7">
        <f t="shared" si="69"/>
        <v>0</v>
      </c>
    </row>
    <row r="114" spans="1:26" s="24" customFormat="1" hidden="1" outlineLevel="2" x14ac:dyDescent="0.25">
      <c r="A114" s="28"/>
      <c r="B114" s="11" t="str">
        <f>CONCATENATE("          ", "6241", " - ", "OFFICE EXPENSE")</f>
        <v xml:space="preserve">          6241 - OFFICE EXPENSE</v>
      </c>
      <c r="C114" s="11"/>
      <c r="D114" s="6">
        <v>20.16</v>
      </c>
      <c r="E114" s="2"/>
      <c r="F114" s="7">
        <f t="shared" si="62"/>
        <v>2.0862654193227922E-4</v>
      </c>
      <c r="G114" s="2"/>
      <c r="H114" s="6">
        <v>386.89</v>
      </c>
      <c r="I114" s="2"/>
      <c r="J114" s="7">
        <f t="shared" si="63"/>
        <v>1.7436685932697071E-3</v>
      </c>
      <c r="K114" s="2"/>
      <c r="L114" s="6">
        <f t="shared" si="64"/>
        <v>-366.72999999999996</v>
      </c>
      <c r="M114" s="2"/>
      <c r="N114" s="7">
        <f t="shared" si="65"/>
        <v>-0.94789216573186175</v>
      </c>
      <c r="O114" s="11"/>
      <c r="P114" s="6">
        <v>158.52000000000001</v>
      </c>
      <c r="Q114" s="2"/>
      <c r="R114" s="7">
        <f t="shared" si="66"/>
        <v>2.5298620111247543E-4</v>
      </c>
      <c r="S114" s="2"/>
      <c r="T114" s="6">
        <v>1656.46</v>
      </c>
      <c r="U114" s="2"/>
      <c r="V114" s="7">
        <f t="shared" si="67"/>
        <v>1.7851178721372551E-3</v>
      </c>
      <c r="W114" s="2"/>
      <c r="X114" s="6">
        <f t="shared" si="68"/>
        <v>-1497.94</v>
      </c>
      <c r="Y114" s="2"/>
      <c r="Z114" s="7">
        <f t="shared" si="69"/>
        <v>-0.90430194511186512</v>
      </c>
    </row>
    <row r="115" spans="1:26" s="24" customFormat="1" hidden="1" outlineLevel="2" x14ac:dyDescent="0.25">
      <c r="A115" s="28"/>
      <c r="B115" s="11" t="str">
        <f>CONCATENATE("          ", "6247", " - ", "STORE SUPPLIES")</f>
        <v xml:space="preserve">          6247 - STORE SUPPLIES</v>
      </c>
      <c r="C115" s="11"/>
      <c r="D115" s="6">
        <v>186.71</v>
      </c>
      <c r="E115" s="2"/>
      <c r="F115" s="7">
        <f t="shared" si="62"/>
        <v>1.9321756767944373E-3</v>
      </c>
      <c r="G115" s="2"/>
      <c r="H115" s="6">
        <v>113.16</v>
      </c>
      <c r="I115" s="2"/>
      <c r="J115" s="7">
        <f t="shared" si="63"/>
        <v>5.0999906437075148E-4</v>
      </c>
      <c r="K115" s="2"/>
      <c r="L115" s="6">
        <f t="shared" si="64"/>
        <v>73.550000000000011</v>
      </c>
      <c r="M115" s="2"/>
      <c r="N115" s="7">
        <f t="shared" si="65"/>
        <v>0.64996465182043139</v>
      </c>
      <c r="O115" s="11"/>
      <c r="P115" s="6">
        <v>186.71</v>
      </c>
      <c r="Q115" s="2"/>
      <c r="R115" s="7">
        <f t="shared" si="66"/>
        <v>2.9797535711399372E-4</v>
      </c>
      <c r="S115" s="2"/>
      <c r="T115" s="6">
        <v>292.79000000000002</v>
      </c>
      <c r="U115" s="2"/>
      <c r="V115" s="7">
        <f t="shared" si="67"/>
        <v>3.1553110958493832E-4</v>
      </c>
      <c r="W115" s="2"/>
      <c r="X115" s="6">
        <f t="shared" si="68"/>
        <v>-106.08000000000001</v>
      </c>
      <c r="Y115" s="2"/>
      <c r="Z115" s="7">
        <f t="shared" si="69"/>
        <v>-0.36230745585573282</v>
      </c>
    </row>
    <row r="116" spans="1:26" s="29" customFormat="1" outlineLevel="1" collapsed="1" x14ac:dyDescent="0.25">
      <c r="A116" s="27"/>
      <c r="B116" s="14" t="str">
        <f>CONCATENATE("     ","Telephone/Data Lines                              ")</f>
        <v xml:space="preserve">     Telephone/Data Lines                              </v>
      </c>
      <c r="C116" s="14"/>
      <c r="D116" s="1">
        <f>SUM(OSRRefD22_10x_0)</f>
        <v>274.55</v>
      </c>
      <c r="E116" s="1"/>
      <c r="F116" s="5">
        <f t="shared" ref="F116:F121" si="70">IF(D$12=0,0,D116/D$12)</f>
        <v>2.8411913237850824E-3</v>
      </c>
      <c r="G116" s="1"/>
      <c r="H116" s="1">
        <f>SUM(OSRRefH22_10x_0)</f>
        <v>555.4</v>
      </c>
      <c r="I116" s="1"/>
      <c r="J116" s="5">
        <f t="shared" ref="J116:J121" si="71">IF(H$12=0,0,H116/H$12)</f>
        <v>2.503123721734848E-3</v>
      </c>
      <c r="K116" s="1"/>
      <c r="L116" s="1">
        <f t="shared" ref="L116:L121" si="72">+D116-H116</f>
        <v>-280.84999999999997</v>
      </c>
      <c r="M116" s="1"/>
      <c r="N116" s="5">
        <f t="shared" ref="N116:N121" si="73">IF(H116=0,0,L116/H116)</f>
        <v>-0.50567158804465251</v>
      </c>
      <c r="O116" s="14"/>
      <c r="P116" s="1">
        <f>SUM(OSRRefP22_10x_0)</f>
        <v>2020.33</v>
      </c>
      <c r="Q116" s="1"/>
      <c r="R116" s="5">
        <f t="shared" ref="R116:R121" si="74">IF(P$12=0,0,P116/P$12)</f>
        <v>3.2242973233255578E-3</v>
      </c>
      <c r="S116" s="1"/>
      <c r="T116" s="1">
        <f>SUM(OSRRefT22_10x_0)</f>
        <v>2603.92</v>
      </c>
      <c r="U116" s="1"/>
      <c r="V116" s="5">
        <f t="shared" ref="V116:V121" si="75">IF(T$12=0,0,T116/T$12)</f>
        <v>2.8061674472161366E-3</v>
      </c>
      <c r="W116" s="1"/>
      <c r="X116" s="1">
        <f t="shared" ref="X116:X121" si="76">+P116-T116</f>
        <v>-583.59000000000015</v>
      </c>
      <c r="Y116" s="1"/>
      <c r="Z116" s="5">
        <f t="shared" ref="Z116:Z121" si="77">IF(T116=0,0,X116/T116)</f>
        <v>-0.22411978862637874</v>
      </c>
    </row>
    <row r="117" spans="1:26" s="24" customFormat="1" hidden="1" outlineLevel="2" x14ac:dyDescent="0.25">
      <c r="A117" s="28"/>
      <c r="B117" s="11" t="str">
        <f>CONCATENATE("          ", "6309", " - ", "TELEPHONE")</f>
        <v xml:space="preserve">          6309 - TELEPHONE</v>
      </c>
      <c r="C117" s="11"/>
      <c r="D117" s="6">
        <v>274.55</v>
      </c>
      <c r="E117" s="2"/>
      <c r="F117" s="7">
        <f t="shared" si="70"/>
        <v>2.8411913237850824E-3</v>
      </c>
      <c r="G117" s="2"/>
      <c r="H117" s="6">
        <v>555.4</v>
      </c>
      <c r="I117" s="2"/>
      <c r="J117" s="7">
        <f t="shared" si="71"/>
        <v>2.503123721734848E-3</v>
      </c>
      <c r="K117" s="2"/>
      <c r="L117" s="6">
        <f t="shared" si="72"/>
        <v>-280.84999999999997</v>
      </c>
      <c r="M117" s="2"/>
      <c r="N117" s="7">
        <f t="shared" si="73"/>
        <v>-0.50567158804465251</v>
      </c>
      <c r="O117" s="11"/>
      <c r="P117" s="6">
        <v>2020.33</v>
      </c>
      <c r="Q117" s="2"/>
      <c r="R117" s="7">
        <f t="shared" si="74"/>
        <v>3.2242973233255578E-3</v>
      </c>
      <c r="S117" s="2"/>
      <c r="T117" s="6">
        <v>2603.92</v>
      </c>
      <c r="U117" s="2"/>
      <c r="V117" s="7">
        <f t="shared" si="75"/>
        <v>2.8061674472161366E-3</v>
      </c>
      <c r="W117" s="2"/>
      <c r="X117" s="6">
        <f t="shared" si="76"/>
        <v>-583.59000000000015</v>
      </c>
      <c r="Y117" s="2"/>
      <c r="Z117" s="7">
        <f t="shared" si="77"/>
        <v>-0.22411978862637874</v>
      </c>
    </row>
    <row r="118" spans="1:26" s="29" customFormat="1" outlineLevel="1" collapsed="1" x14ac:dyDescent="0.25">
      <c r="A118" s="27"/>
      <c r="B118" s="14" t="str">
        <f>CONCATENATE("     ","Training                                          ")</f>
        <v xml:space="preserve">     Training                                          </v>
      </c>
      <c r="C118" s="14"/>
      <c r="D118" s="1">
        <f>SUM(OSRRefD22_11x_0)</f>
        <v>0</v>
      </c>
      <c r="E118" s="1"/>
      <c r="F118" s="5">
        <f t="shared" si="70"/>
        <v>0</v>
      </c>
      <c r="G118" s="1"/>
      <c r="H118" s="1">
        <f>SUM(OSRRefH22_11x_0)</f>
        <v>1042.56</v>
      </c>
      <c r="I118" s="1"/>
      <c r="J118" s="5">
        <f t="shared" si="71"/>
        <v>4.6986976365356193E-3</v>
      </c>
      <c r="K118" s="1"/>
      <c r="L118" s="1">
        <f t="shared" si="72"/>
        <v>-1042.56</v>
      </c>
      <c r="M118" s="1"/>
      <c r="N118" s="5">
        <f t="shared" si="73"/>
        <v>-1</v>
      </c>
      <c r="O118" s="14"/>
      <c r="P118" s="1">
        <f>SUM(OSRRefP22_11x_0)</f>
        <v>0</v>
      </c>
      <c r="Q118" s="1"/>
      <c r="R118" s="5">
        <f t="shared" si="74"/>
        <v>0</v>
      </c>
      <c r="S118" s="1"/>
      <c r="T118" s="1">
        <f>SUM(OSRRefT22_11x_0)</f>
        <v>1146.06</v>
      </c>
      <c r="U118" s="1"/>
      <c r="V118" s="5">
        <f t="shared" si="75"/>
        <v>1.2350749118853594E-3</v>
      </c>
      <c r="W118" s="1"/>
      <c r="X118" s="1">
        <f t="shared" si="76"/>
        <v>-1146.06</v>
      </c>
      <c r="Y118" s="1"/>
      <c r="Z118" s="5">
        <f t="shared" si="77"/>
        <v>-1</v>
      </c>
    </row>
    <row r="119" spans="1:26" s="24" customFormat="1" hidden="1" outlineLevel="2" x14ac:dyDescent="0.25">
      <c r="A119" s="28"/>
      <c r="B119" s="11" t="str">
        <f>CONCATENATE("          ", "6376", " - ", "TRAINING")</f>
        <v xml:space="preserve">          6376 - TRAINING</v>
      </c>
      <c r="C119" s="11"/>
      <c r="D119" s="6"/>
      <c r="E119" s="2"/>
      <c r="F119" s="7">
        <f t="shared" si="70"/>
        <v>0</v>
      </c>
      <c r="G119" s="2"/>
      <c r="H119" s="6">
        <v>1042.56</v>
      </c>
      <c r="I119" s="2"/>
      <c r="J119" s="7">
        <f t="shared" si="71"/>
        <v>4.6986976365356193E-3</v>
      </c>
      <c r="K119" s="2"/>
      <c r="L119" s="6">
        <f t="shared" si="72"/>
        <v>-1042.56</v>
      </c>
      <c r="M119" s="2"/>
      <c r="N119" s="7">
        <f t="shared" si="73"/>
        <v>-1</v>
      </c>
      <c r="O119" s="11"/>
      <c r="P119" s="6"/>
      <c r="Q119" s="2"/>
      <c r="R119" s="7">
        <f t="shared" si="74"/>
        <v>0</v>
      </c>
      <c r="S119" s="2"/>
      <c r="T119" s="6">
        <v>1146.06</v>
      </c>
      <c r="U119" s="2"/>
      <c r="V119" s="7">
        <f t="shared" si="75"/>
        <v>1.2350749118853594E-3</v>
      </c>
      <c r="W119" s="2"/>
      <c r="X119" s="6">
        <f t="shared" si="76"/>
        <v>-1146.06</v>
      </c>
      <c r="Y119" s="2"/>
      <c r="Z119" s="7">
        <f t="shared" si="77"/>
        <v>-1</v>
      </c>
    </row>
    <row r="120" spans="1:26" s="29" customFormat="1" outlineLevel="1" collapsed="1" x14ac:dyDescent="0.25">
      <c r="A120" s="27"/>
      <c r="B120" s="14" t="str">
        <f>CONCATENATE("     ","Travel                                            ")</f>
        <v xml:space="preserve">     Travel                                            </v>
      </c>
      <c r="C120" s="14"/>
      <c r="D120" s="1">
        <f>SUM(OSRRefD22_12x_0)</f>
        <v>0</v>
      </c>
      <c r="E120" s="1"/>
      <c r="F120" s="5">
        <f t="shared" si="70"/>
        <v>0</v>
      </c>
      <c r="G120" s="1"/>
      <c r="H120" s="1">
        <f>SUM(OSRRefH22_12x_0)</f>
        <v>107.04</v>
      </c>
      <c r="I120" s="1"/>
      <c r="J120" s="5">
        <f t="shared" si="71"/>
        <v>4.8241693045462394E-4</v>
      </c>
      <c r="K120" s="1"/>
      <c r="L120" s="1">
        <f t="shared" si="72"/>
        <v>-107.04</v>
      </c>
      <c r="M120" s="1"/>
      <c r="N120" s="5">
        <f t="shared" si="73"/>
        <v>-1</v>
      </c>
      <c r="O120" s="14"/>
      <c r="P120" s="1">
        <f>SUM(OSRRefP22_12x_0)</f>
        <v>0</v>
      </c>
      <c r="Q120" s="1"/>
      <c r="R120" s="5">
        <f t="shared" si="74"/>
        <v>0</v>
      </c>
      <c r="S120" s="1"/>
      <c r="T120" s="1">
        <f>SUM(OSRRefT22_12x_0)</f>
        <v>107.04</v>
      </c>
      <c r="U120" s="1"/>
      <c r="V120" s="5">
        <f t="shared" si="75"/>
        <v>1.1535383711865774E-4</v>
      </c>
      <c r="W120" s="1"/>
      <c r="X120" s="1">
        <f t="shared" si="76"/>
        <v>-107.04</v>
      </c>
      <c r="Y120" s="1"/>
      <c r="Z120" s="5">
        <f t="shared" si="77"/>
        <v>-1</v>
      </c>
    </row>
    <row r="121" spans="1:26" s="24" customFormat="1" hidden="1" outlineLevel="2" x14ac:dyDescent="0.25">
      <c r="A121" s="28"/>
      <c r="B121" s="11" t="str">
        <f>CONCATENATE("          ", "6292", " - ", "TRAVEL/CONFERENCE")</f>
        <v xml:space="preserve">          6292 - TRAVEL/CONFERENCE</v>
      </c>
      <c r="C121" s="11"/>
      <c r="D121" s="6"/>
      <c r="E121" s="2"/>
      <c r="F121" s="7">
        <f t="shared" si="70"/>
        <v>0</v>
      </c>
      <c r="G121" s="2"/>
      <c r="H121" s="6">
        <v>107.04</v>
      </c>
      <c r="I121" s="2"/>
      <c r="J121" s="7">
        <f t="shared" si="71"/>
        <v>4.8241693045462394E-4</v>
      </c>
      <c r="K121" s="2"/>
      <c r="L121" s="6">
        <f t="shared" si="72"/>
        <v>-107.04</v>
      </c>
      <c r="M121" s="2"/>
      <c r="N121" s="7">
        <f t="shared" si="73"/>
        <v>-1</v>
      </c>
      <c r="O121" s="11"/>
      <c r="P121" s="6"/>
      <c r="Q121" s="2"/>
      <c r="R121" s="7">
        <f t="shared" si="74"/>
        <v>0</v>
      </c>
      <c r="S121" s="2"/>
      <c r="T121" s="6">
        <v>107.04</v>
      </c>
      <c r="U121" s="2"/>
      <c r="V121" s="7">
        <f t="shared" si="75"/>
        <v>1.1535383711865774E-4</v>
      </c>
      <c r="W121" s="2"/>
      <c r="X121" s="6">
        <f t="shared" si="76"/>
        <v>-107.04</v>
      </c>
      <c r="Y121" s="2"/>
      <c r="Z121" s="7">
        <f t="shared" si="77"/>
        <v>-1</v>
      </c>
    </row>
    <row r="122" spans="1:26" s="57" customFormat="1" x14ac:dyDescent="0.25">
      <c r="A122" s="37"/>
      <c r="B122" s="37"/>
      <c r="C122" s="37"/>
      <c r="D122" s="1"/>
      <c r="E122" s="1"/>
      <c r="F122" s="5"/>
      <c r="G122" s="1"/>
      <c r="H122" s="1"/>
      <c r="I122" s="1"/>
      <c r="J122" s="5"/>
      <c r="K122" s="1"/>
      <c r="L122" s="1"/>
      <c r="M122" s="1"/>
      <c r="N122" s="5"/>
      <c r="O122" s="37"/>
      <c r="P122" s="1"/>
      <c r="Q122" s="1"/>
      <c r="R122" s="5"/>
      <c r="S122" s="1"/>
      <c r="T122" s="1"/>
      <c r="U122" s="1"/>
      <c r="V122" s="5"/>
      <c r="W122" s="1"/>
      <c r="X122" s="1"/>
      <c r="Y122" s="1"/>
      <c r="Z122" s="5"/>
    </row>
    <row r="123" spans="1:26" s="23" customFormat="1" collapsed="1" x14ac:dyDescent="0.25">
      <c r="A123" s="10"/>
      <c r="B123" s="26" t="s">
        <v>0</v>
      </c>
      <c r="C123" s="10"/>
      <c r="D123" s="4">
        <f>SUM(OSRRefD25x_0)</f>
        <v>20979.200000000001</v>
      </c>
      <c r="E123" s="4"/>
      <c r="F123" s="12">
        <f t="shared" ref="F123:F125" si="78">IF(D$12=0,0,D123/D$12)</f>
        <v>0.21710406490603534</v>
      </c>
      <c r="G123" s="4"/>
      <c r="H123" s="4">
        <f>SUM(OSRRefH25x_0)</f>
        <v>0</v>
      </c>
      <c r="I123" s="4"/>
      <c r="J123" s="12">
        <f t="shared" ref="J123:J125" si="79">IF(H$12=0,0,H123/H$12)</f>
        <v>0</v>
      </c>
      <c r="K123" s="4"/>
      <c r="L123" s="4">
        <f t="shared" ref="L123:L125" si="80">+D123-H123</f>
        <v>20979.200000000001</v>
      </c>
      <c r="M123" s="4"/>
      <c r="N123" s="12">
        <f t="shared" ref="N123:N125" si="81">IF(H123=0,0,L123/H123)</f>
        <v>0</v>
      </c>
      <c r="O123" s="10"/>
      <c r="P123" s="4">
        <f>SUM(OSRRefP25x_0)</f>
        <v>192987.51</v>
      </c>
      <c r="Q123" s="4"/>
      <c r="R123" s="12">
        <f t="shared" ref="R123:R125" si="82">IF(P$12=0,0,P123/P$12)</f>
        <v>0.30799379899732438</v>
      </c>
      <c r="S123" s="4"/>
      <c r="T123" s="4">
        <f>SUM(OSRRefT25x_0)</f>
        <v>14396.98</v>
      </c>
      <c r="U123" s="4"/>
      <c r="V123" s="12">
        <f t="shared" ref="V123:V125" si="83">IF(T$12=0,0,T123/T$12)</f>
        <v>1.5515198859497131E-2</v>
      </c>
      <c r="W123" s="4"/>
      <c r="X123" s="4">
        <f t="shared" ref="X123:X125" si="84">+P123-T123</f>
        <v>178590.53</v>
      </c>
      <c r="Y123" s="4"/>
      <c r="Z123" s="12">
        <f t="shared" ref="Z123:Z125" si="85">IF(T123=0,0,X123/T123)</f>
        <v>12.404721684686649</v>
      </c>
    </row>
    <row r="124" spans="1:26" s="24" customFormat="1" hidden="1" outlineLevel="1" x14ac:dyDescent="0.25">
      <c r="A124" s="44"/>
      <c r="B124" s="11" t="str">
        <f>CONCATENATE("          ", "9150", " - ", "MISC. INCOME")</f>
        <v xml:space="preserve">          9150 - MISC. INCOME</v>
      </c>
      <c r="C124" s="11"/>
      <c r="D124" s="2">
        <f>--20979.2</f>
        <v>20979.200000000001</v>
      </c>
      <c r="E124" s="2"/>
      <c r="F124" s="19">
        <f t="shared" si="78"/>
        <v>0.21710406490603534</v>
      </c>
      <c r="G124" s="2"/>
      <c r="H124" s="2">
        <f t="shared" ref="H124:H125" si="86">0</f>
        <v>0</v>
      </c>
      <c r="I124" s="2"/>
      <c r="J124" s="19">
        <f t="shared" si="79"/>
        <v>0</v>
      </c>
      <c r="K124" s="2"/>
      <c r="L124" s="2">
        <f t="shared" si="80"/>
        <v>20979.200000000001</v>
      </c>
      <c r="M124" s="2"/>
      <c r="N124" s="19">
        <f t="shared" si="81"/>
        <v>0</v>
      </c>
      <c r="O124" s="11"/>
      <c r="P124" s="2">
        <f>--32323.61</f>
        <v>32323.61</v>
      </c>
      <c r="Q124" s="2"/>
      <c r="R124" s="19">
        <f t="shared" si="82"/>
        <v>5.1586091976666804E-2</v>
      </c>
      <c r="S124" s="2"/>
      <c r="T124" s="2">
        <f>--14396.98</f>
        <v>14396.98</v>
      </c>
      <c r="U124" s="2"/>
      <c r="V124" s="19">
        <f t="shared" si="83"/>
        <v>1.5515198859497131E-2</v>
      </c>
      <c r="W124" s="2"/>
      <c r="X124" s="2">
        <f t="shared" si="84"/>
        <v>17926.63</v>
      </c>
      <c r="Y124" s="2"/>
      <c r="Z124" s="19">
        <f t="shared" si="85"/>
        <v>1.245166000091686</v>
      </c>
    </row>
    <row r="125" spans="1:26" s="24" customFormat="1" hidden="1" outlineLevel="1" x14ac:dyDescent="0.25">
      <c r="A125" s="44"/>
      <c r="B125" s="11" t="str">
        <f>CONCATENATE("          ", "9163", " - ", "MISC. INCOME")</f>
        <v xml:space="preserve">          9163 - MISC. INCOME</v>
      </c>
      <c r="C125" s="11"/>
      <c r="D125" s="2">
        <f>0</f>
        <v>0</v>
      </c>
      <c r="E125" s="2"/>
      <c r="F125" s="19">
        <f t="shared" si="78"/>
        <v>0</v>
      </c>
      <c r="G125" s="2"/>
      <c r="H125" s="2">
        <f t="shared" si="86"/>
        <v>0</v>
      </c>
      <c r="I125" s="2"/>
      <c r="J125" s="19">
        <f t="shared" si="79"/>
        <v>0</v>
      </c>
      <c r="K125" s="2"/>
      <c r="L125" s="2">
        <f t="shared" si="80"/>
        <v>0</v>
      </c>
      <c r="M125" s="2"/>
      <c r="N125" s="19">
        <f t="shared" si="81"/>
        <v>0</v>
      </c>
      <c r="O125" s="11"/>
      <c r="P125" s="2">
        <f>--160663.9</f>
        <v>160663.9</v>
      </c>
      <c r="Q125" s="2"/>
      <c r="R125" s="19">
        <f t="shared" si="82"/>
        <v>0.25640770702065757</v>
      </c>
      <c r="S125" s="2"/>
      <c r="T125" s="2">
        <f>0</f>
        <v>0</v>
      </c>
      <c r="U125" s="2"/>
      <c r="V125" s="19">
        <f t="shared" si="83"/>
        <v>0</v>
      </c>
      <c r="W125" s="2"/>
      <c r="X125" s="2">
        <f t="shared" si="84"/>
        <v>160663.9</v>
      </c>
      <c r="Y125" s="2"/>
      <c r="Z125" s="19">
        <f t="shared" si="85"/>
        <v>0</v>
      </c>
    </row>
    <row r="126" spans="1:26" x14ac:dyDescent="0.25">
      <c r="A126" s="9"/>
      <c r="B126" s="10"/>
      <c r="C126" s="10"/>
      <c r="D126" s="3"/>
      <c r="E126" s="3"/>
      <c r="F126" s="8"/>
      <c r="G126" s="3"/>
      <c r="H126" s="3"/>
      <c r="I126" s="3"/>
      <c r="J126" s="8"/>
      <c r="K126" s="3"/>
      <c r="L126" s="3"/>
      <c r="M126" s="3"/>
      <c r="N126" s="8"/>
      <c r="O126" s="10"/>
      <c r="P126" s="3"/>
      <c r="Q126" s="3"/>
      <c r="R126" s="8"/>
      <c r="S126" s="3"/>
      <c r="T126" s="3"/>
      <c r="U126" s="3"/>
      <c r="V126" s="8"/>
      <c r="W126" s="3"/>
      <c r="X126" s="3"/>
      <c r="Y126" s="3"/>
      <c r="Z126" s="8"/>
    </row>
    <row r="127" spans="1:26" s="23" customFormat="1" x14ac:dyDescent="0.25">
      <c r="A127" s="10"/>
      <c r="B127" s="25" t="s">
        <v>3</v>
      </c>
      <c r="C127" s="25"/>
      <c r="D127" s="20">
        <f>+D75-D77+D123</f>
        <v>11648.599999999966</v>
      </c>
      <c r="E127" s="13"/>
      <c r="F127" s="21">
        <f>IF(D$12=0,0,D127/D$12)</f>
        <v>0.1205459889063661</v>
      </c>
      <c r="G127" s="13"/>
      <c r="H127" s="20">
        <f>+H75-H77+H123</f>
        <v>41821.009999999966</v>
      </c>
      <c r="I127" s="13"/>
      <c r="J127" s="21">
        <f>IF(H$12=0,0,H127/H$12)</f>
        <v>0.18848246704701155</v>
      </c>
      <c r="K127" s="15"/>
      <c r="L127" s="20">
        <f>+D127-H127</f>
        <v>-30172.41</v>
      </c>
      <c r="M127" s="15"/>
      <c r="N127" s="21">
        <f>IF(H127=0,0,L127/H127)</f>
        <v>-0.72146535915799315</v>
      </c>
      <c r="O127" s="26"/>
      <c r="P127" s="20">
        <f>+P75-P77+P123</f>
        <v>235442.04999999993</v>
      </c>
      <c r="Q127" s="13"/>
      <c r="R127" s="21">
        <f>IF(P$12=0,0,P127/P$12)</f>
        <v>0.37574810630604005</v>
      </c>
      <c r="S127" s="13"/>
      <c r="T127" s="20">
        <f>+T75-T77+T123</f>
        <v>281179.42999999982</v>
      </c>
      <c r="U127" s="13"/>
      <c r="V127" s="21">
        <f>IF(T$12=0,0,T127/T$12)</f>
        <v>0.30301874223969544</v>
      </c>
      <c r="W127" s="15"/>
      <c r="X127" s="20">
        <f>+P127-T127</f>
        <v>-45737.379999999888</v>
      </c>
      <c r="Y127" s="15"/>
      <c r="Z127" s="21">
        <f>IF(T127=0,0,X127/T127)</f>
        <v>-0.16266261013474534</v>
      </c>
    </row>
    <row r="128" spans="1:26" x14ac:dyDescent="0.25">
      <c r="A128" s="9"/>
      <c r="B128" s="10"/>
      <c r="C128" s="9"/>
      <c r="D128" s="3"/>
      <c r="E128" s="3"/>
      <c r="F128" s="8"/>
      <c r="G128" s="3"/>
      <c r="H128" s="3"/>
      <c r="I128" s="3"/>
      <c r="J128" s="8"/>
      <c r="K128" s="3"/>
      <c r="L128" s="3"/>
      <c r="M128" s="3"/>
      <c r="N128" s="8"/>
      <c r="P128" s="3"/>
      <c r="Q128" s="3"/>
      <c r="R128" s="8"/>
      <c r="S128" s="3"/>
      <c r="T128" s="3"/>
      <c r="U128" s="3"/>
      <c r="V128" s="8"/>
      <c r="W128" s="3"/>
      <c r="X128" s="3"/>
      <c r="Y128" s="3"/>
      <c r="Z128" s="8"/>
    </row>
    <row r="129" spans="1:26" s="23" customFormat="1" x14ac:dyDescent="0.25">
      <c r="A129" s="51"/>
      <c r="B129" s="10" t="s">
        <v>13</v>
      </c>
      <c r="C129" s="10"/>
      <c r="D129" s="4">
        <v>37555.699999999997</v>
      </c>
      <c r="E129" s="4"/>
      <c r="F129" s="12">
        <f>IF(D$12=0,0,D129/D$12)</f>
        <v>0.38864661809752471</v>
      </c>
      <c r="G129" s="4"/>
      <c r="H129" s="4">
        <v>17568.990000000002</v>
      </c>
      <c r="I129" s="4"/>
      <c r="J129" s="12">
        <f>IF(H$12=0,0,H129/H$12)</f>
        <v>7.9181410939723321E-2</v>
      </c>
      <c r="K129" s="4"/>
      <c r="L129" s="4">
        <f>+D129-H129</f>
        <v>19986.709999999995</v>
      </c>
      <c r="M129" s="4"/>
      <c r="N129" s="12">
        <f>IF(H129=0,0,L129/H129)</f>
        <v>1.1376129191262556</v>
      </c>
      <c r="O129" s="10"/>
      <c r="P129" s="4">
        <v>135734.06999999998</v>
      </c>
      <c r="Q129" s="4"/>
      <c r="R129" s="12">
        <f>IF(P$12=0,0,P129/P$12)</f>
        <v>0.21662154132497355</v>
      </c>
      <c r="S129" s="4"/>
      <c r="T129" s="4">
        <v>93407.549999999988</v>
      </c>
      <c r="U129" s="4"/>
      <c r="V129" s="12">
        <f>IF(T$12=0,0,T129/T$12)</f>
        <v>0.10066254959223539</v>
      </c>
      <c r="W129" s="4"/>
      <c r="X129" s="4">
        <f>+P129-T129</f>
        <v>42326.51999999999</v>
      </c>
      <c r="Y129" s="4"/>
      <c r="Z129" s="12">
        <f>IF(T129=0,0,X129/T129)</f>
        <v>0.45313810286213474</v>
      </c>
    </row>
    <row r="130" spans="1:26" x14ac:dyDescent="0.25">
      <c r="A130" s="9"/>
      <c r="B130" s="10"/>
      <c r="C130" s="10"/>
      <c r="D130" s="3"/>
      <c r="E130" s="3"/>
      <c r="F130" s="8"/>
      <c r="G130" s="3"/>
      <c r="H130" s="3"/>
      <c r="I130" s="3"/>
      <c r="J130" s="8"/>
      <c r="K130" s="3"/>
      <c r="L130" s="3"/>
      <c r="M130" s="3"/>
      <c r="N130" s="8"/>
      <c r="O130" s="10"/>
      <c r="P130" s="3"/>
      <c r="Q130" s="3"/>
      <c r="R130" s="8"/>
      <c r="S130" s="3"/>
      <c r="T130" s="3"/>
      <c r="U130" s="3"/>
      <c r="V130" s="8"/>
      <c r="W130" s="3"/>
      <c r="X130" s="3"/>
      <c r="Y130" s="3"/>
      <c r="Z130" s="8"/>
    </row>
    <row r="131" spans="1:26" s="23" customFormat="1" ht="15.75" thickBot="1" x14ac:dyDescent="0.3">
      <c r="A131" s="10"/>
      <c r="B131" s="25" t="s">
        <v>4</v>
      </c>
      <c r="C131" s="25"/>
      <c r="D131" s="30">
        <f>+D127-D129</f>
        <v>-25907.100000000031</v>
      </c>
      <c r="E131" s="13"/>
      <c r="F131" s="33">
        <f>IF(D$12=0,0,D131/D$12)</f>
        <v>-0.26810062919115862</v>
      </c>
      <c r="G131" s="13"/>
      <c r="H131" s="30">
        <f>+H127-H129</f>
        <v>24252.019999999964</v>
      </c>
      <c r="I131" s="13"/>
      <c r="J131" s="33">
        <f>IF(H$12=0,0,H131/H$12)</f>
        <v>0.10930105610728821</v>
      </c>
      <c r="K131" s="15"/>
      <c r="L131" s="30">
        <f>D131-H131</f>
        <v>-50159.119999999995</v>
      </c>
      <c r="M131" s="15"/>
      <c r="N131" s="33">
        <f>IF(H131=0,0,L131/H131)</f>
        <v>-2.0682450369082686</v>
      </c>
      <c r="O131" s="26"/>
      <c r="P131" s="30">
        <f>+P127-P129</f>
        <v>99707.979999999952</v>
      </c>
      <c r="Q131" s="13"/>
      <c r="R131" s="33">
        <f>IF(P$12=0,0,P131/P$12)</f>
        <v>0.1591265649810665</v>
      </c>
      <c r="S131" s="13"/>
      <c r="T131" s="30">
        <f>+T127-T129</f>
        <v>187771.87999999983</v>
      </c>
      <c r="U131" s="13"/>
      <c r="V131" s="33">
        <f>IF(T$12=0,0,T131/T$12)</f>
        <v>0.20235619264746008</v>
      </c>
      <c r="W131" s="15"/>
      <c r="X131" s="30">
        <f>P131-T131</f>
        <v>-88063.899999999878</v>
      </c>
      <c r="Y131" s="15"/>
      <c r="Z131" s="33">
        <f>IF(T131=0,0,X131/T131)</f>
        <v>-0.46899407941167737</v>
      </c>
    </row>
    <row r="132" spans="1:26" ht="15.75" thickTop="1" x14ac:dyDescent="0.25">
      <c r="A132" s="9"/>
      <c r="B132" s="9"/>
      <c r="C132" s="9"/>
      <c r="D132" s="3"/>
      <c r="E132" s="3"/>
      <c r="F132" s="8"/>
      <c r="G132" s="3"/>
      <c r="H132" s="3"/>
      <c r="I132" s="3"/>
      <c r="J132" s="8"/>
      <c r="K132" s="3"/>
      <c r="L132" s="3"/>
      <c r="M132" s="3"/>
      <c r="N132" s="8"/>
      <c r="P132" s="3"/>
      <c r="Q132" s="3"/>
      <c r="R132" s="8"/>
      <c r="S132" s="3"/>
      <c r="T132" s="3"/>
      <c r="U132" s="3"/>
      <c r="V132" s="8"/>
      <c r="W132" s="3"/>
      <c r="X132" s="3"/>
      <c r="Y132" s="3"/>
      <c r="Z132" s="8"/>
    </row>
    <row r="133" spans="1:26" x14ac:dyDescent="0.25">
      <c r="A133" s="9"/>
      <c r="B133" s="9"/>
      <c r="C133" s="9"/>
      <c r="D133" s="3"/>
      <c r="E133" s="3"/>
      <c r="F133" s="8"/>
      <c r="G133" s="3"/>
      <c r="H133" s="3"/>
      <c r="I133" s="3"/>
      <c r="J133" s="8"/>
      <c r="K133" s="3"/>
      <c r="L133" s="3"/>
      <c r="M133" s="3"/>
      <c r="N133" s="8"/>
      <c r="P133" s="3"/>
      <c r="Q133" s="3"/>
      <c r="R133" s="8"/>
      <c r="S133" s="3"/>
      <c r="T133" s="3"/>
      <c r="U133" s="3"/>
      <c r="V133" s="8"/>
      <c r="W133" s="3"/>
      <c r="X133" s="3"/>
      <c r="Y133" s="3"/>
      <c r="Z133" s="8"/>
    </row>
    <row r="134" spans="1:26" s="23" customFormat="1" ht="15.75" thickBot="1" x14ac:dyDescent="0.3">
      <c r="A134" s="10"/>
      <c r="B134" s="25" t="s">
        <v>5</v>
      </c>
      <c r="C134" s="25"/>
      <c r="D134" s="34">
        <f>SUM(D131:D133)</f>
        <v>-25907.100000000031</v>
      </c>
      <c r="E134" s="13"/>
      <c r="F134" s="35">
        <f>IF(D$12=0,0,D134/D$12)</f>
        <v>-0.26810062919115862</v>
      </c>
      <c r="G134" s="13"/>
      <c r="H134" s="34">
        <f>SUM(H131:H133)</f>
        <v>24252.019999999964</v>
      </c>
      <c r="I134" s="13"/>
      <c r="J134" s="35">
        <f>IF(H$12=0,0,H134/H$12)</f>
        <v>0.10930105610728821</v>
      </c>
      <c r="K134" s="15"/>
      <c r="L134" s="34">
        <f>+D134-H134</f>
        <v>-50159.119999999995</v>
      </c>
      <c r="M134" s="15"/>
      <c r="N134" s="35">
        <f>IF(H134=0,0,L134/H134)</f>
        <v>-2.0682450369082686</v>
      </c>
      <c r="O134" s="26"/>
      <c r="P134" s="34">
        <f>SUM(P131:P133)</f>
        <v>99707.979999999952</v>
      </c>
      <c r="Q134" s="13"/>
      <c r="R134" s="35">
        <f>IF(P$12=0,0,P134/P$12)</f>
        <v>0.1591265649810665</v>
      </c>
      <c r="S134" s="13"/>
      <c r="T134" s="34">
        <f>SUM(T131:T133)</f>
        <v>187771.87999999983</v>
      </c>
      <c r="U134" s="13"/>
      <c r="V134" s="35">
        <f>IF(T$12=0,0,T134/T$12)</f>
        <v>0.20235619264746008</v>
      </c>
      <c r="W134" s="15"/>
      <c r="X134" s="34">
        <f>+P134-T134</f>
        <v>-88063.899999999878</v>
      </c>
      <c r="Y134" s="15"/>
      <c r="Z134" s="35">
        <f>IF(T134=0,0,X134/T134)</f>
        <v>-0.46899407941167737</v>
      </c>
    </row>
    <row r="135" spans="1:26" ht="15.75" thickTop="1" x14ac:dyDescent="0.25">
      <c r="A135" s="9"/>
      <c r="C135" s="9"/>
      <c r="D135" s="18"/>
      <c r="E135" s="18"/>
      <c r="G135" s="18"/>
      <c r="H135" s="18"/>
      <c r="I135" s="18"/>
      <c r="J135" s="43"/>
      <c r="K135" s="18"/>
      <c r="L135" s="18"/>
      <c r="M135" s="18"/>
      <c r="P135" s="18"/>
      <c r="Q135" s="18"/>
      <c r="R135" s="43"/>
      <c r="S135" s="18"/>
      <c r="T135" s="18"/>
      <c r="U135" s="18"/>
      <c r="V135" s="43"/>
      <c r="W135" s="18"/>
      <c r="X135" s="18"/>
    </row>
    <row r="136" spans="1:26" x14ac:dyDescent="0.25">
      <c r="A136" s="9"/>
      <c r="B136" s="56">
        <v>44151.572457905095</v>
      </c>
      <c r="D136" s="18"/>
      <c r="E136" s="18"/>
      <c r="G136" s="18"/>
      <c r="H136" s="18"/>
      <c r="I136" s="18"/>
      <c r="J136" s="43"/>
      <c r="K136" s="18"/>
      <c r="L136" s="18"/>
      <c r="M136" s="18"/>
      <c r="P136" s="18"/>
      <c r="Q136" s="18"/>
      <c r="R136" s="43"/>
      <c r="S136" s="18"/>
      <c r="T136" s="18"/>
      <c r="U136" s="18"/>
      <c r="V136" s="43"/>
      <c r="W136" s="18"/>
      <c r="X136" s="18"/>
    </row>
    <row r="137" spans="1:26" x14ac:dyDescent="0.25">
      <c r="A137" s="9"/>
      <c r="B137" s="62" t="s">
        <v>313</v>
      </c>
      <c r="D137" s="18"/>
      <c r="E137" s="18"/>
      <c r="G137" s="18"/>
      <c r="H137" s="18"/>
      <c r="I137" s="18"/>
      <c r="J137" s="43"/>
      <c r="K137" s="18"/>
      <c r="L137" s="18"/>
      <c r="M137" s="18"/>
      <c r="P137" s="18"/>
      <c r="Q137" s="18"/>
      <c r="R137" s="43"/>
      <c r="S137" s="18"/>
      <c r="T137" s="18"/>
      <c r="U137" s="18"/>
      <c r="V137" s="43"/>
      <c r="W137" s="18"/>
      <c r="X137" s="18"/>
    </row>
    <row r="138" spans="1:26" x14ac:dyDescent="0.25">
      <c r="A138" s="9"/>
      <c r="B138" s="54"/>
      <c r="D138" s="18"/>
      <c r="E138" s="18"/>
      <c r="G138" s="18"/>
      <c r="H138" s="18"/>
      <c r="I138" s="18"/>
      <c r="J138" s="43"/>
      <c r="K138" s="18"/>
      <c r="L138" s="18"/>
      <c r="M138" s="18"/>
      <c r="P138" s="18"/>
      <c r="Q138" s="18"/>
      <c r="R138" s="43"/>
      <c r="S138" s="18"/>
      <c r="T138" s="18"/>
      <c r="U138" s="18"/>
      <c r="V138" s="43"/>
      <c r="W138" s="18"/>
      <c r="X138" s="18"/>
    </row>
    <row r="139" spans="1:26" x14ac:dyDescent="0.25">
      <c r="D139" s="18"/>
      <c r="E139" s="18"/>
      <c r="G139" s="18"/>
      <c r="H139" s="18"/>
      <c r="I139" s="18"/>
      <c r="J139" s="43"/>
      <c r="K139" s="18"/>
      <c r="L139" s="18"/>
      <c r="M139" s="18"/>
      <c r="P139" s="18"/>
      <c r="Q139" s="18"/>
      <c r="R139" s="43"/>
      <c r="S139" s="18"/>
      <c r="T139" s="18"/>
      <c r="U139" s="18"/>
      <c r="V139" s="43"/>
      <c r="W139" s="18"/>
      <c r="X139" s="18"/>
    </row>
  </sheetData>
  <pageMargins left="0.25" right="0.25" top="0.75" bottom="0.75" header="0.3" footer="0.3"/>
  <pageSetup scale="55" fitToWidth="2" orientation="landscape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2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",RIGHT(202104,2),", ",2021)</f>
        <v>Period 04,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44135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","326", " - ", "2nd Street Store")</f>
        <v>Department 326 - 2nd Street Store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61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50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50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2"/>
      <c r="F10" s="31" t="s">
        <v>14</v>
      </c>
      <c r="G10" s="32"/>
      <c r="H10" s="49" t="s">
        <v>306</v>
      </c>
      <c r="I10" s="32"/>
      <c r="J10" s="31" t="s">
        <v>14</v>
      </c>
      <c r="K10" s="10"/>
      <c r="L10" s="42" t="s">
        <v>11</v>
      </c>
      <c r="M10" s="10"/>
      <c r="N10" s="31" t="s">
        <v>15</v>
      </c>
      <c r="O10" s="10"/>
      <c r="P10" s="59" t="s">
        <v>10</v>
      </c>
      <c r="Q10" s="32"/>
      <c r="R10" s="31" t="s">
        <v>14</v>
      </c>
      <c r="S10" s="32"/>
      <c r="T10" s="49" t="s">
        <v>306</v>
      </c>
      <c r="U10" s="32"/>
      <c r="V10" s="31" t="s">
        <v>14</v>
      </c>
      <c r="W10" s="10"/>
      <c r="X10" s="42" t="s">
        <v>11</v>
      </c>
      <c r="Y10" s="10"/>
      <c r="Z10" s="31" t="s">
        <v>15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18777.980000000003</v>
      </c>
      <c r="E12" s="4"/>
      <c r="F12" s="12"/>
      <c r="G12" s="4"/>
      <c r="H12" s="4">
        <f>SUM(OSRRefH13x_0)</f>
        <v>40929.759999999995</v>
      </c>
      <c r="I12" s="4"/>
      <c r="J12" s="12"/>
      <c r="K12" s="4"/>
      <c r="L12" s="4">
        <f t="shared" ref="L12:L36" si="0">+D12-H12</f>
        <v>-22151.779999999992</v>
      </c>
      <c r="M12" s="4"/>
      <c r="N12" s="12">
        <f t="shared" ref="N12:N36" si="1">IF(H12=0,0,L12/H12)</f>
        <v>-0.54121450993115994</v>
      </c>
      <c r="O12" s="10"/>
      <c r="P12" s="4">
        <f>SUM(OSRRefP13x_0)</f>
        <v>88421.860000000015</v>
      </c>
      <c r="Q12" s="4"/>
      <c r="R12" s="12"/>
      <c r="S12" s="4"/>
      <c r="T12" s="4">
        <f>SUM(OSRRefT13x_0)</f>
        <v>194468.44000000003</v>
      </c>
      <c r="U12" s="4"/>
      <c r="V12" s="12"/>
      <c r="W12" s="4"/>
      <c r="X12" s="4">
        <f t="shared" ref="X12:X36" si="2">+P12-T12</f>
        <v>-106046.58000000002</v>
      </c>
      <c r="Y12" s="4"/>
      <c r="Z12" s="12">
        <f t="shared" ref="Z12:Z36" si="3">IF(T12=0,0,X12/T12)</f>
        <v>-0.54531511642711794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-1856.95</f>
        <v>-1856.95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-1856.95</v>
      </c>
      <c r="M13" s="2"/>
      <c r="N13" s="19">
        <f t="shared" si="1"/>
        <v>0</v>
      </c>
      <c r="O13" s="11"/>
      <c r="P13" s="2">
        <f>-2502.95</f>
        <v>-2502.9499999999998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-2502.9499999999998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>--20.8</f>
        <v>20.8</v>
      </c>
      <c r="E14" s="2"/>
      <c r="F14" s="19"/>
      <c r="G14" s="2"/>
      <c r="H14" s="2">
        <f>--16.56</f>
        <v>16.559999999999999</v>
      </c>
      <c r="I14" s="2"/>
      <c r="J14" s="19"/>
      <c r="K14" s="2"/>
      <c r="L14" s="2">
        <f t="shared" si="0"/>
        <v>4.240000000000002</v>
      </c>
      <c r="M14" s="2"/>
      <c r="N14" s="19">
        <f t="shared" si="1"/>
        <v>0.25603864734299531</v>
      </c>
      <c r="O14" s="11"/>
      <c r="P14" s="2">
        <f>--39.33</f>
        <v>39.33</v>
      </c>
      <c r="Q14" s="2"/>
      <c r="R14" s="19"/>
      <c r="S14" s="2"/>
      <c r="T14" s="2">
        <f>--100.28</f>
        <v>100.28</v>
      </c>
      <c r="U14" s="2"/>
      <c r="V14" s="19"/>
      <c r="W14" s="2"/>
      <c r="X14" s="2">
        <f t="shared" si="2"/>
        <v>-60.95</v>
      </c>
      <c r="Y14" s="2"/>
      <c r="Z14" s="19">
        <f t="shared" si="3"/>
        <v>-0.60779816513761475</v>
      </c>
    </row>
    <row r="15" spans="1:26" s="24" customFormat="1" hidden="1" outlineLevel="1" x14ac:dyDescent="0.25">
      <c r="A15" s="44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>--6.34</f>
        <v>6.34</v>
      </c>
      <c r="E15" s="2"/>
      <c r="F15" s="19"/>
      <c r="G15" s="2"/>
      <c r="H15" s="2">
        <f>0</f>
        <v>0</v>
      </c>
      <c r="I15" s="2"/>
      <c r="J15" s="19"/>
      <c r="K15" s="2"/>
      <c r="L15" s="2">
        <f t="shared" si="0"/>
        <v>6.34</v>
      </c>
      <c r="M15" s="2"/>
      <c r="N15" s="19">
        <f t="shared" si="1"/>
        <v>0</v>
      </c>
      <c r="O15" s="11"/>
      <c r="P15" s="2">
        <f>--17.46</f>
        <v>17.46</v>
      </c>
      <c r="Q15" s="2"/>
      <c r="R15" s="19"/>
      <c r="S15" s="2"/>
      <c r="T15" s="2">
        <f>--47.91</f>
        <v>47.91</v>
      </c>
      <c r="U15" s="2"/>
      <c r="V15" s="19"/>
      <c r="W15" s="2"/>
      <c r="X15" s="2">
        <f t="shared" si="2"/>
        <v>-30.449999999999996</v>
      </c>
      <c r="Y15" s="2"/>
      <c r="Z15" s="19">
        <f t="shared" si="3"/>
        <v>-0.63556668753913581</v>
      </c>
    </row>
    <row r="16" spans="1:26" s="24" customFormat="1" hidden="1" outlineLevel="1" x14ac:dyDescent="0.25">
      <c r="A16" s="44"/>
      <c r="B16" s="11" t="str">
        <f>CONCATENATE("          ", "4040", " - ", "TAXABLE SALES-LOGO CLOTHING")</f>
        <v xml:space="preserve">          4040 - TAXABLE SALES-LOGO CLOTHING</v>
      </c>
      <c r="C16" s="11"/>
      <c r="D16" s="2">
        <f>--17665.29</f>
        <v>17665.29</v>
      </c>
      <c r="E16" s="2"/>
      <c r="F16" s="19"/>
      <c r="G16" s="2"/>
      <c r="H16" s="2">
        <f>--35189.92</f>
        <v>35189.919999999998</v>
      </c>
      <c r="I16" s="2"/>
      <c r="J16" s="19"/>
      <c r="K16" s="2"/>
      <c r="L16" s="2">
        <f t="shared" si="0"/>
        <v>-17524.629999999997</v>
      </c>
      <c r="M16" s="2"/>
      <c r="N16" s="19">
        <f t="shared" si="1"/>
        <v>-0.49800141631467187</v>
      </c>
      <c r="O16" s="11"/>
      <c r="P16" s="2">
        <f>--74700.19</f>
        <v>74700.19</v>
      </c>
      <c r="Q16" s="2"/>
      <c r="R16" s="19"/>
      <c r="S16" s="2"/>
      <c r="T16" s="2">
        <f>--163546.37</f>
        <v>163546.37</v>
      </c>
      <c r="U16" s="2"/>
      <c r="V16" s="19"/>
      <c r="W16" s="2"/>
      <c r="X16" s="2">
        <f t="shared" si="2"/>
        <v>-88846.18</v>
      </c>
      <c r="Y16" s="2"/>
      <c r="Z16" s="19">
        <f t="shared" si="3"/>
        <v>-0.54324764285505078</v>
      </c>
    </row>
    <row r="17" spans="1:26" s="24" customFormat="1" hidden="1" outlineLevel="1" x14ac:dyDescent="0.25">
      <c r="A17" s="44"/>
      <c r="B17" s="11" t="str">
        <f>CONCATENATE("          ", "4041", " - ", "TAXABLE SALES-LOGO GIFTS")</f>
        <v xml:space="preserve">          4041 - TAXABLE SALES-LOGO GIFTS</v>
      </c>
      <c r="C17" s="11"/>
      <c r="D17" s="2">
        <f>--2498.25</f>
        <v>2498.25</v>
      </c>
      <c r="E17" s="2"/>
      <c r="F17" s="19"/>
      <c r="G17" s="2"/>
      <c r="H17" s="2">
        <f>--3782</f>
        <v>3782</v>
      </c>
      <c r="I17" s="2"/>
      <c r="J17" s="19"/>
      <c r="K17" s="2"/>
      <c r="L17" s="2">
        <f t="shared" si="0"/>
        <v>-1283.75</v>
      </c>
      <c r="M17" s="2"/>
      <c r="N17" s="19">
        <f t="shared" si="1"/>
        <v>-0.33943680592279218</v>
      </c>
      <c r="O17" s="11"/>
      <c r="P17" s="2">
        <f>--12023.6</f>
        <v>12023.6</v>
      </c>
      <c r="Q17" s="2"/>
      <c r="R17" s="19"/>
      <c r="S17" s="2"/>
      <c r="T17" s="2">
        <f>--21176.69</f>
        <v>21176.69</v>
      </c>
      <c r="U17" s="2"/>
      <c r="V17" s="19"/>
      <c r="W17" s="2"/>
      <c r="X17" s="2">
        <f t="shared" si="2"/>
        <v>-9153.0899999999983</v>
      </c>
      <c r="Y17" s="2"/>
      <c r="Z17" s="19">
        <f t="shared" si="3"/>
        <v>-0.43222477167111567</v>
      </c>
    </row>
    <row r="18" spans="1:26" s="24" customFormat="1" hidden="1" outlineLevel="1" x14ac:dyDescent="0.25">
      <c r="A18" s="44"/>
      <c r="B18" s="11" t="str">
        <f>CONCATENATE("          ", "4042", " - ", "TAXABLE SALES-EVERYDAY GIFTS")</f>
        <v xml:space="preserve">          4042 - TAXABLE SALES-EVERYDAY GIFTS</v>
      </c>
      <c r="C18" s="11"/>
      <c r="D18" s="2">
        <f>--305.46</f>
        <v>305.45999999999998</v>
      </c>
      <c r="E18" s="2"/>
      <c r="F18" s="19"/>
      <c r="G18" s="2"/>
      <c r="H18" s="2">
        <f>--2731.46</f>
        <v>2731.46</v>
      </c>
      <c r="I18" s="2"/>
      <c r="J18" s="19"/>
      <c r="K18" s="2"/>
      <c r="L18" s="2">
        <f t="shared" si="0"/>
        <v>-2426</v>
      </c>
      <c r="M18" s="2"/>
      <c r="N18" s="19">
        <f t="shared" si="1"/>
        <v>-0.88816969679219171</v>
      </c>
      <c r="O18" s="11"/>
      <c r="P18" s="2">
        <f>--4593.02</f>
        <v>4593.0200000000004</v>
      </c>
      <c r="Q18" s="2"/>
      <c r="R18" s="19"/>
      <c r="S18" s="2"/>
      <c r="T18" s="2">
        <f>--14213.96</f>
        <v>14213.96</v>
      </c>
      <c r="U18" s="2"/>
      <c r="V18" s="19"/>
      <c r="W18" s="2"/>
      <c r="X18" s="2">
        <f t="shared" si="2"/>
        <v>-9620.9399999999987</v>
      </c>
      <c r="Y18" s="2"/>
      <c r="Z18" s="19">
        <f t="shared" si="3"/>
        <v>-0.67686556033645795</v>
      </c>
    </row>
    <row r="19" spans="1:26" s="24" customFormat="1" hidden="1" outlineLevel="1" x14ac:dyDescent="0.25">
      <c r="A19" s="44"/>
      <c r="B19" s="11" t="str">
        <f>CONCATENATE("          ", "4043", " - ", "TAXABLE SALES-CARDS")</f>
        <v xml:space="preserve">          4043 - TAXABLE SALES-CARDS</v>
      </c>
      <c r="C19" s="11"/>
      <c r="D19" s="2">
        <f>--189.81</f>
        <v>189.81</v>
      </c>
      <c r="E19" s="2"/>
      <c r="F19" s="19"/>
      <c r="G19" s="2"/>
      <c r="H19" s="2">
        <f>0</f>
        <v>0</v>
      </c>
      <c r="I19" s="2"/>
      <c r="J19" s="19"/>
      <c r="K19" s="2"/>
      <c r="L19" s="2">
        <f t="shared" si="0"/>
        <v>189.81</v>
      </c>
      <c r="M19" s="2"/>
      <c r="N19" s="19">
        <f t="shared" si="1"/>
        <v>0</v>
      </c>
      <c r="O19" s="11"/>
      <c r="P19" s="2">
        <f>--817.22</f>
        <v>817.22</v>
      </c>
      <c r="Q19" s="2"/>
      <c r="R19" s="19"/>
      <c r="S19" s="2"/>
      <c r="T19" s="2">
        <f>0</f>
        <v>0</v>
      </c>
      <c r="U19" s="2"/>
      <c r="V19" s="19"/>
      <c r="W19" s="2"/>
      <c r="X19" s="2">
        <f t="shared" si="2"/>
        <v>817.22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"4044", " - ", "TAXABLE SALES-ACCESSORIES")</f>
        <v xml:space="preserve">          4044 - TAXABLE SALES-ACCESSORIES</v>
      </c>
      <c r="C20" s="11"/>
      <c r="D20" s="2">
        <f>--214.55</f>
        <v>214.55</v>
      </c>
      <c r="E20" s="2"/>
      <c r="F20" s="19"/>
      <c r="G20" s="2"/>
      <c r="H20" s="2">
        <f>--274.45</f>
        <v>274.45</v>
      </c>
      <c r="I20" s="2"/>
      <c r="J20" s="19"/>
      <c r="K20" s="2"/>
      <c r="L20" s="2">
        <f t="shared" si="0"/>
        <v>-59.899999999999977</v>
      </c>
      <c r="M20" s="2"/>
      <c r="N20" s="19">
        <f t="shared" si="1"/>
        <v>-0.21825469120058291</v>
      </c>
      <c r="O20" s="11"/>
      <c r="P20" s="2">
        <f>--997.02</f>
        <v>997.02</v>
      </c>
      <c r="Q20" s="2"/>
      <c r="R20" s="19"/>
      <c r="S20" s="2"/>
      <c r="T20" s="2">
        <f>--1212.95</f>
        <v>1212.95</v>
      </c>
      <c r="U20" s="2"/>
      <c r="V20" s="19"/>
      <c r="W20" s="2"/>
      <c r="X20" s="2">
        <f t="shared" si="2"/>
        <v>-215.93000000000006</v>
      </c>
      <c r="Y20" s="2"/>
      <c r="Z20" s="19">
        <f t="shared" si="3"/>
        <v>-0.17802052846366301</v>
      </c>
    </row>
    <row r="21" spans="1:26" s="24" customFormat="1" hidden="1" outlineLevel="1" x14ac:dyDescent="0.25">
      <c r="A21" s="44"/>
      <c r="B21" s="11" t="str">
        <f>CONCATENATE("          ", "4045", " - ", "TAXABLE SALES-SPECIAL ORDERS")</f>
        <v xml:space="preserve">          4045 - TAXABLE SALES-SPECIAL ORDERS</v>
      </c>
      <c r="C21" s="11"/>
      <c r="D21" s="2">
        <f>--236.62</f>
        <v>236.62</v>
      </c>
      <c r="E21" s="2"/>
      <c r="F21" s="19"/>
      <c r="G21" s="2"/>
      <c r="H21" s="2">
        <f t="shared" ref="H21:H22" si="4">0</f>
        <v>0</v>
      </c>
      <c r="I21" s="2"/>
      <c r="J21" s="19"/>
      <c r="K21" s="2"/>
      <c r="L21" s="2">
        <f t="shared" si="0"/>
        <v>236.62</v>
      </c>
      <c r="M21" s="2"/>
      <c r="N21" s="19">
        <f t="shared" si="1"/>
        <v>0</v>
      </c>
      <c r="O21" s="11"/>
      <c r="P21" s="2">
        <f>--271.52</f>
        <v>271.52</v>
      </c>
      <c r="Q21" s="2"/>
      <c r="R21" s="19"/>
      <c r="S21" s="2"/>
      <c r="T21" s="2">
        <f>--367.76</f>
        <v>367.76</v>
      </c>
      <c r="U21" s="2"/>
      <c r="V21" s="19"/>
      <c r="W21" s="2"/>
      <c r="X21" s="2">
        <f t="shared" si="2"/>
        <v>-96.240000000000009</v>
      </c>
      <c r="Y21" s="2"/>
      <c r="Z21" s="19">
        <f t="shared" si="3"/>
        <v>-0.2616924080922341</v>
      </c>
    </row>
    <row r="22" spans="1:26" s="24" customFormat="1" hidden="1" outlineLevel="1" x14ac:dyDescent="0.25">
      <c r="A22" s="44"/>
      <c r="B22" s="11" t="str">
        <f>CONCATENATE("          ", "4092", " - ", "TAXABLE SALES-GRAD MERCH")</f>
        <v xml:space="preserve">          4092 - TAXABLE SALES-GRAD MERCH</v>
      </c>
      <c r="C22" s="11"/>
      <c r="D22" s="2">
        <f t="shared" ref="D22:D23" si="5">0</f>
        <v>0</v>
      </c>
      <c r="E22" s="2"/>
      <c r="F22" s="19"/>
      <c r="G22" s="2"/>
      <c r="H22" s="2">
        <f t="shared" si="4"/>
        <v>0</v>
      </c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1"/>
      <c r="P22" s="2">
        <f t="shared" ref="P22:P23" si="6">0</f>
        <v>0</v>
      </c>
      <c r="Q22" s="2"/>
      <c r="R22" s="19"/>
      <c r="S22" s="2"/>
      <c r="T22" s="2">
        <f>-39.95</f>
        <v>-39.950000000000003</v>
      </c>
      <c r="U22" s="2"/>
      <c r="V22" s="19"/>
      <c r="W22" s="2"/>
      <c r="X22" s="2">
        <f t="shared" si="2"/>
        <v>39.950000000000003</v>
      </c>
      <c r="Y22" s="2"/>
      <c r="Z22" s="19">
        <f t="shared" si="3"/>
        <v>-1</v>
      </c>
    </row>
    <row r="23" spans="1:26" s="24" customFormat="1" hidden="1" outlineLevel="1" x14ac:dyDescent="0.25">
      <c r="A23" s="44"/>
      <c r="B23" s="11" t="str">
        <f>CONCATENATE("          ", "4095", " - ", "TAXABLE SALES-CUSTOMER SERVICE")</f>
        <v xml:space="preserve">          4095 - TAXABLE SALES-CUSTOMER SERVICE</v>
      </c>
      <c r="C23" s="11"/>
      <c r="D23" s="2">
        <f t="shared" si="5"/>
        <v>0</v>
      </c>
      <c r="E23" s="2"/>
      <c r="F23" s="19"/>
      <c r="G23" s="2"/>
      <c r="H23" s="2">
        <f>--2.97</f>
        <v>2.97</v>
      </c>
      <c r="I23" s="2"/>
      <c r="J23" s="19"/>
      <c r="K23" s="2"/>
      <c r="L23" s="2">
        <f t="shared" si="0"/>
        <v>-2.97</v>
      </c>
      <c r="M23" s="2"/>
      <c r="N23" s="19">
        <f t="shared" si="1"/>
        <v>-1</v>
      </c>
      <c r="O23" s="11"/>
      <c r="P23" s="2">
        <f t="shared" si="6"/>
        <v>0</v>
      </c>
      <c r="Q23" s="2"/>
      <c r="R23" s="19"/>
      <c r="S23" s="2"/>
      <c r="T23" s="2">
        <f>--26.73</f>
        <v>26.73</v>
      </c>
      <c r="U23" s="2"/>
      <c r="V23" s="19"/>
      <c r="W23" s="2"/>
      <c r="X23" s="2">
        <f t="shared" si="2"/>
        <v>-26.73</v>
      </c>
      <c r="Y23" s="2"/>
      <c r="Z23" s="19">
        <f t="shared" si="3"/>
        <v>-1</v>
      </c>
    </row>
    <row r="24" spans="1:26" s="24" customFormat="1" hidden="1" outlineLevel="1" x14ac:dyDescent="0.25">
      <c r="A24" s="44"/>
      <c r="B24" s="11" t="str">
        <f>CONCATENATE("          ", "4131", " - ", "NON-TAXABLE SALES-FOOD")</f>
        <v xml:space="preserve">          4131 - NON-TAXABLE SALES-FOOD</v>
      </c>
      <c r="C24" s="11"/>
      <c r="D24" s="2">
        <f>--7.5</f>
        <v>7.5</v>
      </c>
      <c r="E24" s="2"/>
      <c r="F24" s="19"/>
      <c r="G24" s="2"/>
      <c r="H24" s="2">
        <f>0</f>
        <v>0</v>
      </c>
      <c r="I24" s="2"/>
      <c r="J24" s="19"/>
      <c r="K24" s="2"/>
      <c r="L24" s="2">
        <f t="shared" si="0"/>
        <v>7.5</v>
      </c>
      <c r="M24" s="2"/>
      <c r="N24" s="19">
        <f t="shared" si="1"/>
        <v>0</v>
      </c>
      <c r="O24" s="11"/>
      <c r="P24" s="2">
        <f>--30</f>
        <v>30</v>
      </c>
      <c r="Q24" s="2"/>
      <c r="R24" s="19"/>
      <c r="S24" s="2"/>
      <c r="T24" s="2">
        <f>0</f>
        <v>0</v>
      </c>
      <c r="U24" s="2"/>
      <c r="V24" s="19"/>
      <c r="W24" s="2"/>
      <c r="X24" s="2">
        <f t="shared" si="2"/>
        <v>30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"4137", " - ", "NON-TAXABLE SALES-WATER")</f>
        <v xml:space="preserve">          4137 - NON-TAXABLE SALES-WATER</v>
      </c>
      <c r="C25" s="11"/>
      <c r="D25" s="2">
        <f>0</f>
        <v>0</v>
      </c>
      <c r="E25" s="2"/>
      <c r="F25" s="19"/>
      <c r="G25" s="2"/>
      <c r="H25" s="2">
        <f>--12</f>
        <v>12</v>
      </c>
      <c r="I25" s="2"/>
      <c r="J25" s="19"/>
      <c r="K25" s="2"/>
      <c r="L25" s="2">
        <f t="shared" si="0"/>
        <v>-12</v>
      </c>
      <c r="M25" s="2"/>
      <c r="N25" s="19">
        <f t="shared" si="1"/>
        <v>-1</v>
      </c>
      <c r="O25" s="11"/>
      <c r="P25" s="2">
        <f>--9</f>
        <v>9</v>
      </c>
      <c r="Q25" s="2"/>
      <c r="R25" s="19"/>
      <c r="S25" s="2"/>
      <c r="T25" s="2">
        <f>--85.5</f>
        <v>85.5</v>
      </c>
      <c r="U25" s="2"/>
      <c r="V25" s="19"/>
      <c r="W25" s="2"/>
      <c r="X25" s="2">
        <f t="shared" si="2"/>
        <v>-76.5</v>
      </c>
      <c r="Y25" s="2"/>
      <c r="Z25" s="19">
        <f t="shared" si="3"/>
        <v>-0.89473684210526316</v>
      </c>
    </row>
    <row r="26" spans="1:26" s="24" customFormat="1" hidden="1" outlineLevel="1" x14ac:dyDescent="0.25">
      <c r="A26" s="44"/>
      <c r="B26" s="11" t="str">
        <f>CONCATENATE("          ", "4140", " - ", "NON-TAXABLE SALES-LOGO CLOTHIN")</f>
        <v xml:space="preserve">          4140 - NON-TAXABLE SALES-LOGO CLOTHIN</v>
      </c>
      <c r="C26" s="11"/>
      <c r="D26" s="2">
        <f>--49.9</f>
        <v>49.9</v>
      </c>
      <c r="E26" s="2"/>
      <c r="F26" s="19"/>
      <c r="G26" s="2"/>
      <c r="H26" s="2">
        <f>0</f>
        <v>0</v>
      </c>
      <c r="I26" s="2"/>
      <c r="J26" s="19"/>
      <c r="K26" s="2"/>
      <c r="L26" s="2">
        <f t="shared" si="0"/>
        <v>49.9</v>
      </c>
      <c r="M26" s="2"/>
      <c r="N26" s="19">
        <f t="shared" si="1"/>
        <v>0</v>
      </c>
      <c r="O26" s="11"/>
      <c r="P26" s="2">
        <f>--140.83</f>
        <v>140.83000000000001</v>
      </c>
      <c r="Q26" s="2"/>
      <c r="R26" s="19"/>
      <c r="S26" s="2"/>
      <c r="T26" s="2">
        <f>0</f>
        <v>0</v>
      </c>
      <c r="U26" s="2"/>
      <c r="V26" s="19"/>
      <c r="W26" s="2"/>
      <c r="X26" s="2">
        <f t="shared" si="2"/>
        <v>140.83000000000001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"4142", " - ", "NON-TAXABLE SALES-EVERYDAY GIF")</f>
        <v xml:space="preserve">          4142 - NON-TAXABLE SALES-EVERYDAY GIF</v>
      </c>
      <c r="C27" s="11"/>
      <c r="D27" s="2">
        <f t="shared" ref="D27:D28" si="7">0</f>
        <v>0</v>
      </c>
      <c r="E27" s="2"/>
      <c r="F27" s="19"/>
      <c r="G27" s="2"/>
      <c r="H27" s="2">
        <f>--44.1</f>
        <v>44.1</v>
      </c>
      <c r="I27" s="2"/>
      <c r="J27" s="19"/>
      <c r="K27" s="2"/>
      <c r="L27" s="2">
        <f t="shared" si="0"/>
        <v>-44.1</v>
      </c>
      <c r="M27" s="2"/>
      <c r="N27" s="19">
        <f t="shared" si="1"/>
        <v>-1</v>
      </c>
      <c r="O27" s="11"/>
      <c r="P27" s="2">
        <f>0</f>
        <v>0</v>
      </c>
      <c r="Q27" s="2"/>
      <c r="R27" s="19"/>
      <c r="S27" s="2"/>
      <c r="T27" s="2">
        <f>--157.57</f>
        <v>157.57</v>
      </c>
      <c r="U27" s="2"/>
      <c r="V27" s="19"/>
      <c r="W27" s="2"/>
      <c r="X27" s="2">
        <f t="shared" si="2"/>
        <v>-157.57</v>
      </c>
      <c r="Y27" s="2"/>
      <c r="Z27" s="19">
        <f t="shared" si="3"/>
        <v>-1</v>
      </c>
    </row>
    <row r="28" spans="1:26" s="24" customFormat="1" hidden="1" outlineLevel="1" x14ac:dyDescent="0.25">
      <c r="A28" s="44"/>
      <c r="B28" s="11" t="str">
        <f>CONCATENATE("          ", "4145", " - ", "NON-TAXABLE SALES-SPECIAL ORDE")</f>
        <v xml:space="preserve">          4145 - NON-TAXABLE SALES-SPECIAL ORDE</v>
      </c>
      <c r="C28" s="11"/>
      <c r="D28" s="2">
        <f t="shared" si="7"/>
        <v>0</v>
      </c>
      <c r="E28" s="2"/>
      <c r="F28" s="19"/>
      <c r="G28" s="2"/>
      <c r="H28" s="2">
        <f>0</f>
        <v>0</v>
      </c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--7</f>
        <v>7</v>
      </c>
      <c r="Q28" s="2"/>
      <c r="R28" s="19"/>
      <c r="S28" s="2"/>
      <c r="T28" s="2">
        <f>0</f>
        <v>0</v>
      </c>
      <c r="U28" s="2"/>
      <c r="V28" s="19"/>
      <c r="W28" s="2"/>
      <c r="X28" s="2">
        <f t="shared" si="2"/>
        <v>7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"4226", " - ", "SALES RETURN TAXABLE-WRITING I")</f>
        <v xml:space="preserve">          4226 - SALES RETURN TAXABLE-WRITING I</v>
      </c>
      <c r="C29" s="11"/>
      <c r="D29" s="2">
        <f>-5.36</f>
        <v>-5.36</v>
      </c>
      <c r="E29" s="2"/>
      <c r="F29" s="19"/>
      <c r="G29" s="2"/>
      <c r="H29" s="2">
        <f>-134.8</f>
        <v>-134.80000000000001</v>
      </c>
      <c r="I29" s="2"/>
      <c r="J29" s="19"/>
      <c r="K29" s="2"/>
      <c r="L29" s="2">
        <f t="shared" si="0"/>
        <v>129.44</v>
      </c>
      <c r="M29" s="2"/>
      <c r="N29" s="19">
        <f t="shared" si="1"/>
        <v>-0.96023738872403552</v>
      </c>
      <c r="O29" s="11"/>
      <c r="P29" s="2">
        <f>-27.85</f>
        <v>-27.85</v>
      </c>
      <c r="Q29" s="2"/>
      <c r="R29" s="19"/>
      <c r="S29" s="2"/>
      <c r="T29" s="2">
        <f>-134.8</f>
        <v>-134.80000000000001</v>
      </c>
      <c r="U29" s="2"/>
      <c r="V29" s="19"/>
      <c r="W29" s="2"/>
      <c r="X29" s="2">
        <f t="shared" si="2"/>
        <v>106.95000000000002</v>
      </c>
      <c r="Y29" s="2"/>
      <c r="Z29" s="19">
        <f t="shared" si="3"/>
        <v>-0.79339762611275966</v>
      </c>
    </row>
    <row r="30" spans="1:26" s="24" customFormat="1" hidden="1" outlineLevel="1" x14ac:dyDescent="0.25">
      <c r="A30" s="44"/>
      <c r="B30" s="11" t="str">
        <f>CONCATENATE("          ", "4227", " - ", "SALES RETURN TAXABLE-SCHOOL SU")</f>
        <v xml:space="preserve">          4227 - SALES RETURN TAXABLE-SCHOOL SU</v>
      </c>
      <c r="C30" s="11"/>
      <c r="D30" s="2">
        <f>0</f>
        <v>0</v>
      </c>
      <c r="E30" s="2"/>
      <c r="F30" s="19"/>
      <c r="G30" s="2"/>
      <c r="H30" s="2">
        <f>0</f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-30</f>
        <v>-30</v>
      </c>
      <c r="Q30" s="2"/>
      <c r="R30" s="19"/>
      <c r="S30" s="2"/>
      <c r="T30" s="2">
        <f>0</f>
        <v>0</v>
      </c>
      <c r="U30" s="2"/>
      <c r="V30" s="19"/>
      <c r="W30" s="2"/>
      <c r="X30" s="2">
        <f t="shared" si="2"/>
        <v>-30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"4240", " - ", "SALES RETURN TAXABLE-LOGO CLOT")</f>
        <v xml:space="preserve">          4240 - SALES RETURN TAXABLE-LOGO CLOT</v>
      </c>
      <c r="C31" s="11"/>
      <c r="D31" s="2">
        <f>-517.35</f>
        <v>-517.35</v>
      </c>
      <c r="E31" s="2"/>
      <c r="F31" s="19"/>
      <c r="G31" s="2"/>
      <c r="H31" s="2">
        <f>-882.2</f>
        <v>-882.2</v>
      </c>
      <c r="I31" s="2"/>
      <c r="J31" s="19"/>
      <c r="K31" s="2"/>
      <c r="L31" s="2">
        <f t="shared" si="0"/>
        <v>364.85</v>
      </c>
      <c r="M31" s="2"/>
      <c r="N31" s="19">
        <f t="shared" si="1"/>
        <v>-0.41356835184765361</v>
      </c>
      <c r="O31" s="11"/>
      <c r="P31" s="2">
        <f>-2421.23</f>
        <v>-2421.23</v>
      </c>
      <c r="Q31" s="2"/>
      <c r="R31" s="19"/>
      <c r="S31" s="2"/>
      <c r="T31" s="2">
        <f>-5238.24</f>
        <v>-5238.24</v>
      </c>
      <c r="U31" s="2"/>
      <c r="V31" s="19"/>
      <c r="W31" s="2"/>
      <c r="X31" s="2">
        <f t="shared" si="2"/>
        <v>2817.0099999999998</v>
      </c>
      <c r="Y31" s="2"/>
      <c r="Z31" s="19">
        <f t="shared" si="3"/>
        <v>-0.53777795595467182</v>
      </c>
    </row>
    <row r="32" spans="1:26" s="24" customFormat="1" hidden="1" outlineLevel="1" x14ac:dyDescent="0.25">
      <c r="A32" s="44"/>
      <c r="B32" s="11" t="str">
        <f>CONCATENATE("          ", "4241", " - ", "SALES RETURN TAXABLE-LOGO GIFT")</f>
        <v xml:space="preserve">          4241 - SALES RETURN TAXABLE-LOGO GIFT</v>
      </c>
      <c r="C32" s="11"/>
      <c r="D32" s="2">
        <f>-28.9</f>
        <v>-28.9</v>
      </c>
      <c r="E32" s="2"/>
      <c r="F32" s="19"/>
      <c r="G32" s="2"/>
      <c r="H32" s="2">
        <f>-57.75</f>
        <v>-57.75</v>
      </c>
      <c r="I32" s="2"/>
      <c r="J32" s="19"/>
      <c r="K32" s="2"/>
      <c r="L32" s="2">
        <f t="shared" si="0"/>
        <v>28.85</v>
      </c>
      <c r="M32" s="2"/>
      <c r="N32" s="19">
        <f t="shared" si="1"/>
        <v>-0.4995670995670996</v>
      </c>
      <c r="O32" s="11"/>
      <c r="P32" s="2">
        <f>-123.5</f>
        <v>-123.5</v>
      </c>
      <c r="Q32" s="2"/>
      <c r="R32" s="19"/>
      <c r="S32" s="2"/>
      <c r="T32" s="2">
        <f>-734.25</f>
        <v>-734.25</v>
      </c>
      <c r="U32" s="2"/>
      <c r="V32" s="19"/>
      <c r="W32" s="2"/>
      <c r="X32" s="2">
        <f t="shared" si="2"/>
        <v>610.75</v>
      </c>
      <c r="Y32" s="2"/>
      <c r="Z32" s="19">
        <f t="shared" si="3"/>
        <v>-0.83180115764385432</v>
      </c>
    </row>
    <row r="33" spans="1:26" s="24" customFormat="1" hidden="1" outlineLevel="1" x14ac:dyDescent="0.25">
      <c r="A33" s="44"/>
      <c r="B33" s="11" t="str">
        <f>CONCATENATE("          ", "4242", " - ", "SALES RETURN TAXABLE-EVERYDAY")</f>
        <v xml:space="preserve">          4242 - SALES RETURN TAXABLE-EVERYDAY</v>
      </c>
      <c r="C33" s="11"/>
      <c r="D33" s="2">
        <f>-7.98</f>
        <v>-7.98</v>
      </c>
      <c r="E33" s="2"/>
      <c r="F33" s="19"/>
      <c r="G33" s="2"/>
      <c r="H33" s="2">
        <f>-48.95</f>
        <v>-48.95</v>
      </c>
      <c r="I33" s="2"/>
      <c r="J33" s="19"/>
      <c r="K33" s="2"/>
      <c r="L33" s="2">
        <f t="shared" si="0"/>
        <v>40.97</v>
      </c>
      <c r="M33" s="2"/>
      <c r="N33" s="19">
        <f t="shared" si="1"/>
        <v>-0.83697650663942791</v>
      </c>
      <c r="O33" s="11"/>
      <c r="P33" s="2">
        <f>-111.8</f>
        <v>-111.8</v>
      </c>
      <c r="Q33" s="2"/>
      <c r="R33" s="19"/>
      <c r="S33" s="2"/>
      <c r="T33" s="2">
        <f>-288.09</f>
        <v>-288.08999999999997</v>
      </c>
      <c r="U33" s="2"/>
      <c r="V33" s="19"/>
      <c r="W33" s="2"/>
      <c r="X33" s="2">
        <f t="shared" si="2"/>
        <v>176.28999999999996</v>
      </c>
      <c r="Y33" s="2"/>
      <c r="Z33" s="19">
        <f t="shared" si="3"/>
        <v>-0.61192682842167367</v>
      </c>
    </row>
    <row r="34" spans="1:26" s="24" customFormat="1" hidden="1" outlineLevel="1" x14ac:dyDescent="0.25">
      <c r="A34" s="44"/>
      <c r="B34" s="11" t="str">
        <f>CONCATENATE("          ", "4244", " - ", "SALES RETURN TAXABLE-ACCESSORI")</f>
        <v xml:space="preserve">          4244 - SALES RETURN TAXABLE-ACCESSORI</v>
      </c>
      <c r="C34" s="11"/>
      <c r="D34" s="2">
        <f t="shared" ref="D34:D36" si="8">0</f>
        <v>0</v>
      </c>
      <c r="E34" s="2"/>
      <c r="F34" s="19"/>
      <c r="G34" s="2"/>
      <c r="H34" s="2">
        <f t="shared" ref="H34:H36" si="9">0</f>
        <v>0</v>
      </c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1"/>
      <c r="P34" s="2">
        <f>0</f>
        <v>0</v>
      </c>
      <c r="Q34" s="2"/>
      <c r="R34" s="19"/>
      <c r="S34" s="2"/>
      <c r="T34" s="2">
        <f>-22.95</f>
        <v>-22.95</v>
      </c>
      <c r="U34" s="2"/>
      <c r="V34" s="19"/>
      <c r="W34" s="2"/>
      <c r="X34" s="2">
        <f t="shared" si="2"/>
        <v>22.95</v>
      </c>
      <c r="Y34" s="2"/>
      <c r="Z34" s="19">
        <f t="shared" si="3"/>
        <v>-1</v>
      </c>
    </row>
    <row r="35" spans="1:26" s="24" customFormat="1" hidden="1" outlineLevel="1" x14ac:dyDescent="0.25">
      <c r="A35" s="44"/>
      <c r="B35" s="11" t="str">
        <f>CONCATENATE("          ", "4245", " - ", "SALES RETURN TAXABLE-SPECIAL O")</f>
        <v xml:space="preserve">          4245 - SALES RETURN TAXABLE-SPECIAL O</v>
      </c>
      <c r="C35" s="11"/>
      <c r="D35" s="2">
        <f t="shared" si="8"/>
        <v>0</v>
      </c>
      <c r="E35" s="2"/>
      <c r="F35" s="19"/>
      <c r="G35" s="2"/>
      <c r="H35" s="2">
        <f t="shared" si="9"/>
        <v>0</v>
      </c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1"/>
      <c r="P35" s="2">
        <f>-7</f>
        <v>-7</v>
      </c>
      <c r="Q35" s="2"/>
      <c r="R35" s="19"/>
      <c r="S35" s="2"/>
      <c r="T35" s="2">
        <f>-9.99</f>
        <v>-9.99</v>
      </c>
      <c r="U35" s="2"/>
      <c r="V35" s="19"/>
      <c r="W35" s="2"/>
      <c r="X35" s="2">
        <f t="shared" si="2"/>
        <v>2.99</v>
      </c>
      <c r="Y35" s="2"/>
      <c r="Z35" s="19">
        <f t="shared" si="3"/>
        <v>-0.29929929929929933</v>
      </c>
    </row>
    <row r="36" spans="1:26" s="24" customFormat="1" hidden="1" outlineLevel="1" x14ac:dyDescent="0.25">
      <c r="A36" s="44"/>
      <c r="B36" s="11" t="str">
        <f>CONCATENATE("          ", "4295", " - ", "SALES RETURN TAXABLE-CUSTOMER")</f>
        <v xml:space="preserve">          4295 - SALES RETURN TAXABLE-CUSTOMER</v>
      </c>
      <c r="C36" s="11"/>
      <c r="D36" s="2">
        <f t="shared" si="8"/>
        <v>0</v>
      </c>
      <c r="E36" s="2"/>
      <c r="F36" s="19"/>
      <c r="G36" s="2"/>
      <c r="H36" s="2">
        <f t="shared" si="9"/>
        <v>0</v>
      </c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1"/>
      <c r="P36" s="2">
        <f>0</f>
        <v>0</v>
      </c>
      <c r="Q36" s="2"/>
      <c r="R36" s="19"/>
      <c r="S36" s="2"/>
      <c r="T36" s="2">
        <f>--0.99</f>
        <v>0.99</v>
      </c>
      <c r="U36" s="2"/>
      <c r="V36" s="19"/>
      <c r="W36" s="2"/>
      <c r="X36" s="2">
        <f t="shared" si="2"/>
        <v>-0.99</v>
      </c>
      <c r="Y36" s="2"/>
      <c r="Z36" s="19">
        <f t="shared" si="3"/>
        <v>-1</v>
      </c>
    </row>
    <row r="37" spans="1:26" x14ac:dyDescent="0.25">
      <c r="A37" s="9"/>
      <c r="B37" s="10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3" customFormat="1" collapsed="1" x14ac:dyDescent="0.25">
      <c r="A38" s="10"/>
      <c r="B38" s="26" t="s">
        <v>8</v>
      </c>
      <c r="C38" s="10"/>
      <c r="D38" s="4">
        <f>SUM(OSRRefD16x_0)</f>
        <v>7350</v>
      </c>
      <c r="E38" s="4"/>
      <c r="F38" s="12">
        <f t="shared" ref="F38:F51" si="10">IF(D$12=0,0,D38/D$12)</f>
        <v>0.39141590309500801</v>
      </c>
      <c r="G38" s="4"/>
      <c r="H38" s="4">
        <f>SUM(OSRRefH16x_0)</f>
        <v>17512.269999999993</v>
      </c>
      <c r="I38" s="4"/>
      <c r="J38" s="12">
        <f t="shared" ref="J38:J51" si="11">IF(H$12=0,0,H38/H$12)</f>
        <v>0.42786153644682978</v>
      </c>
      <c r="K38" s="4"/>
      <c r="L38" s="4">
        <f t="shared" ref="L38:L51" si="12">+D38-H38</f>
        <v>-10162.269999999993</v>
      </c>
      <c r="M38" s="4"/>
      <c r="N38" s="12">
        <f t="shared" ref="N38:N51" si="13">IF(H38=0,0,L38/H38)</f>
        <v>-0.58029427367211661</v>
      </c>
      <c r="O38" s="10"/>
      <c r="P38" s="4">
        <f>SUM(OSRRefP16x_0)</f>
        <v>35356</v>
      </c>
      <c r="Q38" s="4"/>
      <c r="R38" s="12">
        <f t="shared" ref="R38:R51" si="14">IF(P$12=0,0,P38/P$12)</f>
        <v>0.39985587274459045</v>
      </c>
      <c r="S38" s="4"/>
      <c r="T38" s="4">
        <f>SUM(OSRRefT16x_0)</f>
        <v>82521.22</v>
      </c>
      <c r="U38" s="4"/>
      <c r="V38" s="12">
        <f t="shared" ref="V38:V51" si="15">IF(T$12=0,0,T38/T$12)</f>
        <v>0.42434247942751013</v>
      </c>
      <c r="W38" s="4"/>
      <c r="X38" s="4">
        <f t="shared" ref="X38:X51" si="16">+P38-T38</f>
        <v>-47165.22</v>
      </c>
      <c r="Y38" s="4"/>
      <c r="Z38" s="12">
        <f t="shared" ref="Z38:Z51" si="17">IF(T38=0,0,X38/T38)</f>
        <v>-0.57155262610029278</v>
      </c>
    </row>
    <row r="39" spans="1:26" s="24" customFormat="1" hidden="1" outlineLevel="1" x14ac:dyDescent="0.25">
      <c r="A39" s="44"/>
      <c r="B39" s="11" t="str">
        <f>CONCATENATE("          ", "5026", " - ", "PURCHASES @ COST-WRITING INSTR")</f>
        <v xml:space="preserve">          5026 - PURCHASES @ COST-WRITING INSTR</v>
      </c>
      <c r="C39" s="11"/>
      <c r="D39" s="2"/>
      <c r="E39" s="2"/>
      <c r="F39" s="19">
        <f t="shared" si="10"/>
        <v>0</v>
      </c>
      <c r="G39" s="2"/>
      <c r="H39" s="2">
        <v>28.56</v>
      </c>
      <c r="I39" s="2"/>
      <c r="J39" s="19">
        <f t="shared" si="11"/>
        <v>6.9778078346904556E-4</v>
      </c>
      <c r="K39" s="2"/>
      <c r="L39" s="2">
        <f t="shared" si="12"/>
        <v>-28.56</v>
      </c>
      <c r="M39" s="2"/>
      <c r="N39" s="19">
        <f t="shared" si="13"/>
        <v>-1</v>
      </c>
      <c r="O39" s="11"/>
      <c r="P39" s="2"/>
      <c r="Q39" s="2"/>
      <c r="R39" s="19">
        <f t="shared" si="14"/>
        <v>0</v>
      </c>
      <c r="S39" s="2"/>
      <c r="T39" s="2">
        <v>-36.369999999999997</v>
      </c>
      <c r="U39" s="2"/>
      <c r="V39" s="19">
        <f t="shared" si="15"/>
        <v>-1.8702263462390089E-4</v>
      </c>
      <c r="W39" s="2"/>
      <c r="X39" s="2">
        <f t="shared" si="16"/>
        <v>36.369999999999997</v>
      </c>
      <c r="Y39" s="2"/>
      <c r="Z39" s="19">
        <f t="shared" si="17"/>
        <v>-1</v>
      </c>
    </row>
    <row r="40" spans="1:26" s="24" customFormat="1" hidden="1" outlineLevel="1" x14ac:dyDescent="0.25">
      <c r="A40" s="44"/>
      <c r="B40" s="11" t="str">
        <f>CONCATENATE("          ", "5027", " - ", "PURCHASES @ COST-SCHOOL SUPPLI")</f>
        <v xml:space="preserve">          5027 - PURCHASES @ COST-SCHOOL SUPPLI</v>
      </c>
      <c r="C40" s="11"/>
      <c r="D40" s="2"/>
      <c r="E40" s="2"/>
      <c r="F40" s="19">
        <f t="shared" si="10"/>
        <v>0</v>
      </c>
      <c r="G40" s="2"/>
      <c r="H40" s="2">
        <v>18.54</v>
      </c>
      <c r="I40" s="2"/>
      <c r="J40" s="19">
        <f t="shared" si="11"/>
        <v>4.5297113884860312E-4</v>
      </c>
      <c r="K40" s="2"/>
      <c r="L40" s="2">
        <f t="shared" si="12"/>
        <v>-18.54</v>
      </c>
      <c r="M40" s="2"/>
      <c r="N40" s="19">
        <f t="shared" si="13"/>
        <v>-1</v>
      </c>
      <c r="O40" s="11"/>
      <c r="P40" s="2"/>
      <c r="Q40" s="2"/>
      <c r="R40" s="19">
        <f t="shared" si="14"/>
        <v>0</v>
      </c>
      <c r="S40" s="2"/>
      <c r="T40" s="2">
        <v>47</v>
      </c>
      <c r="U40" s="2"/>
      <c r="V40" s="19">
        <f t="shared" si="15"/>
        <v>2.4168446047080953E-4</v>
      </c>
      <c r="W40" s="2"/>
      <c r="X40" s="2">
        <f t="shared" si="16"/>
        <v>-47</v>
      </c>
      <c r="Y40" s="2"/>
      <c r="Z40" s="19">
        <f t="shared" si="17"/>
        <v>-1</v>
      </c>
    </row>
    <row r="41" spans="1:26" s="24" customFormat="1" hidden="1" outlineLevel="1" x14ac:dyDescent="0.25">
      <c r="A41" s="44"/>
      <c r="B41" s="11" t="str">
        <f>CONCATENATE("          ", "5037", " - ", "PURCHASES @ COST-WATER")</f>
        <v xml:space="preserve">          5037 - PURCHASES @ COST-WATER</v>
      </c>
      <c r="C41" s="11"/>
      <c r="D41" s="2"/>
      <c r="E41" s="2"/>
      <c r="F41" s="19">
        <f t="shared" si="10"/>
        <v>0</v>
      </c>
      <c r="G41" s="2"/>
      <c r="H41" s="2"/>
      <c r="I41" s="2"/>
      <c r="J41" s="19">
        <f t="shared" si="11"/>
        <v>0</v>
      </c>
      <c r="K41" s="2"/>
      <c r="L41" s="2">
        <f t="shared" si="12"/>
        <v>0</v>
      </c>
      <c r="M41" s="2"/>
      <c r="N41" s="19">
        <f t="shared" si="13"/>
        <v>0</v>
      </c>
      <c r="O41" s="11"/>
      <c r="P41" s="2"/>
      <c r="Q41" s="2"/>
      <c r="R41" s="19">
        <f t="shared" si="14"/>
        <v>0</v>
      </c>
      <c r="S41" s="2"/>
      <c r="T41" s="2">
        <v>29.76</v>
      </c>
      <c r="U41" s="2"/>
      <c r="V41" s="19">
        <f t="shared" si="15"/>
        <v>1.5303254348109132E-4</v>
      </c>
      <c r="W41" s="2"/>
      <c r="X41" s="2">
        <f t="shared" si="16"/>
        <v>-29.76</v>
      </c>
      <c r="Y41" s="2"/>
      <c r="Z41" s="19">
        <f t="shared" si="17"/>
        <v>-1</v>
      </c>
    </row>
    <row r="42" spans="1:26" s="24" customFormat="1" hidden="1" outlineLevel="1" x14ac:dyDescent="0.25">
      <c r="A42" s="44"/>
      <c r="B42" s="11" t="str">
        <f>CONCATENATE("          ", "5040", " - ", "PURCHASES @ COST-LOGO CLOTHING")</f>
        <v xml:space="preserve">          5040 - PURCHASES @ COST-LOGO CLOTHING</v>
      </c>
      <c r="C42" s="11"/>
      <c r="D42" s="2"/>
      <c r="E42" s="2"/>
      <c r="F42" s="19">
        <f t="shared" si="10"/>
        <v>0</v>
      </c>
      <c r="G42" s="2"/>
      <c r="H42" s="2">
        <v>16353.169999999998</v>
      </c>
      <c r="I42" s="2"/>
      <c r="J42" s="19">
        <f t="shared" si="11"/>
        <v>0.39954228903370065</v>
      </c>
      <c r="K42" s="2"/>
      <c r="L42" s="2">
        <f t="shared" si="12"/>
        <v>-16353.169999999998</v>
      </c>
      <c r="M42" s="2"/>
      <c r="N42" s="19">
        <f t="shared" si="13"/>
        <v>-1</v>
      </c>
      <c r="O42" s="11"/>
      <c r="P42" s="2"/>
      <c r="Q42" s="2"/>
      <c r="R42" s="19">
        <f t="shared" si="14"/>
        <v>0</v>
      </c>
      <c r="S42" s="2"/>
      <c r="T42" s="2">
        <v>100775.53</v>
      </c>
      <c r="U42" s="2"/>
      <c r="V42" s="19">
        <f t="shared" si="15"/>
        <v>0.5182102041853166</v>
      </c>
      <c r="W42" s="2"/>
      <c r="X42" s="2">
        <f t="shared" si="16"/>
        <v>-100775.53</v>
      </c>
      <c r="Y42" s="2"/>
      <c r="Z42" s="19">
        <f t="shared" si="17"/>
        <v>-1</v>
      </c>
    </row>
    <row r="43" spans="1:26" s="24" customFormat="1" hidden="1" outlineLevel="1" x14ac:dyDescent="0.25">
      <c r="A43" s="44"/>
      <c r="B43" s="11" t="str">
        <f>CONCATENATE("          ", "5041", " - ", "PURCHASES @ COST-LOGO GIFTS")</f>
        <v xml:space="preserve">          5041 - PURCHASES @ COST-LOGO GIFTS</v>
      </c>
      <c r="C43" s="11"/>
      <c r="D43" s="2">
        <v>207.6</v>
      </c>
      <c r="E43" s="2"/>
      <c r="F43" s="19">
        <f t="shared" si="10"/>
        <v>1.1055502242520226E-2</v>
      </c>
      <c r="G43" s="2"/>
      <c r="H43" s="2">
        <v>669.89</v>
      </c>
      <c r="I43" s="2"/>
      <c r="J43" s="19">
        <f t="shared" si="11"/>
        <v>1.6366819644190438E-2</v>
      </c>
      <c r="K43" s="2"/>
      <c r="L43" s="2">
        <f t="shared" si="12"/>
        <v>-462.28999999999996</v>
      </c>
      <c r="M43" s="2"/>
      <c r="N43" s="19">
        <f t="shared" si="13"/>
        <v>-0.69009837435996946</v>
      </c>
      <c r="O43" s="11"/>
      <c r="P43" s="2">
        <v>207.6</v>
      </c>
      <c r="Q43" s="2"/>
      <c r="R43" s="19">
        <f t="shared" si="14"/>
        <v>2.347835704881123E-3</v>
      </c>
      <c r="S43" s="2"/>
      <c r="T43" s="2">
        <v>12054.64</v>
      </c>
      <c r="U43" s="2"/>
      <c r="V43" s="19">
        <f t="shared" si="15"/>
        <v>6.1987641799358277E-2</v>
      </c>
      <c r="W43" s="2"/>
      <c r="X43" s="2">
        <f t="shared" si="16"/>
        <v>-11847.039999999999</v>
      </c>
      <c r="Y43" s="2"/>
      <c r="Z43" s="19">
        <f t="shared" si="17"/>
        <v>-0.98277841561423651</v>
      </c>
    </row>
    <row r="44" spans="1:26" s="24" customFormat="1" hidden="1" outlineLevel="1" x14ac:dyDescent="0.25">
      <c r="A44" s="44"/>
      <c r="B44" s="11" t="str">
        <f>CONCATENATE("          ", "5042", " - ", "PURCHASES @ COST-EVERYDAY GIFT")</f>
        <v xml:space="preserve">          5042 - PURCHASES @ COST-EVERYDAY GIFT</v>
      </c>
      <c r="C44" s="11"/>
      <c r="D44" s="2">
        <v>7946.04</v>
      </c>
      <c r="E44" s="2"/>
      <c r="F44" s="19">
        <f t="shared" si="10"/>
        <v>0.42315733641211667</v>
      </c>
      <c r="G44" s="2"/>
      <c r="H44" s="2">
        <v>1805.37</v>
      </c>
      <c r="I44" s="2"/>
      <c r="J44" s="19">
        <f t="shared" si="11"/>
        <v>4.4108980849142533E-2</v>
      </c>
      <c r="K44" s="2"/>
      <c r="L44" s="2">
        <f t="shared" si="12"/>
        <v>6140.67</v>
      </c>
      <c r="M44" s="2"/>
      <c r="N44" s="19">
        <f t="shared" si="13"/>
        <v>3.4013360142242313</v>
      </c>
      <c r="O44" s="11"/>
      <c r="P44" s="2">
        <v>7946.04</v>
      </c>
      <c r="Q44" s="2"/>
      <c r="R44" s="19">
        <f t="shared" si="14"/>
        <v>8.9865108017406534E-2</v>
      </c>
      <c r="S44" s="2"/>
      <c r="T44" s="2">
        <v>9440.5400000000009</v>
      </c>
      <c r="U44" s="2"/>
      <c r="V44" s="19">
        <f t="shared" si="15"/>
        <v>4.854535779687439E-2</v>
      </c>
      <c r="W44" s="2"/>
      <c r="X44" s="2">
        <f t="shared" si="16"/>
        <v>-1494.5000000000009</v>
      </c>
      <c r="Y44" s="2"/>
      <c r="Z44" s="19">
        <f t="shared" si="17"/>
        <v>-0.15830662229067413</v>
      </c>
    </row>
    <row r="45" spans="1:26" s="24" customFormat="1" hidden="1" outlineLevel="1" x14ac:dyDescent="0.25">
      <c r="A45" s="44"/>
      <c r="B45" s="11" t="str">
        <f>CONCATENATE("          ", "5044", " - ", "PURCHASES @ COST-ACCESSORIES")</f>
        <v xml:space="preserve">          5044 - PURCHASES @ COST-ACCESSORIES</v>
      </c>
      <c r="C45" s="11"/>
      <c r="D45" s="2"/>
      <c r="E45" s="2"/>
      <c r="F45" s="19">
        <f t="shared" si="10"/>
        <v>0</v>
      </c>
      <c r="G45" s="2"/>
      <c r="H45" s="2">
        <v>605.14</v>
      </c>
      <c r="I45" s="2"/>
      <c r="J45" s="19">
        <f t="shared" si="11"/>
        <v>1.4784841152256941E-2</v>
      </c>
      <c r="K45" s="2"/>
      <c r="L45" s="2">
        <f t="shared" si="12"/>
        <v>-605.14</v>
      </c>
      <c r="M45" s="2"/>
      <c r="N45" s="19">
        <f t="shared" si="13"/>
        <v>-1</v>
      </c>
      <c r="O45" s="11"/>
      <c r="P45" s="2"/>
      <c r="Q45" s="2"/>
      <c r="R45" s="19">
        <f t="shared" si="14"/>
        <v>0</v>
      </c>
      <c r="S45" s="2"/>
      <c r="T45" s="2">
        <v>2352.5700000000002</v>
      </c>
      <c r="U45" s="2"/>
      <c r="V45" s="19">
        <f t="shared" si="15"/>
        <v>1.2097438535527923E-2</v>
      </c>
      <c r="W45" s="2"/>
      <c r="X45" s="2">
        <f t="shared" si="16"/>
        <v>-2352.5700000000002</v>
      </c>
      <c r="Y45" s="2"/>
      <c r="Z45" s="19">
        <f t="shared" si="17"/>
        <v>-1</v>
      </c>
    </row>
    <row r="46" spans="1:26" s="24" customFormat="1" hidden="1" outlineLevel="1" x14ac:dyDescent="0.25">
      <c r="A46" s="44"/>
      <c r="B46" s="11" t="str">
        <f>CONCATENATE("          ", "5045", " - ", "PURCHASES @ COST-SPECIAL ORDER")</f>
        <v xml:space="preserve">          5045 - PURCHASES @ COST-SPECIAL ORDER</v>
      </c>
      <c r="C46" s="11"/>
      <c r="D46" s="2"/>
      <c r="E46" s="2"/>
      <c r="F46" s="19">
        <f t="shared" si="10"/>
        <v>0</v>
      </c>
      <c r="G46" s="2"/>
      <c r="H46" s="2"/>
      <c r="I46" s="2"/>
      <c r="J46" s="19">
        <f t="shared" si="11"/>
        <v>0</v>
      </c>
      <c r="K46" s="2"/>
      <c r="L46" s="2">
        <f t="shared" si="12"/>
        <v>0</v>
      </c>
      <c r="M46" s="2"/>
      <c r="N46" s="19">
        <f t="shared" si="13"/>
        <v>0</v>
      </c>
      <c r="O46" s="11"/>
      <c r="P46" s="2"/>
      <c r="Q46" s="2"/>
      <c r="R46" s="19">
        <f t="shared" si="14"/>
        <v>0</v>
      </c>
      <c r="S46" s="2"/>
      <c r="T46" s="2">
        <v>-968.2</v>
      </c>
      <c r="U46" s="2"/>
      <c r="V46" s="19">
        <f t="shared" si="15"/>
        <v>-4.9786998856986764E-3</v>
      </c>
      <c r="W46" s="2"/>
      <c r="X46" s="2">
        <f t="shared" si="16"/>
        <v>968.2</v>
      </c>
      <c r="Y46" s="2"/>
      <c r="Z46" s="19">
        <f t="shared" si="17"/>
        <v>-1</v>
      </c>
    </row>
    <row r="47" spans="1:26" s="24" customFormat="1" hidden="1" outlineLevel="1" x14ac:dyDescent="0.25">
      <c r="A47" s="44"/>
      <c r="B47" s="11" t="str">
        <f>CONCATENATE("          ", "5083", " - ", "PURCHASES @ COST-COMPUTER EQUI")</f>
        <v xml:space="preserve">          5083 - PURCHASES @ COST-COMPUTER EQUI</v>
      </c>
      <c r="C47" s="11"/>
      <c r="D47" s="2"/>
      <c r="E47" s="2"/>
      <c r="F47" s="19">
        <f t="shared" si="10"/>
        <v>0</v>
      </c>
      <c r="G47" s="2"/>
      <c r="H47" s="2"/>
      <c r="I47" s="2"/>
      <c r="J47" s="19">
        <f t="shared" si="11"/>
        <v>0</v>
      </c>
      <c r="K47" s="2"/>
      <c r="L47" s="2">
        <f t="shared" si="12"/>
        <v>0</v>
      </c>
      <c r="M47" s="2"/>
      <c r="N47" s="19">
        <f t="shared" si="13"/>
        <v>0</v>
      </c>
      <c r="O47" s="11"/>
      <c r="P47" s="2"/>
      <c r="Q47" s="2"/>
      <c r="R47" s="19">
        <f t="shared" si="14"/>
        <v>0</v>
      </c>
      <c r="S47" s="2"/>
      <c r="T47" s="2">
        <v>39.950000000000003</v>
      </c>
      <c r="U47" s="2"/>
      <c r="V47" s="19">
        <f t="shared" si="15"/>
        <v>2.0543179140018809E-4</v>
      </c>
      <c r="W47" s="2"/>
      <c r="X47" s="2">
        <f t="shared" si="16"/>
        <v>-39.950000000000003</v>
      </c>
      <c r="Y47" s="2"/>
      <c r="Z47" s="19">
        <f t="shared" si="17"/>
        <v>-1</v>
      </c>
    </row>
    <row r="48" spans="1:26" s="24" customFormat="1" hidden="1" outlineLevel="1" x14ac:dyDescent="0.25">
      <c r="A48" s="44"/>
      <c r="B48" s="11" t="str">
        <f>CONCATENATE("          ", "5092", " - ", "PURCHASES @ COST-GRAD MERCH")</f>
        <v xml:space="preserve">          5092 - PURCHASES @ COST-GRAD MERCH</v>
      </c>
      <c r="C48" s="11"/>
      <c r="D48" s="2"/>
      <c r="E48" s="2"/>
      <c r="F48" s="19">
        <f t="shared" si="10"/>
        <v>0</v>
      </c>
      <c r="G48" s="2"/>
      <c r="H48" s="2">
        <v>-47.4</v>
      </c>
      <c r="I48" s="2"/>
      <c r="J48" s="19">
        <f t="shared" si="11"/>
        <v>-1.158081552396105E-3</v>
      </c>
      <c r="K48" s="2"/>
      <c r="L48" s="2">
        <f t="shared" si="12"/>
        <v>47.4</v>
      </c>
      <c r="M48" s="2"/>
      <c r="N48" s="19">
        <f t="shared" si="13"/>
        <v>-1</v>
      </c>
      <c r="O48" s="11"/>
      <c r="P48" s="2"/>
      <c r="Q48" s="2"/>
      <c r="R48" s="19">
        <f t="shared" si="14"/>
        <v>0</v>
      </c>
      <c r="S48" s="2"/>
      <c r="T48" s="2">
        <v>-60.35</v>
      </c>
      <c r="U48" s="2"/>
      <c r="V48" s="19">
        <f t="shared" si="15"/>
        <v>-3.1033313168964583E-4</v>
      </c>
      <c r="W48" s="2"/>
      <c r="X48" s="2">
        <f t="shared" si="16"/>
        <v>60.35</v>
      </c>
      <c r="Y48" s="2"/>
      <c r="Z48" s="19">
        <f t="shared" si="17"/>
        <v>-1</v>
      </c>
    </row>
    <row r="49" spans="1:26" s="24" customFormat="1" hidden="1" outlineLevel="1" x14ac:dyDescent="0.25">
      <c r="A49" s="44"/>
      <c r="B49" s="11" t="str">
        <f>CONCATENATE("          ", "5095", " - ", "PURCHASES @ COST-CUSTOMER SERV")</f>
        <v xml:space="preserve">          5095 - PURCHASES @ COST-CUSTOMER SERV</v>
      </c>
      <c r="C49" s="11"/>
      <c r="D49" s="2"/>
      <c r="E49" s="2"/>
      <c r="F49" s="19">
        <f t="shared" si="10"/>
        <v>0</v>
      </c>
      <c r="G49" s="2"/>
      <c r="H49" s="2"/>
      <c r="I49" s="2"/>
      <c r="J49" s="19">
        <f t="shared" si="11"/>
        <v>0</v>
      </c>
      <c r="K49" s="2"/>
      <c r="L49" s="2">
        <f t="shared" si="12"/>
        <v>0</v>
      </c>
      <c r="M49" s="2"/>
      <c r="N49" s="19">
        <f t="shared" si="13"/>
        <v>0</v>
      </c>
      <c r="O49" s="11"/>
      <c r="P49" s="2"/>
      <c r="Q49" s="2"/>
      <c r="R49" s="19">
        <f t="shared" si="14"/>
        <v>0</v>
      </c>
      <c r="S49" s="2"/>
      <c r="T49" s="2">
        <v>-11.85</v>
      </c>
      <c r="U49" s="2"/>
      <c r="V49" s="19">
        <f t="shared" si="15"/>
        <v>-6.0935337374023248E-5</v>
      </c>
      <c r="W49" s="2"/>
      <c r="X49" s="2">
        <f t="shared" si="16"/>
        <v>11.85</v>
      </c>
      <c r="Y49" s="2"/>
      <c r="Z49" s="19">
        <f t="shared" si="17"/>
        <v>-1</v>
      </c>
    </row>
    <row r="50" spans="1:26" s="24" customFormat="1" hidden="1" outlineLevel="1" x14ac:dyDescent="0.25">
      <c r="A50" s="44"/>
      <c r="B50" s="11" t="str">
        <f>CONCATENATE("          ", "5200", " - ", "PURCHASES OFFSET")</f>
        <v xml:space="preserve">          5200 - PURCHASES OFFSET</v>
      </c>
      <c r="C50" s="11"/>
      <c r="D50" s="2">
        <v>-8153.64</v>
      </c>
      <c r="E50" s="2"/>
      <c r="F50" s="19">
        <f t="shared" si="10"/>
        <v>-0.43421283865463689</v>
      </c>
      <c r="G50" s="2"/>
      <c r="H50" s="2">
        <v>-19434</v>
      </c>
      <c r="I50" s="2"/>
      <c r="J50" s="19">
        <f t="shared" si="11"/>
        <v>-0.4748134364824031</v>
      </c>
      <c r="K50" s="2"/>
      <c r="L50" s="2">
        <f t="shared" si="12"/>
        <v>11280.36</v>
      </c>
      <c r="M50" s="2"/>
      <c r="N50" s="19">
        <f t="shared" si="13"/>
        <v>-0.58044458166100654</v>
      </c>
      <c r="O50" s="11"/>
      <c r="P50" s="2">
        <v>-8153.64</v>
      </c>
      <c r="Q50" s="2"/>
      <c r="R50" s="19">
        <f t="shared" si="14"/>
        <v>-9.2212943722287666E-2</v>
      </c>
      <c r="S50" s="2"/>
      <c r="T50" s="2">
        <v>-123664</v>
      </c>
      <c r="U50" s="2"/>
      <c r="V50" s="19">
        <f t="shared" si="15"/>
        <v>-0.63590781105664229</v>
      </c>
      <c r="W50" s="2"/>
      <c r="X50" s="2">
        <f t="shared" si="16"/>
        <v>115510.36</v>
      </c>
      <c r="Y50" s="2"/>
      <c r="Z50" s="19">
        <f t="shared" si="17"/>
        <v>-0.93406617932462155</v>
      </c>
    </row>
    <row r="51" spans="1:26" s="24" customFormat="1" hidden="1" outlineLevel="1" x14ac:dyDescent="0.25">
      <c r="A51" s="44"/>
      <c r="B51" s="11" t="str">
        <f>CONCATENATE("          ", "5300", " - ", "COG$ OFFSET")</f>
        <v xml:space="preserve">          5300 - COG$ OFFSET</v>
      </c>
      <c r="C51" s="11"/>
      <c r="D51" s="2">
        <v>7350</v>
      </c>
      <c r="E51" s="2"/>
      <c r="F51" s="19">
        <f t="shared" si="10"/>
        <v>0.39141590309500801</v>
      </c>
      <c r="G51" s="2"/>
      <c r="H51" s="2">
        <v>17513</v>
      </c>
      <c r="I51" s="2"/>
      <c r="J51" s="19">
        <f t="shared" si="11"/>
        <v>0.42787937188002084</v>
      </c>
      <c r="K51" s="2"/>
      <c r="L51" s="2">
        <f t="shared" si="12"/>
        <v>-10163</v>
      </c>
      <c r="M51" s="2"/>
      <c r="N51" s="19">
        <f t="shared" si="13"/>
        <v>-0.58031176840061671</v>
      </c>
      <c r="O51" s="11"/>
      <c r="P51" s="2">
        <v>35356</v>
      </c>
      <c r="Q51" s="2"/>
      <c r="R51" s="19">
        <f t="shared" si="14"/>
        <v>0.39985587274459045</v>
      </c>
      <c r="S51" s="2"/>
      <c r="T51" s="2">
        <v>82522</v>
      </c>
      <c r="U51" s="2"/>
      <c r="V51" s="19">
        <f t="shared" si="15"/>
        <v>0.42434649036110944</v>
      </c>
      <c r="W51" s="2"/>
      <c r="X51" s="2">
        <f t="shared" si="16"/>
        <v>-47166</v>
      </c>
      <c r="Y51" s="2"/>
      <c r="Z51" s="19">
        <f t="shared" si="17"/>
        <v>-0.57155667579554548</v>
      </c>
    </row>
    <row r="52" spans="1:26" x14ac:dyDescent="0.25">
      <c r="A52" s="9"/>
      <c r="B52" s="10"/>
      <c r="C52" s="10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O52" s="10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x14ac:dyDescent="0.25">
      <c r="A53" s="10"/>
      <c r="B53" s="25" t="s">
        <v>6</v>
      </c>
      <c r="C53" s="25"/>
      <c r="D53" s="20">
        <f>D12-D38</f>
        <v>11427.980000000003</v>
      </c>
      <c r="E53" s="13"/>
      <c r="F53" s="21">
        <f>IF(D$12=0,0,D53/D$12)</f>
        <v>0.60858409690499193</v>
      </c>
      <c r="G53" s="13"/>
      <c r="H53" s="20">
        <f>H12-H38</f>
        <v>23417.49</v>
      </c>
      <c r="I53" s="13"/>
      <c r="J53" s="21">
        <f>IF(H$12=0,0,H53/H$12)</f>
        <v>0.57213846355317022</v>
      </c>
      <c r="K53" s="15"/>
      <c r="L53" s="20">
        <f>+D53-H53</f>
        <v>-11989.509999999998</v>
      </c>
      <c r="M53" s="15"/>
      <c r="N53" s="21">
        <f>IF(H53=0,0,L53/H53)</f>
        <v>-0.51198954285877762</v>
      </c>
      <c r="O53" s="26"/>
      <c r="P53" s="20">
        <f>P12-P38</f>
        <v>53065.860000000015</v>
      </c>
      <c r="Q53" s="13"/>
      <c r="R53" s="21">
        <f>IF(P$12=0,0,P53/P$12)</f>
        <v>0.60014412725540955</v>
      </c>
      <c r="S53" s="13"/>
      <c r="T53" s="20">
        <f>T12-T38</f>
        <v>111947.22000000003</v>
      </c>
      <c r="U53" s="13"/>
      <c r="V53" s="21">
        <f>IF(T$12=0,0,T53/T$12)</f>
        <v>0.57565752057248987</v>
      </c>
      <c r="W53" s="15"/>
      <c r="X53" s="20">
        <f>+P53-T53</f>
        <v>-58881.360000000015</v>
      </c>
      <c r="Y53" s="15"/>
      <c r="Z53" s="21">
        <f>IF(T53=0,0,X53/T53)</f>
        <v>-0.52597429395745599</v>
      </c>
    </row>
    <row r="54" spans="1:26" x14ac:dyDescent="0.25">
      <c r="A54" s="9"/>
      <c r="B54" s="10"/>
      <c r="C54" s="9"/>
      <c r="D54" s="1"/>
      <c r="E54" s="1"/>
      <c r="F54" s="5"/>
      <c r="G54" s="1"/>
      <c r="H54" s="1"/>
      <c r="I54" s="1"/>
      <c r="J54" s="5"/>
      <c r="K54" s="1"/>
      <c r="L54" s="1"/>
      <c r="M54" s="1"/>
      <c r="N54" s="5"/>
      <c r="O54" s="37"/>
      <c r="P54" s="1"/>
      <c r="Q54" s="1"/>
      <c r="R54" s="5"/>
      <c r="S54" s="1"/>
      <c r="T54" s="1"/>
      <c r="U54" s="1"/>
      <c r="V54" s="5"/>
      <c r="W54" s="1"/>
      <c r="X54" s="1"/>
      <c r="Y54" s="1"/>
      <c r="Z54" s="5"/>
    </row>
    <row r="55" spans="1:26" s="23" customFormat="1" x14ac:dyDescent="0.25">
      <c r="A55" s="10"/>
      <c r="B55" s="26" t="s">
        <v>9</v>
      </c>
      <c r="C55" s="10"/>
      <c r="D55" s="22">
        <f>SUM(OSRRefD22x_0)</f>
        <v>22743.91</v>
      </c>
      <c r="E55" s="22"/>
      <c r="F55" s="36">
        <f t="shared" ref="F55:F64" si="18">IF(D$12=0,0,D55/D$12)</f>
        <v>1.2112010983076984</v>
      </c>
      <c r="G55" s="22"/>
      <c r="H55" s="22">
        <f>SUM(OSRRefH22x_0)</f>
        <v>30074.730000000003</v>
      </c>
      <c r="I55" s="22"/>
      <c r="J55" s="36">
        <f t="shared" ref="J55:J64" si="19">IF(H$12=0,0,H55/H$12)</f>
        <v>0.73478881869817969</v>
      </c>
      <c r="K55" s="4"/>
      <c r="L55" s="22">
        <f t="shared" ref="L55:L64" si="20">+D55-H55</f>
        <v>-7330.8200000000033</v>
      </c>
      <c r="M55" s="4"/>
      <c r="N55" s="36">
        <f t="shared" ref="N55:N64" si="21">IF(H55=0,0,L55/H55)</f>
        <v>-0.2437534767560674</v>
      </c>
      <c r="O55" s="10"/>
      <c r="P55" s="22">
        <f>SUM(OSRRefP22x_0)</f>
        <v>85841.960000000021</v>
      </c>
      <c r="Q55" s="22"/>
      <c r="R55" s="36">
        <f t="shared" ref="R55:R64" si="22">IF(P$12=0,0,P55/P$12)</f>
        <v>0.97082282593919655</v>
      </c>
      <c r="S55" s="22"/>
      <c r="T55" s="22">
        <f>SUM(OSRRefT22x_0)</f>
        <v>119620.39</v>
      </c>
      <c r="U55" s="22"/>
      <c r="V55" s="36">
        <f t="shared" ref="V55:V64" si="23">IF(T$12=0,0,T55/T$12)</f>
        <v>0.61511466847782592</v>
      </c>
      <c r="W55" s="4"/>
      <c r="X55" s="22">
        <f t="shared" ref="X55:X64" si="24">+P55-T55</f>
        <v>-33778.429999999978</v>
      </c>
      <c r="Y55" s="4"/>
      <c r="Z55" s="36">
        <f t="shared" ref="Z55:Z64" si="25">IF(T55=0,0,X55/T55)</f>
        <v>-0.28238020290687882</v>
      </c>
    </row>
    <row r="56" spans="1:26" s="29" customFormat="1" outlineLevel="1" collapsed="1" x14ac:dyDescent="0.25">
      <c r="A56" s="27"/>
      <c r="B56" s="14" t="str">
        <f>CONCATENATE("     ","*Benefits                                         ")</f>
        <v xml:space="preserve">     *Benefits                                         </v>
      </c>
      <c r="C56" s="14"/>
      <c r="D56" s="1">
        <f>SUM(OSRRefD22_0x_0)</f>
        <v>5855.8200000000006</v>
      </c>
      <c r="E56" s="1"/>
      <c r="F56" s="5">
        <f t="shared" si="18"/>
        <v>0.31184504403562041</v>
      </c>
      <c r="G56" s="1"/>
      <c r="H56" s="1">
        <f>SUM(OSRRefH22_0x_0)</f>
        <v>2060.23</v>
      </c>
      <c r="I56" s="1"/>
      <c r="J56" s="5">
        <f t="shared" si="19"/>
        <v>5.033574592179383E-2</v>
      </c>
      <c r="K56" s="1"/>
      <c r="L56" s="1">
        <f t="shared" si="20"/>
        <v>3795.5900000000006</v>
      </c>
      <c r="M56" s="1"/>
      <c r="N56" s="5">
        <f t="shared" si="21"/>
        <v>1.8423137222543118</v>
      </c>
      <c r="O56" s="14"/>
      <c r="P56" s="1">
        <f>SUM(OSRRefP22_0x_0)</f>
        <v>20833.32</v>
      </c>
      <c r="Q56" s="1"/>
      <c r="R56" s="5">
        <f t="shared" si="22"/>
        <v>0.23561277720237955</v>
      </c>
      <c r="S56" s="1"/>
      <c r="T56" s="1">
        <f>SUM(OSRRefT22_0x_0)</f>
        <v>7598.94</v>
      </c>
      <c r="U56" s="1"/>
      <c r="V56" s="5">
        <f t="shared" si="23"/>
        <v>3.9075440724469217E-2</v>
      </c>
      <c r="W56" s="1"/>
      <c r="X56" s="1">
        <f t="shared" si="24"/>
        <v>13234.380000000001</v>
      </c>
      <c r="Y56" s="1"/>
      <c r="Z56" s="5">
        <f t="shared" si="25"/>
        <v>1.7416086980552552</v>
      </c>
    </row>
    <row r="57" spans="1:26" s="24" customFormat="1" hidden="1" outlineLevel="2" x14ac:dyDescent="0.25">
      <c r="A57" s="28"/>
      <c r="B57" s="11" t="str">
        <f>CONCATENATE("          ", "6111", " - ", "F.I.C.A.")</f>
        <v xml:space="preserve">          6111 - F.I.C.A.</v>
      </c>
      <c r="C57" s="11"/>
      <c r="D57" s="6">
        <v>998.37</v>
      </c>
      <c r="E57" s="2"/>
      <c r="F57" s="7">
        <f t="shared" si="18"/>
        <v>5.3167060567750092E-2</v>
      </c>
      <c r="G57" s="2"/>
      <c r="H57" s="6">
        <v>331.93</v>
      </c>
      <c r="I57" s="2"/>
      <c r="J57" s="7">
        <f t="shared" si="19"/>
        <v>8.109747039806733E-3</v>
      </c>
      <c r="K57" s="2"/>
      <c r="L57" s="6">
        <f t="shared" si="20"/>
        <v>666.44</v>
      </c>
      <c r="M57" s="2"/>
      <c r="N57" s="7">
        <f t="shared" si="21"/>
        <v>2.0077727231645226</v>
      </c>
      <c r="O57" s="11"/>
      <c r="P57" s="6">
        <v>3208.38</v>
      </c>
      <c r="Q57" s="2"/>
      <c r="R57" s="7">
        <f t="shared" si="22"/>
        <v>3.6284918684135345E-2</v>
      </c>
      <c r="S57" s="2"/>
      <c r="T57" s="6">
        <v>2163.1</v>
      </c>
      <c r="U57" s="2"/>
      <c r="V57" s="7">
        <f t="shared" si="23"/>
        <v>1.1123141626476768E-2</v>
      </c>
      <c r="W57" s="2"/>
      <c r="X57" s="6">
        <f t="shared" si="24"/>
        <v>1045.2800000000002</v>
      </c>
      <c r="Y57" s="2"/>
      <c r="Z57" s="7">
        <f t="shared" si="25"/>
        <v>0.48323239794739042</v>
      </c>
    </row>
    <row r="58" spans="1:26" s="24" customFormat="1" hidden="1" outlineLevel="2" x14ac:dyDescent="0.25">
      <c r="A58" s="28"/>
      <c r="B58" s="11" t="str">
        <f>CONCATENATE("          ", "6112", " - ", "COMPENSATION INSURANCE")</f>
        <v xml:space="preserve">          6112 - COMPENSATION INSURANCE</v>
      </c>
      <c r="C58" s="11"/>
      <c r="D58" s="6">
        <v>215.57</v>
      </c>
      <c r="E58" s="2"/>
      <c r="F58" s="7">
        <f t="shared" si="18"/>
        <v>1.1479935541522568E-2</v>
      </c>
      <c r="G58" s="2"/>
      <c r="H58" s="6">
        <v>-92.63</v>
      </c>
      <c r="I58" s="2"/>
      <c r="J58" s="7">
        <f t="shared" si="19"/>
        <v>-2.2631454472247089E-3</v>
      </c>
      <c r="K58" s="2"/>
      <c r="L58" s="6">
        <f t="shared" si="20"/>
        <v>308.2</v>
      </c>
      <c r="M58" s="2"/>
      <c r="N58" s="7">
        <f t="shared" si="21"/>
        <v>-3.327215804814855</v>
      </c>
      <c r="O58" s="11"/>
      <c r="P58" s="6">
        <v>1073.5899999999999</v>
      </c>
      <c r="Q58" s="2"/>
      <c r="R58" s="7">
        <f t="shared" si="22"/>
        <v>1.214168080155744E-2</v>
      </c>
      <c r="S58" s="2"/>
      <c r="T58" s="6">
        <v>493.74</v>
      </c>
      <c r="U58" s="2"/>
      <c r="V58" s="7">
        <f t="shared" si="23"/>
        <v>2.5389209683586702E-3</v>
      </c>
      <c r="W58" s="2"/>
      <c r="X58" s="6">
        <f t="shared" si="24"/>
        <v>579.84999999999991</v>
      </c>
      <c r="Y58" s="2"/>
      <c r="Z58" s="7">
        <f t="shared" si="25"/>
        <v>1.1744035322234372</v>
      </c>
    </row>
    <row r="59" spans="1:26" s="24" customFormat="1" hidden="1" outlineLevel="2" x14ac:dyDescent="0.25">
      <c r="A59" s="28"/>
      <c r="B59" s="11" t="str">
        <f>CONCATENATE("          ", "6113", " - ", "GROUP INSURANCE")</f>
        <v xml:space="preserve">          6113 - GROUP INSURANCE</v>
      </c>
      <c r="C59" s="11"/>
      <c r="D59" s="6">
        <v>2714.98</v>
      </c>
      <c r="E59" s="2"/>
      <c r="F59" s="7">
        <f t="shared" si="18"/>
        <v>0.14458317667821563</v>
      </c>
      <c r="G59" s="2"/>
      <c r="H59" s="6">
        <v>988.44</v>
      </c>
      <c r="I59" s="2"/>
      <c r="J59" s="7">
        <f t="shared" si="19"/>
        <v>2.4149665182498021E-2</v>
      </c>
      <c r="K59" s="2"/>
      <c r="L59" s="6">
        <f t="shared" si="20"/>
        <v>1726.54</v>
      </c>
      <c r="M59" s="2"/>
      <c r="N59" s="7">
        <f t="shared" si="21"/>
        <v>1.7467322245153978</v>
      </c>
      <c r="O59" s="11"/>
      <c r="P59" s="6">
        <v>10157.41</v>
      </c>
      <c r="Q59" s="2"/>
      <c r="R59" s="7">
        <f t="shared" si="22"/>
        <v>0.11487442132522431</v>
      </c>
      <c r="S59" s="2"/>
      <c r="T59" s="6">
        <v>2484.7199999999998</v>
      </c>
      <c r="U59" s="2"/>
      <c r="V59" s="7">
        <f t="shared" si="23"/>
        <v>1.2776983247255952E-2</v>
      </c>
      <c r="W59" s="2"/>
      <c r="X59" s="6">
        <f t="shared" si="24"/>
        <v>7672.6900000000005</v>
      </c>
      <c r="Y59" s="2"/>
      <c r="Z59" s="7">
        <f t="shared" si="25"/>
        <v>3.0879495476351466</v>
      </c>
    </row>
    <row r="60" spans="1:26" s="24" customFormat="1" hidden="1" outlineLevel="2" x14ac:dyDescent="0.25">
      <c r="A60" s="28"/>
      <c r="B60" s="11" t="str">
        <f>CONCATENATE("          ", "6114", " - ", "STATE UNEMPLOYMENT INSURANCE")</f>
        <v xml:space="preserve">          6114 - STATE UNEMPLOYMENT INSURANCE</v>
      </c>
      <c r="C60" s="11"/>
      <c r="D60" s="6">
        <v>30.3</v>
      </c>
      <c r="E60" s="2"/>
      <c r="F60" s="7">
        <f t="shared" si="18"/>
        <v>1.6135920903100332E-3</v>
      </c>
      <c r="G60" s="2"/>
      <c r="H60" s="6">
        <v>20.04</v>
      </c>
      <c r="I60" s="2"/>
      <c r="J60" s="7">
        <f t="shared" si="19"/>
        <v>4.8961928924088488E-4</v>
      </c>
      <c r="K60" s="2"/>
      <c r="L60" s="6">
        <f t="shared" si="20"/>
        <v>10.260000000000002</v>
      </c>
      <c r="M60" s="2"/>
      <c r="N60" s="7">
        <f t="shared" si="21"/>
        <v>0.51197604790419171</v>
      </c>
      <c r="O60" s="11"/>
      <c r="P60" s="6">
        <v>124.54</v>
      </c>
      <c r="Q60" s="2"/>
      <c r="R60" s="7">
        <f t="shared" si="22"/>
        <v>1.408475234517799E-3</v>
      </c>
      <c r="S60" s="2"/>
      <c r="T60" s="6">
        <v>100.27</v>
      </c>
      <c r="U60" s="2"/>
      <c r="V60" s="7">
        <f t="shared" si="23"/>
        <v>5.1561065641293768E-4</v>
      </c>
      <c r="W60" s="2"/>
      <c r="X60" s="6">
        <f t="shared" si="24"/>
        <v>24.27000000000001</v>
      </c>
      <c r="Y60" s="2"/>
      <c r="Z60" s="7">
        <f t="shared" si="25"/>
        <v>0.24204647451879935</v>
      </c>
    </row>
    <row r="61" spans="1:26" s="24" customFormat="1" hidden="1" outlineLevel="2" x14ac:dyDescent="0.25">
      <c r="A61" s="28"/>
      <c r="B61" s="11" t="str">
        <f>CONCATENATE("          ", "6115", " - ", "P.E.R.S.")</f>
        <v xml:space="preserve">          6115 - P.E.R.S.</v>
      </c>
      <c r="C61" s="11"/>
      <c r="D61" s="6">
        <v>253.48</v>
      </c>
      <c r="E61" s="2"/>
      <c r="F61" s="7">
        <f t="shared" si="18"/>
        <v>1.3498789539662943E-2</v>
      </c>
      <c r="G61" s="2"/>
      <c r="H61" s="6">
        <v>167.64</v>
      </c>
      <c r="I61" s="2"/>
      <c r="J61" s="7">
        <f t="shared" si="19"/>
        <v>4.0957972878414147E-3</v>
      </c>
      <c r="K61" s="2"/>
      <c r="L61" s="6">
        <f t="shared" si="20"/>
        <v>85.84</v>
      </c>
      <c r="M61" s="2"/>
      <c r="N61" s="7">
        <f t="shared" si="21"/>
        <v>0.51204963015986649</v>
      </c>
      <c r="O61" s="11"/>
      <c r="P61" s="6">
        <v>1520.9</v>
      </c>
      <c r="Q61" s="2"/>
      <c r="R61" s="7">
        <f t="shared" si="22"/>
        <v>1.7200497704979289E-2</v>
      </c>
      <c r="S61" s="2"/>
      <c r="T61" s="6">
        <v>698.54</v>
      </c>
      <c r="U61" s="2"/>
      <c r="V61" s="7">
        <f t="shared" si="23"/>
        <v>3.5920481493038141E-3</v>
      </c>
      <c r="W61" s="2"/>
      <c r="X61" s="6">
        <f t="shared" si="24"/>
        <v>822.36000000000013</v>
      </c>
      <c r="Y61" s="2"/>
      <c r="Z61" s="7">
        <f t="shared" si="25"/>
        <v>1.1772554184441839</v>
      </c>
    </row>
    <row r="62" spans="1:26" s="24" customFormat="1" hidden="1" outlineLevel="2" x14ac:dyDescent="0.25">
      <c r="A62" s="28"/>
      <c r="B62" s="11" t="str">
        <f>CONCATENATE("          ", "6118", " - ", "VACATION")</f>
        <v xml:space="preserve">          6118 - VACATION</v>
      </c>
      <c r="C62" s="11"/>
      <c r="D62" s="6">
        <v>748.14</v>
      </c>
      <c r="E62" s="2"/>
      <c r="F62" s="7">
        <f t="shared" si="18"/>
        <v>3.9841346087278816E-2</v>
      </c>
      <c r="G62" s="2"/>
      <c r="H62" s="6">
        <v>138.6</v>
      </c>
      <c r="I62" s="2"/>
      <c r="J62" s="7">
        <f t="shared" si="19"/>
        <v>3.3862890962468388E-3</v>
      </c>
      <c r="K62" s="2"/>
      <c r="L62" s="6">
        <f t="shared" si="20"/>
        <v>609.54</v>
      </c>
      <c r="M62" s="2"/>
      <c r="N62" s="7">
        <f t="shared" si="21"/>
        <v>4.3978354978354979</v>
      </c>
      <c r="O62" s="11"/>
      <c r="P62" s="6">
        <v>2148.17</v>
      </c>
      <c r="Q62" s="2"/>
      <c r="R62" s="7">
        <f t="shared" si="22"/>
        <v>2.4294557929453189E-2</v>
      </c>
      <c r="S62" s="2"/>
      <c r="T62" s="6">
        <v>618.75</v>
      </c>
      <c r="U62" s="2"/>
      <c r="V62" s="7">
        <f t="shared" si="23"/>
        <v>3.1817502109853912E-3</v>
      </c>
      <c r="W62" s="2"/>
      <c r="X62" s="6">
        <f t="shared" si="24"/>
        <v>1529.42</v>
      </c>
      <c r="Y62" s="2"/>
      <c r="Z62" s="7">
        <f t="shared" si="25"/>
        <v>2.4717898989898992</v>
      </c>
    </row>
    <row r="63" spans="1:26" s="24" customFormat="1" hidden="1" outlineLevel="2" x14ac:dyDescent="0.25">
      <c r="A63" s="28"/>
      <c r="B63" s="11" t="str">
        <f>CONCATENATE("          ", "6119", " - ", "SICK LEAVE")</f>
        <v xml:space="preserve">          6119 - SICK LEAVE</v>
      </c>
      <c r="C63" s="11"/>
      <c r="D63" s="6">
        <v>670.05</v>
      </c>
      <c r="E63" s="2"/>
      <c r="F63" s="7">
        <f t="shared" si="18"/>
        <v>3.5682751818885729E-2</v>
      </c>
      <c r="G63" s="2"/>
      <c r="H63" s="6">
        <v>166.05</v>
      </c>
      <c r="I63" s="2"/>
      <c r="J63" s="7">
        <f t="shared" si="19"/>
        <v>4.0569502484255962E-3</v>
      </c>
      <c r="K63" s="2"/>
      <c r="L63" s="6">
        <f t="shared" si="20"/>
        <v>503.99999999999994</v>
      </c>
      <c r="M63" s="2"/>
      <c r="N63" s="7">
        <f t="shared" si="21"/>
        <v>3.0352303523035227</v>
      </c>
      <c r="O63" s="11"/>
      <c r="P63" s="6">
        <v>1786.8</v>
      </c>
      <c r="Q63" s="2"/>
      <c r="R63" s="7">
        <f t="shared" si="22"/>
        <v>2.0207672627560645E-2</v>
      </c>
      <c r="S63" s="2"/>
      <c r="T63" s="6">
        <v>550.32000000000005</v>
      </c>
      <c r="U63" s="2"/>
      <c r="V63" s="7">
        <f t="shared" si="23"/>
        <v>2.8298679209850194E-3</v>
      </c>
      <c r="W63" s="2"/>
      <c r="X63" s="6">
        <f t="shared" si="24"/>
        <v>1236.48</v>
      </c>
      <c r="Y63" s="2"/>
      <c r="Z63" s="7">
        <f t="shared" si="25"/>
        <v>2.2468382032272132</v>
      </c>
    </row>
    <row r="64" spans="1:26" s="24" customFormat="1" hidden="1" outlineLevel="2" x14ac:dyDescent="0.25">
      <c r="A64" s="28"/>
      <c r="B64" s="11" t="str">
        <f>CONCATENATE("          ", "6156", " - ", "EMPLOYEE MEALS")</f>
        <v xml:space="preserve">          6156 - EMPLOYEE MEALS</v>
      </c>
      <c r="C64" s="11"/>
      <c r="D64" s="6">
        <v>224.93</v>
      </c>
      <c r="E64" s="2"/>
      <c r="F64" s="7">
        <f t="shared" si="18"/>
        <v>1.1978391711994579E-2</v>
      </c>
      <c r="G64" s="2"/>
      <c r="H64" s="6">
        <v>340.16</v>
      </c>
      <c r="I64" s="2"/>
      <c r="J64" s="7">
        <f t="shared" si="19"/>
        <v>8.3108232249590533E-3</v>
      </c>
      <c r="K64" s="2"/>
      <c r="L64" s="6">
        <f t="shared" si="20"/>
        <v>-115.23000000000002</v>
      </c>
      <c r="M64" s="2"/>
      <c r="N64" s="7">
        <f t="shared" si="21"/>
        <v>-0.33875235183443086</v>
      </c>
      <c r="O64" s="11"/>
      <c r="P64" s="6">
        <v>813.53</v>
      </c>
      <c r="Q64" s="2"/>
      <c r="R64" s="7">
        <f t="shared" si="22"/>
        <v>9.2005528949515407E-3</v>
      </c>
      <c r="S64" s="2"/>
      <c r="T64" s="6">
        <v>489.5</v>
      </c>
      <c r="U64" s="2"/>
      <c r="V64" s="7">
        <f t="shared" si="23"/>
        <v>2.5171179446906652E-3</v>
      </c>
      <c r="W64" s="2"/>
      <c r="X64" s="6">
        <f t="shared" si="24"/>
        <v>324.02999999999997</v>
      </c>
      <c r="Y64" s="2"/>
      <c r="Z64" s="7">
        <f t="shared" si="25"/>
        <v>0.66196118488253319</v>
      </c>
    </row>
    <row r="65" spans="1:26" s="29" customFormat="1" outlineLevel="1" collapsed="1" x14ac:dyDescent="0.25">
      <c r="A65" s="27"/>
      <c r="B65" s="14" t="str">
        <f>CONCATENATE("     ","*Payroll                                          ")</f>
        <v xml:space="preserve">     *Payroll                                          </v>
      </c>
      <c r="C65" s="14"/>
      <c r="D65" s="1">
        <f>SUM(OSRRefD22_1x_0)</f>
        <v>8728.8100000000013</v>
      </c>
      <c r="E65" s="1"/>
      <c r="F65" s="5">
        <f t="shared" ref="F65:F70" si="26">IF(D$12=0,0,D65/D$12)</f>
        <v>0.46484286382241324</v>
      </c>
      <c r="G65" s="1"/>
      <c r="H65" s="1">
        <f>SUM(OSRRefH22_1x_0)</f>
        <v>13152.26</v>
      </c>
      <c r="I65" s="1"/>
      <c r="J65" s="5">
        <f t="shared" ref="J65:J70" si="27">IF(H$12=0,0,H65/H$12)</f>
        <v>0.32133733498559486</v>
      </c>
      <c r="K65" s="1"/>
      <c r="L65" s="1">
        <f t="shared" ref="L65:L70" si="28">+D65-H65</f>
        <v>-4423.4499999999989</v>
      </c>
      <c r="M65" s="1"/>
      <c r="N65" s="5">
        <f t="shared" ref="N65:N70" si="29">IF(H65=0,0,L65/H65)</f>
        <v>-0.33632622834402598</v>
      </c>
      <c r="O65" s="14"/>
      <c r="P65" s="1">
        <f>SUM(OSRRefP22_1x_0)</f>
        <v>31663.289999999994</v>
      </c>
      <c r="Q65" s="1"/>
      <c r="R65" s="5">
        <f t="shared" ref="R65:R70" si="30">IF(P$12=0,0,P65/P$12)</f>
        <v>0.35809346240850382</v>
      </c>
      <c r="S65" s="1"/>
      <c r="T65" s="1">
        <f>SUM(OSRRefT22_1x_0)</f>
        <v>44318.28</v>
      </c>
      <c r="U65" s="1"/>
      <c r="V65" s="5">
        <f t="shared" ref="V65:V70" si="31">IF(T$12=0,0,T65/T$12)</f>
        <v>0.22789445937860145</v>
      </c>
      <c r="W65" s="1"/>
      <c r="X65" s="1">
        <f t="shared" ref="X65:X70" si="32">+P65-T65</f>
        <v>-12654.990000000005</v>
      </c>
      <c r="Y65" s="1"/>
      <c r="Z65" s="5">
        <f t="shared" ref="Z65:Z70" si="33">IF(T65=0,0,X65/T65)</f>
        <v>-0.28554785970935709</v>
      </c>
    </row>
    <row r="66" spans="1:26" s="24" customFormat="1" hidden="1" outlineLevel="2" x14ac:dyDescent="0.25">
      <c r="A66" s="28"/>
      <c r="B66" s="11" t="str">
        <f>CONCATENATE("          ", "6002", " - ", "STAFF SALARIES")</f>
        <v xml:space="preserve">          6002 - STAFF SALARIES</v>
      </c>
      <c r="C66" s="11"/>
      <c r="D66" s="6">
        <v>4216.3100000000004</v>
      </c>
      <c r="E66" s="2"/>
      <c r="F66" s="7">
        <f t="shared" si="26"/>
        <v>0.22453480086782496</v>
      </c>
      <c r="G66" s="2"/>
      <c r="H66" s="6">
        <v>3000</v>
      </c>
      <c r="I66" s="2"/>
      <c r="J66" s="7">
        <f t="shared" si="27"/>
        <v>7.3296300784563617E-2</v>
      </c>
      <c r="K66" s="2"/>
      <c r="L66" s="6">
        <f t="shared" si="28"/>
        <v>1216.3100000000004</v>
      </c>
      <c r="M66" s="2"/>
      <c r="N66" s="7">
        <f t="shared" si="29"/>
        <v>0.40543666666666678</v>
      </c>
      <c r="O66" s="11"/>
      <c r="P66" s="6">
        <v>19441.169999999998</v>
      </c>
      <c r="Q66" s="2"/>
      <c r="R66" s="7">
        <f t="shared" si="30"/>
        <v>0.2198683673924072</v>
      </c>
      <c r="S66" s="2"/>
      <c r="T66" s="6">
        <v>6861.9</v>
      </c>
      <c r="U66" s="2"/>
      <c r="V66" s="7">
        <f t="shared" si="31"/>
        <v>3.528541700648187E-2</v>
      </c>
      <c r="W66" s="2"/>
      <c r="X66" s="6">
        <f t="shared" si="32"/>
        <v>12579.269999999999</v>
      </c>
      <c r="Y66" s="2"/>
      <c r="Z66" s="7">
        <f t="shared" si="33"/>
        <v>1.8332050889695273</v>
      </c>
    </row>
    <row r="67" spans="1:26" s="24" customFormat="1" hidden="1" outlineLevel="2" x14ac:dyDescent="0.25">
      <c r="A67" s="28"/>
      <c r="B67" s="11" t="str">
        <f>CONCATENATE("          ", "6004", " - ", "STAFF HOURLY")</f>
        <v xml:space="preserve">          6004 - STAFF HOURLY</v>
      </c>
      <c r="C67" s="11"/>
      <c r="D67" s="6">
        <v>2219.5</v>
      </c>
      <c r="E67" s="2"/>
      <c r="F67" s="7">
        <f t="shared" si="26"/>
        <v>0.11819695196181909</v>
      </c>
      <c r="G67" s="2"/>
      <c r="H67" s="6"/>
      <c r="I67" s="2"/>
      <c r="J67" s="7">
        <f t="shared" si="27"/>
        <v>0</v>
      </c>
      <c r="K67" s="2"/>
      <c r="L67" s="6">
        <f t="shared" si="28"/>
        <v>2219.5</v>
      </c>
      <c r="M67" s="2"/>
      <c r="N67" s="7">
        <f t="shared" si="29"/>
        <v>0</v>
      </c>
      <c r="O67" s="11"/>
      <c r="P67" s="6">
        <v>1850.44</v>
      </c>
      <c r="Q67" s="2"/>
      <c r="R67" s="7">
        <f t="shared" si="30"/>
        <v>2.0927404150964477E-2</v>
      </c>
      <c r="S67" s="2"/>
      <c r="T67" s="6"/>
      <c r="U67" s="2"/>
      <c r="V67" s="7">
        <f t="shared" si="31"/>
        <v>0</v>
      </c>
      <c r="W67" s="2"/>
      <c r="X67" s="6">
        <f t="shared" si="32"/>
        <v>1850.44</v>
      </c>
      <c r="Y67" s="2"/>
      <c r="Z67" s="7">
        <f t="shared" si="33"/>
        <v>0</v>
      </c>
    </row>
    <row r="68" spans="1:26" s="24" customFormat="1" hidden="1" outlineLevel="2" x14ac:dyDescent="0.25">
      <c r="A68" s="28"/>
      <c r="B68" s="11" t="str">
        <f>CONCATENATE("          ", "6005", " - ", "TEMPORARY WAGES-HOURLY")</f>
        <v xml:space="preserve">          6005 - TEMPORARY WAGES-HOURLY</v>
      </c>
      <c r="C68" s="11"/>
      <c r="D68" s="6">
        <v>1116.81</v>
      </c>
      <c r="E68" s="2"/>
      <c r="F68" s="7">
        <f t="shared" si="26"/>
        <v>5.9474448263338218E-2</v>
      </c>
      <c r="G68" s="2"/>
      <c r="H68" s="6">
        <v>550.25</v>
      </c>
      <c r="I68" s="2"/>
      <c r="J68" s="7">
        <f t="shared" si="27"/>
        <v>1.3443763168902043E-2</v>
      </c>
      <c r="K68" s="2"/>
      <c r="L68" s="6">
        <f t="shared" si="28"/>
        <v>566.55999999999995</v>
      </c>
      <c r="M68" s="2"/>
      <c r="N68" s="7">
        <f t="shared" si="29"/>
        <v>1.0296410722398908</v>
      </c>
      <c r="O68" s="11"/>
      <c r="P68" s="6">
        <v>4746.58</v>
      </c>
      <c r="Q68" s="2"/>
      <c r="R68" s="7">
        <f t="shared" si="30"/>
        <v>5.368106936452139E-2</v>
      </c>
      <c r="S68" s="2"/>
      <c r="T68" s="6">
        <v>882.6</v>
      </c>
      <c r="U68" s="2"/>
      <c r="V68" s="7">
        <f t="shared" si="31"/>
        <v>4.53852563428801E-3</v>
      </c>
      <c r="W68" s="2"/>
      <c r="X68" s="6">
        <f t="shared" si="32"/>
        <v>3863.98</v>
      </c>
      <c r="Y68" s="2"/>
      <c r="Z68" s="7">
        <f t="shared" si="33"/>
        <v>4.3779515069113977</v>
      </c>
    </row>
    <row r="69" spans="1:26" s="24" customFormat="1" hidden="1" outlineLevel="2" x14ac:dyDescent="0.25">
      <c r="A69" s="28"/>
      <c r="B69" s="11" t="str">
        <f>CONCATENATE("          ", "6007", " - ", "STUDENT HOURLY")</f>
        <v xml:space="preserve">          6007 - STUDENT HOURLY</v>
      </c>
      <c r="C69" s="11"/>
      <c r="D69" s="6">
        <v>646.44000000000005</v>
      </c>
      <c r="E69" s="2"/>
      <c r="F69" s="7">
        <f t="shared" si="26"/>
        <v>3.442542808118871E-2</v>
      </c>
      <c r="G69" s="2"/>
      <c r="H69" s="6">
        <v>9602.01</v>
      </c>
      <c r="I69" s="2"/>
      <c r="J69" s="7">
        <f t="shared" si="27"/>
        <v>0.23459727103212921</v>
      </c>
      <c r="K69" s="2"/>
      <c r="L69" s="6">
        <f t="shared" si="28"/>
        <v>-8955.57</v>
      </c>
      <c r="M69" s="2"/>
      <c r="N69" s="7">
        <f t="shared" si="29"/>
        <v>-0.93267659583774642</v>
      </c>
      <c r="O69" s="11"/>
      <c r="P69" s="6">
        <v>4630.21</v>
      </c>
      <c r="Q69" s="2"/>
      <c r="R69" s="7">
        <f t="shared" si="30"/>
        <v>5.2364992095845976E-2</v>
      </c>
      <c r="S69" s="2"/>
      <c r="T69" s="6">
        <v>36573.78</v>
      </c>
      <c r="U69" s="2"/>
      <c r="V69" s="7">
        <f t="shared" si="31"/>
        <v>0.18807051673783157</v>
      </c>
      <c r="W69" s="2"/>
      <c r="X69" s="6">
        <f t="shared" si="32"/>
        <v>-31943.57</v>
      </c>
      <c r="Y69" s="2"/>
      <c r="Z69" s="7">
        <f t="shared" si="33"/>
        <v>-0.87340083524317147</v>
      </c>
    </row>
    <row r="70" spans="1:26" s="24" customFormat="1" hidden="1" outlineLevel="2" x14ac:dyDescent="0.25">
      <c r="A70" s="28"/>
      <c r="B70" s="11" t="str">
        <f>CONCATENATE("          ", "6008", " - ", "STUDENT HOURLY-FICA EXEMPT")</f>
        <v xml:space="preserve">          6008 - STUDENT HOURLY-FICA EXEMPT</v>
      </c>
      <c r="C70" s="11"/>
      <c r="D70" s="6">
        <v>529.75</v>
      </c>
      <c r="E70" s="2"/>
      <c r="F70" s="7">
        <f t="shared" si="26"/>
        <v>2.8211234648242246E-2</v>
      </c>
      <c r="G70" s="2"/>
      <c r="H70" s="6"/>
      <c r="I70" s="2"/>
      <c r="J70" s="7">
        <f t="shared" si="27"/>
        <v>0</v>
      </c>
      <c r="K70" s="2"/>
      <c r="L70" s="6">
        <f t="shared" si="28"/>
        <v>529.75</v>
      </c>
      <c r="M70" s="2"/>
      <c r="N70" s="7">
        <f t="shared" si="29"/>
        <v>0</v>
      </c>
      <c r="O70" s="11"/>
      <c r="P70" s="6">
        <v>994.89</v>
      </c>
      <c r="Q70" s="2"/>
      <c r="R70" s="7">
        <f t="shared" si="30"/>
        <v>1.1251629404764837E-2</v>
      </c>
      <c r="S70" s="2"/>
      <c r="T70" s="6"/>
      <c r="U70" s="2"/>
      <c r="V70" s="7">
        <f t="shared" si="31"/>
        <v>0</v>
      </c>
      <c r="W70" s="2"/>
      <c r="X70" s="6">
        <f t="shared" si="32"/>
        <v>994.89</v>
      </c>
      <c r="Y70" s="2"/>
      <c r="Z70" s="7">
        <f t="shared" si="33"/>
        <v>0</v>
      </c>
    </row>
    <row r="71" spans="1:26" s="29" customFormat="1" outlineLevel="1" collapsed="1" x14ac:dyDescent="0.25">
      <c r="A71" s="27"/>
      <c r="B71" s="14" t="str">
        <f>CONCATENATE("     ","Advertising/Promo                                 ")</f>
        <v xml:space="preserve">     Advertising/Promo                                 </v>
      </c>
      <c r="C71" s="14"/>
      <c r="D71" s="1">
        <f>SUM(OSRRefD22_2x_0)</f>
        <v>936</v>
      </c>
      <c r="E71" s="1"/>
      <c r="F71" s="5">
        <f t="shared" ref="F71:F91" si="34">IF(D$12=0,0,D71/D$12)</f>
        <v>4.9845617047201023E-2</v>
      </c>
      <c r="G71" s="1"/>
      <c r="H71" s="1">
        <f>SUM(OSRRefH22_2x_0)</f>
        <v>336.34</v>
      </c>
      <c r="I71" s="1"/>
      <c r="J71" s="5">
        <f t="shared" ref="J71:J91" si="35">IF(H$12=0,0,H71/H$12)</f>
        <v>8.2174926019600407E-3</v>
      </c>
      <c r="K71" s="1"/>
      <c r="L71" s="1">
        <f t="shared" ref="L71:L91" si="36">+D71-H71</f>
        <v>599.66000000000008</v>
      </c>
      <c r="M71" s="1"/>
      <c r="N71" s="5">
        <f t="shared" ref="N71:N91" si="37">IF(H71=0,0,L71/H71)</f>
        <v>1.7828982577154073</v>
      </c>
      <c r="O71" s="14"/>
      <c r="P71" s="1">
        <f>SUM(OSRRefP22_2x_0)</f>
        <v>936</v>
      </c>
      <c r="Q71" s="1"/>
      <c r="R71" s="5">
        <f t="shared" ref="R71:R91" si="38">IF(P$12=0,0,P71/P$12)</f>
        <v>1.0585617628943791E-2</v>
      </c>
      <c r="S71" s="1"/>
      <c r="T71" s="1">
        <f>SUM(OSRRefT22_2x_0)</f>
        <v>1257.73</v>
      </c>
      <c r="U71" s="1"/>
      <c r="V71" s="5">
        <f t="shared" ref="V71:V91" si="39">IF(T$12=0,0,T71/T$12)</f>
        <v>6.4675275844244947E-3</v>
      </c>
      <c r="W71" s="1"/>
      <c r="X71" s="1">
        <f t="shared" ref="X71:X91" si="40">+P71-T71</f>
        <v>-321.73</v>
      </c>
      <c r="Y71" s="1"/>
      <c r="Z71" s="5">
        <f t="shared" ref="Z71:Z91" si="41">IF(T71=0,0,X71/T71)</f>
        <v>-0.25580211969182576</v>
      </c>
    </row>
    <row r="72" spans="1:26" s="24" customFormat="1" hidden="1" outlineLevel="2" x14ac:dyDescent="0.25">
      <c r="A72" s="28"/>
      <c r="B72" s="11" t="str">
        <f>CONCATENATE("          ", "6362", " - ", "ADVERTISING EXPENSE")</f>
        <v xml:space="preserve">          6362 - ADVERTISING EXPENSE</v>
      </c>
      <c r="C72" s="11"/>
      <c r="D72" s="6">
        <v>936</v>
      </c>
      <c r="E72" s="2"/>
      <c r="F72" s="7">
        <f t="shared" si="34"/>
        <v>4.9845617047201023E-2</v>
      </c>
      <c r="G72" s="2"/>
      <c r="H72" s="6">
        <v>336.34</v>
      </c>
      <c r="I72" s="2"/>
      <c r="J72" s="7">
        <f t="shared" si="35"/>
        <v>8.2174926019600407E-3</v>
      </c>
      <c r="K72" s="2"/>
      <c r="L72" s="6">
        <f t="shared" si="36"/>
        <v>599.66000000000008</v>
      </c>
      <c r="M72" s="2"/>
      <c r="N72" s="7">
        <f t="shared" si="37"/>
        <v>1.7828982577154073</v>
      </c>
      <c r="O72" s="11"/>
      <c r="P72" s="6">
        <v>936</v>
      </c>
      <c r="Q72" s="2"/>
      <c r="R72" s="7">
        <f t="shared" si="38"/>
        <v>1.0585617628943791E-2</v>
      </c>
      <c r="S72" s="2"/>
      <c r="T72" s="6">
        <v>1257.73</v>
      </c>
      <c r="U72" s="2"/>
      <c r="V72" s="7">
        <f t="shared" si="39"/>
        <v>6.4675275844244947E-3</v>
      </c>
      <c r="W72" s="2"/>
      <c r="X72" s="6">
        <f t="shared" si="40"/>
        <v>-321.73</v>
      </c>
      <c r="Y72" s="2"/>
      <c r="Z72" s="7">
        <f t="shared" si="41"/>
        <v>-0.25580211969182576</v>
      </c>
    </row>
    <row r="73" spans="1:26" s="29" customFormat="1" outlineLevel="1" collapsed="1" x14ac:dyDescent="0.25">
      <c r="A73" s="27"/>
      <c r="B73" s="14" t="str">
        <f>CONCATENATE("     ","Bad Debts/Over/Short                              ")</f>
        <v xml:space="preserve">     Bad Debts/Over/Short                              </v>
      </c>
      <c r="C73" s="14"/>
      <c r="D73" s="1">
        <f>SUM(OSRRefD22_3x_0)</f>
        <v>-1.23</v>
      </c>
      <c r="E73" s="1"/>
      <c r="F73" s="5">
        <f t="shared" si="34"/>
        <v>-6.5502253171001345E-5</v>
      </c>
      <c r="G73" s="1"/>
      <c r="H73" s="1">
        <f>SUM(OSRRefH22_3x_0)</f>
        <v>-6.68</v>
      </c>
      <c r="I73" s="1"/>
      <c r="J73" s="5">
        <f t="shared" si="35"/>
        <v>-1.6320642974696164E-4</v>
      </c>
      <c r="K73" s="1"/>
      <c r="L73" s="1">
        <f t="shared" si="36"/>
        <v>5.4499999999999993</v>
      </c>
      <c r="M73" s="1"/>
      <c r="N73" s="5">
        <f t="shared" si="37"/>
        <v>-0.81586826347305386</v>
      </c>
      <c r="O73" s="14"/>
      <c r="P73" s="1">
        <f>SUM(OSRRefP22_3x_0)</f>
        <v>-0.53</v>
      </c>
      <c r="Q73" s="1"/>
      <c r="R73" s="5">
        <f t="shared" si="38"/>
        <v>-5.9939928881839842E-6</v>
      </c>
      <c r="S73" s="1"/>
      <c r="T73" s="1">
        <f>SUM(OSRRefT22_3x_0)</f>
        <v>23.03</v>
      </c>
      <c r="U73" s="1"/>
      <c r="V73" s="5">
        <f t="shared" si="39"/>
        <v>1.1842538563069667E-4</v>
      </c>
      <c r="W73" s="1"/>
      <c r="X73" s="1">
        <f t="shared" si="40"/>
        <v>-23.560000000000002</v>
      </c>
      <c r="Y73" s="1"/>
      <c r="Z73" s="5">
        <f t="shared" si="41"/>
        <v>-1.0230134607034305</v>
      </c>
    </row>
    <row r="74" spans="1:26" s="24" customFormat="1" hidden="1" outlineLevel="2" x14ac:dyDescent="0.25">
      <c r="A74" s="28"/>
      <c r="B74" s="11" t="str">
        <f>CONCATENATE("          ", "6272", " - ", "CASH (OVER/SHORT)")</f>
        <v xml:space="preserve">          6272 - CASH (OVER/SHORT)</v>
      </c>
      <c r="C74" s="11"/>
      <c r="D74" s="6">
        <v>-1.23</v>
      </c>
      <c r="E74" s="2"/>
      <c r="F74" s="7">
        <f t="shared" si="34"/>
        <v>-6.5502253171001345E-5</v>
      </c>
      <c r="G74" s="2"/>
      <c r="H74" s="6">
        <v>-6.68</v>
      </c>
      <c r="I74" s="2"/>
      <c r="J74" s="7">
        <f t="shared" si="35"/>
        <v>-1.6320642974696164E-4</v>
      </c>
      <c r="K74" s="2"/>
      <c r="L74" s="6">
        <f t="shared" si="36"/>
        <v>5.4499999999999993</v>
      </c>
      <c r="M74" s="2"/>
      <c r="N74" s="7">
        <f t="shared" si="37"/>
        <v>-0.81586826347305386</v>
      </c>
      <c r="O74" s="11"/>
      <c r="P74" s="6">
        <v>-0.53</v>
      </c>
      <c r="Q74" s="2"/>
      <c r="R74" s="7">
        <f t="shared" si="38"/>
        <v>-5.9939928881839842E-6</v>
      </c>
      <c r="S74" s="2"/>
      <c r="T74" s="6">
        <v>23.03</v>
      </c>
      <c r="U74" s="2"/>
      <c r="V74" s="7">
        <f t="shared" si="39"/>
        <v>1.1842538563069667E-4</v>
      </c>
      <c r="W74" s="2"/>
      <c r="X74" s="6">
        <f t="shared" si="40"/>
        <v>-23.560000000000002</v>
      </c>
      <c r="Y74" s="2"/>
      <c r="Z74" s="7">
        <f t="shared" si="41"/>
        <v>-1.0230134607034305</v>
      </c>
    </row>
    <row r="75" spans="1:26" s="29" customFormat="1" outlineLevel="1" collapsed="1" x14ac:dyDescent="0.25">
      <c r="A75" s="27"/>
      <c r="B75" s="14" t="str">
        <f>CONCATENATE("     ","Bank/card Fees                                    ")</f>
        <v xml:space="preserve">     Bank/card Fees                                    </v>
      </c>
      <c r="C75" s="14"/>
      <c r="D75" s="1">
        <f>SUM(OSRRefD22_4x_0)</f>
        <v>291.5</v>
      </c>
      <c r="E75" s="1"/>
      <c r="F75" s="5">
        <f t="shared" si="34"/>
        <v>1.5523501462883652E-2</v>
      </c>
      <c r="G75" s="1"/>
      <c r="H75" s="1">
        <f>SUM(OSRRefH22_4x_0)</f>
        <v>566.46</v>
      </c>
      <c r="I75" s="1"/>
      <c r="J75" s="5">
        <f t="shared" si="35"/>
        <v>1.3839807514141302E-2</v>
      </c>
      <c r="K75" s="1"/>
      <c r="L75" s="1">
        <f t="shared" si="36"/>
        <v>-274.96000000000004</v>
      </c>
      <c r="M75" s="1"/>
      <c r="N75" s="5">
        <f t="shared" si="37"/>
        <v>-0.48540055785051023</v>
      </c>
      <c r="O75" s="14"/>
      <c r="P75" s="1">
        <f>SUM(OSRRefP22_4x_0)</f>
        <v>1357.67</v>
      </c>
      <c r="Q75" s="1"/>
      <c r="R75" s="5">
        <f t="shared" si="38"/>
        <v>1.5354460989624057E-2</v>
      </c>
      <c r="S75" s="1"/>
      <c r="T75" s="1">
        <f>SUM(OSRRefT22_4x_0)</f>
        <v>2589.2399999999998</v>
      </c>
      <c r="U75" s="1"/>
      <c r="V75" s="5">
        <f t="shared" si="39"/>
        <v>1.3314448349562528E-2</v>
      </c>
      <c r="W75" s="1"/>
      <c r="X75" s="1">
        <f t="shared" si="40"/>
        <v>-1231.5699999999997</v>
      </c>
      <c r="Y75" s="1"/>
      <c r="Z75" s="5">
        <f t="shared" si="41"/>
        <v>-0.47564922525528719</v>
      </c>
    </row>
    <row r="76" spans="1:26" s="24" customFormat="1" hidden="1" outlineLevel="2" x14ac:dyDescent="0.25">
      <c r="A76" s="28"/>
      <c r="B76" s="11" t="str">
        <f>CONCATENATE("          ", "6381", " - ", "BANK/CREDIT CARD FEES")</f>
        <v xml:space="preserve">          6381 - BANK/CREDIT CARD FEES</v>
      </c>
      <c r="C76" s="11"/>
      <c r="D76" s="6">
        <v>291.5</v>
      </c>
      <c r="E76" s="2"/>
      <c r="F76" s="7">
        <f t="shared" si="34"/>
        <v>1.5523501462883652E-2</v>
      </c>
      <c r="G76" s="2"/>
      <c r="H76" s="6">
        <v>566.46</v>
      </c>
      <c r="I76" s="2"/>
      <c r="J76" s="7">
        <f t="shared" si="35"/>
        <v>1.3839807514141302E-2</v>
      </c>
      <c r="K76" s="2"/>
      <c r="L76" s="6">
        <f t="shared" si="36"/>
        <v>-274.96000000000004</v>
      </c>
      <c r="M76" s="2"/>
      <c r="N76" s="7">
        <f t="shared" si="37"/>
        <v>-0.48540055785051023</v>
      </c>
      <c r="O76" s="11"/>
      <c r="P76" s="6">
        <v>1357.67</v>
      </c>
      <c r="Q76" s="2"/>
      <c r="R76" s="7">
        <f t="shared" si="38"/>
        <v>1.5354460989624057E-2</v>
      </c>
      <c r="S76" s="2"/>
      <c r="T76" s="6">
        <v>2589.2399999999998</v>
      </c>
      <c r="U76" s="2"/>
      <c r="V76" s="7">
        <f t="shared" si="39"/>
        <v>1.3314448349562528E-2</v>
      </c>
      <c r="W76" s="2"/>
      <c r="X76" s="6">
        <f t="shared" si="40"/>
        <v>-1231.5699999999997</v>
      </c>
      <c r="Y76" s="2"/>
      <c r="Z76" s="7">
        <f t="shared" si="41"/>
        <v>-0.47564922525528719</v>
      </c>
    </row>
    <row r="77" spans="1:26" s="29" customFormat="1" outlineLevel="1" collapsed="1" x14ac:dyDescent="0.25">
      <c r="A77" s="27"/>
      <c r="B77" s="14" t="str">
        <f>CONCATENATE("     ","Discounts and Markdowns                           ")</f>
        <v xml:space="preserve">     Discounts and Markdowns                           </v>
      </c>
      <c r="C77" s="14"/>
      <c r="D77" s="1">
        <f>SUM(OSRRefD22_5x_0)</f>
        <v>-830.95</v>
      </c>
      <c r="E77" s="1"/>
      <c r="F77" s="5">
        <f t="shared" si="34"/>
        <v>-4.4251298595482574E-2</v>
      </c>
      <c r="G77" s="1"/>
      <c r="H77" s="1">
        <f>SUM(OSRRefH22_5x_0)</f>
        <v>5568.47</v>
      </c>
      <c r="I77" s="1"/>
      <c r="J77" s="5">
        <f t="shared" si="35"/>
        <v>0.136049417343273</v>
      </c>
      <c r="K77" s="1"/>
      <c r="L77" s="1">
        <f t="shared" si="36"/>
        <v>-6399.42</v>
      </c>
      <c r="M77" s="1"/>
      <c r="N77" s="5">
        <f t="shared" si="37"/>
        <v>-1.1492241136254662</v>
      </c>
      <c r="O77" s="14"/>
      <c r="P77" s="1">
        <f>SUM(OSRRefP22_5x_0)</f>
        <v>0</v>
      </c>
      <c r="Q77" s="1"/>
      <c r="R77" s="5">
        <f t="shared" si="38"/>
        <v>0</v>
      </c>
      <c r="S77" s="1"/>
      <c r="T77" s="1">
        <f>SUM(OSRRefT22_5x_0)</f>
        <v>28224.83</v>
      </c>
      <c r="U77" s="1"/>
      <c r="V77" s="5">
        <f t="shared" si="39"/>
        <v>0.14513835766873018</v>
      </c>
      <c r="W77" s="1"/>
      <c r="X77" s="1">
        <f t="shared" si="40"/>
        <v>-28224.83</v>
      </c>
      <c r="Y77" s="1"/>
      <c r="Z77" s="5">
        <f t="shared" si="41"/>
        <v>-1</v>
      </c>
    </row>
    <row r="78" spans="1:26" s="24" customFormat="1" hidden="1" outlineLevel="2" x14ac:dyDescent="0.25">
      <c r="A78" s="28"/>
      <c r="B78" s="11" t="str">
        <f>CONCATENATE("          ", "6382", " - ", "DISCOUNTS/MARK DOWNS")</f>
        <v xml:space="preserve">          6382 - DISCOUNTS/MARK DOWNS</v>
      </c>
      <c r="C78" s="11"/>
      <c r="D78" s="6">
        <v>-830.95</v>
      </c>
      <c r="E78" s="2"/>
      <c r="F78" s="7">
        <f t="shared" si="34"/>
        <v>-4.4251298595482574E-2</v>
      </c>
      <c r="G78" s="2"/>
      <c r="H78" s="6">
        <v>5568.47</v>
      </c>
      <c r="I78" s="2"/>
      <c r="J78" s="7">
        <f t="shared" si="35"/>
        <v>0.136049417343273</v>
      </c>
      <c r="K78" s="2"/>
      <c r="L78" s="6">
        <f t="shared" si="36"/>
        <v>-6399.42</v>
      </c>
      <c r="M78" s="2"/>
      <c r="N78" s="7">
        <f t="shared" si="37"/>
        <v>-1.1492241136254662</v>
      </c>
      <c r="O78" s="11"/>
      <c r="P78" s="6">
        <v>0</v>
      </c>
      <c r="Q78" s="2"/>
      <c r="R78" s="7">
        <f t="shared" si="38"/>
        <v>0</v>
      </c>
      <c r="S78" s="2"/>
      <c r="T78" s="6">
        <v>28224.83</v>
      </c>
      <c r="U78" s="2"/>
      <c r="V78" s="7">
        <f t="shared" si="39"/>
        <v>0.14513835766873018</v>
      </c>
      <c r="W78" s="2"/>
      <c r="X78" s="6">
        <f t="shared" si="40"/>
        <v>-28224.83</v>
      </c>
      <c r="Y78" s="2"/>
      <c r="Z78" s="7">
        <f t="shared" si="41"/>
        <v>-1</v>
      </c>
    </row>
    <row r="79" spans="1:26" s="29" customFormat="1" outlineLevel="1" collapsed="1" x14ac:dyDescent="0.25">
      <c r="A79" s="27"/>
      <c r="B79" s="14" t="str">
        <f>CONCATENATE("     ","Employees' Appreciation                           ")</f>
        <v xml:space="preserve">     Employees' Appreciation                           </v>
      </c>
      <c r="C79" s="14"/>
      <c r="D79" s="1">
        <f>SUM(OSRRefD22_6x_0)</f>
        <v>0</v>
      </c>
      <c r="E79" s="1"/>
      <c r="F79" s="5">
        <f t="shared" si="34"/>
        <v>0</v>
      </c>
      <c r="G79" s="1"/>
      <c r="H79" s="1">
        <f>SUM(OSRRefH22_6x_0)</f>
        <v>0</v>
      </c>
      <c r="I79" s="1"/>
      <c r="J79" s="5">
        <f t="shared" si="35"/>
        <v>0</v>
      </c>
      <c r="K79" s="1"/>
      <c r="L79" s="1">
        <f t="shared" si="36"/>
        <v>0</v>
      </c>
      <c r="M79" s="1"/>
      <c r="N79" s="5">
        <f t="shared" si="37"/>
        <v>0</v>
      </c>
      <c r="O79" s="14"/>
      <c r="P79" s="1">
        <f>SUM(OSRRefP22_6x_0)</f>
        <v>0</v>
      </c>
      <c r="Q79" s="1"/>
      <c r="R79" s="5">
        <f t="shared" si="38"/>
        <v>0</v>
      </c>
      <c r="S79" s="1"/>
      <c r="T79" s="1">
        <f>SUM(OSRRefT22_6x_0)</f>
        <v>120.93</v>
      </c>
      <c r="U79" s="1"/>
      <c r="V79" s="5">
        <f t="shared" si="39"/>
        <v>6.2184897456882976E-4</v>
      </c>
      <c r="W79" s="1"/>
      <c r="X79" s="1">
        <f t="shared" si="40"/>
        <v>-120.93</v>
      </c>
      <c r="Y79" s="1"/>
      <c r="Z79" s="5">
        <f t="shared" si="41"/>
        <v>-1</v>
      </c>
    </row>
    <row r="80" spans="1:26" s="24" customFormat="1" hidden="1" outlineLevel="2" x14ac:dyDescent="0.25">
      <c r="A80" s="28"/>
      <c r="B80" s="11" t="str">
        <f>CONCATENATE("          ", "6277", " - ", "EMPLOYEE APPRECIATION")</f>
        <v xml:space="preserve">          6277 - EMPLOYEE APPRECIATION</v>
      </c>
      <c r="C80" s="11"/>
      <c r="D80" s="6"/>
      <c r="E80" s="2"/>
      <c r="F80" s="7">
        <f t="shared" si="34"/>
        <v>0</v>
      </c>
      <c r="G80" s="2"/>
      <c r="H80" s="6"/>
      <c r="I80" s="2"/>
      <c r="J80" s="7">
        <f t="shared" si="35"/>
        <v>0</v>
      </c>
      <c r="K80" s="2"/>
      <c r="L80" s="6">
        <f t="shared" si="36"/>
        <v>0</v>
      </c>
      <c r="M80" s="2"/>
      <c r="N80" s="7">
        <f t="shared" si="37"/>
        <v>0</v>
      </c>
      <c r="O80" s="11"/>
      <c r="P80" s="6"/>
      <c r="Q80" s="2"/>
      <c r="R80" s="7">
        <f t="shared" si="38"/>
        <v>0</v>
      </c>
      <c r="S80" s="2"/>
      <c r="T80" s="6">
        <v>120.93</v>
      </c>
      <c r="U80" s="2"/>
      <c r="V80" s="7">
        <f t="shared" si="39"/>
        <v>6.2184897456882976E-4</v>
      </c>
      <c r="W80" s="2"/>
      <c r="X80" s="6">
        <f t="shared" si="40"/>
        <v>-120.93</v>
      </c>
      <c r="Y80" s="2"/>
      <c r="Z80" s="7">
        <f t="shared" si="41"/>
        <v>-1</v>
      </c>
    </row>
    <row r="81" spans="1:26" s="29" customFormat="1" outlineLevel="1" collapsed="1" x14ac:dyDescent="0.25">
      <c r="A81" s="27"/>
      <c r="B81" s="14" t="str">
        <f>CONCATENATE("     ","Insurance                                         ")</f>
        <v xml:space="preserve">     Insurance                                         </v>
      </c>
      <c r="C81" s="14"/>
      <c r="D81" s="1">
        <f>SUM(OSRRefD22_7x_0)</f>
        <v>161.18</v>
      </c>
      <c r="E81" s="1"/>
      <c r="F81" s="5">
        <f t="shared" si="34"/>
        <v>8.5834578586195098E-3</v>
      </c>
      <c r="G81" s="1"/>
      <c r="H81" s="1">
        <f>SUM(OSRRefH22_7x_0)</f>
        <v>161.18</v>
      </c>
      <c r="I81" s="1"/>
      <c r="J81" s="5">
        <f t="shared" si="35"/>
        <v>3.9379659201519875E-3</v>
      </c>
      <c r="K81" s="1"/>
      <c r="L81" s="1">
        <f t="shared" si="36"/>
        <v>0</v>
      </c>
      <c r="M81" s="1"/>
      <c r="N81" s="5">
        <f t="shared" si="37"/>
        <v>0</v>
      </c>
      <c r="O81" s="14"/>
      <c r="P81" s="1">
        <f>SUM(OSRRefP22_7x_0)</f>
        <v>644.72</v>
      </c>
      <c r="Q81" s="1"/>
      <c r="R81" s="5">
        <f t="shared" si="38"/>
        <v>7.2914096129622239E-3</v>
      </c>
      <c r="S81" s="1"/>
      <c r="T81" s="1">
        <f>SUM(OSRRefT22_7x_0)</f>
        <v>644.72</v>
      </c>
      <c r="U81" s="1"/>
      <c r="V81" s="5">
        <f t="shared" si="39"/>
        <v>3.3152937309519218E-3</v>
      </c>
      <c r="W81" s="1"/>
      <c r="X81" s="1">
        <f t="shared" si="40"/>
        <v>0</v>
      </c>
      <c r="Y81" s="1"/>
      <c r="Z81" s="5">
        <f t="shared" si="41"/>
        <v>0</v>
      </c>
    </row>
    <row r="82" spans="1:26" s="24" customFormat="1" hidden="1" outlineLevel="2" x14ac:dyDescent="0.25">
      <c r="A82" s="28"/>
      <c r="B82" s="11" t="str">
        <f>CONCATENATE("          ", "6314", " - ", "LIABILITY INSURANCE")</f>
        <v xml:space="preserve">          6314 - LIABILITY INSURANCE</v>
      </c>
      <c r="C82" s="11"/>
      <c r="D82" s="6">
        <v>161.18</v>
      </c>
      <c r="E82" s="2"/>
      <c r="F82" s="7">
        <f t="shared" si="34"/>
        <v>8.5834578586195098E-3</v>
      </c>
      <c r="G82" s="2"/>
      <c r="H82" s="6">
        <v>161.18</v>
      </c>
      <c r="I82" s="2"/>
      <c r="J82" s="7">
        <f t="shared" si="35"/>
        <v>3.9379659201519875E-3</v>
      </c>
      <c r="K82" s="2"/>
      <c r="L82" s="6">
        <f t="shared" si="36"/>
        <v>0</v>
      </c>
      <c r="M82" s="2"/>
      <c r="N82" s="7">
        <f t="shared" si="37"/>
        <v>0</v>
      </c>
      <c r="O82" s="11"/>
      <c r="P82" s="6">
        <v>644.72</v>
      </c>
      <c r="Q82" s="2"/>
      <c r="R82" s="7">
        <f t="shared" si="38"/>
        <v>7.2914096129622239E-3</v>
      </c>
      <c r="S82" s="2"/>
      <c r="T82" s="6">
        <v>644.72</v>
      </c>
      <c r="U82" s="2"/>
      <c r="V82" s="7">
        <f t="shared" si="39"/>
        <v>3.3152937309519218E-3</v>
      </c>
      <c r="W82" s="2"/>
      <c r="X82" s="6">
        <f t="shared" si="40"/>
        <v>0</v>
      </c>
      <c r="Y82" s="2"/>
      <c r="Z82" s="7">
        <f t="shared" si="41"/>
        <v>0</v>
      </c>
    </row>
    <row r="83" spans="1:26" s="29" customFormat="1" outlineLevel="1" collapsed="1" x14ac:dyDescent="0.25">
      <c r="A83" s="27"/>
      <c r="B83" s="14" t="str">
        <f>CONCATENATE("     ","Inventory Adjustment                              ")</f>
        <v xml:space="preserve">     Inventory Adjustment                              </v>
      </c>
      <c r="C83" s="14"/>
      <c r="D83" s="1">
        <f>SUM(OSRRefD22_8x_0)</f>
        <v>100</v>
      </c>
      <c r="E83" s="1"/>
      <c r="F83" s="5">
        <f t="shared" si="34"/>
        <v>5.3253864366667762E-3</v>
      </c>
      <c r="G83" s="1"/>
      <c r="H83" s="1">
        <f>SUM(OSRRefH22_8x_0)</f>
        <v>300</v>
      </c>
      <c r="I83" s="1"/>
      <c r="J83" s="5">
        <f t="shared" si="35"/>
        <v>7.3296300784563614E-3</v>
      </c>
      <c r="K83" s="1"/>
      <c r="L83" s="1">
        <f t="shared" si="36"/>
        <v>-200</v>
      </c>
      <c r="M83" s="1"/>
      <c r="N83" s="5">
        <f t="shared" si="37"/>
        <v>-0.66666666666666663</v>
      </c>
      <c r="O83" s="14"/>
      <c r="P83" s="1">
        <f>SUM(OSRRefP22_8x_0)</f>
        <v>400</v>
      </c>
      <c r="Q83" s="1"/>
      <c r="R83" s="5">
        <f t="shared" si="38"/>
        <v>4.5237682174973466E-3</v>
      </c>
      <c r="S83" s="1"/>
      <c r="T83" s="1">
        <f>SUM(OSRRefT22_8x_0)</f>
        <v>1200</v>
      </c>
      <c r="U83" s="1"/>
      <c r="V83" s="5">
        <f t="shared" si="39"/>
        <v>6.1706670758504556E-3</v>
      </c>
      <c r="W83" s="1"/>
      <c r="X83" s="1">
        <f t="shared" si="40"/>
        <v>-800</v>
      </c>
      <c r="Y83" s="1"/>
      <c r="Z83" s="5">
        <f t="shared" si="41"/>
        <v>-0.66666666666666663</v>
      </c>
    </row>
    <row r="84" spans="1:26" s="24" customFormat="1" hidden="1" outlineLevel="2" x14ac:dyDescent="0.25">
      <c r="A84" s="28"/>
      <c r="B84" s="11" t="str">
        <f>CONCATENATE("          ", "6408", " - ", "INVENTORY ADJUSTMENT")</f>
        <v xml:space="preserve">          6408 - INVENTORY ADJUSTMENT</v>
      </c>
      <c r="C84" s="11"/>
      <c r="D84" s="6">
        <v>100</v>
      </c>
      <c r="E84" s="2"/>
      <c r="F84" s="7">
        <f t="shared" si="34"/>
        <v>5.3253864366667762E-3</v>
      </c>
      <c r="G84" s="2"/>
      <c r="H84" s="6">
        <v>300</v>
      </c>
      <c r="I84" s="2"/>
      <c r="J84" s="7">
        <f t="shared" si="35"/>
        <v>7.3296300784563614E-3</v>
      </c>
      <c r="K84" s="2"/>
      <c r="L84" s="6">
        <f t="shared" si="36"/>
        <v>-200</v>
      </c>
      <c r="M84" s="2"/>
      <c r="N84" s="7">
        <f t="shared" si="37"/>
        <v>-0.66666666666666663</v>
      </c>
      <c r="O84" s="11"/>
      <c r="P84" s="6">
        <v>400</v>
      </c>
      <c r="Q84" s="2"/>
      <c r="R84" s="7">
        <f t="shared" si="38"/>
        <v>4.5237682174973466E-3</v>
      </c>
      <c r="S84" s="2"/>
      <c r="T84" s="6">
        <v>1200</v>
      </c>
      <c r="U84" s="2"/>
      <c r="V84" s="7">
        <f t="shared" si="39"/>
        <v>6.1706670758504556E-3</v>
      </c>
      <c r="W84" s="2"/>
      <c r="X84" s="6">
        <f t="shared" si="40"/>
        <v>-800</v>
      </c>
      <c r="Y84" s="2"/>
      <c r="Z84" s="7">
        <f t="shared" si="41"/>
        <v>-0.66666666666666663</v>
      </c>
    </row>
    <row r="85" spans="1:26" s="29" customFormat="1" outlineLevel="1" collapsed="1" x14ac:dyDescent="0.25">
      <c r="A85" s="27"/>
      <c r="B85" s="14" t="str">
        <f>CONCATENATE("     ","Professional Services                             ")</f>
        <v xml:space="preserve">     Professional Services                             </v>
      </c>
      <c r="C85" s="14"/>
      <c r="D85" s="1">
        <f>SUM(OSRRefD22_9x_0)</f>
        <v>0</v>
      </c>
      <c r="E85" s="1"/>
      <c r="F85" s="5">
        <f t="shared" si="34"/>
        <v>0</v>
      </c>
      <c r="G85" s="1"/>
      <c r="H85" s="1">
        <f>SUM(OSRRefH22_9x_0)</f>
        <v>0</v>
      </c>
      <c r="I85" s="1"/>
      <c r="J85" s="5">
        <f t="shared" si="35"/>
        <v>0</v>
      </c>
      <c r="K85" s="1"/>
      <c r="L85" s="1">
        <f t="shared" si="36"/>
        <v>0</v>
      </c>
      <c r="M85" s="1"/>
      <c r="N85" s="5">
        <f t="shared" si="37"/>
        <v>0</v>
      </c>
      <c r="O85" s="14"/>
      <c r="P85" s="1">
        <f>SUM(OSRRefP22_9x_0)</f>
        <v>0</v>
      </c>
      <c r="Q85" s="1"/>
      <c r="R85" s="5">
        <f t="shared" si="38"/>
        <v>0</v>
      </c>
      <c r="S85" s="1"/>
      <c r="T85" s="1">
        <f>SUM(OSRRefT22_9x_0)</f>
        <v>750</v>
      </c>
      <c r="U85" s="1"/>
      <c r="V85" s="5">
        <f t="shared" si="39"/>
        <v>3.8566669224065347E-3</v>
      </c>
      <c r="W85" s="1"/>
      <c r="X85" s="1">
        <f t="shared" si="40"/>
        <v>-750</v>
      </c>
      <c r="Y85" s="1"/>
      <c r="Z85" s="5">
        <f t="shared" si="41"/>
        <v>-1</v>
      </c>
    </row>
    <row r="86" spans="1:26" s="24" customFormat="1" hidden="1" outlineLevel="2" x14ac:dyDescent="0.25">
      <c r="A86" s="28"/>
      <c r="B86" s="11" t="str">
        <f>CONCATENATE("          ", "6336", " - ", "PROFESSIONAL SERVICES")</f>
        <v xml:space="preserve">          6336 - PROFESSIONAL SERVICES</v>
      </c>
      <c r="C86" s="11"/>
      <c r="D86" s="6"/>
      <c r="E86" s="2"/>
      <c r="F86" s="7">
        <f t="shared" si="34"/>
        <v>0</v>
      </c>
      <c r="G86" s="2"/>
      <c r="H86" s="6"/>
      <c r="I86" s="2"/>
      <c r="J86" s="7">
        <f t="shared" si="35"/>
        <v>0</v>
      </c>
      <c r="K86" s="2"/>
      <c r="L86" s="6">
        <f t="shared" si="36"/>
        <v>0</v>
      </c>
      <c r="M86" s="2"/>
      <c r="N86" s="7">
        <f t="shared" si="37"/>
        <v>0</v>
      </c>
      <c r="O86" s="11"/>
      <c r="P86" s="6"/>
      <c r="Q86" s="2"/>
      <c r="R86" s="7">
        <f t="shared" si="38"/>
        <v>0</v>
      </c>
      <c r="S86" s="2"/>
      <c r="T86" s="6">
        <v>750</v>
      </c>
      <c r="U86" s="2"/>
      <c r="V86" s="7">
        <f t="shared" si="39"/>
        <v>3.8566669224065347E-3</v>
      </c>
      <c r="W86" s="2"/>
      <c r="X86" s="6">
        <f t="shared" si="40"/>
        <v>-750</v>
      </c>
      <c r="Y86" s="2"/>
      <c r="Z86" s="7">
        <f t="shared" si="41"/>
        <v>-1</v>
      </c>
    </row>
    <row r="87" spans="1:26" s="29" customFormat="1" outlineLevel="1" collapsed="1" x14ac:dyDescent="0.25">
      <c r="A87" s="27"/>
      <c r="B87" s="14" t="str">
        <f>CONCATENATE("     ","Rent                                              ")</f>
        <v xml:space="preserve">     Rent                                              </v>
      </c>
      <c r="C87" s="14"/>
      <c r="D87" s="1">
        <f>SUM(OSRRefD22_10x_0)</f>
        <v>6900</v>
      </c>
      <c r="E87" s="1"/>
      <c r="F87" s="5">
        <f t="shared" si="34"/>
        <v>0.36745166413000752</v>
      </c>
      <c r="G87" s="1"/>
      <c r="H87" s="1">
        <f>SUM(OSRRefH22_10x_0)</f>
        <v>6900</v>
      </c>
      <c r="I87" s="1"/>
      <c r="J87" s="5">
        <f t="shared" si="35"/>
        <v>0.1685814918044963</v>
      </c>
      <c r="K87" s="1"/>
      <c r="L87" s="1">
        <f t="shared" si="36"/>
        <v>0</v>
      </c>
      <c r="M87" s="1"/>
      <c r="N87" s="5">
        <f t="shared" si="37"/>
        <v>0</v>
      </c>
      <c r="O87" s="14"/>
      <c r="P87" s="1">
        <f>SUM(OSRRefP22_10x_0)</f>
        <v>27600</v>
      </c>
      <c r="Q87" s="1"/>
      <c r="R87" s="5">
        <f t="shared" si="38"/>
        <v>0.31214000700731692</v>
      </c>
      <c r="S87" s="1"/>
      <c r="T87" s="1">
        <f>SUM(OSRRefT22_10x_0)</f>
        <v>27600</v>
      </c>
      <c r="U87" s="1"/>
      <c r="V87" s="5">
        <f t="shared" si="39"/>
        <v>0.14192534274456048</v>
      </c>
      <c r="W87" s="1"/>
      <c r="X87" s="1">
        <f t="shared" si="40"/>
        <v>0</v>
      </c>
      <c r="Y87" s="1"/>
      <c r="Z87" s="5">
        <f t="shared" si="41"/>
        <v>0</v>
      </c>
    </row>
    <row r="88" spans="1:26" s="24" customFormat="1" hidden="1" outlineLevel="2" x14ac:dyDescent="0.25">
      <c r="A88" s="28"/>
      <c r="B88" s="11" t="str">
        <f>CONCATENATE("          ", "6273", " - ", "RENT")</f>
        <v xml:space="preserve">          6273 - RENT</v>
      </c>
      <c r="C88" s="11"/>
      <c r="D88" s="6">
        <v>6900</v>
      </c>
      <c r="E88" s="2"/>
      <c r="F88" s="7">
        <f t="shared" si="34"/>
        <v>0.36745166413000752</v>
      </c>
      <c r="G88" s="2"/>
      <c r="H88" s="6">
        <v>6900</v>
      </c>
      <c r="I88" s="2"/>
      <c r="J88" s="7">
        <f t="shared" si="35"/>
        <v>0.1685814918044963</v>
      </c>
      <c r="K88" s="2"/>
      <c r="L88" s="6">
        <f t="shared" si="36"/>
        <v>0</v>
      </c>
      <c r="M88" s="2"/>
      <c r="N88" s="7">
        <f t="shared" si="37"/>
        <v>0</v>
      </c>
      <c r="O88" s="11"/>
      <c r="P88" s="6">
        <v>27600</v>
      </c>
      <c r="Q88" s="2"/>
      <c r="R88" s="7">
        <f t="shared" si="38"/>
        <v>0.31214000700731692</v>
      </c>
      <c r="S88" s="2"/>
      <c r="T88" s="6">
        <v>27600</v>
      </c>
      <c r="U88" s="2"/>
      <c r="V88" s="7">
        <f t="shared" si="39"/>
        <v>0.14192534274456048</v>
      </c>
      <c r="W88" s="2"/>
      <c r="X88" s="6">
        <f t="shared" si="40"/>
        <v>0</v>
      </c>
      <c r="Y88" s="2"/>
      <c r="Z88" s="7">
        <f t="shared" si="41"/>
        <v>0</v>
      </c>
    </row>
    <row r="89" spans="1:26" s="29" customFormat="1" outlineLevel="1" collapsed="1" x14ac:dyDescent="0.25">
      <c r="A89" s="27"/>
      <c r="B89" s="14" t="str">
        <f>CONCATENATE("     ","Repair and Maintenance                            ")</f>
        <v xml:space="preserve">     Repair and Maintenance                            </v>
      </c>
      <c r="C89" s="14"/>
      <c r="D89" s="1">
        <f>SUM(OSRRefD22_11x_0)</f>
        <v>0</v>
      </c>
      <c r="E89" s="1"/>
      <c r="F89" s="5">
        <f t="shared" si="34"/>
        <v>0</v>
      </c>
      <c r="G89" s="1"/>
      <c r="H89" s="1">
        <f>SUM(OSRRefH22_11x_0)</f>
        <v>104.28999999999999</v>
      </c>
      <c r="I89" s="1"/>
      <c r="J89" s="5">
        <f t="shared" si="35"/>
        <v>2.548023736274046E-3</v>
      </c>
      <c r="K89" s="1"/>
      <c r="L89" s="1">
        <f t="shared" si="36"/>
        <v>-104.28999999999999</v>
      </c>
      <c r="M89" s="1"/>
      <c r="N89" s="5">
        <f t="shared" si="37"/>
        <v>-1</v>
      </c>
      <c r="O89" s="14"/>
      <c r="P89" s="1">
        <f>SUM(OSRRefP22_11x_0)</f>
        <v>48.21</v>
      </c>
      <c r="Q89" s="1"/>
      <c r="R89" s="5">
        <f t="shared" si="38"/>
        <v>5.4522716441386774E-4</v>
      </c>
      <c r="S89" s="1"/>
      <c r="T89" s="1">
        <f>SUM(OSRRefT22_11x_0)</f>
        <v>104.28999999999999</v>
      </c>
      <c r="U89" s="1"/>
      <c r="V89" s="5">
        <f t="shared" si="39"/>
        <v>5.3628239111703667E-4</v>
      </c>
      <c r="W89" s="1"/>
      <c r="X89" s="1">
        <f t="shared" si="40"/>
        <v>-56.079999999999991</v>
      </c>
      <c r="Y89" s="1"/>
      <c r="Z89" s="5">
        <f t="shared" si="41"/>
        <v>-0.53773132610988583</v>
      </c>
    </row>
    <row r="90" spans="1:26" s="24" customFormat="1" hidden="1" outlineLevel="2" x14ac:dyDescent="0.25">
      <c r="A90" s="28"/>
      <c r="B90" s="11" t="str">
        <f>CONCATENATE("          ", "6373", " - ", "MAINTENANCE CONTRACTS")</f>
        <v xml:space="preserve">          6373 - MAINTENANCE CONTRACTS</v>
      </c>
      <c r="C90" s="11"/>
      <c r="D90" s="6"/>
      <c r="E90" s="2"/>
      <c r="F90" s="7">
        <f t="shared" si="34"/>
        <v>0</v>
      </c>
      <c r="G90" s="2"/>
      <c r="H90" s="6">
        <v>45.65</v>
      </c>
      <c r="I90" s="2"/>
      <c r="J90" s="7">
        <f t="shared" si="35"/>
        <v>1.115325376938443E-3</v>
      </c>
      <c r="K90" s="2"/>
      <c r="L90" s="6">
        <f t="shared" si="36"/>
        <v>-45.65</v>
      </c>
      <c r="M90" s="2"/>
      <c r="N90" s="7">
        <f t="shared" si="37"/>
        <v>-1</v>
      </c>
      <c r="O90" s="11"/>
      <c r="P90" s="6">
        <v>48.21</v>
      </c>
      <c r="Q90" s="2"/>
      <c r="R90" s="7">
        <f t="shared" si="38"/>
        <v>5.4522716441386774E-4</v>
      </c>
      <c r="S90" s="2"/>
      <c r="T90" s="6">
        <v>45.65</v>
      </c>
      <c r="U90" s="2"/>
      <c r="V90" s="7">
        <f t="shared" si="39"/>
        <v>2.3474246001047776E-4</v>
      </c>
      <c r="W90" s="2"/>
      <c r="X90" s="6">
        <f t="shared" si="40"/>
        <v>2.5600000000000023</v>
      </c>
      <c r="Y90" s="2"/>
      <c r="Z90" s="7">
        <f t="shared" si="41"/>
        <v>5.6078860898138058E-2</v>
      </c>
    </row>
    <row r="91" spans="1:26" s="24" customFormat="1" hidden="1" outlineLevel="2" x14ac:dyDescent="0.25">
      <c r="A91" s="28"/>
      <c r="B91" s="11" t="str">
        <f>CONCATENATE("          ", "6375", " - ", "OUTSIDE REPAIRS &amp; MAINTENANCE")</f>
        <v xml:space="preserve">          6375 - OUTSIDE REPAIRS &amp; MAINTENANCE</v>
      </c>
      <c r="C91" s="11"/>
      <c r="D91" s="6"/>
      <c r="E91" s="2"/>
      <c r="F91" s="7">
        <f t="shared" si="34"/>
        <v>0</v>
      </c>
      <c r="G91" s="2"/>
      <c r="H91" s="6">
        <v>58.64</v>
      </c>
      <c r="I91" s="2"/>
      <c r="J91" s="7">
        <f t="shared" si="35"/>
        <v>1.4326983593356034E-3</v>
      </c>
      <c r="K91" s="2"/>
      <c r="L91" s="6">
        <f t="shared" si="36"/>
        <v>-58.64</v>
      </c>
      <c r="M91" s="2"/>
      <c r="N91" s="7">
        <f t="shared" si="37"/>
        <v>-1</v>
      </c>
      <c r="O91" s="11"/>
      <c r="P91" s="6"/>
      <c r="Q91" s="2"/>
      <c r="R91" s="7">
        <f t="shared" si="38"/>
        <v>0</v>
      </c>
      <c r="S91" s="2"/>
      <c r="T91" s="6">
        <v>58.64</v>
      </c>
      <c r="U91" s="2"/>
      <c r="V91" s="7">
        <f t="shared" si="39"/>
        <v>3.0153993110655896E-4</v>
      </c>
      <c r="W91" s="2"/>
      <c r="X91" s="6">
        <f t="shared" si="40"/>
        <v>-58.64</v>
      </c>
      <c r="Y91" s="2"/>
      <c r="Z91" s="7">
        <f t="shared" si="41"/>
        <v>-1</v>
      </c>
    </row>
    <row r="92" spans="1:26" s="29" customFormat="1" outlineLevel="1" collapsed="1" x14ac:dyDescent="0.25">
      <c r="A92" s="27"/>
      <c r="B92" s="14" t="str">
        <f>CONCATENATE("     ","Services                                          ")</f>
        <v xml:space="preserve">     Services                                          </v>
      </c>
      <c r="C92" s="14"/>
      <c r="D92" s="1">
        <f>SUM(OSRRefD22_12x_0)</f>
        <v>96.860000000000014</v>
      </c>
      <c r="E92" s="1"/>
      <c r="F92" s="5">
        <f t="shared" ref="F92:F95" si="42">IF(D$12=0,0,D92/D$12)</f>
        <v>5.1581693025554397E-3</v>
      </c>
      <c r="G92" s="1"/>
      <c r="H92" s="1">
        <f>SUM(OSRRefH22_12x_0)</f>
        <v>914.53</v>
      </c>
      <c r="I92" s="1"/>
      <c r="J92" s="5">
        <f t="shared" ref="J92:J95" si="43">IF(H$12=0,0,H92/H$12)</f>
        <v>2.2343888652168985E-2</v>
      </c>
      <c r="K92" s="1"/>
      <c r="L92" s="1">
        <f t="shared" ref="L92:L95" si="44">+D92-H92</f>
        <v>-817.67</v>
      </c>
      <c r="M92" s="1"/>
      <c r="N92" s="5">
        <f t="shared" ref="N92:N95" si="45">IF(H92=0,0,L92/H92)</f>
        <v>-0.89408767344975015</v>
      </c>
      <c r="O92" s="14"/>
      <c r="P92" s="1">
        <f>SUM(OSRRefP22_12x_0)</f>
        <v>-12.170000000000073</v>
      </c>
      <c r="Q92" s="1"/>
      <c r="R92" s="5">
        <f t="shared" ref="R92:R95" si="46">IF(P$12=0,0,P92/P$12)</f>
        <v>-1.3763564801735759E-4</v>
      </c>
      <c r="S92" s="1"/>
      <c r="T92" s="1">
        <f>SUM(OSRRefT22_12x_0)</f>
        <v>1638.6399999999999</v>
      </c>
      <c r="U92" s="1"/>
      <c r="V92" s="5">
        <f t="shared" ref="V92:V95" si="47">IF(T$12=0,0,T92/T$12)</f>
        <v>8.4262515809763253E-3</v>
      </c>
      <c r="W92" s="1"/>
      <c r="X92" s="1">
        <f t="shared" ref="X92:X95" si="48">+P92-T92</f>
        <v>-1650.81</v>
      </c>
      <c r="Y92" s="1"/>
      <c r="Z92" s="5">
        <f t="shared" ref="Z92:Z95" si="49">IF(T92=0,0,X92/T92)</f>
        <v>-1.0074268905921984</v>
      </c>
    </row>
    <row r="93" spans="1:26" s="24" customFormat="1" hidden="1" outlineLevel="2" x14ac:dyDescent="0.25">
      <c r="A93" s="28"/>
      <c r="B93" s="11" t="str">
        <f>CONCATENATE("          ", "6283", " - ", "PLANT SERVICE")</f>
        <v xml:space="preserve">          6283 - PLANT SERVICE</v>
      </c>
      <c r="C93" s="11"/>
      <c r="D93" s="6"/>
      <c r="E93" s="2"/>
      <c r="F93" s="7">
        <f t="shared" si="42"/>
        <v>0</v>
      </c>
      <c r="G93" s="2"/>
      <c r="H93" s="6"/>
      <c r="I93" s="2"/>
      <c r="J93" s="7">
        <f t="shared" si="43"/>
        <v>0</v>
      </c>
      <c r="K93" s="2"/>
      <c r="L93" s="6">
        <f t="shared" si="44"/>
        <v>0</v>
      </c>
      <c r="M93" s="2"/>
      <c r="N93" s="7">
        <f t="shared" si="45"/>
        <v>0</v>
      </c>
      <c r="O93" s="11"/>
      <c r="P93" s="6"/>
      <c r="Q93" s="2"/>
      <c r="R93" s="7">
        <f t="shared" si="46"/>
        <v>0</v>
      </c>
      <c r="S93" s="2"/>
      <c r="T93" s="6">
        <v>178.65</v>
      </c>
      <c r="U93" s="2"/>
      <c r="V93" s="7">
        <f t="shared" si="47"/>
        <v>9.1865806091723668E-4</v>
      </c>
      <c r="W93" s="2"/>
      <c r="X93" s="6">
        <f t="shared" si="48"/>
        <v>-178.65</v>
      </c>
      <c r="Y93" s="2"/>
      <c r="Z93" s="7">
        <f t="shared" si="49"/>
        <v>-1</v>
      </c>
    </row>
    <row r="94" spans="1:26" s="24" customFormat="1" hidden="1" outlineLevel="2" x14ac:dyDescent="0.25">
      <c r="A94" s="28"/>
      <c r="B94" s="11" t="str">
        <f>CONCATENATE("          ", "6284", " - ", "TRASH REMOVAL EXPENSE")</f>
        <v xml:space="preserve">          6284 - TRASH REMOVAL EXPENSE</v>
      </c>
      <c r="C94" s="11"/>
      <c r="D94" s="6">
        <v>157.59</v>
      </c>
      <c r="E94" s="2"/>
      <c r="F94" s="7">
        <f t="shared" si="42"/>
        <v>8.3922764855431722E-3</v>
      </c>
      <c r="G94" s="2"/>
      <c r="H94" s="6">
        <v>134.82</v>
      </c>
      <c r="I94" s="2"/>
      <c r="J94" s="7">
        <f t="shared" si="43"/>
        <v>3.2939357572582886E-3</v>
      </c>
      <c r="K94" s="2"/>
      <c r="L94" s="6">
        <f t="shared" si="44"/>
        <v>22.77000000000001</v>
      </c>
      <c r="M94" s="2"/>
      <c r="N94" s="7">
        <f t="shared" si="45"/>
        <v>0.16889185580774374</v>
      </c>
      <c r="O94" s="11"/>
      <c r="P94" s="6">
        <v>585.29999999999995</v>
      </c>
      <c r="Q94" s="2"/>
      <c r="R94" s="7">
        <f t="shared" si="46"/>
        <v>6.6194038442529916E-3</v>
      </c>
      <c r="S94" s="2"/>
      <c r="T94" s="6">
        <v>539.28</v>
      </c>
      <c r="U94" s="2"/>
      <c r="V94" s="7">
        <f t="shared" si="47"/>
        <v>2.7730977838871947E-3</v>
      </c>
      <c r="W94" s="2"/>
      <c r="X94" s="6">
        <f t="shared" si="48"/>
        <v>46.019999999999982</v>
      </c>
      <c r="Y94" s="2"/>
      <c r="Z94" s="7">
        <f t="shared" si="49"/>
        <v>8.533600356030259E-2</v>
      </c>
    </row>
    <row r="95" spans="1:26" s="24" customFormat="1" hidden="1" outlineLevel="2" x14ac:dyDescent="0.25">
      <c r="A95" s="28"/>
      <c r="B95" s="11" t="str">
        <f>CONCATENATE("          ", "6285", " - ", "JANITORIAL SERVICES")</f>
        <v xml:space="preserve">          6285 - JANITORIAL SERVICES</v>
      </c>
      <c r="C95" s="11"/>
      <c r="D95" s="6">
        <v>-60.73</v>
      </c>
      <c r="E95" s="2"/>
      <c r="F95" s="7">
        <f t="shared" si="42"/>
        <v>-3.234107182987733E-3</v>
      </c>
      <c r="G95" s="2"/>
      <c r="H95" s="6">
        <v>779.71</v>
      </c>
      <c r="I95" s="2"/>
      <c r="J95" s="7">
        <f t="shared" si="43"/>
        <v>1.90499528949107E-2</v>
      </c>
      <c r="K95" s="2"/>
      <c r="L95" s="6">
        <f t="shared" si="44"/>
        <v>-840.44</v>
      </c>
      <c r="M95" s="2"/>
      <c r="N95" s="7">
        <f t="shared" si="45"/>
        <v>-1.0778879326929243</v>
      </c>
      <c r="O95" s="11"/>
      <c r="P95" s="6">
        <v>-597.47</v>
      </c>
      <c r="Q95" s="2"/>
      <c r="R95" s="7">
        <f t="shared" si="46"/>
        <v>-6.7570394922703498E-3</v>
      </c>
      <c r="S95" s="2"/>
      <c r="T95" s="6">
        <v>920.71</v>
      </c>
      <c r="U95" s="2"/>
      <c r="V95" s="7">
        <f t="shared" si="47"/>
        <v>4.7344957361718943E-3</v>
      </c>
      <c r="W95" s="2"/>
      <c r="X95" s="6">
        <f t="shared" si="48"/>
        <v>-1518.18</v>
      </c>
      <c r="Y95" s="2"/>
      <c r="Z95" s="7">
        <f t="shared" si="49"/>
        <v>-1.6489231136840048</v>
      </c>
    </row>
    <row r="96" spans="1:26" s="29" customFormat="1" outlineLevel="1" collapsed="1" x14ac:dyDescent="0.25">
      <c r="A96" s="27"/>
      <c r="B96" s="14" t="str">
        <f>CONCATENATE("     ","Subscriptions &amp; Dues                              ")</f>
        <v xml:space="preserve">     Subscriptions &amp; Dues                              </v>
      </c>
      <c r="C96" s="14"/>
      <c r="D96" s="1">
        <f>SUM(OSRRefD22_13x_0)</f>
        <v>75</v>
      </c>
      <c r="E96" s="1"/>
      <c r="F96" s="5">
        <f t="shared" ref="F96:F101" si="50">IF(D$12=0,0,D96/D$12)</f>
        <v>3.9940398275000819E-3</v>
      </c>
      <c r="G96" s="1"/>
      <c r="H96" s="1">
        <f>SUM(OSRRefH22_13x_0)</f>
        <v>75</v>
      </c>
      <c r="I96" s="1"/>
      <c r="J96" s="5">
        <f t="shared" ref="J96:J101" si="51">IF(H$12=0,0,H96/H$12)</f>
        <v>1.8324075196140903E-3</v>
      </c>
      <c r="K96" s="1"/>
      <c r="L96" s="1">
        <f t="shared" ref="L96:L101" si="52">+D96-H96</f>
        <v>0</v>
      </c>
      <c r="M96" s="1"/>
      <c r="N96" s="5">
        <f t="shared" ref="N96:N101" si="53">IF(H96=0,0,L96/H96)</f>
        <v>0</v>
      </c>
      <c r="O96" s="14"/>
      <c r="P96" s="1">
        <f>SUM(OSRRefP22_13x_0)</f>
        <v>150</v>
      </c>
      <c r="Q96" s="1"/>
      <c r="R96" s="5">
        <f t="shared" ref="R96:R101" si="54">IF(P$12=0,0,P96/P$12)</f>
        <v>1.6964130815615051E-3</v>
      </c>
      <c r="S96" s="1"/>
      <c r="T96" s="1">
        <f>SUM(OSRRefT22_13x_0)</f>
        <v>88.42</v>
      </c>
      <c r="U96" s="1"/>
      <c r="V96" s="5">
        <f t="shared" ref="V96:V101" si="55">IF(T$12=0,0,T96/T$12)</f>
        <v>4.5467531903891441E-4</v>
      </c>
      <c r="W96" s="1"/>
      <c r="X96" s="1">
        <f t="shared" ref="X96:X101" si="56">+P96-T96</f>
        <v>61.58</v>
      </c>
      <c r="Y96" s="1"/>
      <c r="Z96" s="5">
        <f t="shared" ref="Z96:Z101" si="57">IF(T96=0,0,X96/T96)</f>
        <v>0.69644876724722915</v>
      </c>
    </row>
    <row r="97" spans="1:26" s="24" customFormat="1" hidden="1" outlineLevel="2" x14ac:dyDescent="0.25">
      <c r="A97" s="28"/>
      <c r="B97" s="11" t="str">
        <f>CONCATENATE("          ", "6275", " - ", "SUBSCRIPTIONS")</f>
        <v xml:space="preserve">          6275 - SUBSCRIPTIONS</v>
      </c>
      <c r="C97" s="11"/>
      <c r="D97" s="6">
        <v>75</v>
      </c>
      <c r="E97" s="2"/>
      <c r="F97" s="7">
        <f t="shared" si="50"/>
        <v>3.9940398275000819E-3</v>
      </c>
      <c r="G97" s="2"/>
      <c r="H97" s="6">
        <v>75</v>
      </c>
      <c r="I97" s="2"/>
      <c r="J97" s="7">
        <f t="shared" si="51"/>
        <v>1.8324075196140903E-3</v>
      </c>
      <c r="K97" s="2"/>
      <c r="L97" s="6">
        <f t="shared" si="52"/>
        <v>0</v>
      </c>
      <c r="M97" s="2"/>
      <c r="N97" s="7">
        <f t="shared" si="53"/>
        <v>0</v>
      </c>
      <c r="O97" s="11"/>
      <c r="P97" s="6">
        <v>150</v>
      </c>
      <c r="Q97" s="2"/>
      <c r="R97" s="7">
        <f t="shared" si="54"/>
        <v>1.6964130815615051E-3</v>
      </c>
      <c r="S97" s="2"/>
      <c r="T97" s="6">
        <v>88.42</v>
      </c>
      <c r="U97" s="2"/>
      <c r="V97" s="7">
        <f t="shared" si="55"/>
        <v>4.5467531903891441E-4</v>
      </c>
      <c r="W97" s="2"/>
      <c r="X97" s="6">
        <f t="shared" si="56"/>
        <v>61.58</v>
      </c>
      <c r="Y97" s="2"/>
      <c r="Z97" s="7">
        <f t="shared" si="57"/>
        <v>0.69644876724722915</v>
      </c>
    </row>
    <row r="98" spans="1:26" s="29" customFormat="1" outlineLevel="1" collapsed="1" x14ac:dyDescent="0.25">
      <c r="A98" s="27"/>
      <c r="B98" s="14" t="str">
        <f>CONCATENATE("     ","Supplies                                          ")</f>
        <v xml:space="preserve">     Supplies                                          </v>
      </c>
      <c r="C98" s="14"/>
      <c r="D98" s="1">
        <f>SUM(OSRRefD22_14x_0)</f>
        <v>52.43</v>
      </c>
      <c r="E98" s="1"/>
      <c r="F98" s="5">
        <f t="shared" si="50"/>
        <v>2.7921001087443907E-3</v>
      </c>
      <c r="G98" s="1"/>
      <c r="H98" s="1">
        <f>SUM(OSRRefH22_14x_0)</f>
        <v>127.15</v>
      </c>
      <c r="I98" s="1"/>
      <c r="J98" s="5">
        <f t="shared" si="51"/>
        <v>3.1065415482524213E-3</v>
      </c>
      <c r="K98" s="1"/>
      <c r="L98" s="1">
        <f t="shared" si="52"/>
        <v>-74.72</v>
      </c>
      <c r="M98" s="1"/>
      <c r="N98" s="5">
        <f t="shared" si="53"/>
        <v>-0.58765237907982693</v>
      </c>
      <c r="O98" s="14"/>
      <c r="P98" s="1">
        <f>SUM(OSRRefP22_14x_0)</f>
        <v>462.4</v>
      </c>
      <c r="Q98" s="1"/>
      <c r="R98" s="5">
        <f t="shared" si="54"/>
        <v>5.2294760594269324E-3</v>
      </c>
      <c r="S98" s="1"/>
      <c r="T98" s="1">
        <f>SUM(OSRRefT22_14x_0)</f>
        <v>1415.04</v>
      </c>
      <c r="U98" s="1"/>
      <c r="V98" s="5">
        <f t="shared" si="55"/>
        <v>7.276450615842857E-3</v>
      </c>
      <c r="W98" s="1"/>
      <c r="X98" s="1">
        <f t="shared" si="56"/>
        <v>-952.64</v>
      </c>
      <c r="Y98" s="1"/>
      <c r="Z98" s="5">
        <f t="shared" si="57"/>
        <v>-0.67322478516508366</v>
      </c>
    </row>
    <row r="99" spans="1:26" s="24" customFormat="1" hidden="1" outlineLevel="2" x14ac:dyDescent="0.25">
      <c r="A99" s="28"/>
      <c r="B99" s="11" t="str">
        <f>CONCATENATE("          ", "6235", " - ", "COVID-19 EXPENSES")</f>
        <v xml:space="preserve">          6235 - COVID-19 EXPENSES</v>
      </c>
      <c r="C99" s="11"/>
      <c r="D99" s="6"/>
      <c r="E99" s="2"/>
      <c r="F99" s="7">
        <f t="shared" si="50"/>
        <v>0</v>
      </c>
      <c r="G99" s="2"/>
      <c r="H99" s="6"/>
      <c r="I99" s="2"/>
      <c r="J99" s="7">
        <f t="shared" si="51"/>
        <v>0</v>
      </c>
      <c r="K99" s="2"/>
      <c r="L99" s="6">
        <f t="shared" si="52"/>
        <v>0</v>
      </c>
      <c r="M99" s="2"/>
      <c r="N99" s="7">
        <f t="shared" si="53"/>
        <v>0</v>
      </c>
      <c r="O99" s="11"/>
      <c r="P99" s="6">
        <v>265.7</v>
      </c>
      <c r="Q99" s="2"/>
      <c r="R99" s="7">
        <f t="shared" si="54"/>
        <v>3.0049130384726124E-3</v>
      </c>
      <c r="S99" s="2"/>
      <c r="T99" s="6"/>
      <c r="U99" s="2"/>
      <c r="V99" s="7">
        <f t="shared" si="55"/>
        <v>0</v>
      </c>
      <c r="W99" s="2"/>
      <c r="X99" s="6">
        <f t="shared" si="56"/>
        <v>265.7</v>
      </c>
      <c r="Y99" s="2"/>
      <c r="Z99" s="7">
        <f t="shared" si="57"/>
        <v>0</v>
      </c>
    </row>
    <row r="100" spans="1:26" s="24" customFormat="1" hidden="1" outlineLevel="2" x14ac:dyDescent="0.25">
      <c r="A100" s="28"/>
      <c r="B100" s="11" t="str">
        <f>CONCATENATE("          ", "6237", " - ", "JANITORIAL SUPPLIES")</f>
        <v xml:space="preserve">          6237 - JANITORIAL SUPPLIES</v>
      </c>
      <c r="C100" s="11"/>
      <c r="D100" s="6">
        <v>52.43</v>
      </c>
      <c r="E100" s="2"/>
      <c r="F100" s="7">
        <f t="shared" si="50"/>
        <v>2.7921001087443907E-3</v>
      </c>
      <c r="G100" s="2"/>
      <c r="H100" s="6">
        <v>83.06</v>
      </c>
      <c r="I100" s="2"/>
      <c r="J100" s="7">
        <f t="shared" si="51"/>
        <v>2.0293302477219512E-3</v>
      </c>
      <c r="K100" s="2"/>
      <c r="L100" s="6">
        <f t="shared" si="52"/>
        <v>-30.630000000000003</v>
      </c>
      <c r="M100" s="2"/>
      <c r="N100" s="7">
        <f t="shared" si="53"/>
        <v>-0.36876956417047918</v>
      </c>
      <c r="O100" s="11"/>
      <c r="P100" s="6">
        <v>191.74</v>
      </c>
      <c r="Q100" s="2"/>
      <c r="R100" s="7">
        <f t="shared" si="54"/>
        <v>2.1684682950573533E-3</v>
      </c>
      <c r="S100" s="2"/>
      <c r="T100" s="6">
        <v>287.72000000000003</v>
      </c>
      <c r="U100" s="2"/>
      <c r="V100" s="7">
        <f t="shared" si="55"/>
        <v>1.4795202758864112E-3</v>
      </c>
      <c r="W100" s="2"/>
      <c r="X100" s="6">
        <f t="shared" si="56"/>
        <v>-95.980000000000018</v>
      </c>
      <c r="Y100" s="2"/>
      <c r="Z100" s="7">
        <f t="shared" si="57"/>
        <v>-0.33358821076046158</v>
      </c>
    </row>
    <row r="101" spans="1:26" s="24" customFormat="1" hidden="1" outlineLevel="2" x14ac:dyDescent="0.25">
      <c r="A101" s="28"/>
      <c r="B101" s="11" t="str">
        <f>CONCATENATE("          ", "6241", " - ", "OFFICE EXPENSE")</f>
        <v xml:space="preserve">          6241 - OFFICE EXPENSE</v>
      </c>
      <c r="C101" s="11"/>
      <c r="D101" s="6"/>
      <c r="E101" s="2"/>
      <c r="F101" s="7">
        <f t="shared" si="50"/>
        <v>0</v>
      </c>
      <c r="G101" s="2"/>
      <c r="H101" s="6">
        <v>44.09</v>
      </c>
      <c r="I101" s="2"/>
      <c r="J101" s="7">
        <f t="shared" si="51"/>
        <v>1.0772113005304699E-3</v>
      </c>
      <c r="K101" s="2"/>
      <c r="L101" s="6">
        <f t="shared" si="52"/>
        <v>-44.09</v>
      </c>
      <c r="M101" s="2"/>
      <c r="N101" s="7">
        <f t="shared" si="53"/>
        <v>-1</v>
      </c>
      <c r="O101" s="11"/>
      <c r="P101" s="6">
        <v>4.96</v>
      </c>
      <c r="Q101" s="2"/>
      <c r="R101" s="7">
        <f t="shared" si="54"/>
        <v>5.6094725896967097E-5</v>
      </c>
      <c r="S101" s="2"/>
      <c r="T101" s="6">
        <v>1127.32</v>
      </c>
      <c r="U101" s="2"/>
      <c r="V101" s="7">
        <f t="shared" si="55"/>
        <v>5.7969303399564463E-3</v>
      </c>
      <c r="W101" s="2"/>
      <c r="X101" s="6">
        <f t="shared" si="56"/>
        <v>-1122.3599999999999</v>
      </c>
      <c r="Y101" s="2"/>
      <c r="Z101" s="7">
        <f t="shared" si="57"/>
        <v>-0.99560018450839161</v>
      </c>
    </row>
    <row r="102" spans="1:26" s="29" customFormat="1" outlineLevel="1" collapsed="1" x14ac:dyDescent="0.25">
      <c r="A102" s="27"/>
      <c r="B102" s="14" t="str">
        <f>CONCATENATE("     ","Telephone/Data Lines                              ")</f>
        <v xml:space="preserve">     Telephone/Data Lines                              </v>
      </c>
      <c r="C102" s="14"/>
      <c r="D102" s="1">
        <f>SUM(OSRRefD22_15x_0)</f>
        <v>281.48</v>
      </c>
      <c r="E102" s="1"/>
      <c r="F102" s="5">
        <f t="shared" ref="F102:F107" si="58">IF(D$12=0,0,D102/D$12)</f>
        <v>1.4989897741929641E-2</v>
      </c>
      <c r="G102" s="1"/>
      <c r="H102" s="1">
        <f>SUM(OSRRefH22_15x_0)</f>
        <v>-562.73</v>
      </c>
      <c r="I102" s="1"/>
      <c r="J102" s="5">
        <f t="shared" ref="J102:J107" si="59">IF(H$12=0,0,H102/H$12)</f>
        <v>-1.3748675780165828E-2</v>
      </c>
      <c r="K102" s="1"/>
      <c r="L102" s="1">
        <f t="shared" ref="L102:L107" si="60">+D102-H102</f>
        <v>844.21</v>
      </c>
      <c r="M102" s="1"/>
      <c r="N102" s="5">
        <f t="shared" ref="N102:N107" si="61">IF(H102=0,0,L102/H102)</f>
        <v>-1.5002043608835498</v>
      </c>
      <c r="O102" s="14"/>
      <c r="P102" s="1">
        <f>SUM(OSRRefP22_15x_0)</f>
        <v>1352.76</v>
      </c>
      <c r="Q102" s="1"/>
      <c r="R102" s="5">
        <f t="shared" ref="R102:R107" si="62">IF(P$12=0,0,P102/P$12)</f>
        <v>1.5298931734754277E-2</v>
      </c>
      <c r="S102" s="1"/>
      <c r="T102" s="1">
        <f>SUM(OSRRefT22_15x_0)</f>
        <v>1414.17</v>
      </c>
      <c r="U102" s="1"/>
      <c r="V102" s="5">
        <f t="shared" ref="V102:V107" si="63">IF(T$12=0,0,T102/T$12)</f>
        <v>7.2719768822128664E-3</v>
      </c>
      <c r="W102" s="1"/>
      <c r="X102" s="1">
        <f t="shared" ref="X102:X107" si="64">+P102-T102</f>
        <v>-61.410000000000082</v>
      </c>
      <c r="Y102" s="1"/>
      <c r="Z102" s="5">
        <f t="shared" ref="Z102:Z107" si="65">IF(T102=0,0,X102/T102)</f>
        <v>-4.3424765056534982E-2</v>
      </c>
    </row>
    <row r="103" spans="1:26" s="24" customFormat="1" hidden="1" outlineLevel="2" x14ac:dyDescent="0.25">
      <c r="A103" s="28"/>
      <c r="B103" s="11" t="str">
        <f>CONCATENATE("          ", "6309", " - ", "TELEPHONE")</f>
        <v xml:space="preserve">          6309 - TELEPHONE</v>
      </c>
      <c r="C103" s="11"/>
      <c r="D103" s="6">
        <v>281.48</v>
      </c>
      <c r="E103" s="2"/>
      <c r="F103" s="7">
        <f t="shared" si="58"/>
        <v>1.4989897741929641E-2</v>
      </c>
      <c r="G103" s="2"/>
      <c r="H103" s="6">
        <v>-562.73</v>
      </c>
      <c r="I103" s="2"/>
      <c r="J103" s="7">
        <f t="shared" si="59"/>
        <v>-1.3748675780165828E-2</v>
      </c>
      <c r="K103" s="2"/>
      <c r="L103" s="6">
        <f t="shared" si="60"/>
        <v>844.21</v>
      </c>
      <c r="M103" s="2"/>
      <c r="N103" s="7">
        <f t="shared" si="61"/>
        <v>-1.5002043608835498</v>
      </c>
      <c r="O103" s="11"/>
      <c r="P103" s="6">
        <v>1352.76</v>
      </c>
      <c r="Q103" s="2"/>
      <c r="R103" s="7">
        <f t="shared" si="62"/>
        <v>1.5298931734754277E-2</v>
      </c>
      <c r="S103" s="2"/>
      <c r="T103" s="6">
        <v>1414.17</v>
      </c>
      <c r="U103" s="2"/>
      <c r="V103" s="7">
        <f t="shared" si="63"/>
        <v>7.2719768822128664E-3</v>
      </c>
      <c r="W103" s="2"/>
      <c r="X103" s="6">
        <f t="shared" si="64"/>
        <v>-61.410000000000082</v>
      </c>
      <c r="Y103" s="2"/>
      <c r="Z103" s="7">
        <f t="shared" si="65"/>
        <v>-4.3424765056534982E-2</v>
      </c>
    </row>
    <row r="104" spans="1:26" s="29" customFormat="1" outlineLevel="1" collapsed="1" x14ac:dyDescent="0.25">
      <c r="A104" s="27"/>
      <c r="B104" s="14" t="str">
        <f>CONCATENATE("     ","Travel                                            ")</f>
        <v xml:space="preserve">     Travel                                            </v>
      </c>
      <c r="C104" s="14"/>
      <c r="D104" s="1">
        <f>SUM(OSRRefD22_16x_0)</f>
        <v>80.959999999999994</v>
      </c>
      <c r="E104" s="1"/>
      <c r="F104" s="5">
        <f t="shared" si="58"/>
        <v>4.3114328591254214E-3</v>
      </c>
      <c r="G104" s="1"/>
      <c r="H104" s="1">
        <f>SUM(OSRRefH22_16x_0)</f>
        <v>334.37</v>
      </c>
      <c r="I104" s="1"/>
      <c r="J104" s="5">
        <f t="shared" si="59"/>
        <v>8.1693613644448458E-3</v>
      </c>
      <c r="K104" s="1"/>
      <c r="L104" s="1">
        <f t="shared" si="60"/>
        <v>-253.41000000000003</v>
      </c>
      <c r="M104" s="1"/>
      <c r="N104" s="5">
        <f t="shared" si="61"/>
        <v>-0.75787301492358772</v>
      </c>
      <c r="O104" s="14"/>
      <c r="P104" s="1">
        <f>SUM(OSRRefP22_16x_0)</f>
        <v>321.88</v>
      </c>
      <c r="Q104" s="1"/>
      <c r="R104" s="5">
        <f t="shared" si="62"/>
        <v>3.6402762846201148E-3</v>
      </c>
      <c r="S104" s="1"/>
      <c r="T104" s="1">
        <f>SUM(OSRRefT22_16x_0)</f>
        <v>436.47</v>
      </c>
      <c r="U104" s="1"/>
      <c r="V104" s="5">
        <f t="shared" si="63"/>
        <v>2.2444258821637071E-3</v>
      </c>
      <c r="W104" s="1"/>
      <c r="X104" s="1">
        <f t="shared" si="64"/>
        <v>-114.59000000000003</v>
      </c>
      <c r="Y104" s="1"/>
      <c r="Z104" s="5">
        <f t="shared" si="65"/>
        <v>-0.26253808967397535</v>
      </c>
    </row>
    <row r="105" spans="1:26" s="24" customFormat="1" hidden="1" outlineLevel="2" x14ac:dyDescent="0.25">
      <c r="A105" s="28"/>
      <c r="B105" s="11" t="str">
        <f>CONCATENATE("          ", "6294", " - ", "TRAVEL OPERATIONAL")</f>
        <v xml:space="preserve">          6294 - TRAVEL OPERATIONAL</v>
      </c>
      <c r="C105" s="11"/>
      <c r="D105" s="6">
        <v>80.959999999999994</v>
      </c>
      <c r="E105" s="2"/>
      <c r="F105" s="7">
        <f t="shared" si="58"/>
        <v>4.3114328591254214E-3</v>
      </c>
      <c r="G105" s="2"/>
      <c r="H105" s="6">
        <v>334.37</v>
      </c>
      <c r="I105" s="2"/>
      <c r="J105" s="7">
        <f t="shared" si="59"/>
        <v>8.1693613644448458E-3</v>
      </c>
      <c r="K105" s="2"/>
      <c r="L105" s="6">
        <f t="shared" si="60"/>
        <v>-253.41000000000003</v>
      </c>
      <c r="M105" s="2"/>
      <c r="N105" s="7">
        <f t="shared" si="61"/>
        <v>-0.75787301492358772</v>
      </c>
      <c r="O105" s="11"/>
      <c r="P105" s="6">
        <v>321.88</v>
      </c>
      <c r="Q105" s="2"/>
      <c r="R105" s="7">
        <f t="shared" si="62"/>
        <v>3.6402762846201148E-3</v>
      </c>
      <c r="S105" s="2"/>
      <c r="T105" s="6">
        <v>436.47</v>
      </c>
      <c r="U105" s="2"/>
      <c r="V105" s="7">
        <f t="shared" si="63"/>
        <v>2.2444258821637071E-3</v>
      </c>
      <c r="W105" s="2"/>
      <c r="X105" s="6">
        <f t="shared" si="64"/>
        <v>-114.59000000000003</v>
      </c>
      <c r="Y105" s="2"/>
      <c r="Z105" s="7">
        <f t="shared" si="65"/>
        <v>-0.26253808967397535</v>
      </c>
    </row>
    <row r="106" spans="1:26" s="29" customFormat="1" outlineLevel="1" collapsed="1" x14ac:dyDescent="0.25">
      <c r="A106" s="27"/>
      <c r="B106" s="14" t="str">
        <f>CONCATENATE("     ","Utilities                                         ")</f>
        <v xml:space="preserve">     Utilities                                         </v>
      </c>
      <c r="C106" s="14"/>
      <c r="D106" s="1">
        <f>SUM(OSRRefD22_17x_0)</f>
        <v>16.05</v>
      </c>
      <c r="E106" s="1"/>
      <c r="F106" s="5">
        <f t="shared" si="58"/>
        <v>8.5472452308501753E-4</v>
      </c>
      <c r="G106" s="1"/>
      <c r="H106" s="1">
        <f>SUM(OSRRefH22_17x_0)</f>
        <v>43.86</v>
      </c>
      <c r="I106" s="1"/>
      <c r="J106" s="5">
        <f t="shared" si="59"/>
        <v>1.07159191747032E-3</v>
      </c>
      <c r="K106" s="1"/>
      <c r="L106" s="1">
        <f t="shared" si="60"/>
        <v>-27.81</v>
      </c>
      <c r="M106" s="1"/>
      <c r="N106" s="5">
        <f t="shared" si="61"/>
        <v>-0.63406292749658</v>
      </c>
      <c r="O106" s="14"/>
      <c r="P106" s="1">
        <f>SUM(OSRRefP22_17x_0)</f>
        <v>84.41</v>
      </c>
      <c r="Q106" s="1"/>
      <c r="R106" s="5">
        <f t="shared" si="62"/>
        <v>9.5462818809737753E-4</v>
      </c>
      <c r="S106" s="1"/>
      <c r="T106" s="1">
        <f>SUM(OSRRefT22_17x_0)</f>
        <v>195.66</v>
      </c>
      <c r="U106" s="1"/>
      <c r="V106" s="5">
        <f t="shared" si="63"/>
        <v>1.0061272667174167E-3</v>
      </c>
      <c r="W106" s="1"/>
      <c r="X106" s="1">
        <f t="shared" si="64"/>
        <v>-111.25</v>
      </c>
      <c r="Y106" s="1"/>
      <c r="Z106" s="5">
        <f t="shared" si="65"/>
        <v>-0.56858836757640807</v>
      </c>
    </row>
    <row r="107" spans="1:26" s="24" customFormat="1" hidden="1" outlineLevel="2" x14ac:dyDescent="0.25">
      <c r="A107" s="28"/>
      <c r="B107" s="11" t="str">
        <f>CONCATENATE("          ", "6274", " - ", "UTILITIES")</f>
        <v xml:space="preserve">          6274 - UTILITIES</v>
      </c>
      <c r="C107" s="11"/>
      <c r="D107" s="6">
        <v>16.05</v>
      </c>
      <c r="E107" s="2"/>
      <c r="F107" s="7">
        <f t="shared" si="58"/>
        <v>8.5472452308501753E-4</v>
      </c>
      <c r="G107" s="2"/>
      <c r="H107" s="6">
        <v>43.86</v>
      </c>
      <c r="I107" s="2"/>
      <c r="J107" s="7">
        <f t="shared" si="59"/>
        <v>1.07159191747032E-3</v>
      </c>
      <c r="K107" s="2"/>
      <c r="L107" s="6">
        <f t="shared" si="60"/>
        <v>-27.81</v>
      </c>
      <c r="M107" s="2"/>
      <c r="N107" s="7">
        <f t="shared" si="61"/>
        <v>-0.63406292749658</v>
      </c>
      <c r="O107" s="11"/>
      <c r="P107" s="6">
        <v>84.41</v>
      </c>
      <c r="Q107" s="2"/>
      <c r="R107" s="7">
        <f t="shared" si="62"/>
        <v>9.5462818809737753E-4</v>
      </c>
      <c r="S107" s="2"/>
      <c r="T107" s="6">
        <v>195.66</v>
      </c>
      <c r="U107" s="2"/>
      <c r="V107" s="7">
        <f t="shared" si="63"/>
        <v>1.0061272667174167E-3</v>
      </c>
      <c r="W107" s="2"/>
      <c r="X107" s="6">
        <f t="shared" si="64"/>
        <v>-111.25</v>
      </c>
      <c r="Y107" s="2"/>
      <c r="Z107" s="7">
        <f t="shared" si="65"/>
        <v>-0.56858836757640807</v>
      </c>
    </row>
    <row r="108" spans="1:26" s="57" customFormat="1" x14ac:dyDescent="0.25">
      <c r="A108" s="37"/>
      <c r="B108" s="37"/>
      <c r="C108" s="37"/>
      <c r="D108" s="1"/>
      <c r="E108" s="1"/>
      <c r="F108" s="5"/>
      <c r="G108" s="1"/>
      <c r="H108" s="1"/>
      <c r="I108" s="1"/>
      <c r="J108" s="5"/>
      <c r="K108" s="1"/>
      <c r="L108" s="1"/>
      <c r="M108" s="1"/>
      <c r="N108" s="5"/>
      <c r="O108" s="37"/>
      <c r="P108" s="1"/>
      <c r="Q108" s="1"/>
      <c r="R108" s="5"/>
      <c r="S108" s="1"/>
      <c r="T108" s="1"/>
      <c r="U108" s="1"/>
      <c r="V108" s="5"/>
      <c r="W108" s="1"/>
      <c r="X108" s="1"/>
      <c r="Y108" s="1"/>
      <c r="Z108" s="5"/>
    </row>
    <row r="109" spans="1:26" s="23" customFormat="1" x14ac:dyDescent="0.25">
      <c r="A109" s="10"/>
      <c r="B109" s="26" t="s">
        <v>0</v>
      </c>
      <c r="C109" s="10"/>
      <c r="D109" s="4">
        <f>SUM(0)</f>
        <v>0</v>
      </c>
      <c r="E109" s="4"/>
      <c r="F109" s="12">
        <f>IF(D$12=0,0,D109/D$12)</f>
        <v>0</v>
      </c>
      <c r="G109" s="4"/>
      <c r="H109" s="4">
        <f>SUM(0)</f>
        <v>0</v>
      </c>
      <c r="I109" s="4"/>
      <c r="J109" s="12">
        <f>IF(H$12=0,0,H109/H$12)</f>
        <v>0</v>
      </c>
      <c r="K109" s="4"/>
      <c r="L109" s="4">
        <f>+D109-H109</f>
        <v>0</v>
      </c>
      <c r="M109" s="4"/>
      <c r="N109" s="12">
        <f>IF(H109=0,0,L109/H109)</f>
        <v>0</v>
      </c>
      <c r="O109" s="10"/>
      <c r="P109" s="4">
        <f>SUM(0)</f>
        <v>0</v>
      </c>
      <c r="Q109" s="4"/>
      <c r="R109" s="12">
        <f>IF(P$12=0,0,P109/P$12)</f>
        <v>0</v>
      </c>
      <c r="S109" s="4"/>
      <c r="T109" s="4">
        <f>SUM(0)</f>
        <v>0</v>
      </c>
      <c r="U109" s="4"/>
      <c r="V109" s="12">
        <f>IF(T$12=0,0,T109/T$12)</f>
        <v>0</v>
      </c>
      <c r="W109" s="4"/>
      <c r="X109" s="4">
        <f>+P109-T109</f>
        <v>0</v>
      </c>
      <c r="Y109" s="4"/>
      <c r="Z109" s="12">
        <f>IF(T109=0,0,X109/T109)</f>
        <v>0</v>
      </c>
    </row>
    <row r="110" spans="1:26" x14ac:dyDescent="0.25">
      <c r="A110" s="9"/>
      <c r="B110" s="10"/>
      <c r="C110" s="10"/>
      <c r="D110" s="3"/>
      <c r="E110" s="3"/>
      <c r="F110" s="8"/>
      <c r="G110" s="3"/>
      <c r="H110" s="3"/>
      <c r="I110" s="3"/>
      <c r="J110" s="8"/>
      <c r="K110" s="3"/>
      <c r="L110" s="3"/>
      <c r="M110" s="3"/>
      <c r="N110" s="8"/>
      <c r="O110" s="10"/>
      <c r="P110" s="3"/>
      <c r="Q110" s="3"/>
      <c r="R110" s="8"/>
      <c r="S110" s="3"/>
      <c r="T110" s="3"/>
      <c r="U110" s="3"/>
      <c r="V110" s="8"/>
      <c r="W110" s="3"/>
      <c r="X110" s="3"/>
      <c r="Y110" s="3"/>
      <c r="Z110" s="8"/>
    </row>
    <row r="111" spans="1:26" s="23" customFormat="1" x14ac:dyDescent="0.25">
      <c r="A111" s="10"/>
      <c r="B111" s="25" t="s">
        <v>3</v>
      </c>
      <c r="C111" s="25"/>
      <c r="D111" s="20">
        <f>+D53-D55+D109</f>
        <v>-11315.929999999997</v>
      </c>
      <c r="E111" s="13"/>
      <c r="F111" s="21">
        <f>IF(D$12=0,0,D111/D$12)</f>
        <v>-0.60261700140270646</v>
      </c>
      <c r="G111" s="13"/>
      <c r="H111" s="20">
        <f>+H53-H55+H109</f>
        <v>-6657.2400000000016</v>
      </c>
      <c r="I111" s="13"/>
      <c r="J111" s="21">
        <f>IF(H$12=0,0,H111/H$12)</f>
        <v>-0.16265035514500947</v>
      </c>
      <c r="K111" s="15"/>
      <c r="L111" s="20">
        <f>+D111-H111</f>
        <v>-4658.6899999999951</v>
      </c>
      <c r="M111" s="15"/>
      <c r="N111" s="21">
        <f>IF(H111=0,0,L111/H111)</f>
        <v>0.69979300731233873</v>
      </c>
      <c r="O111" s="26"/>
      <c r="P111" s="20">
        <f>+P53-P55+P109</f>
        <v>-32776.100000000006</v>
      </c>
      <c r="Q111" s="13"/>
      <c r="R111" s="21">
        <f>IF(P$12=0,0,P111/P$12)</f>
        <v>-0.370678698683787</v>
      </c>
      <c r="S111" s="13"/>
      <c r="T111" s="20">
        <f>+T53-T55+T109</f>
        <v>-7673.1699999999691</v>
      </c>
      <c r="U111" s="13"/>
      <c r="V111" s="21">
        <f>IF(T$12=0,0,T111/T$12)</f>
        <v>-3.945714790533604E-2</v>
      </c>
      <c r="W111" s="15"/>
      <c r="X111" s="20">
        <f>+P111-T111</f>
        <v>-25102.930000000037</v>
      </c>
      <c r="Y111" s="15"/>
      <c r="Z111" s="21">
        <f>IF(T111=0,0,X111/T111)</f>
        <v>3.2715201148938622</v>
      </c>
    </row>
    <row r="112" spans="1:26" x14ac:dyDescent="0.25">
      <c r="A112" s="9"/>
      <c r="B112" s="10"/>
      <c r="C112" s="9"/>
      <c r="D112" s="3"/>
      <c r="E112" s="3"/>
      <c r="F112" s="8"/>
      <c r="G112" s="3"/>
      <c r="H112" s="3"/>
      <c r="I112" s="3"/>
      <c r="J112" s="8"/>
      <c r="K112" s="3"/>
      <c r="L112" s="3"/>
      <c r="M112" s="3"/>
      <c r="N112" s="8"/>
      <c r="P112" s="3"/>
      <c r="Q112" s="3"/>
      <c r="R112" s="8"/>
      <c r="S112" s="3"/>
      <c r="T112" s="3"/>
      <c r="U112" s="3"/>
      <c r="V112" s="8"/>
      <c r="W112" s="3"/>
      <c r="X112" s="3"/>
      <c r="Y112" s="3"/>
      <c r="Z112" s="8"/>
    </row>
    <row r="113" spans="1:26" s="23" customFormat="1" x14ac:dyDescent="0.25">
      <c r="A113" s="51"/>
      <c r="B113" s="10" t="s">
        <v>13</v>
      </c>
      <c r="C113" s="10"/>
      <c r="D113" s="4">
        <v>6252.2</v>
      </c>
      <c r="E113" s="4"/>
      <c r="F113" s="12">
        <f>IF(D$12=0,0,D113/D$12)</f>
        <v>0.33295381079328012</v>
      </c>
      <c r="G113" s="4"/>
      <c r="H113" s="4">
        <v>3083.6</v>
      </c>
      <c r="I113" s="4"/>
      <c r="J113" s="12">
        <f>IF(H$12=0,0,H113/H$12)</f>
        <v>7.533882436642679E-2</v>
      </c>
      <c r="K113" s="4"/>
      <c r="L113" s="4">
        <f>+D113-H113</f>
        <v>3168.6</v>
      </c>
      <c r="M113" s="4"/>
      <c r="N113" s="12">
        <f>IF(H113=0,0,L113/H113)</f>
        <v>1.0275651835516928</v>
      </c>
      <c r="O113" s="10"/>
      <c r="P113" s="4">
        <v>19154.080000000002</v>
      </c>
      <c r="Q113" s="4"/>
      <c r="R113" s="12">
        <f>IF(P$12=0,0,P113/P$12)</f>
        <v>0.21662154584850396</v>
      </c>
      <c r="S113" s="4"/>
      <c r="T113" s="4">
        <v>19575.689999999999</v>
      </c>
      <c r="U113" s="4"/>
      <c r="V113" s="12">
        <f>IF(T$12=0,0,T113/T$12)</f>
        <v>0.10066255480837917</v>
      </c>
      <c r="W113" s="4"/>
      <c r="X113" s="4">
        <f>+P113-T113</f>
        <v>-421.60999999999694</v>
      </c>
      <c r="Y113" s="4"/>
      <c r="Z113" s="12">
        <f>IF(T113=0,0,X113/T113)</f>
        <v>-2.1537427288642035E-2</v>
      </c>
    </row>
    <row r="114" spans="1:26" x14ac:dyDescent="0.25">
      <c r="A114" s="9"/>
      <c r="B114" s="10"/>
      <c r="C114" s="10"/>
      <c r="D114" s="3"/>
      <c r="E114" s="3"/>
      <c r="F114" s="8"/>
      <c r="G114" s="3"/>
      <c r="H114" s="3"/>
      <c r="I114" s="3"/>
      <c r="J114" s="8"/>
      <c r="K114" s="3"/>
      <c r="L114" s="3"/>
      <c r="M114" s="3"/>
      <c r="N114" s="8"/>
      <c r="O114" s="10"/>
      <c r="P114" s="3"/>
      <c r="Q114" s="3"/>
      <c r="R114" s="8"/>
      <c r="S114" s="3"/>
      <c r="T114" s="3"/>
      <c r="U114" s="3"/>
      <c r="V114" s="8"/>
      <c r="W114" s="3"/>
      <c r="X114" s="3"/>
      <c r="Y114" s="3"/>
      <c r="Z114" s="8"/>
    </row>
    <row r="115" spans="1:26" s="23" customFormat="1" ht="15.75" thickBot="1" x14ac:dyDescent="0.3">
      <c r="A115" s="10"/>
      <c r="B115" s="25" t="s">
        <v>4</v>
      </c>
      <c r="C115" s="25"/>
      <c r="D115" s="30">
        <f>+D111-D113</f>
        <v>-17568.129999999997</v>
      </c>
      <c r="E115" s="13"/>
      <c r="F115" s="33">
        <f>IF(D$12=0,0,D115/D$12)</f>
        <v>-0.9355708121959867</v>
      </c>
      <c r="G115" s="13"/>
      <c r="H115" s="30">
        <f>+H111-H113</f>
        <v>-9740.840000000002</v>
      </c>
      <c r="I115" s="13"/>
      <c r="J115" s="33">
        <f>IF(H$12=0,0,H115/H$12)</f>
        <v>-0.23798917951143625</v>
      </c>
      <c r="K115" s="15"/>
      <c r="L115" s="30">
        <f>D115-H115</f>
        <v>-7827.2899999999954</v>
      </c>
      <c r="M115" s="15"/>
      <c r="N115" s="33">
        <f>IF(H115=0,0,L115/H115)</f>
        <v>0.80355390294882101</v>
      </c>
      <c r="O115" s="26"/>
      <c r="P115" s="30">
        <f>+P111-P113</f>
        <v>-51930.180000000008</v>
      </c>
      <c r="Q115" s="13"/>
      <c r="R115" s="33">
        <f>IF(P$12=0,0,P115/P$12)</f>
        <v>-0.58730024453229102</v>
      </c>
      <c r="S115" s="13"/>
      <c r="T115" s="30">
        <f>+T111-T113</f>
        <v>-27248.859999999968</v>
      </c>
      <c r="U115" s="13"/>
      <c r="V115" s="33">
        <f>IF(T$12=0,0,T115/T$12)</f>
        <v>-0.14011970271371521</v>
      </c>
      <c r="W115" s="15"/>
      <c r="X115" s="30">
        <f>P115-T115</f>
        <v>-24681.32000000004</v>
      </c>
      <c r="Y115" s="15"/>
      <c r="Z115" s="33">
        <f>IF(T115=0,0,X115/T115)</f>
        <v>0.90577440670912723</v>
      </c>
    </row>
    <row r="116" spans="1:26" ht="15.75" thickTop="1" x14ac:dyDescent="0.25">
      <c r="A116" s="9"/>
      <c r="B116" s="9"/>
      <c r="C116" s="9"/>
      <c r="D116" s="3"/>
      <c r="E116" s="3"/>
      <c r="F116" s="8"/>
      <c r="G116" s="3"/>
      <c r="H116" s="3"/>
      <c r="I116" s="3"/>
      <c r="J116" s="8"/>
      <c r="K116" s="3"/>
      <c r="L116" s="3"/>
      <c r="M116" s="3"/>
      <c r="N116" s="8"/>
      <c r="P116" s="3"/>
      <c r="Q116" s="3"/>
      <c r="R116" s="8"/>
      <c r="S116" s="3"/>
      <c r="T116" s="3"/>
      <c r="U116" s="3"/>
      <c r="V116" s="8"/>
      <c r="W116" s="3"/>
      <c r="X116" s="3"/>
      <c r="Y116" s="3"/>
      <c r="Z116" s="8"/>
    </row>
    <row r="117" spans="1:26" x14ac:dyDescent="0.25">
      <c r="A117" s="9"/>
      <c r="B117" s="9"/>
      <c r="C117" s="9"/>
      <c r="D117" s="3"/>
      <c r="E117" s="3"/>
      <c r="F117" s="8"/>
      <c r="G117" s="3"/>
      <c r="H117" s="3"/>
      <c r="I117" s="3"/>
      <c r="J117" s="8"/>
      <c r="K117" s="3"/>
      <c r="L117" s="3"/>
      <c r="M117" s="3"/>
      <c r="N117" s="8"/>
      <c r="P117" s="3"/>
      <c r="Q117" s="3"/>
      <c r="R117" s="8"/>
      <c r="S117" s="3"/>
      <c r="T117" s="3"/>
      <c r="U117" s="3"/>
      <c r="V117" s="8"/>
      <c r="W117" s="3"/>
      <c r="X117" s="3"/>
      <c r="Y117" s="3"/>
      <c r="Z117" s="8"/>
    </row>
    <row r="118" spans="1:26" s="23" customFormat="1" ht="15.75" thickBot="1" x14ac:dyDescent="0.3">
      <c r="A118" s="10"/>
      <c r="B118" s="25" t="s">
        <v>5</v>
      </c>
      <c r="C118" s="25"/>
      <c r="D118" s="34">
        <f>SUM(D115:D117)</f>
        <v>-17568.129999999997</v>
      </c>
      <c r="E118" s="13"/>
      <c r="F118" s="35">
        <f>IF(D$12=0,0,D118/D$12)</f>
        <v>-0.9355708121959867</v>
      </c>
      <c r="G118" s="13"/>
      <c r="H118" s="34">
        <f>SUM(H115:H117)</f>
        <v>-9740.840000000002</v>
      </c>
      <c r="I118" s="13"/>
      <c r="J118" s="35">
        <f>IF(H$12=0,0,H118/H$12)</f>
        <v>-0.23798917951143625</v>
      </c>
      <c r="K118" s="15"/>
      <c r="L118" s="34">
        <f>+D118-H118</f>
        <v>-7827.2899999999954</v>
      </c>
      <c r="M118" s="15"/>
      <c r="N118" s="35">
        <f>IF(H118=0,0,L118/H118)</f>
        <v>0.80355390294882101</v>
      </c>
      <c r="O118" s="26"/>
      <c r="P118" s="34">
        <f>SUM(P115:P117)</f>
        <v>-51930.180000000008</v>
      </c>
      <c r="Q118" s="13"/>
      <c r="R118" s="35">
        <f>IF(P$12=0,0,P118/P$12)</f>
        <v>-0.58730024453229102</v>
      </c>
      <c r="S118" s="13"/>
      <c r="T118" s="34">
        <f>SUM(T115:T117)</f>
        <v>-27248.859999999968</v>
      </c>
      <c r="U118" s="13"/>
      <c r="V118" s="35">
        <f>IF(T$12=0,0,T118/T$12)</f>
        <v>-0.14011970271371521</v>
      </c>
      <c r="W118" s="15"/>
      <c r="X118" s="34">
        <f>+P118-T118</f>
        <v>-24681.32000000004</v>
      </c>
      <c r="Y118" s="15"/>
      <c r="Z118" s="35">
        <f>IF(T118=0,0,X118/T118)</f>
        <v>0.90577440670912723</v>
      </c>
    </row>
    <row r="119" spans="1:26" ht="15.75" thickTop="1" x14ac:dyDescent="0.25">
      <c r="A119" s="9"/>
      <c r="C119" s="9"/>
      <c r="D119" s="18"/>
      <c r="E119" s="18"/>
      <c r="G119" s="18"/>
      <c r="H119" s="18"/>
      <c r="I119" s="18"/>
      <c r="J119" s="43"/>
      <c r="K119" s="18"/>
      <c r="L119" s="18"/>
      <c r="M119" s="18"/>
      <c r="P119" s="18"/>
      <c r="Q119" s="18"/>
      <c r="R119" s="43"/>
      <c r="S119" s="18"/>
      <c r="T119" s="18"/>
      <c r="U119" s="18"/>
      <c r="V119" s="43"/>
      <c r="W119" s="18"/>
      <c r="X119" s="18"/>
    </row>
    <row r="120" spans="1:26" x14ac:dyDescent="0.25">
      <c r="A120" s="9"/>
      <c r="B120" s="56">
        <v>44151.572629826391</v>
      </c>
      <c r="D120" s="18"/>
      <c r="E120" s="18"/>
      <c r="G120" s="18"/>
      <c r="H120" s="18"/>
      <c r="I120" s="18"/>
      <c r="J120" s="43"/>
      <c r="K120" s="18"/>
      <c r="L120" s="18"/>
      <c r="M120" s="18"/>
      <c r="P120" s="18"/>
      <c r="Q120" s="18"/>
      <c r="R120" s="43"/>
      <c r="S120" s="18"/>
      <c r="T120" s="18"/>
      <c r="U120" s="18"/>
      <c r="V120" s="43"/>
      <c r="W120" s="18"/>
      <c r="X120" s="18"/>
    </row>
    <row r="121" spans="1:26" x14ac:dyDescent="0.25">
      <c r="A121" s="9"/>
      <c r="B121" s="62" t="s">
        <v>313</v>
      </c>
      <c r="D121" s="18"/>
      <c r="E121" s="18"/>
      <c r="G121" s="18"/>
      <c r="H121" s="18"/>
      <c r="I121" s="18"/>
      <c r="J121" s="43"/>
      <c r="K121" s="18"/>
      <c r="L121" s="18"/>
      <c r="M121" s="18"/>
      <c r="P121" s="18"/>
      <c r="Q121" s="18"/>
      <c r="R121" s="43"/>
      <c r="S121" s="18"/>
      <c r="T121" s="18"/>
      <c r="U121" s="18"/>
      <c r="V121" s="43"/>
      <c r="W121" s="18"/>
      <c r="X121" s="18"/>
    </row>
    <row r="122" spans="1:26" x14ac:dyDescent="0.25">
      <c r="A122" s="9"/>
      <c r="B122" s="54"/>
      <c r="D122" s="18"/>
      <c r="E122" s="18"/>
      <c r="G122" s="18"/>
      <c r="H122" s="18"/>
      <c r="I122" s="18"/>
      <c r="J122" s="43"/>
      <c r="K122" s="18"/>
      <c r="L122" s="18"/>
      <c r="M122" s="18"/>
      <c r="P122" s="18"/>
      <c r="Q122" s="18"/>
      <c r="R122" s="43"/>
      <c r="S122" s="18"/>
      <c r="T122" s="18"/>
      <c r="U122" s="18"/>
      <c r="V122" s="43"/>
      <c r="W122" s="18"/>
      <c r="X122" s="18"/>
    </row>
    <row r="123" spans="1:26" x14ac:dyDescent="0.25">
      <c r="D123" s="18"/>
      <c r="E123" s="18"/>
      <c r="G123" s="18"/>
      <c r="H123" s="18"/>
      <c r="I123" s="18"/>
      <c r="J123" s="43"/>
      <c r="K123" s="18"/>
      <c r="L123" s="18"/>
      <c r="M123" s="18"/>
      <c r="P123" s="18"/>
      <c r="Q123" s="18"/>
      <c r="R123" s="43"/>
      <c r="S123" s="18"/>
      <c r="T123" s="18"/>
      <c r="U123" s="18"/>
      <c r="V123" s="43"/>
      <c r="W123" s="18"/>
      <c r="X123" s="18"/>
    </row>
  </sheetData>
  <pageMargins left="0.25" right="0.25" top="0.75" bottom="0.75" header="0.3" footer="0.3"/>
  <pageSetup scale="55" fitToWidth="2" orientation="landscape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07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",RIGHT(202104,2),", ",2021)</f>
        <v>Period 04,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44135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303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61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50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50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2"/>
      <c r="F10" s="31" t="s">
        <v>14</v>
      </c>
      <c r="G10" s="32"/>
      <c r="H10" s="49" t="s">
        <v>306</v>
      </c>
      <c r="I10" s="32"/>
      <c r="J10" s="31" t="s">
        <v>14</v>
      </c>
      <c r="K10" s="10"/>
      <c r="L10" s="42" t="s">
        <v>11</v>
      </c>
      <c r="M10" s="10"/>
      <c r="N10" s="31" t="s">
        <v>15</v>
      </c>
      <c r="O10" s="10"/>
      <c r="P10" s="59" t="s">
        <v>10</v>
      </c>
      <c r="Q10" s="32"/>
      <c r="R10" s="31" t="s">
        <v>14</v>
      </c>
      <c r="S10" s="32"/>
      <c r="T10" s="49" t="s">
        <v>306</v>
      </c>
      <c r="U10" s="32"/>
      <c r="V10" s="31" t="s">
        <v>14</v>
      </c>
      <c r="W10" s="10"/>
      <c r="X10" s="42" t="s">
        <v>11</v>
      </c>
      <c r="Y10" s="10"/>
      <c r="Z10" s="31" t="s">
        <v>15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10497.909999999998</v>
      </c>
      <c r="E12" s="4"/>
      <c r="F12" s="12"/>
      <c r="G12" s="4"/>
      <c r="H12" s="4">
        <f>SUM(OSRRefH13x_0)</f>
        <v>57527.47</v>
      </c>
      <c r="I12" s="4"/>
      <c r="J12" s="12"/>
      <c r="K12" s="4"/>
      <c r="L12" s="4">
        <f t="shared" ref="L12:L27" si="0">+D12-H12</f>
        <v>-47029.560000000005</v>
      </c>
      <c r="M12" s="4"/>
      <c r="N12" s="12">
        <f t="shared" ref="N12:N27" si="1">IF(H12=0,0,L12/H12)</f>
        <v>-0.81751483247916179</v>
      </c>
      <c r="O12" s="10"/>
      <c r="P12" s="4">
        <f>SUM(OSRRefP13x_0)</f>
        <v>71975.009999999995</v>
      </c>
      <c r="Q12" s="4"/>
      <c r="R12" s="12"/>
      <c r="S12" s="4"/>
      <c r="T12" s="4">
        <f>SUM(OSRRefT13x_0)</f>
        <v>229491.71</v>
      </c>
      <c r="U12" s="4"/>
      <c r="V12" s="12"/>
      <c r="W12" s="4"/>
      <c r="X12" s="4">
        <f t="shared" ref="X12:X27" si="2">+P12-T12</f>
        <v>-157516.70000000001</v>
      </c>
      <c r="Y12" s="4"/>
      <c r="Z12" s="12">
        <f t="shared" ref="Z12:Z27" si="3">IF(T12=0,0,X12/T12)</f>
        <v>-0.68637206982335008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-1.35</f>
        <v>-1.35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-1.35</v>
      </c>
      <c r="M13" s="2"/>
      <c r="N13" s="19">
        <f t="shared" si="1"/>
        <v>0</v>
      </c>
      <c r="O13" s="11"/>
      <c r="P13" s="2">
        <f>-8.65</f>
        <v>-8.65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-8.65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"4041", " - ", "TAXABLE SALES-LOGO GIFTS")</f>
        <v xml:space="preserve">          4041 - TAXABLE SALES-LOGO GIFTS</v>
      </c>
      <c r="C14" s="11"/>
      <c r="D14" s="2">
        <f>--8147.55</f>
        <v>8147.55</v>
      </c>
      <c r="E14" s="2"/>
      <c r="F14" s="19"/>
      <c r="G14" s="2"/>
      <c r="H14" s="2">
        <f>--1480.05</f>
        <v>1480.05</v>
      </c>
      <c r="I14" s="2"/>
      <c r="J14" s="19"/>
      <c r="K14" s="2"/>
      <c r="L14" s="2">
        <f t="shared" si="0"/>
        <v>6667.5</v>
      </c>
      <c r="M14" s="2"/>
      <c r="N14" s="19">
        <f t="shared" si="1"/>
        <v>4.5049153744805919</v>
      </c>
      <c r="O14" s="11"/>
      <c r="P14" s="2">
        <f>--60369.32</f>
        <v>60369.32</v>
      </c>
      <c r="Q14" s="2"/>
      <c r="R14" s="19"/>
      <c r="S14" s="2"/>
      <c r="T14" s="2">
        <f>--96774.25</f>
        <v>96774.25</v>
      </c>
      <c r="U14" s="2"/>
      <c r="V14" s="19"/>
      <c r="W14" s="2"/>
      <c r="X14" s="2">
        <f t="shared" si="2"/>
        <v>-36404.93</v>
      </c>
      <c r="Y14" s="2"/>
      <c r="Z14" s="19">
        <f t="shared" si="3"/>
        <v>-0.37618405722596659</v>
      </c>
    </row>
    <row r="15" spans="1:26" s="24" customFormat="1" hidden="1" outlineLevel="1" x14ac:dyDescent="0.25">
      <c r="A15" s="44"/>
      <c r="B15" s="11" t="str">
        <f>CONCATENATE("          ", "4042", " - ", "TAXABLE SALES-EVERYDAY GIFTS")</f>
        <v xml:space="preserve">          4042 - TAXABLE SALES-EVERYDAY GIFTS</v>
      </c>
      <c r="C15" s="11"/>
      <c r="D15" s="2">
        <f>--2053.86</f>
        <v>2053.86</v>
      </c>
      <c r="E15" s="2"/>
      <c r="F15" s="19"/>
      <c r="G15" s="2"/>
      <c r="H15" s="2">
        <f>--12160.33</f>
        <v>12160.33</v>
      </c>
      <c r="I15" s="2"/>
      <c r="J15" s="19"/>
      <c r="K15" s="2"/>
      <c r="L15" s="2">
        <f t="shared" si="0"/>
        <v>-10106.469999999999</v>
      </c>
      <c r="M15" s="2"/>
      <c r="N15" s="19">
        <f t="shared" si="1"/>
        <v>-0.83110162306450563</v>
      </c>
      <c r="O15" s="11"/>
      <c r="P15" s="2">
        <f>--11487.58</f>
        <v>11487.58</v>
      </c>
      <c r="Q15" s="2"/>
      <c r="R15" s="19"/>
      <c r="S15" s="2"/>
      <c r="T15" s="2">
        <f>--31918.22</f>
        <v>31918.22</v>
      </c>
      <c r="U15" s="2"/>
      <c r="V15" s="19"/>
      <c r="W15" s="2"/>
      <c r="X15" s="2">
        <f t="shared" si="2"/>
        <v>-20430.64</v>
      </c>
      <c r="Y15" s="2"/>
      <c r="Z15" s="19">
        <f t="shared" si="3"/>
        <v>-0.64009333853830186</v>
      </c>
    </row>
    <row r="16" spans="1:26" s="24" customFormat="1" hidden="1" outlineLevel="1" x14ac:dyDescent="0.25">
      <c r="A16" s="44"/>
      <c r="B16" s="11" t="str">
        <f>CONCATENATE("          ", "4043", " - ", "TAXABLE SALES-CARDS")</f>
        <v xml:space="preserve">          4043 - TAXABLE SALES-CARDS</v>
      </c>
      <c r="C16" s="11"/>
      <c r="D16" s="2">
        <f t="shared" ref="D16:D19" si="4">0</f>
        <v>0</v>
      </c>
      <c r="E16" s="2"/>
      <c r="F16" s="19"/>
      <c r="G16" s="2"/>
      <c r="H16" s="2">
        <f>--2.55</f>
        <v>2.5499999999999998</v>
      </c>
      <c r="I16" s="2"/>
      <c r="J16" s="19"/>
      <c r="K16" s="2"/>
      <c r="L16" s="2">
        <f t="shared" si="0"/>
        <v>-2.5499999999999998</v>
      </c>
      <c r="M16" s="2"/>
      <c r="N16" s="19">
        <f t="shared" si="1"/>
        <v>-1</v>
      </c>
      <c r="O16" s="11"/>
      <c r="P16" s="2">
        <f>--7.98</f>
        <v>7.98</v>
      </c>
      <c r="Q16" s="2"/>
      <c r="R16" s="19"/>
      <c r="S16" s="2"/>
      <c r="T16" s="2">
        <f>--98.28</f>
        <v>98.28</v>
      </c>
      <c r="U16" s="2"/>
      <c r="V16" s="19"/>
      <c r="W16" s="2"/>
      <c r="X16" s="2">
        <f t="shared" si="2"/>
        <v>-90.3</v>
      </c>
      <c r="Y16" s="2"/>
      <c r="Z16" s="19">
        <f t="shared" si="3"/>
        <v>-0.91880341880341876</v>
      </c>
    </row>
    <row r="17" spans="1:26" s="24" customFormat="1" hidden="1" outlineLevel="1" x14ac:dyDescent="0.25">
      <c r="A17" s="44"/>
      <c r="B17" s="11" t="str">
        <f>CONCATENATE("          ", "4047", " - ", "TAXABLE SALES-MISC")</f>
        <v xml:space="preserve">          4047 - TAXABLE SALES-MISC</v>
      </c>
      <c r="C17" s="11"/>
      <c r="D17" s="2">
        <f t="shared" si="4"/>
        <v>0</v>
      </c>
      <c r="E17" s="2"/>
      <c r="F17" s="19"/>
      <c r="G17" s="2"/>
      <c r="H17" s="2">
        <f>--402.65</f>
        <v>402.65</v>
      </c>
      <c r="I17" s="2"/>
      <c r="J17" s="19"/>
      <c r="K17" s="2"/>
      <c r="L17" s="2">
        <f t="shared" si="0"/>
        <v>-402.65</v>
      </c>
      <c r="M17" s="2"/>
      <c r="N17" s="19">
        <f t="shared" si="1"/>
        <v>-1</v>
      </c>
      <c r="O17" s="11"/>
      <c r="P17" s="2">
        <f t="shared" ref="P17:P19" si="5">0</f>
        <v>0</v>
      </c>
      <c r="Q17" s="2"/>
      <c r="R17" s="19"/>
      <c r="S17" s="2"/>
      <c r="T17" s="2">
        <f>--1374</f>
        <v>1374</v>
      </c>
      <c r="U17" s="2"/>
      <c r="V17" s="19"/>
      <c r="W17" s="2"/>
      <c r="X17" s="2">
        <f t="shared" si="2"/>
        <v>-1374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"4092", " - ", "TAXABLE SALES-GRAD MERCH")</f>
        <v xml:space="preserve">          4092 - TAXABLE SALES-GRAD MERCH</v>
      </c>
      <c r="C18" s="11"/>
      <c r="D18" s="2">
        <f t="shared" si="4"/>
        <v>0</v>
      </c>
      <c r="E18" s="2"/>
      <c r="F18" s="19"/>
      <c r="G18" s="2"/>
      <c r="H18" s="2">
        <f>--1178.45</f>
        <v>1178.45</v>
      </c>
      <c r="I18" s="2"/>
      <c r="J18" s="19"/>
      <c r="K18" s="2"/>
      <c r="L18" s="2">
        <f t="shared" si="0"/>
        <v>-1178.45</v>
      </c>
      <c r="M18" s="2"/>
      <c r="N18" s="19">
        <f t="shared" si="1"/>
        <v>-1</v>
      </c>
      <c r="O18" s="11"/>
      <c r="P18" s="2">
        <f t="shared" si="5"/>
        <v>0</v>
      </c>
      <c r="Q18" s="2"/>
      <c r="R18" s="19"/>
      <c r="S18" s="2"/>
      <c r="T18" s="2">
        <f>--5091.03</f>
        <v>5091.03</v>
      </c>
      <c r="U18" s="2"/>
      <c r="V18" s="19"/>
      <c r="W18" s="2"/>
      <c r="X18" s="2">
        <f t="shared" si="2"/>
        <v>-5091.03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"4095", " - ", "TAXABLE SALES-CUSTOMER SERVICE")</f>
        <v xml:space="preserve">          4095 - TAXABLE SALES-CUSTOMER SERVICE</v>
      </c>
      <c r="C19" s="11"/>
      <c r="D19" s="2">
        <f t="shared" si="4"/>
        <v>0</v>
      </c>
      <c r="E19" s="2"/>
      <c r="F19" s="19"/>
      <c r="G19" s="2"/>
      <c r="H19" s="2">
        <f>--40.79</f>
        <v>40.79</v>
      </c>
      <c r="I19" s="2"/>
      <c r="J19" s="19"/>
      <c r="K19" s="2"/>
      <c r="L19" s="2">
        <f t="shared" si="0"/>
        <v>-40.79</v>
      </c>
      <c r="M19" s="2"/>
      <c r="N19" s="19">
        <f t="shared" si="1"/>
        <v>-1</v>
      </c>
      <c r="O19" s="11"/>
      <c r="P19" s="2">
        <f t="shared" si="5"/>
        <v>0</v>
      </c>
      <c r="Q19" s="2"/>
      <c r="R19" s="19"/>
      <c r="S19" s="2"/>
      <c r="T19" s="2">
        <f>--217.88</f>
        <v>217.88</v>
      </c>
      <c r="U19" s="2"/>
      <c r="V19" s="19"/>
      <c r="W19" s="2"/>
      <c r="X19" s="2">
        <f t="shared" si="2"/>
        <v>-217.88</v>
      </c>
      <c r="Y19" s="2"/>
      <c r="Z19" s="19">
        <f t="shared" si="3"/>
        <v>-1</v>
      </c>
    </row>
    <row r="20" spans="1:26" s="24" customFormat="1" hidden="1" outlineLevel="1" x14ac:dyDescent="0.25">
      <c r="A20" s="44"/>
      <c r="B20" s="11" t="str">
        <f>CONCATENATE("          ", "4141", " - ", "NON-TAXABLE SALES-LOGO GIFTS")</f>
        <v xml:space="preserve">          4141 - NON-TAXABLE SALES-LOGO GIFTS</v>
      </c>
      <c r="C20" s="11"/>
      <c r="D20" s="2">
        <f>--54</f>
        <v>54</v>
      </c>
      <c r="E20" s="2"/>
      <c r="F20" s="19"/>
      <c r="G20" s="2"/>
      <c r="H20" s="2">
        <f>0</f>
        <v>0</v>
      </c>
      <c r="I20" s="2"/>
      <c r="J20" s="19"/>
      <c r="K20" s="2"/>
      <c r="L20" s="2">
        <f t="shared" si="0"/>
        <v>54</v>
      </c>
      <c r="M20" s="2"/>
      <c r="N20" s="19">
        <f t="shared" si="1"/>
        <v>0</v>
      </c>
      <c r="O20" s="11"/>
      <c r="P20" s="2">
        <f>--511.5</f>
        <v>511.5</v>
      </c>
      <c r="Q20" s="2"/>
      <c r="R20" s="19"/>
      <c r="S20" s="2"/>
      <c r="T20" s="2">
        <f>--152.75</f>
        <v>152.75</v>
      </c>
      <c r="U20" s="2"/>
      <c r="V20" s="19"/>
      <c r="W20" s="2"/>
      <c r="X20" s="2">
        <f t="shared" si="2"/>
        <v>358.75</v>
      </c>
      <c r="Y20" s="2"/>
      <c r="Z20" s="19">
        <f t="shared" si="3"/>
        <v>2.3486088379705401</v>
      </c>
    </row>
    <row r="21" spans="1:26" s="24" customFormat="1" hidden="1" outlineLevel="1" x14ac:dyDescent="0.25">
      <c r="A21" s="44"/>
      <c r="B21" s="11" t="str">
        <f>CONCATENATE("          ", "4142", " - ", "NON-TAXABLE SALES-EVERYDAY GIF")</f>
        <v xml:space="preserve">          4142 - NON-TAXABLE SALES-EVERYDAY GIF</v>
      </c>
      <c r="C21" s="11"/>
      <c r="D21" s="2">
        <f>--245</f>
        <v>245</v>
      </c>
      <c r="E21" s="2"/>
      <c r="F21" s="19"/>
      <c r="G21" s="2"/>
      <c r="H21" s="2">
        <f>--2246.8</f>
        <v>2246.8000000000002</v>
      </c>
      <c r="I21" s="2"/>
      <c r="J21" s="19"/>
      <c r="K21" s="2"/>
      <c r="L21" s="2">
        <f t="shared" si="0"/>
        <v>-2001.8000000000002</v>
      </c>
      <c r="M21" s="2"/>
      <c r="N21" s="19">
        <f t="shared" si="1"/>
        <v>-0.89095602634858462</v>
      </c>
      <c r="O21" s="11"/>
      <c r="P21" s="2">
        <f>--250.98</f>
        <v>250.98</v>
      </c>
      <c r="Q21" s="2"/>
      <c r="R21" s="19"/>
      <c r="S21" s="2"/>
      <c r="T21" s="2">
        <f>--4348.3</f>
        <v>4348.3</v>
      </c>
      <c r="U21" s="2"/>
      <c r="V21" s="19"/>
      <c r="W21" s="2"/>
      <c r="X21" s="2">
        <f t="shared" si="2"/>
        <v>-4097.3200000000006</v>
      </c>
      <c r="Y21" s="2"/>
      <c r="Z21" s="19">
        <f t="shared" si="3"/>
        <v>-0.94228089138283933</v>
      </c>
    </row>
    <row r="22" spans="1:26" s="24" customFormat="1" hidden="1" outlineLevel="1" x14ac:dyDescent="0.25">
      <c r="A22" s="44"/>
      <c r="B22" s="11" t="str">
        <f>CONCATENATE("          ", "4146", " - ", "NON-TAXABLE SALES-COIN OP MACH")</f>
        <v xml:space="preserve">          4146 - NON-TAXABLE SALES-COIN OP MACH</v>
      </c>
      <c r="C22" s="11"/>
      <c r="D22" s="2">
        <f>--21.3</f>
        <v>21.3</v>
      </c>
      <c r="E22" s="2"/>
      <c r="F22" s="19"/>
      <c r="G22" s="2"/>
      <c r="H22" s="2">
        <f>--40316.8</f>
        <v>40316.800000000003</v>
      </c>
      <c r="I22" s="2"/>
      <c r="J22" s="19"/>
      <c r="K22" s="2"/>
      <c r="L22" s="2">
        <f t="shared" si="0"/>
        <v>-40295.5</v>
      </c>
      <c r="M22" s="2"/>
      <c r="N22" s="19">
        <f t="shared" si="1"/>
        <v>-0.99947168426065558</v>
      </c>
      <c r="O22" s="11"/>
      <c r="P22" s="2">
        <f t="shared" ref="P22:P23" si="6">--86.5</f>
        <v>86.5</v>
      </c>
      <c r="Q22" s="2"/>
      <c r="R22" s="19"/>
      <c r="S22" s="2"/>
      <c r="T22" s="2">
        <f>--90410.3</f>
        <v>90410.3</v>
      </c>
      <c r="U22" s="2"/>
      <c r="V22" s="19"/>
      <c r="W22" s="2"/>
      <c r="X22" s="2">
        <f t="shared" si="2"/>
        <v>-90323.8</v>
      </c>
      <c r="Y22" s="2"/>
      <c r="Z22" s="19">
        <f t="shared" si="3"/>
        <v>-0.99904325060308397</v>
      </c>
    </row>
    <row r="23" spans="1:26" s="24" customFormat="1" hidden="1" outlineLevel="1" x14ac:dyDescent="0.25">
      <c r="A23" s="44"/>
      <c r="B23" s="11" t="str">
        <f>CONCATENATE("          ", "4147", " - ", "NON-TAXABLE SALES-MISC")</f>
        <v xml:space="preserve">          4147 - NON-TAXABLE SALES-MISC</v>
      </c>
      <c r="C23" s="11"/>
      <c r="D23" s="2">
        <f>--38.5</f>
        <v>38.5</v>
      </c>
      <c r="E23" s="2"/>
      <c r="F23" s="19"/>
      <c r="G23" s="2"/>
      <c r="H23" s="2">
        <f>-240</f>
        <v>-240</v>
      </c>
      <c r="I23" s="2"/>
      <c r="J23" s="19"/>
      <c r="K23" s="2"/>
      <c r="L23" s="2">
        <f t="shared" si="0"/>
        <v>278.5</v>
      </c>
      <c r="M23" s="2"/>
      <c r="N23" s="19">
        <f t="shared" si="1"/>
        <v>-1.1604166666666667</v>
      </c>
      <c r="O23" s="11"/>
      <c r="P23" s="2">
        <f t="shared" si="6"/>
        <v>86.5</v>
      </c>
      <c r="Q23" s="2"/>
      <c r="R23" s="19"/>
      <c r="S23" s="2"/>
      <c r="T23" s="2">
        <f>--174.9</f>
        <v>174.9</v>
      </c>
      <c r="U23" s="2"/>
      <c r="V23" s="19"/>
      <c r="W23" s="2"/>
      <c r="X23" s="2">
        <f t="shared" si="2"/>
        <v>-88.4</v>
      </c>
      <c r="Y23" s="2"/>
      <c r="Z23" s="19">
        <f t="shared" si="3"/>
        <v>-0.50543167524299604</v>
      </c>
    </row>
    <row r="24" spans="1:26" s="24" customFormat="1" hidden="1" outlineLevel="1" x14ac:dyDescent="0.25">
      <c r="A24" s="44"/>
      <c r="B24" s="11" t="str">
        <f>CONCATENATE("          ", "4241", " - ", "SALES RETURN TAXABLE-LOGO GIFT")</f>
        <v xml:space="preserve">          4241 - SALES RETURN TAXABLE-LOGO GIFT</v>
      </c>
      <c r="C24" s="11"/>
      <c r="D24" s="2">
        <f>-60.95</f>
        <v>-60.95</v>
      </c>
      <c r="E24" s="2"/>
      <c r="F24" s="19"/>
      <c r="G24" s="2"/>
      <c r="H24" s="2">
        <f>-21</f>
        <v>-21</v>
      </c>
      <c r="I24" s="2"/>
      <c r="J24" s="19"/>
      <c r="K24" s="2"/>
      <c r="L24" s="2">
        <f t="shared" si="0"/>
        <v>-39.950000000000003</v>
      </c>
      <c r="M24" s="2"/>
      <c r="N24" s="19">
        <f t="shared" si="1"/>
        <v>1.9023809523809525</v>
      </c>
      <c r="O24" s="11"/>
      <c r="P24" s="2">
        <f>-816.7</f>
        <v>-816.7</v>
      </c>
      <c r="Q24" s="2"/>
      <c r="R24" s="19"/>
      <c r="S24" s="2"/>
      <c r="T24" s="2">
        <f>-634.75</f>
        <v>-634.75</v>
      </c>
      <c r="U24" s="2"/>
      <c r="V24" s="19"/>
      <c r="W24" s="2"/>
      <c r="X24" s="2">
        <f t="shared" si="2"/>
        <v>-181.95000000000005</v>
      </c>
      <c r="Y24" s="2"/>
      <c r="Z24" s="19">
        <f t="shared" si="3"/>
        <v>0.28664828672705794</v>
      </c>
    </row>
    <row r="25" spans="1:26" s="24" customFormat="1" hidden="1" outlineLevel="1" x14ac:dyDescent="0.25">
      <c r="A25" s="44"/>
      <c r="B25" s="11" t="str">
        <f>CONCATENATE("          ", "4242", " - ", "SALES RETURN TAXABLE-EVERYDAY")</f>
        <v xml:space="preserve">          4242 - SALES RETURN TAXABLE-EVERYDAY</v>
      </c>
      <c r="C25" s="11"/>
      <c r="D25" s="2">
        <f t="shared" ref="D25:D27" si="7">0</f>
        <v>0</v>
      </c>
      <c r="E25" s="2"/>
      <c r="F25" s="19"/>
      <c r="G25" s="2"/>
      <c r="H25" s="2">
        <f>0</f>
        <v>0</v>
      </c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 t="shared" ref="P25:P27" si="8">0</f>
        <v>0</v>
      </c>
      <c r="Q25" s="2"/>
      <c r="R25" s="19"/>
      <c r="S25" s="2"/>
      <c r="T25" s="2">
        <f>-16.2</f>
        <v>-16.2</v>
      </c>
      <c r="U25" s="2"/>
      <c r="V25" s="19"/>
      <c r="W25" s="2"/>
      <c r="X25" s="2">
        <f t="shared" si="2"/>
        <v>16.2</v>
      </c>
      <c r="Y25" s="2"/>
      <c r="Z25" s="19">
        <f t="shared" si="3"/>
        <v>-1</v>
      </c>
    </row>
    <row r="26" spans="1:26" s="24" customFormat="1" hidden="1" outlineLevel="1" x14ac:dyDescent="0.25">
      <c r="A26" s="44"/>
      <c r="B26" s="11" t="str">
        <f>CONCATENATE("          ", "4292", " - ", "SALES RETURN TAXABLE-GRAD MERC")</f>
        <v xml:space="preserve">          4292 - SALES RETURN TAXABLE-GRAD MERC</v>
      </c>
      <c r="C26" s="11"/>
      <c r="D26" s="2">
        <f t="shared" si="7"/>
        <v>0</v>
      </c>
      <c r="E26" s="2"/>
      <c r="F26" s="19"/>
      <c r="G26" s="2"/>
      <c r="H26" s="2">
        <f>-39.95</f>
        <v>-39.950000000000003</v>
      </c>
      <c r="I26" s="2"/>
      <c r="J26" s="19"/>
      <c r="K26" s="2"/>
      <c r="L26" s="2">
        <f t="shared" si="0"/>
        <v>39.950000000000003</v>
      </c>
      <c r="M26" s="2"/>
      <c r="N26" s="19">
        <f t="shared" si="1"/>
        <v>-1</v>
      </c>
      <c r="O26" s="11"/>
      <c r="P26" s="2">
        <f t="shared" si="8"/>
        <v>0</v>
      </c>
      <c r="Q26" s="2"/>
      <c r="R26" s="19"/>
      <c r="S26" s="2"/>
      <c r="T26" s="2">
        <f>-409.1</f>
        <v>-409.1</v>
      </c>
      <c r="U26" s="2"/>
      <c r="V26" s="19"/>
      <c r="W26" s="2"/>
      <c r="X26" s="2">
        <f t="shared" si="2"/>
        <v>409.1</v>
      </c>
      <c r="Y26" s="2"/>
      <c r="Z26" s="19">
        <f t="shared" si="3"/>
        <v>-1</v>
      </c>
    </row>
    <row r="27" spans="1:26" s="24" customFormat="1" hidden="1" outlineLevel="1" x14ac:dyDescent="0.25">
      <c r="A27" s="44"/>
      <c r="B27" s="11" t="str">
        <f>CONCATENATE("          ", "4346", " - ", "SALES RETURN NON TAXABLE-COIN-")</f>
        <v xml:space="preserve">          4346 - SALES RETURN NON TAXABLE-COIN-</v>
      </c>
      <c r="C27" s="11"/>
      <c r="D27" s="2">
        <f t="shared" si="7"/>
        <v>0</v>
      </c>
      <c r="E27" s="2"/>
      <c r="F27" s="19"/>
      <c r="G27" s="2"/>
      <c r="H27" s="2">
        <f>0</f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 t="shared" si="8"/>
        <v>0</v>
      </c>
      <c r="Q27" s="2"/>
      <c r="R27" s="19"/>
      <c r="S27" s="2"/>
      <c r="T27" s="2">
        <f>-8.15</f>
        <v>-8.15</v>
      </c>
      <c r="U27" s="2"/>
      <c r="V27" s="19"/>
      <c r="W27" s="2"/>
      <c r="X27" s="2">
        <f t="shared" si="2"/>
        <v>8.15</v>
      </c>
      <c r="Y27" s="2"/>
      <c r="Z27" s="19">
        <f t="shared" si="3"/>
        <v>-1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collapsed="1" x14ac:dyDescent="0.25">
      <c r="A29" s="10"/>
      <c r="B29" s="26" t="s">
        <v>8</v>
      </c>
      <c r="C29" s="10"/>
      <c r="D29" s="4">
        <f>SUM(OSRRefD16x_0)</f>
        <v>0</v>
      </c>
      <c r="E29" s="4"/>
      <c r="F29" s="12">
        <f t="shared" ref="F29:F34" si="9">IF(D$12=0,0,D29/D$12)</f>
        <v>0</v>
      </c>
      <c r="G29" s="4"/>
      <c r="H29" s="4">
        <f>SUM(OSRRefH16x_0)</f>
        <v>570.54</v>
      </c>
      <c r="I29" s="4"/>
      <c r="J29" s="12">
        <f t="shared" ref="J29:J34" si="10">IF(H$12=0,0,H29/H$12)</f>
        <v>9.9176967108061589E-3</v>
      </c>
      <c r="K29" s="4"/>
      <c r="L29" s="4">
        <f t="shared" ref="L29:L34" si="11">+D29-H29</f>
        <v>-570.54</v>
      </c>
      <c r="M29" s="4"/>
      <c r="N29" s="12">
        <f t="shared" ref="N29:N34" si="12">IF(H29=0,0,L29/H29)</f>
        <v>-1</v>
      </c>
      <c r="O29" s="10"/>
      <c r="P29" s="4">
        <f>SUM(OSRRefP16x_0)</f>
        <v>0</v>
      </c>
      <c r="Q29" s="4"/>
      <c r="R29" s="12">
        <f t="shared" ref="R29:R34" si="13">IF(P$12=0,0,P29/P$12)</f>
        <v>0</v>
      </c>
      <c r="S29" s="4"/>
      <c r="T29" s="4">
        <f>SUM(OSRRefT16x_0)</f>
        <v>2462.1200000000003</v>
      </c>
      <c r="U29" s="4"/>
      <c r="V29" s="12">
        <f t="shared" ref="V29:V34" si="14">IF(T$12=0,0,T29/T$12)</f>
        <v>1.0728579258919638E-2</v>
      </c>
      <c r="W29" s="4"/>
      <c r="X29" s="4">
        <f t="shared" ref="X29:X34" si="15">+P29-T29</f>
        <v>-2462.1200000000003</v>
      </c>
      <c r="Y29" s="4"/>
      <c r="Z29" s="12">
        <f t="shared" ref="Z29:Z34" si="16">IF(T29=0,0,X29/T29)</f>
        <v>-1</v>
      </c>
    </row>
    <row r="30" spans="1:26" s="24" customFormat="1" hidden="1" outlineLevel="1" x14ac:dyDescent="0.25">
      <c r="A30" s="44"/>
      <c r="B30" s="11" t="str">
        <f>CONCATENATE("          ", "5092", " - ", "PURCHASES @ COST-GRAD MERCH")</f>
        <v xml:space="preserve">          5092 - PURCHASES @ COST-GRAD MERCH</v>
      </c>
      <c r="C30" s="11"/>
      <c r="D30" s="2"/>
      <c r="E30" s="2"/>
      <c r="F30" s="19">
        <f t="shared" si="9"/>
        <v>0</v>
      </c>
      <c r="G30" s="2"/>
      <c r="H30" s="2">
        <v>1343.54</v>
      </c>
      <c r="I30" s="2"/>
      <c r="J30" s="19">
        <f t="shared" si="10"/>
        <v>2.3354755562864139E-2</v>
      </c>
      <c r="K30" s="2"/>
      <c r="L30" s="2">
        <f t="shared" si="11"/>
        <v>-1343.54</v>
      </c>
      <c r="M30" s="2"/>
      <c r="N30" s="19">
        <f t="shared" si="12"/>
        <v>-1</v>
      </c>
      <c r="O30" s="11"/>
      <c r="P30" s="2"/>
      <c r="Q30" s="2"/>
      <c r="R30" s="19">
        <f t="shared" si="13"/>
        <v>0</v>
      </c>
      <c r="S30" s="2"/>
      <c r="T30" s="2">
        <v>1356.49</v>
      </c>
      <c r="U30" s="2"/>
      <c r="V30" s="19">
        <f t="shared" si="14"/>
        <v>5.9108453198592663E-3</v>
      </c>
      <c r="W30" s="2"/>
      <c r="X30" s="2">
        <f t="shared" si="15"/>
        <v>-1356.49</v>
      </c>
      <c r="Y30" s="2"/>
      <c r="Z30" s="19">
        <f t="shared" si="16"/>
        <v>-1</v>
      </c>
    </row>
    <row r="31" spans="1:26" s="24" customFormat="1" hidden="1" outlineLevel="1" x14ac:dyDescent="0.25">
      <c r="A31" s="44"/>
      <c r="B31" s="11" t="str">
        <f>CONCATENATE("          ", "5095", " - ", "PURCHASES @ COST-CUSTOMER SERV")</f>
        <v xml:space="preserve">          5095 - PURCHASES @ COST-CUSTOMER SERV</v>
      </c>
      <c r="C31" s="11"/>
      <c r="D31" s="2"/>
      <c r="E31" s="2"/>
      <c r="F31" s="19">
        <f t="shared" si="9"/>
        <v>0</v>
      </c>
      <c r="G31" s="2"/>
      <c r="H31" s="2"/>
      <c r="I31" s="2"/>
      <c r="J31" s="19">
        <f t="shared" si="10"/>
        <v>0</v>
      </c>
      <c r="K31" s="2"/>
      <c r="L31" s="2">
        <f t="shared" si="11"/>
        <v>0</v>
      </c>
      <c r="M31" s="2"/>
      <c r="N31" s="19">
        <f t="shared" si="12"/>
        <v>0</v>
      </c>
      <c r="O31" s="11"/>
      <c r="P31" s="2"/>
      <c r="Q31" s="2"/>
      <c r="R31" s="19">
        <f t="shared" si="13"/>
        <v>0</v>
      </c>
      <c r="S31" s="2"/>
      <c r="T31" s="2">
        <v>11.85</v>
      </c>
      <c r="U31" s="2"/>
      <c r="V31" s="19">
        <f t="shared" si="14"/>
        <v>5.1635852118579795E-5</v>
      </c>
      <c r="W31" s="2"/>
      <c r="X31" s="2">
        <f t="shared" si="15"/>
        <v>-11.85</v>
      </c>
      <c r="Y31" s="2"/>
      <c r="Z31" s="19">
        <f t="shared" si="16"/>
        <v>-1</v>
      </c>
    </row>
    <row r="32" spans="1:26" s="24" customFormat="1" hidden="1" outlineLevel="1" x14ac:dyDescent="0.25">
      <c r="A32" s="44"/>
      <c r="B32" s="11" t="str">
        <f>CONCATENATE("          ", "5200", " - ", "PURCHASES OFFSET")</f>
        <v xml:space="preserve">          5200 - PURCHASES OFFSET</v>
      </c>
      <c r="C32" s="11"/>
      <c r="D32" s="2"/>
      <c r="E32" s="2"/>
      <c r="F32" s="19">
        <f t="shared" si="9"/>
        <v>0</v>
      </c>
      <c r="G32" s="2"/>
      <c r="H32" s="2">
        <v>-1344</v>
      </c>
      <c r="I32" s="2"/>
      <c r="J32" s="19">
        <f t="shared" si="10"/>
        <v>-2.3362751742776102E-2</v>
      </c>
      <c r="K32" s="2"/>
      <c r="L32" s="2">
        <f t="shared" si="11"/>
        <v>1344</v>
      </c>
      <c r="M32" s="2"/>
      <c r="N32" s="19">
        <f t="shared" si="12"/>
        <v>-1</v>
      </c>
      <c r="O32" s="11"/>
      <c r="P32" s="2"/>
      <c r="Q32" s="2"/>
      <c r="R32" s="19">
        <f t="shared" si="13"/>
        <v>0</v>
      </c>
      <c r="S32" s="2"/>
      <c r="T32" s="2">
        <v>-1440</v>
      </c>
      <c r="U32" s="2"/>
      <c r="V32" s="19">
        <f t="shared" si="14"/>
        <v>-6.2747364599793172E-3</v>
      </c>
      <c r="W32" s="2"/>
      <c r="X32" s="2">
        <f t="shared" si="15"/>
        <v>1440</v>
      </c>
      <c r="Y32" s="2"/>
      <c r="Z32" s="19">
        <f t="shared" si="16"/>
        <v>-1</v>
      </c>
    </row>
    <row r="33" spans="1:26" s="24" customFormat="1" hidden="1" outlineLevel="1" x14ac:dyDescent="0.25">
      <c r="A33" s="44"/>
      <c r="B33" s="11" t="str">
        <f>CONCATENATE("          ", "5300", " - ", "COG$ OFFSET")</f>
        <v xml:space="preserve">          5300 - COG$ OFFSET</v>
      </c>
      <c r="C33" s="11"/>
      <c r="D33" s="2"/>
      <c r="E33" s="2"/>
      <c r="F33" s="19">
        <f t="shared" si="9"/>
        <v>0</v>
      </c>
      <c r="G33" s="2"/>
      <c r="H33" s="2">
        <v>571</v>
      </c>
      <c r="I33" s="2"/>
      <c r="J33" s="19">
        <f t="shared" si="10"/>
        <v>9.9256928907181206E-3</v>
      </c>
      <c r="K33" s="2"/>
      <c r="L33" s="2">
        <f t="shared" si="11"/>
        <v>-571</v>
      </c>
      <c r="M33" s="2"/>
      <c r="N33" s="19">
        <f t="shared" si="12"/>
        <v>-1</v>
      </c>
      <c r="O33" s="11"/>
      <c r="P33" s="2"/>
      <c r="Q33" s="2"/>
      <c r="R33" s="19">
        <f t="shared" si="13"/>
        <v>0</v>
      </c>
      <c r="S33" s="2"/>
      <c r="T33" s="2">
        <v>2463</v>
      </c>
      <c r="U33" s="2"/>
      <c r="V33" s="19">
        <f t="shared" si="14"/>
        <v>1.0732413820089624E-2</v>
      </c>
      <c r="W33" s="2"/>
      <c r="X33" s="2">
        <f t="shared" si="15"/>
        <v>-2463</v>
      </c>
      <c r="Y33" s="2"/>
      <c r="Z33" s="19">
        <f t="shared" si="16"/>
        <v>-1</v>
      </c>
    </row>
    <row r="34" spans="1:26" s="24" customFormat="1" hidden="1" outlineLevel="1" x14ac:dyDescent="0.25">
      <c r="A34" s="44"/>
      <c r="B34" s="11" t="str">
        <f>CONCATENATE("          ", "5592", " - ", "FREIGHT-IN-GRAD MERCH")</f>
        <v xml:space="preserve">          5592 - FREIGHT-IN-GRAD MERCH</v>
      </c>
      <c r="C34" s="11"/>
      <c r="D34" s="2"/>
      <c r="E34" s="2"/>
      <c r="F34" s="19">
        <f t="shared" si="9"/>
        <v>0</v>
      </c>
      <c r="G34" s="2"/>
      <c r="H34" s="2"/>
      <c r="I34" s="2"/>
      <c r="J34" s="19">
        <f t="shared" si="10"/>
        <v>0</v>
      </c>
      <c r="K34" s="2"/>
      <c r="L34" s="2">
        <f t="shared" si="11"/>
        <v>0</v>
      </c>
      <c r="M34" s="2"/>
      <c r="N34" s="19">
        <f t="shared" si="12"/>
        <v>0</v>
      </c>
      <c r="O34" s="11"/>
      <c r="P34" s="2"/>
      <c r="Q34" s="2"/>
      <c r="R34" s="19">
        <f t="shared" si="13"/>
        <v>0</v>
      </c>
      <c r="S34" s="2"/>
      <c r="T34" s="2">
        <v>70.78</v>
      </c>
      <c r="U34" s="2"/>
      <c r="V34" s="19">
        <f t="shared" si="14"/>
        <v>3.0842072683148341E-4</v>
      </c>
      <c r="W34" s="2"/>
      <c r="X34" s="2">
        <f t="shared" si="15"/>
        <v>-70.78</v>
      </c>
      <c r="Y34" s="2"/>
      <c r="Z34" s="19">
        <f t="shared" si="16"/>
        <v>-1</v>
      </c>
    </row>
    <row r="35" spans="1:26" x14ac:dyDescent="0.25">
      <c r="A35" s="9"/>
      <c r="B35" s="10"/>
      <c r="C35" s="10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O35" s="10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x14ac:dyDescent="0.25">
      <c r="A36" s="10"/>
      <c r="B36" s="25" t="s">
        <v>6</v>
      </c>
      <c r="C36" s="25"/>
      <c r="D36" s="20">
        <f>D12-D29</f>
        <v>10497.909999999998</v>
      </c>
      <c r="E36" s="13"/>
      <c r="F36" s="21">
        <f>IF(D$12=0,0,D36/D$12)</f>
        <v>1</v>
      </c>
      <c r="G36" s="13"/>
      <c r="H36" s="20">
        <f>H12-H29</f>
        <v>56956.93</v>
      </c>
      <c r="I36" s="13"/>
      <c r="J36" s="21">
        <f>IF(H$12=0,0,H36/H$12)</f>
        <v>0.99008230328919378</v>
      </c>
      <c r="K36" s="15"/>
      <c r="L36" s="20">
        <f>+D36-H36</f>
        <v>-46459.020000000004</v>
      </c>
      <c r="M36" s="15"/>
      <c r="N36" s="21">
        <f>IF(H36=0,0,L36/H36)</f>
        <v>-0.81568687076357527</v>
      </c>
      <c r="O36" s="26"/>
      <c r="P36" s="20">
        <f>P12-P29</f>
        <v>71975.009999999995</v>
      </c>
      <c r="Q36" s="13"/>
      <c r="R36" s="21">
        <f>IF(P$12=0,0,P36/P$12)</f>
        <v>1</v>
      </c>
      <c r="S36" s="13"/>
      <c r="T36" s="20">
        <f>T12-T29</f>
        <v>227029.59</v>
      </c>
      <c r="U36" s="13"/>
      <c r="V36" s="21">
        <f>IF(T$12=0,0,T36/T$12)</f>
        <v>0.98927142074108043</v>
      </c>
      <c r="W36" s="15"/>
      <c r="X36" s="20">
        <f>+P36-T36</f>
        <v>-155054.58000000002</v>
      </c>
      <c r="Y36" s="15"/>
      <c r="Z36" s="21">
        <f>IF(T36=0,0,X36/T36)</f>
        <v>-0.68297079689039664</v>
      </c>
    </row>
    <row r="37" spans="1:26" x14ac:dyDescent="0.25">
      <c r="A37" s="9"/>
      <c r="B37" s="10"/>
      <c r="C37" s="9"/>
      <c r="D37" s="1"/>
      <c r="E37" s="1"/>
      <c r="F37" s="5"/>
      <c r="G37" s="1"/>
      <c r="H37" s="1"/>
      <c r="I37" s="1"/>
      <c r="J37" s="5"/>
      <c r="K37" s="1"/>
      <c r="L37" s="1"/>
      <c r="M37" s="1"/>
      <c r="N37" s="5"/>
      <c r="O37" s="37"/>
      <c r="P37" s="1"/>
      <c r="Q37" s="1"/>
      <c r="R37" s="5"/>
      <c r="S37" s="1"/>
      <c r="T37" s="1"/>
      <c r="U37" s="1"/>
      <c r="V37" s="5"/>
      <c r="W37" s="1"/>
      <c r="X37" s="1"/>
      <c r="Y37" s="1"/>
      <c r="Z37" s="5"/>
    </row>
    <row r="38" spans="1:26" s="23" customFormat="1" x14ac:dyDescent="0.25">
      <c r="A38" s="10"/>
      <c r="B38" s="26" t="s">
        <v>9</v>
      </c>
      <c r="C38" s="10"/>
      <c r="D38" s="22">
        <f>SUM(OSRRefD22x_0)</f>
        <v>83949.309999999983</v>
      </c>
      <c r="E38" s="22"/>
      <c r="F38" s="36">
        <f t="shared" ref="F38:F47" si="17">IF(D$12=0,0,D38/D$12)</f>
        <v>7.9967641178101161</v>
      </c>
      <c r="G38" s="22"/>
      <c r="H38" s="22">
        <f>SUM(OSRRefH22x_0)</f>
        <v>56397.039999999994</v>
      </c>
      <c r="I38" s="22"/>
      <c r="J38" s="36">
        <f t="shared" ref="J38:J47" si="18">IF(H$12=0,0,H38/H$12)</f>
        <v>0.9803497355263493</v>
      </c>
      <c r="K38" s="4"/>
      <c r="L38" s="22">
        <f t="shared" ref="L38:L47" si="19">+D38-H38</f>
        <v>27552.26999999999</v>
      </c>
      <c r="M38" s="4"/>
      <c r="N38" s="36">
        <f t="shared" ref="N38:N47" si="20">IF(H38=0,0,L38/H38)</f>
        <v>0.48854106527576613</v>
      </c>
      <c r="O38" s="10"/>
      <c r="P38" s="22">
        <f>SUM(OSRRefP22x_0)</f>
        <v>121005.69</v>
      </c>
      <c r="Q38" s="22"/>
      <c r="R38" s="36">
        <f t="shared" ref="R38:R47" si="21">IF(P$12=0,0,P38/P$12)</f>
        <v>1.6812181061176652</v>
      </c>
      <c r="S38" s="22"/>
      <c r="T38" s="22">
        <f>SUM(OSRRefT22x_0)</f>
        <v>176712.03999999998</v>
      </c>
      <c r="U38" s="22"/>
      <c r="V38" s="36">
        <f t="shared" ref="V38:V47" si="22">IF(T$12=0,0,T38/T$12)</f>
        <v>0.77001491687869672</v>
      </c>
      <c r="W38" s="4"/>
      <c r="X38" s="22">
        <f t="shared" ref="X38:X47" si="23">+P38-T38</f>
        <v>-55706.349999999977</v>
      </c>
      <c r="Y38" s="4"/>
      <c r="Z38" s="36">
        <f t="shared" ref="Z38:Z47" si="24">IF(T38=0,0,X38/T38)</f>
        <v>-0.31523799962922722</v>
      </c>
    </row>
    <row r="39" spans="1:26" s="29" customFormat="1" outlineLevel="1" collapsed="1" x14ac:dyDescent="0.25">
      <c r="A39" s="27"/>
      <c r="B39" s="14" t="str">
        <f>CONCATENATE("     ","*Benefits                                         ")</f>
        <v xml:space="preserve">     *Benefits                                         </v>
      </c>
      <c r="C39" s="14"/>
      <c r="D39" s="1">
        <f>SUM(OSRRefD22_0x_0)</f>
        <v>10414.129999999999</v>
      </c>
      <c r="E39" s="1"/>
      <c r="F39" s="5">
        <f t="shared" si="17"/>
        <v>0.99201936385432921</v>
      </c>
      <c r="G39" s="1"/>
      <c r="H39" s="1">
        <f>SUM(OSRRefH22_0x_0)</f>
        <v>10006.25</v>
      </c>
      <c r="I39" s="1"/>
      <c r="J39" s="5">
        <f t="shared" si="18"/>
        <v>0.17393864183493554</v>
      </c>
      <c r="K39" s="1"/>
      <c r="L39" s="1">
        <f t="shared" si="19"/>
        <v>407.8799999999992</v>
      </c>
      <c r="M39" s="1"/>
      <c r="N39" s="5">
        <f t="shared" si="20"/>
        <v>4.076252342286063E-2</v>
      </c>
      <c r="O39" s="14"/>
      <c r="P39" s="1">
        <f>SUM(OSRRefP22_0x_0)</f>
        <v>36273.040000000001</v>
      </c>
      <c r="Q39" s="1"/>
      <c r="R39" s="5">
        <f t="shared" si="21"/>
        <v>0.50396714081734761</v>
      </c>
      <c r="S39" s="1"/>
      <c r="T39" s="1">
        <f>SUM(OSRRefT22_0x_0)</f>
        <v>33122.35</v>
      </c>
      <c r="U39" s="1"/>
      <c r="V39" s="5">
        <f t="shared" si="22"/>
        <v>0.1443291786008305</v>
      </c>
      <c r="W39" s="1"/>
      <c r="X39" s="1">
        <f t="shared" si="23"/>
        <v>3150.6900000000023</v>
      </c>
      <c r="Y39" s="1"/>
      <c r="Z39" s="5">
        <f t="shared" si="24"/>
        <v>9.512277963369152E-2</v>
      </c>
    </row>
    <row r="40" spans="1:26" s="24" customFormat="1" hidden="1" outlineLevel="2" x14ac:dyDescent="0.25">
      <c r="A40" s="28"/>
      <c r="B40" s="11" t="str">
        <f>CONCATENATE("          ", "6111", " - ", "F.I.C.A.")</f>
        <v xml:space="preserve">          6111 - F.I.C.A.</v>
      </c>
      <c r="C40" s="11"/>
      <c r="D40" s="6">
        <v>2004</v>
      </c>
      <c r="E40" s="2"/>
      <c r="F40" s="7">
        <f t="shared" si="17"/>
        <v>0.19089514008026362</v>
      </c>
      <c r="G40" s="2"/>
      <c r="H40" s="6">
        <v>2360.46</v>
      </c>
      <c r="I40" s="2"/>
      <c r="J40" s="7">
        <f t="shared" si="18"/>
        <v>4.1031875728239048E-2</v>
      </c>
      <c r="K40" s="2"/>
      <c r="L40" s="6">
        <f t="shared" si="19"/>
        <v>-356.46000000000004</v>
      </c>
      <c r="M40" s="2"/>
      <c r="N40" s="7">
        <f t="shared" si="20"/>
        <v>-0.15101293815612213</v>
      </c>
      <c r="O40" s="11"/>
      <c r="P40" s="6">
        <v>5558.26</v>
      </c>
      <c r="Q40" s="2"/>
      <c r="R40" s="7">
        <f t="shared" si="21"/>
        <v>7.7224859017039391E-2</v>
      </c>
      <c r="S40" s="2"/>
      <c r="T40" s="6">
        <v>5903.03</v>
      </c>
      <c r="U40" s="2"/>
      <c r="V40" s="7">
        <f t="shared" si="22"/>
        <v>2.5722192753716462E-2</v>
      </c>
      <c r="W40" s="2"/>
      <c r="X40" s="6">
        <f t="shared" si="23"/>
        <v>-344.76999999999953</v>
      </c>
      <c r="Y40" s="2"/>
      <c r="Z40" s="7">
        <f t="shared" si="24"/>
        <v>-5.8405598480780134E-2</v>
      </c>
    </row>
    <row r="41" spans="1:26" s="24" customFormat="1" hidden="1" outlineLevel="2" x14ac:dyDescent="0.25">
      <c r="A41" s="28"/>
      <c r="B41" s="11" t="str">
        <f>CONCATENATE("          ", "6112", " - ", "COMPENSATION INSURANCE")</f>
        <v xml:space="preserve">          6112 - COMPENSATION INSURANCE</v>
      </c>
      <c r="C41" s="11"/>
      <c r="D41" s="6">
        <v>308.31</v>
      </c>
      <c r="E41" s="2"/>
      <c r="F41" s="7">
        <f t="shared" si="17"/>
        <v>2.9368702913246548E-2</v>
      </c>
      <c r="G41" s="2"/>
      <c r="H41" s="6">
        <v>36.97</v>
      </c>
      <c r="I41" s="2"/>
      <c r="J41" s="7">
        <f t="shared" si="18"/>
        <v>6.426495029244289E-4</v>
      </c>
      <c r="K41" s="2"/>
      <c r="L41" s="6">
        <f t="shared" si="19"/>
        <v>271.34000000000003</v>
      </c>
      <c r="M41" s="2"/>
      <c r="N41" s="7">
        <f t="shared" si="20"/>
        <v>7.3394644306194223</v>
      </c>
      <c r="O41" s="11"/>
      <c r="P41" s="6">
        <v>1230.6500000000001</v>
      </c>
      <c r="Q41" s="2"/>
      <c r="R41" s="7">
        <f t="shared" si="21"/>
        <v>1.7098295644557747E-2</v>
      </c>
      <c r="S41" s="2"/>
      <c r="T41" s="6">
        <v>678.2</v>
      </c>
      <c r="U41" s="2"/>
      <c r="V41" s="7">
        <f t="shared" si="22"/>
        <v>2.9552265744152593E-3</v>
      </c>
      <c r="W41" s="2"/>
      <c r="X41" s="6">
        <f t="shared" si="23"/>
        <v>552.45000000000005</v>
      </c>
      <c r="Y41" s="2"/>
      <c r="Z41" s="7">
        <f t="shared" si="24"/>
        <v>0.81458271896195811</v>
      </c>
    </row>
    <row r="42" spans="1:26" s="24" customFormat="1" hidden="1" outlineLevel="2" x14ac:dyDescent="0.25">
      <c r="A42" s="28"/>
      <c r="B42" s="11" t="str">
        <f>CONCATENATE("          ", "6113", " - ", "GROUP INSURANCE")</f>
        <v xml:space="preserve">          6113 - GROUP INSURANCE</v>
      </c>
      <c r="C42" s="11"/>
      <c r="D42" s="6">
        <v>3423.78</v>
      </c>
      <c r="E42" s="2"/>
      <c r="F42" s="7">
        <f t="shared" si="17"/>
        <v>0.32613920294611032</v>
      </c>
      <c r="G42" s="2"/>
      <c r="H42" s="6">
        <v>3051.28</v>
      </c>
      <c r="I42" s="2"/>
      <c r="J42" s="7">
        <f t="shared" si="18"/>
        <v>5.3040399656025201E-2</v>
      </c>
      <c r="K42" s="2"/>
      <c r="L42" s="6">
        <f t="shared" si="19"/>
        <v>372.5</v>
      </c>
      <c r="M42" s="2"/>
      <c r="N42" s="7">
        <f t="shared" si="20"/>
        <v>0.12207991400330352</v>
      </c>
      <c r="O42" s="11"/>
      <c r="P42" s="6">
        <v>12893.77</v>
      </c>
      <c r="Q42" s="2"/>
      <c r="R42" s="7">
        <f t="shared" si="21"/>
        <v>0.17914231620113705</v>
      </c>
      <c r="S42" s="2"/>
      <c r="T42" s="6">
        <v>11586.14</v>
      </c>
      <c r="U42" s="2"/>
      <c r="V42" s="7">
        <f t="shared" si="22"/>
        <v>5.0486093811406084E-2</v>
      </c>
      <c r="W42" s="2"/>
      <c r="X42" s="6">
        <f t="shared" si="23"/>
        <v>1307.630000000001</v>
      </c>
      <c r="Y42" s="2"/>
      <c r="Z42" s="7">
        <f t="shared" si="24"/>
        <v>0.11286157426028005</v>
      </c>
    </row>
    <row r="43" spans="1:26" s="24" customFormat="1" hidden="1" outlineLevel="2" x14ac:dyDescent="0.25">
      <c r="A43" s="28"/>
      <c r="B43" s="11" t="str">
        <f>CONCATENATE("          ", "6114", " - ", "STATE UNEMPLOYMENT INSURANCE")</f>
        <v xml:space="preserve">          6114 - STATE UNEMPLOYMENT INSURANCE</v>
      </c>
      <c r="C43" s="11"/>
      <c r="D43" s="6">
        <v>43.33</v>
      </c>
      <c r="E43" s="2"/>
      <c r="F43" s="7">
        <f t="shared" si="17"/>
        <v>4.1274882333721674E-3</v>
      </c>
      <c r="G43" s="2"/>
      <c r="H43" s="6">
        <v>76.510000000000005</v>
      </c>
      <c r="I43" s="2"/>
      <c r="J43" s="7">
        <f t="shared" si="18"/>
        <v>1.3299733153569939E-3</v>
      </c>
      <c r="K43" s="2"/>
      <c r="L43" s="6">
        <f t="shared" si="19"/>
        <v>-33.180000000000007</v>
      </c>
      <c r="M43" s="2"/>
      <c r="N43" s="7">
        <f t="shared" si="20"/>
        <v>-0.433668801463861</v>
      </c>
      <c r="O43" s="11"/>
      <c r="P43" s="6">
        <v>172.95</v>
      </c>
      <c r="Q43" s="2"/>
      <c r="R43" s="7">
        <f t="shared" si="21"/>
        <v>2.4029173458954712E-3</v>
      </c>
      <c r="S43" s="2"/>
      <c r="T43" s="6">
        <v>207.33</v>
      </c>
      <c r="U43" s="2"/>
      <c r="V43" s="7">
        <f t="shared" si="22"/>
        <v>9.0343132656077213E-4</v>
      </c>
      <c r="W43" s="2"/>
      <c r="X43" s="6">
        <f t="shared" si="23"/>
        <v>-34.380000000000024</v>
      </c>
      <c r="Y43" s="2"/>
      <c r="Z43" s="7">
        <f t="shared" si="24"/>
        <v>-0.16582260164954432</v>
      </c>
    </row>
    <row r="44" spans="1:26" s="24" customFormat="1" hidden="1" outlineLevel="2" x14ac:dyDescent="0.25">
      <c r="A44" s="28"/>
      <c r="B44" s="11" t="str">
        <f>CONCATENATE("          ", "6115", " - ", "P.E.R.S.")</f>
        <v xml:space="preserve">          6115 - P.E.R.S.</v>
      </c>
      <c r="C44" s="11"/>
      <c r="D44" s="6">
        <v>1202.9100000000001</v>
      </c>
      <c r="E44" s="2"/>
      <c r="F44" s="7">
        <f t="shared" si="17"/>
        <v>0.1145856651466816</v>
      </c>
      <c r="G44" s="2"/>
      <c r="H44" s="6">
        <v>2078.9</v>
      </c>
      <c r="I44" s="2"/>
      <c r="J44" s="7">
        <f t="shared" si="18"/>
        <v>3.6137518302125922E-2</v>
      </c>
      <c r="K44" s="2"/>
      <c r="L44" s="6">
        <f t="shared" si="19"/>
        <v>-875.99</v>
      </c>
      <c r="M44" s="2"/>
      <c r="N44" s="7">
        <f t="shared" si="20"/>
        <v>-0.4213718793592765</v>
      </c>
      <c r="O44" s="11"/>
      <c r="P44" s="6">
        <v>6498.27</v>
      </c>
      <c r="Q44" s="2"/>
      <c r="R44" s="7">
        <f t="shared" si="21"/>
        <v>9.0285086448754936E-2</v>
      </c>
      <c r="S44" s="2"/>
      <c r="T44" s="6">
        <v>5580.03</v>
      </c>
      <c r="U44" s="2"/>
      <c r="V44" s="7">
        <f t="shared" si="22"/>
        <v>2.4314734506096104E-2</v>
      </c>
      <c r="W44" s="2"/>
      <c r="X44" s="6">
        <f t="shared" si="23"/>
        <v>918.24000000000069</v>
      </c>
      <c r="Y44" s="2"/>
      <c r="Z44" s="7">
        <f t="shared" si="24"/>
        <v>0.16455825506314495</v>
      </c>
    </row>
    <row r="45" spans="1:26" s="24" customFormat="1" hidden="1" outlineLevel="2" x14ac:dyDescent="0.25">
      <c r="A45" s="28"/>
      <c r="B45" s="11" t="str">
        <f>CONCATENATE("          ", "6118", " - ", "VACATION")</f>
        <v xml:space="preserve">          6118 - VACATION</v>
      </c>
      <c r="C45" s="11"/>
      <c r="D45" s="6">
        <v>1824.15</v>
      </c>
      <c r="E45" s="2"/>
      <c r="F45" s="7">
        <f t="shared" si="17"/>
        <v>0.17376315857156333</v>
      </c>
      <c r="G45" s="2"/>
      <c r="H45" s="6">
        <v>1263.1600000000001</v>
      </c>
      <c r="I45" s="2"/>
      <c r="J45" s="7">
        <f t="shared" si="18"/>
        <v>2.1957510038247814E-2</v>
      </c>
      <c r="K45" s="2"/>
      <c r="L45" s="6">
        <f t="shared" si="19"/>
        <v>560.99</v>
      </c>
      <c r="M45" s="2"/>
      <c r="N45" s="7">
        <f t="shared" si="20"/>
        <v>0.4441163431394281</v>
      </c>
      <c r="O45" s="11"/>
      <c r="P45" s="6">
        <v>5235.2299999999996</v>
      </c>
      <c r="Q45" s="2"/>
      <c r="R45" s="7">
        <f t="shared" si="21"/>
        <v>7.2736773499579924E-2</v>
      </c>
      <c r="S45" s="2"/>
      <c r="T45" s="6">
        <v>5056.2299999999996</v>
      </c>
      <c r="U45" s="2"/>
      <c r="V45" s="7">
        <f t="shared" si="22"/>
        <v>2.2032299118778624E-2</v>
      </c>
      <c r="W45" s="2"/>
      <c r="X45" s="6">
        <f t="shared" si="23"/>
        <v>179</v>
      </c>
      <c r="Y45" s="2"/>
      <c r="Z45" s="7">
        <f t="shared" si="24"/>
        <v>3.5401870563641295E-2</v>
      </c>
    </row>
    <row r="46" spans="1:26" s="24" customFormat="1" hidden="1" outlineLevel="2" x14ac:dyDescent="0.25">
      <c r="A46" s="28"/>
      <c r="B46" s="11" t="str">
        <f>CONCATENATE("          ", "6119", " - ", "SICK LEAVE")</f>
        <v xml:space="preserve">          6119 - SICK LEAVE</v>
      </c>
      <c r="C46" s="11"/>
      <c r="D46" s="6">
        <v>1107.75</v>
      </c>
      <c r="E46" s="2"/>
      <c r="F46" s="7">
        <f t="shared" si="17"/>
        <v>0.10552100370454692</v>
      </c>
      <c r="G46" s="2"/>
      <c r="H46" s="6">
        <v>834.81</v>
      </c>
      <c r="I46" s="2"/>
      <c r="J46" s="7">
        <f t="shared" si="18"/>
        <v>1.451150207022836E-2</v>
      </c>
      <c r="K46" s="2"/>
      <c r="L46" s="6">
        <f t="shared" si="19"/>
        <v>272.94000000000005</v>
      </c>
      <c r="M46" s="2"/>
      <c r="N46" s="7">
        <f t="shared" si="20"/>
        <v>0.32694864699752046</v>
      </c>
      <c r="O46" s="11"/>
      <c r="P46" s="6">
        <v>3217.27</v>
      </c>
      <c r="Q46" s="2"/>
      <c r="R46" s="7">
        <f t="shared" si="21"/>
        <v>4.4699820118121555E-2</v>
      </c>
      <c r="S46" s="2"/>
      <c r="T46" s="6">
        <v>3071.78</v>
      </c>
      <c r="U46" s="2"/>
      <c r="V46" s="7">
        <f t="shared" si="22"/>
        <v>1.338514580766338E-2</v>
      </c>
      <c r="W46" s="2"/>
      <c r="X46" s="6">
        <f t="shared" si="23"/>
        <v>145.48999999999978</v>
      </c>
      <c r="Y46" s="2"/>
      <c r="Z46" s="7">
        <f t="shared" si="24"/>
        <v>4.7363417953108548E-2</v>
      </c>
    </row>
    <row r="47" spans="1:26" s="24" customFormat="1" hidden="1" outlineLevel="2" x14ac:dyDescent="0.25">
      <c r="A47" s="28"/>
      <c r="B47" s="11" t="str">
        <f>CONCATENATE("          ", "6156", " - ", "EMPLOYEE MEALS")</f>
        <v xml:space="preserve">          6156 - EMPLOYEE MEALS</v>
      </c>
      <c r="C47" s="11"/>
      <c r="D47" s="6">
        <v>499.9</v>
      </c>
      <c r="E47" s="2"/>
      <c r="F47" s="7">
        <f t="shared" si="17"/>
        <v>4.7619002258544804E-2</v>
      </c>
      <c r="G47" s="2"/>
      <c r="H47" s="6">
        <v>304.16000000000003</v>
      </c>
      <c r="I47" s="2"/>
      <c r="J47" s="7">
        <f t="shared" si="18"/>
        <v>5.2872132217877824E-3</v>
      </c>
      <c r="K47" s="2"/>
      <c r="L47" s="6">
        <f t="shared" si="19"/>
        <v>195.73999999999995</v>
      </c>
      <c r="M47" s="2"/>
      <c r="N47" s="7">
        <f t="shared" si="20"/>
        <v>0.64354287217254058</v>
      </c>
      <c r="O47" s="11"/>
      <c r="P47" s="6">
        <v>1466.64</v>
      </c>
      <c r="Q47" s="2"/>
      <c r="R47" s="7">
        <f t="shared" si="21"/>
        <v>2.0377072542261548E-2</v>
      </c>
      <c r="S47" s="2"/>
      <c r="T47" s="6">
        <v>1039.6099999999999</v>
      </c>
      <c r="U47" s="2"/>
      <c r="V47" s="7">
        <f t="shared" si="22"/>
        <v>4.5300547021938174E-3</v>
      </c>
      <c r="W47" s="2"/>
      <c r="X47" s="6">
        <f t="shared" si="23"/>
        <v>427.0300000000002</v>
      </c>
      <c r="Y47" s="2"/>
      <c r="Z47" s="7">
        <f t="shared" si="24"/>
        <v>0.41075980415732843</v>
      </c>
    </row>
    <row r="48" spans="1:26" s="29" customFormat="1" outlineLevel="1" collapsed="1" x14ac:dyDescent="0.25">
      <c r="A48" s="27"/>
      <c r="B48" s="14" t="str">
        <f>CONCATENATE("     ","*Payroll                                          ")</f>
        <v xml:space="preserve">     *Payroll                                          </v>
      </c>
      <c r="C48" s="14"/>
      <c r="D48" s="1">
        <f>SUM(OSRRefD22_1x_0)</f>
        <v>15617.39</v>
      </c>
      <c r="E48" s="1"/>
      <c r="F48" s="5">
        <f t="shared" ref="F48:F52" si="25">IF(D$12=0,0,D48/D$12)</f>
        <v>1.4876665926836867</v>
      </c>
      <c r="G48" s="1"/>
      <c r="H48" s="1">
        <f>SUM(OSRRefH22_1x_0)</f>
        <v>18919.54</v>
      </c>
      <c r="I48" s="1"/>
      <c r="J48" s="5">
        <f t="shared" ref="J48:J52" si="26">IF(H$12=0,0,H48/H$12)</f>
        <v>0.32887836019904926</v>
      </c>
      <c r="K48" s="1"/>
      <c r="L48" s="1">
        <f t="shared" ref="L48:L52" si="27">+D48-H48</f>
        <v>-3302.1500000000015</v>
      </c>
      <c r="M48" s="1"/>
      <c r="N48" s="5">
        <f t="shared" ref="N48:N52" si="28">IF(H48=0,0,L48/H48)</f>
        <v>-0.17453648450226597</v>
      </c>
      <c r="O48" s="14"/>
      <c r="P48" s="1">
        <f>SUM(OSRRefP22_1x_0)</f>
        <v>60168.05</v>
      </c>
      <c r="Q48" s="1"/>
      <c r="R48" s="5">
        <f t="shared" ref="R48:R52" si="29">IF(P$12=0,0,P48/P$12)</f>
        <v>0.83595750802952318</v>
      </c>
      <c r="S48" s="1"/>
      <c r="T48" s="1">
        <f>SUM(OSRRefT22_1x_0)</f>
        <v>73167.64</v>
      </c>
      <c r="U48" s="1"/>
      <c r="V48" s="5">
        <f t="shared" ref="V48:V52" si="30">IF(T$12=0,0,T48/T$12)</f>
        <v>0.31882476277683408</v>
      </c>
      <c r="W48" s="1"/>
      <c r="X48" s="1">
        <f t="shared" ref="X48:X52" si="31">+P48-T48</f>
        <v>-12999.589999999997</v>
      </c>
      <c r="Y48" s="1"/>
      <c r="Z48" s="5">
        <f t="shared" ref="Z48:Z52" si="32">IF(T48=0,0,X48/T48)</f>
        <v>-0.17766857042266221</v>
      </c>
    </row>
    <row r="49" spans="1:26" s="24" customFormat="1" hidden="1" outlineLevel="2" x14ac:dyDescent="0.25">
      <c r="A49" s="28"/>
      <c r="B49" s="11" t="str">
        <f>CONCATENATE("          ", "6002", " - ", "STAFF SALARIES")</f>
        <v xml:space="preserve">          6002 - STAFF SALARIES</v>
      </c>
      <c r="C49" s="11"/>
      <c r="D49" s="6">
        <v>14754.47</v>
      </c>
      <c r="E49" s="2"/>
      <c r="F49" s="7">
        <f t="shared" si="25"/>
        <v>1.4054673739820596</v>
      </c>
      <c r="G49" s="2"/>
      <c r="H49" s="6">
        <v>11058.78</v>
      </c>
      <c r="I49" s="2"/>
      <c r="J49" s="7">
        <f t="shared" si="26"/>
        <v>0.19223477062349517</v>
      </c>
      <c r="K49" s="2"/>
      <c r="L49" s="6">
        <f t="shared" si="27"/>
        <v>3695.6899999999987</v>
      </c>
      <c r="M49" s="2"/>
      <c r="N49" s="7">
        <f t="shared" si="28"/>
        <v>0.33418604945572644</v>
      </c>
      <c r="O49" s="11"/>
      <c r="P49" s="6">
        <v>56768.43</v>
      </c>
      <c r="Q49" s="2"/>
      <c r="R49" s="7">
        <f t="shared" si="29"/>
        <v>0.78872416968056003</v>
      </c>
      <c r="S49" s="2"/>
      <c r="T49" s="6">
        <v>47845.75</v>
      </c>
      <c r="U49" s="2"/>
      <c r="V49" s="7">
        <f t="shared" si="30"/>
        <v>0.20848574443059403</v>
      </c>
      <c r="W49" s="2"/>
      <c r="X49" s="6">
        <f t="shared" si="31"/>
        <v>8922.68</v>
      </c>
      <c r="Y49" s="2"/>
      <c r="Z49" s="7">
        <f t="shared" si="32"/>
        <v>0.18648845508744247</v>
      </c>
    </row>
    <row r="50" spans="1:26" s="24" customFormat="1" hidden="1" outlineLevel="2" x14ac:dyDescent="0.25">
      <c r="A50" s="28"/>
      <c r="B50" s="11" t="str">
        <f>CONCATENATE("          ", "6005", " - ", "TEMPORARY WAGES-HOURLY")</f>
        <v xml:space="preserve">          6005 - TEMPORARY WAGES-HOURLY</v>
      </c>
      <c r="C50" s="11"/>
      <c r="D50" s="6"/>
      <c r="E50" s="2"/>
      <c r="F50" s="7">
        <f t="shared" si="25"/>
        <v>0</v>
      </c>
      <c r="G50" s="2"/>
      <c r="H50" s="6">
        <v>4012.75</v>
      </c>
      <c r="I50" s="2"/>
      <c r="J50" s="7">
        <f t="shared" si="26"/>
        <v>6.9753632482012509E-2</v>
      </c>
      <c r="K50" s="2"/>
      <c r="L50" s="6">
        <f t="shared" si="27"/>
        <v>-4012.75</v>
      </c>
      <c r="M50" s="2"/>
      <c r="N50" s="7">
        <f t="shared" si="28"/>
        <v>-1</v>
      </c>
      <c r="O50" s="11"/>
      <c r="P50" s="6">
        <v>383.25</v>
      </c>
      <c r="Q50" s="2"/>
      <c r="R50" s="7">
        <f t="shared" si="29"/>
        <v>5.3247648037839804E-3</v>
      </c>
      <c r="S50" s="2"/>
      <c r="T50" s="6">
        <v>8195.25</v>
      </c>
      <c r="U50" s="2"/>
      <c r="V50" s="7">
        <f t="shared" si="30"/>
        <v>3.5710440259476041E-2</v>
      </c>
      <c r="W50" s="2"/>
      <c r="X50" s="6">
        <f t="shared" si="31"/>
        <v>-7812</v>
      </c>
      <c r="Y50" s="2"/>
      <c r="Z50" s="7">
        <f t="shared" si="32"/>
        <v>-0.95323510570147341</v>
      </c>
    </row>
    <row r="51" spans="1:26" s="24" customFormat="1" hidden="1" outlineLevel="2" x14ac:dyDescent="0.25">
      <c r="A51" s="28"/>
      <c r="B51" s="11" t="str">
        <f>CONCATENATE("          ", "6006", " - ", "TEMPORARY PART TIME")</f>
        <v xml:space="preserve">          6006 - TEMPORARY PART TIME</v>
      </c>
      <c r="C51" s="11"/>
      <c r="D51" s="6"/>
      <c r="E51" s="2"/>
      <c r="F51" s="7">
        <f t="shared" si="25"/>
        <v>0</v>
      </c>
      <c r="G51" s="2"/>
      <c r="H51" s="6"/>
      <c r="I51" s="2"/>
      <c r="J51" s="7">
        <f t="shared" si="26"/>
        <v>0</v>
      </c>
      <c r="K51" s="2"/>
      <c r="L51" s="6">
        <f t="shared" si="27"/>
        <v>0</v>
      </c>
      <c r="M51" s="2"/>
      <c r="N51" s="7">
        <f t="shared" si="28"/>
        <v>0</v>
      </c>
      <c r="O51" s="11"/>
      <c r="P51" s="6"/>
      <c r="Q51" s="2"/>
      <c r="R51" s="7">
        <f t="shared" si="29"/>
        <v>0</v>
      </c>
      <c r="S51" s="2"/>
      <c r="T51" s="6">
        <v>57.37</v>
      </c>
      <c r="U51" s="2"/>
      <c r="V51" s="7">
        <f t="shared" si="30"/>
        <v>2.4998724354792598E-4</v>
      </c>
      <c r="W51" s="2"/>
      <c r="X51" s="6">
        <f t="shared" si="31"/>
        <v>-57.37</v>
      </c>
      <c r="Y51" s="2"/>
      <c r="Z51" s="7">
        <f t="shared" si="32"/>
        <v>-1</v>
      </c>
    </row>
    <row r="52" spans="1:26" s="24" customFormat="1" hidden="1" outlineLevel="2" x14ac:dyDescent="0.25">
      <c r="A52" s="28"/>
      <c r="B52" s="11" t="str">
        <f>CONCATENATE("          ", "6007", " - ", "STUDENT HOURLY")</f>
        <v xml:space="preserve">          6007 - STUDENT HOURLY</v>
      </c>
      <c r="C52" s="11"/>
      <c r="D52" s="6">
        <v>862.92</v>
      </c>
      <c r="E52" s="2"/>
      <c r="F52" s="7">
        <f t="shared" si="25"/>
        <v>8.2199218701627288E-2</v>
      </c>
      <c r="G52" s="2"/>
      <c r="H52" s="6">
        <v>3848.01</v>
      </c>
      <c r="I52" s="2"/>
      <c r="J52" s="7">
        <f t="shared" si="26"/>
        <v>6.6889957093541577E-2</v>
      </c>
      <c r="K52" s="2"/>
      <c r="L52" s="6">
        <f t="shared" si="27"/>
        <v>-2985.09</v>
      </c>
      <c r="M52" s="2"/>
      <c r="N52" s="7">
        <f t="shared" si="28"/>
        <v>-0.77574902352124864</v>
      </c>
      <c r="O52" s="11"/>
      <c r="P52" s="6">
        <v>3016.37</v>
      </c>
      <c r="Q52" s="2"/>
      <c r="R52" s="7">
        <f t="shared" si="29"/>
        <v>4.1908573545179087E-2</v>
      </c>
      <c r="S52" s="2"/>
      <c r="T52" s="6">
        <v>17069.27</v>
      </c>
      <c r="U52" s="2"/>
      <c r="V52" s="7">
        <f t="shared" si="30"/>
        <v>7.4378590843216089E-2</v>
      </c>
      <c r="W52" s="2"/>
      <c r="X52" s="6">
        <f t="shared" si="31"/>
        <v>-14052.900000000001</v>
      </c>
      <c r="Y52" s="2"/>
      <c r="Z52" s="7">
        <f t="shared" si="32"/>
        <v>-0.82328652602015207</v>
      </c>
    </row>
    <row r="53" spans="1:26" s="29" customFormat="1" outlineLevel="1" collapsed="1" x14ac:dyDescent="0.25">
      <c r="A53" s="27"/>
      <c r="B53" s="14" t="str">
        <f>CONCATENATE("     ","Advertising/Promo                                 ")</f>
        <v xml:space="preserve">     Advertising/Promo                                 </v>
      </c>
      <c r="C53" s="14"/>
      <c r="D53" s="1">
        <f>SUM(OSRRefD22_2x_0)</f>
        <v>0</v>
      </c>
      <c r="E53" s="1"/>
      <c r="F53" s="5">
        <f t="shared" ref="F53:F63" si="33">IF(D$12=0,0,D53/D$12)</f>
        <v>0</v>
      </c>
      <c r="G53" s="1"/>
      <c r="H53" s="1">
        <f>SUM(OSRRefH22_2x_0)</f>
        <v>0</v>
      </c>
      <c r="I53" s="1"/>
      <c r="J53" s="5">
        <f t="shared" ref="J53:J63" si="34">IF(H$12=0,0,H53/H$12)</f>
        <v>0</v>
      </c>
      <c r="K53" s="1"/>
      <c r="L53" s="1">
        <f t="shared" ref="L53:L63" si="35">+D53-H53</f>
        <v>0</v>
      </c>
      <c r="M53" s="1"/>
      <c r="N53" s="5">
        <f t="shared" ref="N53:N63" si="36">IF(H53=0,0,L53/H53)</f>
        <v>0</v>
      </c>
      <c r="O53" s="14"/>
      <c r="P53" s="1">
        <f>SUM(OSRRefP22_2x_0)</f>
        <v>0</v>
      </c>
      <c r="Q53" s="1"/>
      <c r="R53" s="5">
        <f t="shared" ref="R53:R63" si="37">IF(P$12=0,0,P53/P$12)</f>
        <v>0</v>
      </c>
      <c r="S53" s="1"/>
      <c r="T53" s="1">
        <f>SUM(OSRRefT22_2x_0)</f>
        <v>-857.46</v>
      </c>
      <c r="U53" s="1"/>
      <c r="V53" s="5">
        <f t="shared" ref="V53:V63" si="38">IF(T$12=0,0,T53/T$12)</f>
        <v>-3.7363441145651845E-3</v>
      </c>
      <c r="W53" s="1"/>
      <c r="X53" s="1">
        <f t="shared" ref="X53:X63" si="39">+P53-T53</f>
        <v>857.46</v>
      </c>
      <c r="Y53" s="1"/>
      <c r="Z53" s="5">
        <f t="shared" ref="Z53:Z63" si="40">IF(T53=0,0,X53/T53)</f>
        <v>-1</v>
      </c>
    </row>
    <row r="54" spans="1:26" s="24" customFormat="1" hidden="1" outlineLevel="2" x14ac:dyDescent="0.25">
      <c r="A54" s="28"/>
      <c r="B54" s="11" t="str">
        <f>CONCATENATE("          ", "6362", " - ", "ADVERTISING EXPENSE")</f>
        <v xml:space="preserve">          6362 - ADVERTISING EXPENSE</v>
      </c>
      <c r="C54" s="11"/>
      <c r="D54" s="6"/>
      <c r="E54" s="2"/>
      <c r="F54" s="7">
        <f t="shared" si="33"/>
        <v>0</v>
      </c>
      <c r="G54" s="2"/>
      <c r="H54" s="6"/>
      <c r="I54" s="2"/>
      <c r="J54" s="7">
        <f t="shared" si="34"/>
        <v>0</v>
      </c>
      <c r="K54" s="2"/>
      <c r="L54" s="6">
        <f t="shared" si="35"/>
        <v>0</v>
      </c>
      <c r="M54" s="2"/>
      <c r="N54" s="7">
        <f t="shared" si="36"/>
        <v>0</v>
      </c>
      <c r="O54" s="11"/>
      <c r="P54" s="6"/>
      <c r="Q54" s="2"/>
      <c r="R54" s="7">
        <f t="shared" si="37"/>
        <v>0</v>
      </c>
      <c r="S54" s="2"/>
      <c r="T54" s="6">
        <v>-857.46</v>
      </c>
      <c r="U54" s="2"/>
      <c r="V54" s="7">
        <f t="shared" si="38"/>
        <v>-3.7363441145651845E-3</v>
      </c>
      <c r="W54" s="2"/>
      <c r="X54" s="6">
        <f t="shared" si="39"/>
        <v>857.46</v>
      </c>
      <c r="Y54" s="2"/>
      <c r="Z54" s="7">
        <f t="shared" si="40"/>
        <v>-1</v>
      </c>
    </row>
    <row r="55" spans="1:26" s="29" customFormat="1" outlineLevel="1" collapsed="1" x14ac:dyDescent="0.25">
      <c r="A55" s="27"/>
      <c r="B55" s="14" t="str">
        <f>CONCATENATE("     ","Depreciation                                      ")</f>
        <v xml:space="preserve">     Depreciation                                      </v>
      </c>
      <c r="C55" s="14"/>
      <c r="D55" s="1">
        <f>SUM(OSRRefD22_3x_0)</f>
        <v>169.88</v>
      </c>
      <c r="E55" s="1"/>
      <c r="F55" s="5">
        <f t="shared" si="33"/>
        <v>1.61822686610954E-2</v>
      </c>
      <c r="G55" s="1"/>
      <c r="H55" s="1">
        <f>SUM(OSRRefH22_3x_0)</f>
        <v>0</v>
      </c>
      <c r="I55" s="1"/>
      <c r="J55" s="5">
        <f t="shared" si="34"/>
        <v>0</v>
      </c>
      <c r="K55" s="1"/>
      <c r="L55" s="1">
        <f t="shared" si="35"/>
        <v>169.88</v>
      </c>
      <c r="M55" s="1"/>
      <c r="N55" s="5">
        <f t="shared" si="36"/>
        <v>0</v>
      </c>
      <c r="O55" s="14"/>
      <c r="P55" s="1">
        <f>SUM(OSRRefP22_3x_0)</f>
        <v>679.52</v>
      </c>
      <c r="Q55" s="1"/>
      <c r="R55" s="5">
        <f t="shared" si="37"/>
        <v>9.4410546104821656E-3</v>
      </c>
      <c r="S55" s="1"/>
      <c r="T55" s="1">
        <f>SUM(OSRRefT22_3x_0)</f>
        <v>0</v>
      </c>
      <c r="U55" s="1"/>
      <c r="V55" s="5">
        <f t="shared" si="38"/>
        <v>0</v>
      </c>
      <c r="W55" s="1"/>
      <c r="X55" s="1">
        <f t="shared" si="39"/>
        <v>679.52</v>
      </c>
      <c r="Y55" s="1"/>
      <c r="Z55" s="5">
        <f t="shared" si="40"/>
        <v>0</v>
      </c>
    </row>
    <row r="56" spans="1:26" s="24" customFormat="1" hidden="1" outlineLevel="2" x14ac:dyDescent="0.25">
      <c r="A56" s="28"/>
      <c r="B56" s="11" t="str">
        <f>CONCATENATE("          ", "6322", " - ", "EQUIPMENT DEPRECIATION EXPENSE")</f>
        <v xml:space="preserve">          6322 - EQUIPMENT DEPRECIATION EXPENSE</v>
      </c>
      <c r="C56" s="11"/>
      <c r="D56" s="6">
        <v>169.88</v>
      </c>
      <c r="E56" s="2"/>
      <c r="F56" s="7">
        <f t="shared" si="33"/>
        <v>1.61822686610954E-2</v>
      </c>
      <c r="G56" s="2"/>
      <c r="H56" s="6"/>
      <c r="I56" s="2"/>
      <c r="J56" s="7">
        <f t="shared" si="34"/>
        <v>0</v>
      </c>
      <c r="K56" s="2"/>
      <c r="L56" s="6">
        <f t="shared" si="35"/>
        <v>169.88</v>
      </c>
      <c r="M56" s="2"/>
      <c r="N56" s="7">
        <f t="shared" si="36"/>
        <v>0</v>
      </c>
      <c r="O56" s="11"/>
      <c r="P56" s="6">
        <v>679.52</v>
      </c>
      <c r="Q56" s="2"/>
      <c r="R56" s="7">
        <f t="shared" si="37"/>
        <v>9.4410546104821656E-3</v>
      </c>
      <c r="S56" s="2"/>
      <c r="T56" s="6"/>
      <c r="U56" s="2"/>
      <c r="V56" s="7">
        <f t="shared" si="38"/>
        <v>0</v>
      </c>
      <c r="W56" s="2"/>
      <c r="X56" s="6">
        <f t="shared" si="39"/>
        <v>679.52</v>
      </c>
      <c r="Y56" s="2"/>
      <c r="Z56" s="7">
        <f t="shared" si="40"/>
        <v>0</v>
      </c>
    </row>
    <row r="57" spans="1:26" s="29" customFormat="1" outlineLevel="1" collapsed="1" x14ac:dyDescent="0.25">
      <c r="A57" s="27"/>
      <c r="B57" s="14" t="str">
        <f>CONCATENATE("     ","Discounts and Markdowns                           ")</f>
        <v xml:space="preserve">     Discounts and Markdowns                           </v>
      </c>
      <c r="C57" s="14"/>
      <c r="D57" s="1">
        <f>SUM(OSRRefD22_4x_0)</f>
        <v>0</v>
      </c>
      <c r="E57" s="1"/>
      <c r="F57" s="5">
        <f t="shared" si="33"/>
        <v>0</v>
      </c>
      <c r="G57" s="1"/>
      <c r="H57" s="1">
        <f>SUM(OSRRefH22_4x_0)</f>
        <v>321.91000000000003</v>
      </c>
      <c r="I57" s="1"/>
      <c r="J57" s="5">
        <f t="shared" si="34"/>
        <v>5.5957614683906668E-3</v>
      </c>
      <c r="K57" s="1"/>
      <c r="L57" s="1">
        <f t="shared" si="35"/>
        <v>-321.91000000000003</v>
      </c>
      <c r="M57" s="1"/>
      <c r="N57" s="5">
        <f t="shared" si="36"/>
        <v>-1</v>
      </c>
      <c r="O57" s="14"/>
      <c r="P57" s="1">
        <f>SUM(OSRRefP22_4x_0)</f>
        <v>0</v>
      </c>
      <c r="Q57" s="1"/>
      <c r="R57" s="5">
        <f t="shared" si="37"/>
        <v>0</v>
      </c>
      <c r="S57" s="1"/>
      <c r="T57" s="1">
        <f>SUM(OSRRefT22_4x_0)</f>
        <v>627.72</v>
      </c>
      <c r="U57" s="1"/>
      <c r="V57" s="5">
        <f t="shared" si="38"/>
        <v>2.735262201845984E-3</v>
      </c>
      <c r="W57" s="1"/>
      <c r="X57" s="1">
        <f t="shared" si="39"/>
        <v>-627.72</v>
      </c>
      <c r="Y57" s="1"/>
      <c r="Z57" s="5">
        <f t="shared" si="40"/>
        <v>-1</v>
      </c>
    </row>
    <row r="58" spans="1:26" s="24" customFormat="1" hidden="1" outlineLevel="2" x14ac:dyDescent="0.25">
      <c r="A58" s="28"/>
      <c r="B58" s="11" t="str">
        <f>CONCATENATE("          ", "6382", " - ", "DISCOUNTS/MARK DOWNS")</f>
        <v xml:space="preserve">          6382 - DISCOUNTS/MARK DOWNS</v>
      </c>
      <c r="C58" s="11"/>
      <c r="D58" s="6"/>
      <c r="E58" s="2"/>
      <c r="F58" s="7">
        <f t="shared" si="33"/>
        <v>0</v>
      </c>
      <c r="G58" s="2"/>
      <c r="H58" s="6">
        <v>321.91000000000003</v>
      </c>
      <c r="I58" s="2"/>
      <c r="J58" s="7">
        <f t="shared" si="34"/>
        <v>5.5957614683906668E-3</v>
      </c>
      <c r="K58" s="2"/>
      <c r="L58" s="6">
        <f t="shared" si="35"/>
        <v>-321.91000000000003</v>
      </c>
      <c r="M58" s="2"/>
      <c r="N58" s="7">
        <f t="shared" si="36"/>
        <v>-1</v>
      </c>
      <c r="O58" s="11"/>
      <c r="P58" s="6"/>
      <c r="Q58" s="2"/>
      <c r="R58" s="7">
        <f t="shared" si="37"/>
        <v>0</v>
      </c>
      <c r="S58" s="2"/>
      <c r="T58" s="6">
        <v>627.72</v>
      </c>
      <c r="U58" s="2"/>
      <c r="V58" s="7">
        <f t="shared" si="38"/>
        <v>2.735262201845984E-3</v>
      </c>
      <c r="W58" s="2"/>
      <c r="X58" s="6">
        <f t="shared" si="39"/>
        <v>-627.72</v>
      </c>
      <c r="Y58" s="2"/>
      <c r="Z58" s="7">
        <f t="shared" si="40"/>
        <v>-1</v>
      </c>
    </row>
    <row r="59" spans="1:26" s="29" customFormat="1" outlineLevel="1" collapsed="1" x14ac:dyDescent="0.25">
      <c r="A59" s="27"/>
      <c r="B59" s="14" t="str">
        <f>CONCATENATE("     ","Equipment Rental                                  ")</f>
        <v xml:space="preserve">     Equipment Rental                                  </v>
      </c>
      <c r="C59" s="14"/>
      <c r="D59" s="1">
        <f>SUM(OSRRefD22_5x_0)</f>
        <v>1205.6400000000001</v>
      </c>
      <c r="E59" s="1"/>
      <c r="F59" s="5">
        <f t="shared" si="33"/>
        <v>0.11484571690936581</v>
      </c>
      <c r="G59" s="1"/>
      <c r="H59" s="1">
        <f>SUM(OSRRefH22_5x_0)</f>
        <v>2411.2800000000002</v>
      </c>
      <c r="I59" s="1"/>
      <c r="J59" s="5">
        <f t="shared" si="34"/>
        <v>4.1915279778512775E-2</v>
      </c>
      <c r="K59" s="1"/>
      <c r="L59" s="1">
        <f t="shared" si="35"/>
        <v>-1205.6400000000001</v>
      </c>
      <c r="M59" s="1"/>
      <c r="N59" s="5">
        <f t="shared" si="36"/>
        <v>-0.5</v>
      </c>
      <c r="O59" s="14"/>
      <c r="P59" s="1">
        <f>SUM(OSRRefP22_5x_0)</f>
        <v>4822.5600000000004</v>
      </c>
      <c r="Q59" s="1"/>
      <c r="R59" s="5">
        <f t="shared" si="37"/>
        <v>6.7003255713337179E-2</v>
      </c>
      <c r="S59" s="1"/>
      <c r="T59" s="1">
        <f>SUM(OSRRefT22_5x_0)</f>
        <v>6028.2</v>
      </c>
      <c r="U59" s="1"/>
      <c r="V59" s="5">
        <f t="shared" si="38"/>
        <v>2.6267615505588416E-2</v>
      </c>
      <c r="W59" s="1"/>
      <c r="X59" s="1">
        <f t="shared" si="39"/>
        <v>-1205.6399999999994</v>
      </c>
      <c r="Y59" s="1"/>
      <c r="Z59" s="5">
        <f t="shared" si="40"/>
        <v>-0.1999999999999999</v>
      </c>
    </row>
    <row r="60" spans="1:26" s="24" customFormat="1" hidden="1" outlineLevel="2" x14ac:dyDescent="0.25">
      <c r="A60" s="28"/>
      <c r="B60" s="11" t="str">
        <f>CONCATENATE("          ", "6351", " - ", "EQUIPMENT RENTAL")</f>
        <v xml:space="preserve">          6351 - EQUIPMENT RENTAL</v>
      </c>
      <c r="C60" s="11"/>
      <c r="D60" s="6">
        <v>1205.6400000000001</v>
      </c>
      <c r="E60" s="2"/>
      <c r="F60" s="7">
        <f t="shared" si="33"/>
        <v>0.11484571690936581</v>
      </c>
      <c r="G60" s="2"/>
      <c r="H60" s="6">
        <v>2411.2800000000002</v>
      </c>
      <c r="I60" s="2"/>
      <c r="J60" s="7">
        <f t="shared" si="34"/>
        <v>4.1915279778512775E-2</v>
      </c>
      <c r="K60" s="2"/>
      <c r="L60" s="6">
        <f t="shared" si="35"/>
        <v>-1205.6400000000001</v>
      </c>
      <c r="M60" s="2"/>
      <c r="N60" s="7">
        <f t="shared" si="36"/>
        <v>-0.5</v>
      </c>
      <c r="O60" s="11"/>
      <c r="P60" s="6">
        <v>4822.5600000000004</v>
      </c>
      <c r="Q60" s="2"/>
      <c r="R60" s="7">
        <f t="shared" si="37"/>
        <v>6.7003255713337179E-2</v>
      </c>
      <c r="S60" s="2"/>
      <c r="T60" s="6">
        <v>6028.2</v>
      </c>
      <c r="U60" s="2"/>
      <c r="V60" s="7">
        <f t="shared" si="38"/>
        <v>2.6267615505588416E-2</v>
      </c>
      <c r="W60" s="2"/>
      <c r="X60" s="6">
        <f t="shared" si="39"/>
        <v>-1205.6399999999994</v>
      </c>
      <c r="Y60" s="2"/>
      <c r="Z60" s="7">
        <f t="shared" si="40"/>
        <v>-0.1999999999999999</v>
      </c>
    </row>
    <row r="61" spans="1:26" s="29" customFormat="1" outlineLevel="1" collapsed="1" x14ac:dyDescent="0.25">
      <c r="A61" s="27"/>
      <c r="B61" s="14" t="str">
        <f>CONCATENATE("     ","Freight out/Postage                               ")</f>
        <v xml:space="preserve">     Freight out/Postage                               </v>
      </c>
      <c r="C61" s="14"/>
      <c r="D61" s="1">
        <f>SUM(OSRRefD22_6x_0)</f>
        <v>48851.520000000004</v>
      </c>
      <c r="E61" s="1"/>
      <c r="F61" s="5">
        <f t="shared" si="33"/>
        <v>4.6534519728212578</v>
      </c>
      <c r="G61" s="1"/>
      <c r="H61" s="1">
        <f>SUM(OSRRefH22_6x_0)</f>
        <v>234.75</v>
      </c>
      <c r="I61" s="1"/>
      <c r="J61" s="5">
        <f t="shared" si="34"/>
        <v>4.0806592050719424E-3</v>
      </c>
      <c r="K61" s="1"/>
      <c r="L61" s="1">
        <f t="shared" si="35"/>
        <v>48616.770000000004</v>
      </c>
      <c r="M61" s="1"/>
      <c r="N61" s="5">
        <f t="shared" si="36"/>
        <v>207.10019169329075</v>
      </c>
      <c r="O61" s="14"/>
      <c r="P61" s="1">
        <f>SUM(OSRRefP22_6x_0)</f>
        <v>-33149.160000000018</v>
      </c>
      <c r="Q61" s="1"/>
      <c r="R61" s="5">
        <f t="shared" si="37"/>
        <v>-0.46056485438487638</v>
      </c>
      <c r="S61" s="1"/>
      <c r="T61" s="1">
        <f>SUM(OSRRefT22_6x_0)</f>
        <v>-8278.4699999999975</v>
      </c>
      <c r="U61" s="1"/>
      <c r="V61" s="5">
        <f t="shared" si="38"/>
        <v>-3.6073067737392335E-2</v>
      </c>
      <c r="W61" s="1"/>
      <c r="X61" s="1">
        <f t="shared" si="39"/>
        <v>-24870.690000000021</v>
      </c>
      <c r="Y61" s="1"/>
      <c r="Z61" s="5">
        <f t="shared" si="40"/>
        <v>3.0042616570453271</v>
      </c>
    </row>
    <row r="62" spans="1:26" s="24" customFormat="1" hidden="1" outlineLevel="2" x14ac:dyDescent="0.25">
      <c r="A62" s="28"/>
      <c r="B62" s="11" t="str">
        <f>CONCATENATE("          ", "6305", " - ", "FREIGHT OUT")</f>
        <v xml:space="preserve">          6305 - FREIGHT OUT</v>
      </c>
      <c r="C62" s="11"/>
      <c r="D62" s="6">
        <v>60553.990000000005</v>
      </c>
      <c r="E62" s="2"/>
      <c r="F62" s="7">
        <f t="shared" si="33"/>
        <v>5.768194812110222</v>
      </c>
      <c r="G62" s="2"/>
      <c r="H62" s="6">
        <v>3195.83</v>
      </c>
      <c r="I62" s="2"/>
      <c r="J62" s="7">
        <f t="shared" si="34"/>
        <v>5.5553112278360232E-2</v>
      </c>
      <c r="K62" s="2"/>
      <c r="L62" s="6">
        <f t="shared" si="35"/>
        <v>57358.16</v>
      </c>
      <c r="M62" s="2"/>
      <c r="N62" s="7">
        <f t="shared" si="36"/>
        <v>17.947813244133762</v>
      </c>
      <c r="O62" s="11"/>
      <c r="P62" s="6">
        <v>85594.78</v>
      </c>
      <c r="Q62" s="2"/>
      <c r="R62" s="7">
        <f t="shared" si="37"/>
        <v>1.189229150506544</v>
      </c>
      <c r="S62" s="2"/>
      <c r="T62" s="6">
        <v>15325.150000000001</v>
      </c>
      <c r="U62" s="2"/>
      <c r="V62" s="7">
        <f t="shared" si="38"/>
        <v>6.6778664902536145E-2</v>
      </c>
      <c r="W62" s="2"/>
      <c r="X62" s="6">
        <f t="shared" si="39"/>
        <v>70269.63</v>
      </c>
      <c r="Y62" s="2"/>
      <c r="Z62" s="7">
        <f t="shared" si="40"/>
        <v>4.5852490840220161</v>
      </c>
    </row>
    <row r="63" spans="1:26" s="24" customFormat="1" hidden="1" outlineLevel="2" x14ac:dyDescent="0.25">
      <c r="A63" s="28"/>
      <c r="B63" s="11" t="str">
        <f>CONCATENATE("          ", "6307", " - ", "POSTAGE")</f>
        <v xml:space="preserve">          6307 - POSTAGE</v>
      </c>
      <c r="C63" s="11"/>
      <c r="D63" s="6">
        <v>-11702.47</v>
      </c>
      <c r="E63" s="2"/>
      <c r="F63" s="7">
        <f t="shared" si="33"/>
        <v>-1.1147428392889633</v>
      </c>
      <c r="G63" s="2"/>
      <c r="H63" s="6">
        <v>-2961.08</v>
      </c>
      <c r="I63" s="2"/>
      <c r="J63" s="7">
        <f t="shared" si="34"/>
        <v>-5.1472453073288287E-2</v>
      </c>
      <c r="K63" s="2"/>
      <c r="L63" s="6">
        <f t="shared" si="35"/>
        <v>-8741.39</v>
      </c>
      <c r="M63" s="2"/>
      <c r="N63" s="7">
        <f t="shared" si="36"/>
        <v>2.9520951814878353</v>
      </c>
      <c r="O63" s="11"/>
      <c r="P63" s="6">
        <v>-118743.94000000002</v>
      </c>
      <c r="Q63" s="2"/>
      <c r="R63" s="7">
        <f t="shared" si="37"/>
        <v>-1.6497940048914204</v>
      </c>
      <c r="S63" s="2"/>
      <c r="T63" s="6">
        <v>-23603.62</v>
      </c>
      <c r="U63" s="2"/>
      <c r="V63" s="7">
        <f t="shared" si="38"/>
        <v>-0.10285173263992847</v>
      </c>
      <c r="W63" s="2"/>
      <c r="X63" s="6">
        <f t="shared" si="39"/>
        <v>-95140.320000000022</v>
      </c>
      <c r="Y63" s="2"/>
      <c r="Z63" s="7">
        <f t="shared" si="40"/>
        <v>4.0307512152796914</v>
      </c>
    </row>
    <row r="64" spans="1:26" s="29" customFormat="1" outlineLevel="1" collapsed="1" x14ac:dyDescent="0.25">
      <c r="A64" s="27"/>
      <c r="B64" s="14" t="str">
        <f>CONCATENATE("     ","General                                           ")</f>
        <v xml:space="preserve">     General                                           </v>
      </c>
      <c r="C64" s="14"/>
      <c r="D64" s="1">
        <f>SUM(OSRRefD22_7x_0)</f>
        <v>0</v>
      </c>
      <c r="E64" s="1"/>
      <c r="F64" s="5">
        <f t="shared" ref="F64:F70" si="41">IF(D$12=0,0,D64/D$12)</f>
        <v>0</v>
      </c>
      <c r="G64" s="1"/>
      <c r="H64" s="1">
        <f>SUM(OSRRefH22_7x_0)</f>
        <v>0</v>
      </c>
      <c r="I64" s="1"/>
      <c r="J64" s="5">
        <f t="shared" ref="J64:J70" si="42">IF(H$12=0,0,H64/H$12)</f>
        <v>0</v>
      </c>
      <c r="K64" s="1"/>
      <c r="L64" s="1">
        <f t="shared" ref="L64:L70" si="43">+D64-H64</f>
        <v>0</v>
      </c>
      <c r="M64" s="1"/>
      <c r="N64" s="5">
        <f t="shared" ref="N64:N70" si="44">IF(H64=0,0,L64/H64)</f>
        <v>0</v>
      </c>
      <c r="O64" s="14"/>
      <c r="P64" s="1">
        <f>SUM(OSRRefP22_7x_0)</f>
        <v>0</v>
      </c>
      <c r="Q64" s="1"/>
      <c r="R64" s="5">
        <f t="shared" ref="R64:R70" si="45">IF(P$12=0,0,P64/P$12)</f>
        <v>0</v>
      </c>
      <c r="S64" s="1"/>
      <c r="T64" s="1">
        <f>SUM(OSRRefT22_7x_0)</f>
        <v>80.17</v>
      </c>
      <c r="U64" s="1"/>
      <c r="V64" s="5">
        <f t="shared" ref="V64:V70" si="46">IF(T$12=0,0,T64/T$12)</f>
        <v>3.4933723749759854E-4</v>
      </c>
      <c r="W64" s="1"/>
      <c r="X64" s="1">
        <f t="shared" ref="X64:X70" si="47">+P64-T64</f>
        <v>-80.17</v>
      </c>
      <c r="Y64" s="1"/>
      <c r="Z64" s="5">
        <f t="shared" ref="Z64:Z70" si="48">IF(T64=0,0,X64/T64)</f>
        <v>-1</v>
      </c>
    </row>
    <row r="65" spans="1:26" s="24" customFormat="1" hidden="1" outlineLevel="2" x14ac:dyDescent="0.25">
      <c r="A65" s="28"/>
      <c r="B65" s="11" t="str">
        <f>CONCATENATE("          ", "6279", " - ", "GENERAL EXPENSE")</f>
        <v xml:space="preserve">          6279 - GENERAL EXPENSE</v>
      </c>
      <c r="C65" s="11"/>
      <c r="D65" s="6"/>
      <c r="E65" s="2"/>
      <c r="F65" s="7">
        <f t="shared" si="41"/>
        <v>0</v>
      </c>
      <c r="G65" s="2"/>
      <c r="H65" s="6"/>
      <c r="I65" s="2"/>
      <c r="J65" s="7">
        <f t="shared" si="42"/>
        <v>0</v>
      </c>
      <c r="K65" s="2"/>
      <c r="L65" s="6">
        <f t="shared" si="43"/>
        <v>0</v>
      </c>
      <c r="M65" s="2"/>
      <c r="N65" s="7">
        <f t="shared" si="44"/>
        <v>0</v>
      </c>
      <c r="O65" s="11"/>
      <c r="P65" s="6"/>
      <c r="Q65" s="2"/>
      <c r="R65" s="7">
        <f t="shared" si="45"/>
        <v>0</v>
      </c>
      <c r="S65" s="2"/>
      <c r="T65" s="6">
        <v>80.17</v>
      </c>
      <c r="U65" s="2"/>
      <c r="V65" s="7">
        <f t="shared" si="46"/>
        <v>3.4933723749759854E-4</v>
      </c>
      <c r="W65" s="2"/>
      <c r="X65" s="6">
        <f t="shared" si="47"/>
        <v>-80.17</v>
      </c>
      <c r="Y65" s="2"/>
      <c r="Z65" s="7">
        <f t="shared" si="48"/>
        <v>-1</v>
      </c>
    </row>
    <row r="66" spans="1:26" s="29" customFormat="1" outlineLevel="1" collapsed="1" x14ac:dyDescent="0.25">
      <c r="A66" s="27"/>
      <c r="B66" s="14" t="str">
        <f>CONCATENATE("     ","Inventory Adjustment                              ")</f>
        <v xml:space="preserve">     Inventory Adjustment                              </v>
      </c>
      <c r="C66" s="14"/>
      <c r="D66" s="1">
        <f>SUM(OSRRefD22_8x_0)</f>
        <v>0</v>
      </c>
      <c r="E66" s="1"/>
      <c r="F66" s="5">
        <f t="shared" si="41"/>
        <v>0</v>
      </c>
      <c r="G66" s="1"/>
      <c r="H66" s="1">
        <f>SUM(OSRRefH22_8x_0)</f>
        <v>100</v>
      </c>
      <c r="I66" s="1"/>
      <c r="J66" s="5">
        <f t="shared" si="42"/>
        <v>1.7382999808613171E-3</v>
      </c>
      <c r="K66" s="1"/>
      <c r="L66" s="1">
        <f t="shared" si="43"/>
        <v>-100</v>
      </c>
      <c r="M66" s="1"/>
      <c r="N66" s="5">
        <f t="shared" si="44"/>
        <v>-1</v>
      </c>
      <c r="O66" s="14"/>
      <c r="P66" s="1">
        <f>SUM(OSRRefP22_8x_0)</f>
        <v>0</v>
      </c>
      <c r="Q66" s="1"/>
      <c r="R66" s="5">
        <f t="shared" si="45"/>
        <v>0</v>
      </c>
      <c r="S66" s="1"/>
      <c r="T66" s="1">
        <f>SUM(OSRRefT22_8x_0)</f>
        <v>300</v>
      </c>
      <c r="U66" s="1"/>
      <c r="V66" s="5">
        <f t="shared" si="46"/>
        <v>1.307236762495691E-3</v>
      </c>
      <c r="W66" s="1"/>
      <c r="X66" s="1">
        <f t="shared" si="47"/>
        <v>-300</v>
      </c>
      <c r="Y66" s="1"/>
      <c r="Z66" s="5">
        <f t="shared" si="48"/>
        <v>-1</v>
      </c>
    </row>
    <row r="67" spans="1:26" s="24" customFormat="1" hidden="1" outlineLevel="2" x14ac:dyDescent="0.25">
      <c r="A67" s="28"/>
      <c r="B67" s="11" t="str">
        <f>CONCATENATE("          ", "6408", " - ", "INVENTORY ADJUSTMENT")</f>
        <v xml:space="preserve">          6408 - INVENTORY ADJUSTMENT</v>
      </c>
      <c r="C67" s="11"/>
      <c r="D67" s="6"/>
      <c r="E67" s="2"/>
      <c r="F67" s="7">
        <f t="shared" si="41"/>
        <v>0</v>
      </c>
      <c r="G67" s="2"/>
      <c r="H67" s="6">
        <v>100</v>
      </c>
      <c r="I67" s="2"/>
      <c r="J67" s="7">
        <f t="shared" si="42"/>
        <v>1.7382999808613171E-3</v>
      </c>
      <c r="K67" s="2"/>
      <c r="L67" s="6">
        <f t="shared" si="43"/>
        <v>-100</v>
      </c>
      <c r="M67" s="2"/>
      <c r="N67" s="7">
        <f t="shared" si="44"/>
        <v>-1</v>
      </c>
      <c r="O67" s="11"/>
      <c r="P67" s="6"/>
      <c r="Q67" s="2"/>
      <c r="R67" s="7">
        <f t="shared" si="45"/>
        <v>0</v>
      </c>
      <c r="S67" s="2"/>
      <c r="T67" s="6">
        <v>300</v>
      </c>
      <c r="U67" s="2"/>
      <c r="V67" s="7">
        <f t="shared" si="46"/>
        <v>1.307236762495691E-3</v>
      </c>
      <c r="W67" s="2"/>
      <c r="X67" s="6">
        <f t="shared" si="47"/>
        <v>-300</v>
      </c>
      <c r="Y67" s="2"/>
      <c r="Z67" s="7">
        <f t="shared" si="48"/>
        <v>-1</v>
      </c>
    </row>
    <row r="68" spans="1:26" s="29" customFormat="1" outlineLevel="1" collapsed="1" x14ac:dyDescent="0.25">
      <c r="A68" s="27"/>
      <c r="B68" s="14" t="str">
        <f>CONCATENATE("     ","Repair and Maintenance                            ")</f>
        <v xml:space="preserve">     Repair and Maintenance                            </v>
      </c>
      <c r="C68" s="14"/>
      <c r="D68" s="1">
        <f>SUM(OSRRefD22_9x_0)</f>
        <v>5274.0899999999992</v>
      </c>
      <c r="E68" s="1"/>
      <c r="F68" s="5">
        <f t="shared" si="41"/>
        <v>0.5023942861007572</v>
      </c>
      <c r="G68" s="1"/>
      <c r="H68" s="1">
        <f>SUM(OSRRefH22_9x_0)</f>
        <v>9597.5400000000009</v>
      </c>
      <c r="I68" s="1"/>
      <c r="J68" s="5">
        <f t="shared" si="42"/>
        <v>0.16683403598315727</v>
      </c>
      <c r="K68" s="1"/>
      <c r="L68" s="1">
        <f t="shared" si="43"/>
        <v>-4323.4500000000016</v>
      </c>
      <c r="M68" s="1"/>
      <c r="N68" s="5">
        <f t="shared" si="44"/>
        <v>-0.45047480916984989</v>
      </c>
      <c r="O68" s="14"/>
      <c r="P68" s="1">
        <f>SUM(OSRRefP22_9x_0)</f>
        <v>24120.760000000002</v>
      </c>
      <c r="Q68" s="1"/>
      <c r="R68" s="5">
        <f t="shared" si="45"/>
        <v>0.33512687250755513</v>
      </c>
      <c r="S68" s="1"/>
      <c r="T68" s="1">
        <f>SUM(OSRRefT22_9x_0)</f>
        <v>28044.969999999998</v>
      </c>
      <c r="U68" s="1"/>
      <c r="V68" s="5">
        <f t="shared" si="46"/>
        <v>0.12220471929029593</v>
      </c>
      <c r="W68" s="1"/>
      <c r="X68" s="1">
        <f t="shared" si="47"/>
        <v>-3924.2099999999955</v>
      </c>
      <c r="Y68" s="1"/>
      <c r="Z68" s="5">
        <f t="shared" si="48"/>
        <v>-0.13992562659186286</v>
      </c>
    </row>
    <row r="69" spans="1:26" s="24" customFormat="1" hidden="1" outlineLevel="2" x14ac:dyDescent="0.25">
      <c r="A69" s="28"/>
      <c r="B69" s="11" t="str">
        <f>CONCATENATE("          ", "6371", " - ", "COMPUTER SOFTWARE MAINTENANCE")</f>
        <v xml:space="preserve">          6371 - COMPUTER SOFTWARE MAINTENANCE</v>
      </c>
      <c r="C69" s="11"/>
      <c r="D69" s="6">
        <v>7.69</v>
      </c>
      <c r="E69" s="2"/>
      <c r="F69" s="7">
        <f t="shared" si="41"/>
        <v>7.325267600884368E-4</v>
      </c>
      <c r="G69" s="2"/>
      <c r="H69" s="6"/>
      <c r="I69" s="2"/>
      <c r="J69" s="7">
        <f t="shared" si="42"/>
        <v>0</v>
      </c>
      <c r="K69" s="2"/>
      <c r="L69" s="6">
        <f t="shared" si="43"/>
        <v>7.69</v>
      </c>
      <c r="M69" s="2"/>
      <c r="N69" s="7">
        <f t="shared" si="44"/>
        <v>0</v>
      </c>
      <c r="O69" s="11"/>
      <c r="P69" s="6">
        <v>7.69</v>
      </c>
      <c r="Q69" s="2"/>
      <c r="R69" s="7">
        <f t="shared" si="45"/>
        <v>1.0684263885479142E-4</v>
      </c>
      <c r="S69" s="2"/>
      <c r="T69" s="6"/>
      <c r="U69" s="2"/>
      <c r="V69" s="7">
        <f t="shared" si="46"/>
        <v>0</v>
      </c>
      <c r="W69" s="2"/>
      <c r="X69" s="6">
        <f t="shared" si="47"/>
        <v>7.69</v>
      </c>
      <c r="Y69" s="2"/>
      <c r="Z69" s="7">
        <f t="shared" si="48"/>
        <v>0</v>
      </c>
    </row>
    <row r="70" spans="1:26" s="24" customFormat="1" hidden="1" outlineLevel="2" x14ac:dyDescent="0.25">
      <c r="A70" s="28"/>
      <c r="B70" s="11" t="str">
        <f>CONCATENATE("          ", "6373", " - ", "MAINTENANCE CONTRACTS")</f>
        <v xml:space="preserve">          6373 - MAINTENANCE CONTRACTS</v>
      </c>
      <c r="C70" s="11"/>
      <c r="D70" s="6">
        <v>5266.4</v>
      </c>
      <c r="E70" s="2"/>
      <c r="F70" s="7">
        <f t="shared" si="41"/>
        <v>0.50166175934066881</v>
      </c>
      <c r="G70" s="2"/>
      <c r="H70" s="6">
        <v>9597.5400000000009</v>
      </c>
      <c r="I70" s="2"/>
      <c r="J70" s="7">
        <f t="shared" si="42"/>
        <v>0.16683403598315727</v>
      </c>
      <c r="K70" s="2"/>
      <c r="L70" s="6">
        <f t="shared" si="43"/>
        <v>-4331.1400000000012</v>
      </c>
      <c r="M70" s="2"/>
      <c r="N70" s="7">
        <f t="shared" si="44"/>
        <v>-0.45127605615605676</v>
      </c>
      <c r="O70" s="11"/>
      <c r="P70" s="6">
        <v>24113.070000000003</v>
      </c>
      <c r="Q70" s="2"/>
      <c r="R70" s="7">
        <f t="shared" si="45"/>
        <v>0.33502002986870033</v>
      </c>
      <c r="S70" s="2"/>
      <c r="T70" s="6">
        <v>28044.969999999998</v>
      </c>
      <c r="U70" s="2"/>
      <c r="V70" s="7">
        <f t="shared" si="46"/>
        <v>0.12220471929029593</v>
      </c>
      <c r="W70" s="2"/>
      <c r="X70" s="6">
        <f t="shared" si="47"/>
        <v>-3931.8999999999942</v>
      </c>
      <c r="Y70" s="2"/>
      <c r="Z70" s="7">
        <f t="shared" si="48"/>
        <v>-0.14019982906025552</v>
      </c>
    </row>
    <row r="71" spans="1:26" s="29" customFormat="1" outlineLevel="1" collapsed="1" x14ac:dyDescent="0.25">
      <c r="A71" s="27"/>
      <c r="B71" s="14" t="str">
        <f>CONCATENATE("     ","Royalty &amp; Commissions                             ")</f>
        <v xml:space="preserve">     Royalty &amp; Commissions                             </v>
      </c>
      <c r="C71" s="14"/>
      <c r="D71" s="1">
        <f>SUM(OSRRefD22_10x_0)</f>
        <v>320.39999999999998</v>
      </c>
      <c r="E71" s="1"/>
      <c r="F71" s="5">
        <f t="shared" ref="F71:F79" si="49">IF(D$12=0,0,D71/D$12)</f>
        <v>3.0520360719419392E-2</v>
      </c>
      <c r="G71" s="1"/>
      <c r="H71" s="1">
        <f>SUM(OSRRefH22_10x_0)</f>
        <v>11744.64</v>
      </c>
      <c r="I71" s="1"/>
      <c r="J71" s="5">
        <f t="shared" ref="J71:J79" si="50">IF(H$12=0,0,H71/H$12)</f>
        <v>0.20415707487223059</v>
      </c>
      <c r="K71" s="1"/>
      <c r="L71" s="1">
        <f t="shared" ref="L71:L79" si="51">+D71-H71</f>
        <v>-11424.24</v>
      </c>
      <c r="M71" s="1"/>
      <c r="N71" s="5">
        <f t="shared" ref="N71:N79" si="52">IF(H71=0,0,L71/H71)</f>
        <v>-0.97271947032859252</v>
      </c>
      <c r="O71" s="14"/>
      <c r="P71" s="1">
        <f>SUM(OSRRefP22_10x_0)</f>
        <v>5705.2</v>
      </c>
      <c r="Q71" s="1"/>
      <c r="R71" s="5">
        <f t="shared" ref="R71:R79" si="53">IF(P$12=0,0,P71/P$12)</f>
        <v>7.9266400935546932E-2</v>
      </c>
      <c r="S71" s="1"/>
      <c r="T71" s="1">
        <f>SUM(OSRRefT22_10x_0)</f>
        <v>26214.26</v>
      </c>
      <c r="U71" s="1"/>
      <c r="V71" s="5">
        <f t="shared" ref="V71:V79" si="54">IF(T$12=0,0,T71/T$12)</f>
        <v>0.11422748124540097</v>
      </c>
      <c r="W71" s="1"/>
      <c r="X71" s="1">
        <f t="shared" ref="X71:X79" si="55">+P71-T71</f>
        <v>-20509.059999999998</v>
      </c>
      <c r="Y71" s="1"/>
      <c r="Z71" s="5">
        <f t="shared" ref="Z71:Z79" si="56">IF(T71=0,0,X71/T71)</f>
        <v>-0.78236272929314044</v>
      </c>
    </row>
    <row r="72" spans="1:26" s="24" customFormat="1" hidden="1" outlineLevel="2" x14ac:dyDescent="0.25">
      <c r="A72" s="28"/>
      <c r="B72" s="11" t="str">
        <f>CONCATENATE("          ", "6259", " - ", "ROYALTY &amp; COMMISSIONS")</f>
        <v xml:space="preserve">          6259 - ROYALTY &amp; COMMISSIONS</v>
      </c>
      <c r="C72" s="11"/>
      <c r="D72" s="6">
        <v>320.39999999999998</v>
      </c>
      <c r="E72" s="2"/>
      <c r="F72" s="7">
        <f t="shared" si="49"/>
        <v>3.0520360719419392E-2</v>
      </c>
      <c r="G72" s="2"/>
      <c r="H72" s="6">
        <v>11744.64</v>
      </c>
      <c r="I72" s="2"/>
      <c r="J72" s="7">
        <f t="shared" si="50"/>
        <v>0.20415707487223059</v>
      </c>
      <c r="K72" s="2"/>
      <c r="L72" s="6">
        <f t="shared" si="51"/>
        <v>-11424.24</v>
      </c>
      <c r="M72" s="2"/>
      <c r="N72" s="7">
        <f t="shared" si="52"/>
        <v>-0.97271947032859252</v>
      </c>
      <c r="O72" s="11"/>
      <c r="P72" s="6">
        <v>5705.2</v>
      </c>
      <c r="Q72" s="2"/>
      <c r="R72" s="7">
        <f t="shared" si="53"/>
        <v>7.9266400935546932E-2</v>
      </c>
      <c r="S72" s="2"/>
      <c r="T72" s="6">
        <v>26214.26</v>
      </c>
      <c r="U72" s="2"/>
      <c r="V72" s="7">
        <f t="shared" si="54"/>
        <v>0.11422748124540097</v>
      </c>
      <c r="W72" s="2"/>
      <c r="X72" s="6">
        <f t="shared" si="55"/>
        <v>-20509.059999999998</v>
      </c>
      <c r="Y72" s="2"/>
      <c r="Z72" s="7">
        <f t="shared" si="56"/>
        <v>-0.78236272929314044</v>
      </c>
    </row>
    <row r="73" spans="1:26" s="29" customFormat="1" outlineLevel="1" collapsed="1" x14ac:dyDescent="0.25">
      <c r="A73" s="27"/>
      <c r="B73" s="14" t="str">
        <f>CONCATENATE("     ","Supplies                                          ")</f>
        <v xml:space="preserve">     Supplies                                          </v>
      </c>
      <c r="C73" s="14"/>
      <c r="D73" s="1">
        <f>SUM(OSRRefD22_11x_0)</f>
        <v>1902.8600000000001</v>
      </c>
      <c r="E73" s="1"/>
      <c r="F73" s="5">
        <f t="shared" si="49"/>
        <v>0.18126084144367788</v>
      </c>
      <c r="G73" s="1"/>
      <c r="H73" s="1">
        <f>SUM(OSRRefH22_11x_0)</f>
        <v>2868.23</v>
      </c>
      <c r="I73" s="1"/>
      <c r="J73" s="5">
        <f t="shared" si="50"/>
        <v>4.9858441541058555E-2</v>
      </c>
      <c r="K73" s="1"/>
      <c r="L73" s="1">
        <f t="shared" si="51"/>
        <v>-965.36999999999989</v>
      </c>
      <c r="M73" s="1"/>
      <c r="N73" s="5">
        <f t="shared" si="52"/>
        <v>-0.33657342681723568</v>
      </c>
      <c r="O73" s="14"/>
      <c r="P73" s="1">
        <f>SUM(OSRRefP22_11x_0)</f>
        <v>21511.55</v>
      </c>
      <c r="Q73" s="1"/>
      <c r="R73" s="5">
        <f t="shared" si="53"/>
        <v>0.29887526240010248</v>
      </c>
      <c r="S73" s="1"/>
      <c r="T73" s="1">
        <f>SUM(OSRRefT22_11x_0)</f>
        <v>17330</v>
      </c>
      <c r="U73" s="1"/>
      <c r="V73" s="5">
        <f t="shared" si="54"/>
        <v>7.5514710313501085E-2</v>
      </c>
      <c r="W73" s="1"/>
      <c r="X73" s="1">
        <f t="shared" si="55"/>
        <v>4181.5499999999993</v>
      </c>
      <c r="Y73" s="1"/>
      <c r="Z73" s="5">
        <f t="shared" si="56"/>
        <v>0.24128967109059429</v>
      </c>
    </row>
    <row r="74" spans="1:26" s="24" customFormat="1" hidden="1" outlineLevel="2" x14ac:dyDescent="0.25">
      <c r="A74" s="28"/>
      <c r="B74" s="11" t="str">
        <f>CONCATENATE("          ", "6234", " - ", "EXPENDABLE SUPPLIES &amp; EQUIPMEN")</f>
        <v xml:space="preserve">          6234 - EXPENDABLE SUPPLIES &amp; EQUIPMEN</v>
      </c>
      <c r="C74" s="11"/>
      <c r="D74" s="6"/>
      <c r="E74" s="2"/>
      <c r="F74" s="7">
        <f t="shared" si="49"/>
        <v>0</v>
      </c>
      <c r="G74" s="2"/>
      <c r="H74" s="6"/>
      <c r="I74" s="2"/>
      <c r="J74" s="7">
        <f t="shared" si="50"/>
        <v>0</v>
      </c>
      <c r="K74" s="2"/>
      <c r="L74" s="6">
        <f t="shared" si="51"/>
        <v>0</v>
      </c>
      <c r="M74" s="2"/>
      <c r="N74" s="7">
        <f t="shared" si="52"/>
        <v>0</v>
      </c>
      <c r="O74" s="11"/>
      <c r="P74" s="6"/>
      <c r="Q74" s="2"/>
      <c r="R74" s="7">
        <f t="shared" si="53"/>
        <v>0</v>
      </c>
      <c r="S74" s="2"/>
      <c r="T74" s="6">
        <v>1017.27</v>
      </c>
      <c r="U74" s="2"/>
      <c r="V74" s="7">
        <f t="shared" si="54"/>
        <v>4.4327091379466384E-3</v>
      </c>
      <c r="W74" s="2"/>
      <c r="X74" s="6">
        <f t="shared" si="55"/>
        <v>-1017.27</v>
      </c>
      <c r="Y74" s="2"/>
      <c r="Z74" s="7">
        <f t="shared" si="56"/>
        <v>-1</v>
      </c>
    </row>
    <row r="75" spans="1:26" s="24" customFormat="1" hidden="1" outlineLevel="2" x14ac:dyDescent="0.25">
      <c r="A75" s="28"/>
      <c r="B75" s="11" t="str">
        <f>CONCATENATE("          ", "6235", " - ", "COVID-19 EXPENSES")</f>
        <v xml:space="preserve">          6235 - COVID-19 EXPENSES</v>
      </c>
      <c r="C75" s="11"/>
      <c r="D75" s="6"/>
      <c r="E75" s="2"/>
      <c r="F75" s="7">
        <f t="shared" si="49"/>
        <v>0</v>
      </c>
      <c r="G75" s="2"/>
      <c r="H75" s="6"/>
      <c r="I75" s="2"/>
      <c r="J75" s="7">
        <f t="shared" si="50"/>
        <v>0</v>
      </c>
      <c r="K75" s="2"/>
      <c r="L75" s="6">
        <f t="shared" si="51"/>
        <v>0</v>
      </c>
      <c r="M75" s="2"/>
      <c r="N75" s="7">
        <f t="shared" si="52"/>
        <v>0</v>
      </c>
      <c r="O75" s="11"/>
      <c r="P75" s="6">
        <v>310.91000000000003</v>
      </c>
      <c r="Q75" s="2"/>
      <c r="R75" s="7">
        <f t="shared" si="53"/>
        <v>4.3196937381460602E-3</v>
      </c>
      <c r="S75" s="2"/>
      <c r="T75" s="6"/>
      <c r="U75" s="2"/>
      <c r="V75" s="7">
        <f t="shared" si="54"/>
        <v>0</v>
      </c>
      <c r="W75" s="2"/>
      <c r="X75" s="6">
        <f t="shared" si="55"/>
        <v>310.91000000000003</v>
      </c>
      <c r="Y75" s="2"/>
      <c r="Z75" s="7">
        <f t="shared" si="56"/>
        <v>0</v>
      </c>
    </row>
    <row r="76" spans="1:26" s="24" customFormat="1" hidden="1" outlineLevel="2" x14ac:dyDescent="0.25">
      <c r="A76" s="28"/>
      <c r="B76" s="11" t="str">
        <f>CONCATENATE("          ", "6241", " - ", "OFFICE EXPENSE")</f>
        <v xml:space="preserve">          6241 - OFFICE EXPENSE</v>
      </c>
      <c r="C76" s="11"/>
      <c r="D76" s="6">
        <v>6.6</v>
      </c>
      <c r="E76" s="2"/>
      <c r="F76" s="7">
        <f t="shared" si="49"/>
        <v>6.286965691266167E-4</v>
      </c>
      <c r="G76" s="2"/>
      <c r="H76" s="6"/>
      <c r="I76" s="2"/>
      <c r="J76" s="7">
        <f t="shared" si="50"/>
        <v>0</v>
      </c>
      <c r="K76" s="2"/>
      <c r="L76" s="6">
        <f t="shared" si="51"/>
        <v>6.6</v>
      </c>
      <c r="M76" s="2"/>
      <c r="N76" s="7">
        <f t="shared" si="52"/>
        <v>0</v>
      </c>
      <c r="O76" s="11"/>
      <c r="P76" s="6">
        <v>4596.8599999999997</v>
      </c>
      <c r="Q76" s="2"/>
      <c r="R76" s="7">
        <f t="shared" si="53"/>
        <v>6.3867445103515788E-2</v>
      </c>
      <c r="S76" s="2"/>
      <c r="T76" s="6">
        <v>115.02</v>
      </c>
      <c r="U76" s="2"/>
      <c r="V76" s="7">
        <f t="shared" si="54"/>
        <v>5.0119457474084796E-4</v>
      </c>
      <c r="W76" s="2"/>
      <c r="X76" s="6">
        <f t="shared" si="55"/>
        <v>4481.8399999999992</v>
      </c>
      <c r="Y76" s="2"/>
      <c r="Z76" s="7">
        <f t="shared" si="56"/>
        <v>38.965745087810809</v>
      </c>
    </row>
    <row r="77" spans="1:26" s="24" customFormat="1" hidden="1" outlineLevel="2" x14ac:dyDescent="0.25">
      <c r="A77" s="28"/>
      <c r="B77" s="11" t="str">
        <f>CONCATENATE("          ", "6243", " - ", "PAPER SUPPLIES")</f>
        <v xml:space="preserve">          6243 - PAPER SUPPLIES</v>
      </c>
      <c r="C77" s="11"/>
      <c r="D77" s="6">
        <v>449.01</v>
      </c>
      <c r="E77" s="2"/>
      <c r="F77" s="7">
        <f t="shared" si="49"/>
        <v>4.2771370682354877E-2</v>
      </c>
      <c r="G77" s="2"/>
      <c r="H77" s="6">
        <v>1929.38</v>
      </c>
      <c r="I77" s="2"/>
      <c r="J77" s="7">
        <f t="shared" si="50"/>
        <v>3.3538412170742084E-2</v>
      </c>
      <c r="K77" s="2"/>
      <c r="L77" s="6">
        <f t="shared" si="51"/>
        <v>-1480.3700000000001</v>
      </c>
      <c r="M77" s="2"/>
      <c r="N77" s="7">
        <f t="shared" si="52"/>
        <v>-0.76727757103318162</v>
      </c>
      <c r="O77" s="11"/>
      <c r="P77" s="6">
        <v>3573.7</v>
      </c>
      <c r="Q77" s="2"/>
      <c r="R77" s="7">
        <f t="shared" si="53"/>
        <v>4.9651955588474392E-2</v>
      </c>
      <c r="S77" s="2"/>
      <c r="T77" s="6">
        <v>4906.33</v>
      </c>
      <c r="U77" s="2"/>
      <c r="V77" s="7">
        <f t="shared" si="54"/>
        <v>2.1379116483118278E-2</v>
      </c>
      <c r="W77" s="2"/>
      <c r="X77" s="6">
        <f t="shared" si="55"/>
        <v>-1332.63</v>
      </c>
      <c r="Y77" s="2"/>
      <c r="Z77" s="7">
        <f t="shared" si="56"/>
        <v>-0.27161442463103791</v>
      </c>
    </row>
    <row r="78" spans="1:26" s="24" customFormat="1" hidden="1" outlineLevel="2" x14ac:dyDescent="0.25">
      <c r="A78" s="28"/>
      <c r="B78" s="11" t="str">
        <f>CONCATENATE("          ", "6245", " - ", "PRINTING")</f>
        <v xml:space="preserve">          6245 - PRINTING</v>
      </c>
      <c r="C78" s="11"/>
      <c r="D78" s="6">
        <v>353.09</v>
      </c>
      <c r="E78" s="2"/>
      <c r="F78" s="7">
        <f t="shared" si="49"/>
        <v>3.3634313877714712E-2</v>
      </c>
      <c r="G78" s="2"/>
      <c r="H78" s="6">
        <v>7.24</v>
      </c>
      <c r="I78" s="2"/>
      <c r="J78" s="7">
        <f t="shared" si="50"/>
        <v>1.2585291861435936E-4</v>
      </c>
      <c r="K78" s="2"/>
      <c r="L78" s="6">
        <f t="shared" si="51"/>
        <v>345.84999999999997</v>
      </c>
      <c r="M78" s="2"/>
      <c r="N78" s="7">
        <f t="shared" si="52"/>
        <v>47.769337016574582</v>
      </c>
      <c r="O78" s="11"/>
      <c r="P78" s="6">
        <v>345.89</v>
      </c>
      <c r="Q78" s="2"/>
      <c r="R78" s="7">
        <f t="shared" si="53"/>
        <v>4.8056957546792978E-3</v>
      </c>
      <c r="S78" s="2"/>
      <c r="T78" s="6">
        <v>249.44</v>
      </c>
      <c r="U78" s="2"/>
      <c r="V78" s="7">
        <f t="shared" si="54"/>
        <v>1.0869237934564172E-3</v>
      </c>
      <c r="W78" s="2"/>
      <c r="X78" s="6">
        <f t="shared" si="55"/>
        <v>96.449999999999989</v>
      </c>
      <c r="Y78" s="2"/>
      <c r="Z78" s="7">
        <f t="shared" si="56"/>
        <v>0.38666613213598455</v>
      </c>
    </row>
    <row r="79" spans="1:26" s="24" customFormat="1" hidden="1" outlineLevel="2" x14ac:dyDescent="0.25">
      <c r="A79" s="28"/>
      <c r="B79" s="11" t="str">
        <f>CONCATENATE("          ", "6247", " - ", "STORE SUPPLIES")</f>
        <v xml:space="preserve">          6247 - STORE SUPPLIES</v>
      </c>
      <c r="C79" s="11"/>
      <c r="D79" s="6">
        <v>1094.1600000000001</v>
      </c>
      <c r="E79" s="2"/>
      <c r="F79" s="7">
        <f t="shared" si="49"/>
        <v>0.10422646031448167</v>
      </c>
      <c r="G79" s="2"/>
      <c r="H79" s="6">
        <v>931.61</v>
      </c>
      <c r="I79" s="2"/>
      <c r="J79" s="7">
        <f t="shared" si="50"/>
        <v>1.6194176451702118E-2</v>
      </c>
      <c r="K79" s="2"/>
      <c r="L79" s="6">
        <f t="shared" si="51"/>
        <v>162.55000000000007</v>
      </c>
      <c r="M79" s="2"/>
      <c r="N79" s="7">
        <f t="shared" si="52"/>
        <v>0.17448288446882287</v>
      </c>
      <c r="O79" s="11"/>
      <c r="P79" s="6">
        <v>12684.19</v>
      </c>
      <c r="Q79" s="2"/>
      <c r="R79" s="7">
        <f t="shared" si="53"/>
        <v>0.17623047221528695</v>
      </c>
      <c r="S79" s="2"/>
      <c r="T79" s="6">
        <v>11041.94</v>
      </c>
      <c r="U79" s="2"/>
      <c r="V79" s="7">
        <f t="shared" si="54"/>
        <v>4.8114766324238903E-2</v>
      </c>
      <c r="W79" s="2"/>
      <c r="X79" s="6">
        <f t="shared" si="55"/>
        <v>1642.25</v>
      </c>
      <c r="Y79" s="2"/>
      <c r="Z79" s="7">
        <f t="shared" si="56"/>
        <v>0.14872839374240396</v>
      </c>
    </row>
    <row r="80" spans="1:26" s="29" customFormat="1" outlineLevel="1" collapsed="1" x14ac:dyDescent="0.25">
      <c r="A80" s="27"/>
      <c r="B80" s="14" t="str">
        <f>CONCATENATE("     ","Telephone/Data Lines                              ")</f>
        <v xml:space="preserve">     Telephone/Data Lines                              </v>
      </c>
      <c r="C80" s="14"/>
      <c r="D80" s="1">
        <f>SUM(OSRRefD22_12x_0)</f>
        <v>193.4</v>
      </c>
      <c r="E80" s="1"/>
      <c r="F80" s="5">
        <f t="shared" ref="F80:F85" si="57">IF(D$12=0,0,D80/D$12)</f>
        <v>1.8422714616528436E-2</v>
      </c>
      <c r="G80" s="1"/>
      <c r="H80" s="1">
        <f>SUM(OSRRefH22_12x_0)</f>
        <v>192.9</v>
      </c>
      <c r="I80" s="1"/>
      <c r="J80" s="5">
        <f t="shared" ref="J80:J85" si="58">IF(H$12=0,0,H80/H$12)</f>
        <v>3.3531806630814811E-3</v>
      </c>
      <c r="K80" s="1"/>
      <c r="L80" s="1">
        <f t="shared" ref="L80:L85" si="59">+D80-H80</f>
        <v>0.5</v>
      </c>
      <c r="M80" s="1"/>
      <c r="N80" s="5">
        <f t="shared" ref="N80:N85" si="60">IF(H80=0,0,L80/H80)</f>
        <v>2.592016588906169E-3</v>
      </c>
      <c r="O80" s="14"/>
      <c r="P80" s="1">
        <f>SUM(OSRRefP22_12x_0)</f>
        <v>859.15</v>
      </c>
      <c r="Q80" s="1"/>
      <c r="R80" s="5">
        <f t="shared" ref="R80:R85" si="61">IF(P$12=0,0,P80/P$12)</f>
        <v>1.1936781946956312E-2</v>
      </c>
      <c r="S80" s="1"/>
      <c r="T80" s="1">
        <f>SUM(OSRRefT22_12x_0)</f>
        <v>834.95</v>
      </c>
      <c r="U80" s="1"/>
      <c r="V80" s="5">
        <f t="shared" ref="V80:V85" si="62">IF(T$12=0,0,T80/T$12)</f>
        <v>3.6382577828192575E-3</v>
      </c>
      <c r="W80" s="1"/>
      <c r="X80" s="1">
        <f t="shared" ref="X80:X85" si="63">+P80-T80</f>
        <v>24.199999999999932</v>
      </c>
      <c r="Y80" s="1"/>
      <c r="Z80" s="5">
        <f t="shared" ref="Z80:Z85" si="64">IF(T80=0,0,X80/T80)</f>
        <v>2.8983771483322273E-2</v>
      </c>
    </row>
    <row r="81" spans="1:26" s="24" customFormat="1" hidden="1" outlineLevel="2" x14ac:dyDescent="0.25">
      <c r="A81" s="28"/>
      <c r="B81" s="11" t="str">
        <f>CONCATENATE("          ", "6309", " - ", "TELEPHONE")</f>
        <v xml:space="preserve">          6309 - TELEPHONE</v>
      </c>
      <c r="C81" s="11"/>
      <c r="D81" s="6">
        <v>193.4</v>
      </c>
      <c r="E81" s="2"/>
      <c r="F81" s="7">
        <f t="shared" si="57"/>
        <v>1.8422714616528436E-2</v>
      </c>
      <c r="G81" s="2"/>
      <c r="H81" s="6">
        <v>192.9</v>
      </c>
      <c r="I81" s="2"/>
      <c r="J81" s="7">
        <f t="shared" si="58"/>
        <v>3.3531806630814811E-3</v>
      </c>
      <c r="K81" s="2"/>
      <c r="L81" s="6">
        <f t="shared" si="59"/>
        <v>0.5</v>
      </c>
      <c r="M81" s="2"/>
      <c r="N81" s="7">
        <f t="shared" si="60"/>
        <v>2.592016588906169E-3</v>
      </c>
      <c r="O81" s="11"/>
      <c r="P81" s="6">
        <v>859.15</v>
      </c>
      <c r="Q81" s="2"/>
      <c r="R81" s="7">
        <f t="shared" si="61"/>
        <v>1.1936781946956312E-2</v>
      </c>
      <c r="S81" s="2"/>
      <c r="T81" s="6">
        <v>834.95</v>
      </c>
      <c r="U81" s="2"/>
      <c r="V81" s="7">
        <f t="shared" si="62"/>
        <v>3.6382577828192575E-3</v>
      </c>
      <c r="W81" s="2"/>
      <c r="X81" s="6">
        <f t="shared" si="63"/>
        <v>24.199999999999932</v>
      </c>
      <c r="Y81" s="2"/>
      <c r="Z81" s="7">
        <f t="shared" si="64"/>
        <v>2.8983771483322273E-2</v>
      </c>
    </row>
    <row r="82" spans="1:26" s="29" customFormat="1" outlineLevel="1" collapsed="1" x14ac:dyDescent="0.25">
      <c r="A82" s="27"/>
      <c r="B82" s="14" t="str">
        <f>CONCATENATE("     ","Training                                          ")</f>
        <v xml:space="preserve">     Training                                          </v>
      </c>
      <c r="C82" s="14"/>
      <c r="D82" s="1">
        <f>SUM(OSRRefD22_13x_0)</f>
        <v>0</v>
      </c>
      <c r="E82" s="1"/>
      <c r="F82" s="5">
        <f t="shared" si="57"/>
        <v>0</v>
      </c>
      <c r="G82" s="1"/>
      <c r="H82" s="1">
        <f>SUM(OSRRefH22_13x_0)</f>
        <v>0</v>
      </c>
      <c r="I82" s="1"/>
      <c r="J82" s="5">
        <f t="shared" si="58"/>
        <v>0</v>
      </c>
      <c r="K82" s="1"/>
      <c r="L82" s="1">
        <f t="shared" si="59"/>
        <v>0</v>
      </c>
      <c r="M82" s="1"/>
      <c r="N82" s="5">
        <f t="shared" si="60"/>
        <v>0</v>
      </c>
      <c r="O82" s="14"/>
      <c r="P82" s="1">
        <f>SUM(OSRRefP22_13x_0)</f>
        <v>0</v>
      </c>
      <c r="Q82" s="1"/>
      <c r="R82" s="5">
        <f t="shared" si="61"/>
        <v>0</v>
      </c>
      <c r="S82" s="1"/>
      <c r="T82" s="1">
        <f>SUM(OSRRefT22_13x_0)</f>
        <v>97.71</v>
      </c>
      <c r="U82" s="1"/>
      <c r="V82" s="5">
        <f t="shared" si="62"/>
        <v>4.2576701354484658E-4</v>
      </c>
      <c r="W82" s="1"/>
      <c r="X82" s="1">
        <f t="shared" si="63"/>
        <v>-97.71</v>
      </c>
      <c r="Y82" s="1"/>
      <c r="Z82" s="5">
        <f t="shared" si="64"/>
        <v>-1</v>
      </c>
    </row>
    <row r="83" spans="1:26" s="24" customFormat="1" hidden="1" outlineLevel="2" x14ac:dyDescent="0.25">
      <c r="A83" s="28"/>
      <c r="B83" s="11" t="str">
        <f>CONCATENATE("          ", "6376", " - ", "TRAINING")</f>
        <v xml:space="preserve">          6376 - TRAINING</v>
      </c>
      <c r="C83" s="11"/>
      <c r="D83" s="6"/>
      <c r="E83" s="2"/>
      <c r="F83" s="7">
        <f t="shared" si="57"/>
        <v>0</v>
      </c>
      <c r="G83" s="2"/>
      <c r="H83" s="6"/>
      <c r="I83" s="2"/>
      <c r="J83" s="7">
        <f t="shared" si="58"/>
        <v>0</v>
      </c>
      <c r="K83" s="2"/>
      <c r="L83" s="6">
        <f t="shared" si="59"/>
        <v>0</v>
      </c>
      <c r="M83" s="2"/>
      <c r="N83" s="7">
        <f t="shared" si="60"/>
        <v>0</v>
      </c>
      <c r="O83" s="11"/>
      <c r="P83" s="6"/>
      <c r="Q83" s="2"/>
      <c r="R83" s="7">
        <f t="shared" si="61"/>
        <v>0</v>
      </c>
      <c r="S83" s="2"/>
      <c r="T83" s="6">
        <v>97.71</v>
      </c>
      <c r="U83" s="2"/>
      <c r="V83" s="7">
        <f t="shared" si="62"/>
        <v>4.2576701354484658E-4</v>
      </c>
      <c r="W83" s="2"/>
      <c r="X83" s="6">
        <f t="shared" si="63"/>
        <v>-97.71</v>
      </c>
      <c r="Y83" s="2"/>
      <c r="Z83" s="7">
        <f t="shared" si="64"/>
        <v>-1</v>
      </c>
    </row>
    <row r="84" spans="1:26" s="29" customFormat="1" outlineLevel="1" collapsed="1" x14ac:dyDescent="0.25">
      <c r="A84" s="27"/>
      <c r="B84" s="14" t="str">
        <f>CONCATENATE("     ","Utilities                                         ")</f>
        <v xml:space="preserve">     Utilities                                         </v>
      </c>
      <c r="C84" s="14"/>
      <c r="D84" s="1">
        <f>SUM(OSRRefD22_14x_0)</f>
        <v>0</v>
      </c>
      <c r="E84" s="1"/>
      <c r="F84" s="5">
        <f t="shared" si="57"/>
        <v>0</v>
      </c>
      <c r="G84" s="1"/>
      <c r="H84" s="1">
        <f>SUM(OSRRefH22_14x_0)</f>
        <v>0</v>
      </c>
      <c r="I84" s="1"/>
      <c r="J84" s="5">
        <f t="shared" si="58"/>
        <v>0</v>
      </c>
      <c r="K84" s="1"/>
      <c r="L84" s="1">
        <f t="shared" si="59"/>
        <v>0</v>
      </c>
      <c r="M84" s="1"/>
      <c r="N84" s="5">
        <f t="shared" si="60"/>
        <v>0</v>
      </c>
      <c r="O84" s="14"/>
      <c r="P84" s="1">
        <f>SUM(OSRRefP22_14x_0)</f>
        <v>15.02</v>
      </c>
      <c r="Q84" s="1"/>
      <c r="R84" s="5">
        <f t="shared" si="61"/>
        <v>2.0868354169037282E-4</v>
      </c>
      <c r="S84" s="1"/>
      <c r="T84" s="1">
        <f>SUM(OSRRefT22_14x_0)</f>
        <v>0</v>
      </c>
      <c r="U84" s="1"/>
      <c r="V84" s="5">
        <f t="shared" si="62"/>
        <v>0</v>
      </c>
      <c r="W84" s="1"/>
      <c r="X84" s="1">
        <f t="shared" si="63"/>
        <v>15.02</v>
      </c>
      <c r="Y84" s="1"/>
      <c r="Z84" s="5">
        <f t="shared" si="64"/>
        <v>0</v>
      </c>
    </row>
    <row r="85" spans="1:26" s="24" customFormat="1" hidden="1" outlineLevel="2" x14ac:dyDescent="0.25">
      <c r="A85" s="28"/>
      <c r="B85" s="11" t="str">
        <f>CONCATENATE("          ", "6274", " - ", "UTILITIES")</f>
        <v xml:space="preserve">          6274 - UTILITIES</v>
      </c>
      <c r="C85" s="11"/>
      <c r="D85" s="6"/>
      <c r="E85" s="2"/>
      <c r="F85" s="7">
        <f t="shared" si="57"/>
        <v>0</v>
      </c>
      <c r="G85" s="2"/>
      <c r="H85" s="6"/>
      <c r="I85" s="2"/>
      <c r="J85" s="7">
        <f t="shared" si="58"/>
        <v>0</v>
      </c>
      <c r="K85" s="2"/>
      <c r="L85" s="6">
        <f t="shared" si="59"/>
        <v>0</v>
      </c>
      <c r="M85" s="2"/>
      <c r="N85" s="7">
        <f t="shared" si="60"/>
        <v>0</v>
      </c>
      <c r="O85" s="11"/>
      <c r="P85" s="6">
        <v>15.02</v>
      </c>
      <c r="Q85" s="2"/>
      <c r="R85" s="7">
        <f t="shared" si="61"/>
        <v>2.0868354169037282E-4</v>
      </c>
      <c r="S85" s="2"/>
      <c r="T85" s="6"/>
      <c r="U85" s="2"/>
      <c r="V85" s="7">
        <f t="shared" si="62"/>
        <v>0</v>
      </c>
      <c r="W85" s="2"/>
      <c r="X85" s="6">
        <f t="shared" si="63"/>
        <v>15.02</v>
      </c>
      <c r="Y85" s="2"/>
      <c r="Z85" s="7">
        <f t="shared" si="64"/>
        <v>0</v>
      </c>
    </row>
    <row r="86" spans="1:26" s="57" customFormat="1" x14ac:dyDescent="0.25">
      <c r="A86" s="37"/>
      <c r="B86" s="37"/>
      <c r="C86" s="37"/>
      <c r="D86" s="1"/>
      <c r="E86" s="1"/>
      <c r="F86" s="5"/>
      <c r="G86" s="1"/>
      <c r="H86" s="1"/>
      <c r="I86" s="1"/>
      <c r="J86" s="5"/>
      <c r="K86" s="1"/>
      <c r="L86" s="1"/>
      <c r="M86" s="1"/>
      <c r="N86" s="5"/>
      <c r="O86" s="37"/>
      <c r="P86" s="1"/>
      <c r="Q86" s="1"/>
      <c r="R86" s="5"/>
      <c r="S86" s="1"/>
      <c r="T86" s="1"/>
      <c r="U86" s="1"/>
      <c r="V86" s="5"/>
      <c r="W86" s="1"/>
      <c r="X86" s="1"/>
      <c r="Y86" s="1"/>
      <c r="Z86" s="5"/>
    </row>
    <row r="87" spans="1:26" s="23" customFormat="1" collapsed="1" x14ac:dyDescent="0.25">
      <c r="A87" s="10"/>
      <c r="B87" s="26" t="s">
        <v>0</v>
      </c>
      <c r="C87" s="10"/>
      <c r="D87" s="4">
        <f>SUM(OSRRefD25x_0)</f>
        <v>6782</v>
      </c>
      <c r="E87" s="4"/>
      <c r="F87" s="12">
        <f t="shared" ref="F87:F93" si="65">IF(D$12=0,0,D87/D$12)</f>
        <v>0.64603335330556289</v>
      </c>
      <c r="G87" s="4"/>
      <c r="H87" s="4">
        <f>SUM(OSRRefH25x_0)</f>
        <v>74375.55</v>
      </c>
      <c r="I87" s="4"/>
      <c r="J87" s="12">
        <f t="shared" ref="J87:J93" si="66">IF(H$12=0,0,H87/H$12)</f>
        <v>1.2928701714154995</v>
      </c>
      <c r="K87" s="4"/>
      <c r="L87" s="4">
        <f t="shared" ref="L87:L93" si="67">+D87-H87</f>
        <v>-67593.55</v>
      </c>
      <c r="M87" s="4"/>
      <c r="N87" s="12">
        <f t="shared" ref="N87:N93" si="68">IF(H87=0,0,L87/H87)</f>
        <v>-0.9088141196939048</v>
      </c>
      <c r="O87" s="10"/>
      <c r="P87" s="4">
        <f>SUM(OSRRefP25x_0)</f>
        <v>27128</v>
      </c>
      <c r="Q87" s="4"/>
      <c r="R87" s="12">
        <f t="shared" ref="R87:R93" si="69">IF(P$12=0,0,P87/P$12)</f>
        <v>0.37690859646980251</v>
      </c>
      <c r="S87" s="4"/>
      <c r="T87" s="4">
        <f>SUM(OSRRefT25x_0)</f>
        <v>137504.40000000002</v>
      </c>
      <c r="U87" s="4"/>
      <c r="V87" s="12">
        <f t="shared" ref="V87:V93" si="70">IF(T$12=0,0,T87/T$12)</f>
        <v>0.59916935561637508</v>
      </c>
      <c r="W87" s="4"/>
      <c r="X87" s="4">
        <f t="shared" ref="X87:X93" si="71">+P87-T87</f>
        <v>-110376.40000000002</v>
      </c>
      <c r="Y87" s="4"/>
      <c r="Z87" s="12">
        <f t="shared" ref="Z87:Z93" si="72">IF(T87=0,0,X87/T87)</f>
        <v>-0.80271176776888598</v>
      </c>
    </row>
    <row r="88" spans="1:26" s="24" customFormat="1" hidden="1" outlineLevel="1" x14ac:dyDescent="0.25">
      <c r="A88" s="44"/>
      <c r="B88" s="11" t="str">
        <f>CONCATENATE("          ", "4098", " - ", "TAXABLE SALES-GRAD RENTALS")</f>
        <v xml:space="preserve">          4098 - TAXABLE SALES-GRAD RENTALS</v>
      </c>
      <c r="C88" s="11"/>
      <c r="D88" s="2">
        <f t="shared" ref="D88:D90" si="73">0</f>
        <v>0</v>
      </c>
      <c r="E88" s="2"/>
      <c r="F88" s="19">
        <f t="shared" si="65"/>
        <v>0</v>
      </c>
      <c r="G88" s="2"/>
      <c r="H88" s="2">
        <f t="shared" ref="H88:H90" si="74">0</f>
        <v>0</v>
      </c>
      <c r="I88" s="2"/>
      <c r="J88" s="19">
        <f t="shared" si="66"/>
        <v>0</v>
      </c>
      <c r="K88" s="2"/>
      <c r="L88" s="2">
        <f t="shared" si="67"/>
        <v>0</v>
      </c>
      <c r="M88" s="2"/>
      <c r="N88" s="19">
        <f t="shared" si="68"/>
        <v>0</v>
      </c>
      <c r="O88" s="11"/>
      <c r="P88" s="2">
        <f t="shared" ref="P88:P90" si="75">0</f>
        <v>0</v>
      </c>
      <c r="Q88" s="2"/>
      <c r="R88" s="19">
        <f t="shared" si="69"/>
        <v>0</v>
      </c>
      <c r="S88" s="2"/>
      <c r="T88" s="2">
        <f>--1626.85</f>
        <v>1626.85</v>
      </c>
      <c r="U88" s="2"/>
      <c r="V88" s="19">
        <f t="shared" si="70"/>
        <v>7.0889270902203833E-3</v>
      </c>
      <c r="W88" s="2"/>
      <c r="X88" s="2">
        <f t="shared" si="71"/>
        <v>-1626.85</v>
      </c>
      <c r="Y88" s="2"/>
      <c r="Z88" s="19">
        <f t="shared" si="72"/>
        <v>-1</v>
      </c>
    </row>
    <row r="89" spans="1:26" s="24" customFormat="1" hidden="1" outlineLevel="1" x14ac:dyDescent="0.25">
      <c r="A89" s="44"/>
      <c r="B89" s="11" t="str">
        <f>CONCATENATE("          ", "4197", " - ", "NON-TAXABLE SALES-RETURNED CHE")</f>
        <v xml:space="preserve">          4197 - NON-TAXABLE SALES-RETURNED CHE</v>
      </c>
      <c r="C89" s="11"/>
      <c r="D89" s="2">
        <f t="shared" si="73"/>
        <v>0</v>
      </c>
      <c r="E89" s="2"/>
      <c r="F89" s="19">
        <f t="shared" si="65"/>
        <v>0</v>
      </c>
      <c r="G89" s="2"/>
      <c r="H89" s="2">
        <f t="shared" si="74"/>
        <v>0</v>
      </c>
      <c r="I89" s="2"/>
      <c r="J89" s="19">
        <f t="shared" si="66"/>
        <v>0</v>
      </c>
      <c r="K89" s="2"/>
      <c r="L89" s="2">
        <f t="shared" si="67"/>
        <v>0</v>
      </c>
      <c r="M89" s="2"/>
      <c r="N89" s="19">
        <f t="shared" si="68"/>
        <v>0</v>
      </c>
      <c r="O89" s="11"/>
      <c r="P89" s="2">
        <f t="shared" si="75"/>
        <v>0</v>
      </c>
      <c r="Q89" s="2"/>
      <c r="R89" s="19">
        <f t="shared" si="69"/>
        <v>0</v>
      </c>
      <c r="S89" s="2"/>
      <c r="T89" s="2">
        <f>--30</f>
        <v>30</v>
      </c>
      <c r="U89" s="2"/>
      <c r="V89" s="19">
        <f t="shared" si="70"/>
        <v>1.3072367624956911E-4</v>
      </c>
      <c r="W89" s="2"/>
      <c r="X89" s="2">
        <f t="shared" si="71"/>
        <v>-30</v>
      </c>
      <c r="Y89" s="2"/>
      <c r="Z89" s="19">
        <f t="shared" si="72"/>
        <v>-1</v>
      </c>
    </row>
    <row r="90" spans="1:26" s="24" customFormat="1" hidden="1" outlineLevel="1" x14ac:dyDescent="0.25">
      <c r="A90" s="44"/>
      <c r="B90" s="11" t="str">
        <f>CONCATENATE("          ", "4198", " - ", "NON-TAXABLE SALES-GRAD RENTALS")</f>
        <v xml:space="preserve">          4198 - NON-TAXABLE SALES-GRAD RENTALS</v>
      </c>
      <c r="C90" s="11"/>
      <c r="D90" s="2">
        <f t="shared" si="73"/>
        <v>0</v>
      </c>
      <c r="E90" s="2"/>
      <c r="F90" s="19">
        <f t="shared" si="65"/>
        <v>0</v>
      </c>
      <c r="G90" s="2"/>
      <c r="H90" s="2">
        <f t="shared" si="74"/>
        <v>0</v>
      </c>
      <c r="I90" s="2"/>
      <c r="J90" s="19">
        <f t="shared" si="66"/>
        <v>0</v>
      </c>
      <c r="K90" s="2"/>
      <c r="L90" s="2">
        <f t="shared" si="67"/>
        <v>0</v>
      </c>
      <c r="M90" s="2"/>
      <c r="N90" s="19">
        <f t="shared" si="68"/>
        <v>0</v>
      </c>
      <c r="O90" s="11"/>
      <c r="P90" s="2">
        <f t="shared" si="75"/>
        <v>0</v>
      </c>
      <c r="Q90" s="2"/>
      <c r="R90" s="19">
        <f t="shared" si="69"/>
        <v>0</v>
      </c>
      <c r="S90" s="2"/>
      <c r="T90" s="2">
        <f>--495</f>
        <v>495</v>
      </c>
      <c r="U90" s="2"/>
      <c r="V90" s="19">
        <f t="shared" si="70"/>
        <v>2.1569406581178905E-3</v>
      </c>
      <c r="W90" s="2"/>
      <c r="X90" s="2">
        <f t="shared" si="71"/>
        <v>-495</v>
      </c>
      <c r="Y90" s="2"/>
      <c r="Z90" s="19">
        <f t="shared" si="72"/>
        <v>-1</v>
      </c>
    </row>
    <row r="91" spans="1:26" s="24" customFormat="1" hidden="1" outlineLevel="1" x14ac:dyDescent="0.25">
      <c r="A91" s="44"/>
      <c r="B91" s="11" t="str">
        <f>CONCATENATE("          ", "9150", " - ", "MISC. INCOME")</f>
        <v xml:space="preserve">          9150 - MISC. INCOME</v>
      </c>
      <c r="C91" s="11"/>
      <c r="D91" s="2">
        <f>--6782</f>
        <v>6782</v>
      </c>
      <c r="E91" s="2"/>
      <c r="F91" s="19">
        <f t="shared" si="65"/>
        <v>0.64603335330556289</v>
      </c>
      <c r="G91" s="2"/>
      <c r="H91" s="2">
        <f>--13269</f>
        <v>13269</v>
      </c>
      <c r="I91" s="2"/>
      <c r="J91" s="19">
        <f t="shared" si="66"/>
        <v>0.23065502446048819</v>
      </c>
      <c r="K91" s="2"/>
      <c r="L91" s="2">
        <f t="shared" si="67"/>
        <v>-6487</v>
      </c>
      <c r="M91" s="2"/>
      <c r="N91" s="19">
        <f t="shared" si="68"/>
        <v>-0.48888386464692141</v>
      </c>
      <c r="O91" s="11"/>
      <c r="P91" s="2">
        <f>--27128</f>
        <v>27128</v>
      </c>
      <c r="Q91" s="2"/>
      <c r="R91" s="19">
        <f t="shared" si="69"/>
        <v>0.37690859646980251</v>
      </c>
      <c r="S91" s="2"/>
      <c r="T91" s="2">
        <f>--53076</f>
        <v>53076</v>
      </c>
      <c r="U91" s="2"/>
      <c r="V91" s="19">
        <f t="shared" si="70"/>
        <v>0.23127632802073766</v>
      </c>
      <c r="W91" s="2"/>
      <c r="X91" s="2">
        <f t="shared" si="71"/>
        <v>-25948</v>
      </c>
      <c r="Y91" s="2"/>
      <c r="Z91" s="19">
        <f t="shared" si="72"/>
        <v>-0.48888386464692141</v>
      </c>
    </row>
    <row r="92" spans="1:26" s="24" customFormat="1" hidden="1" outlineLevel="1" x14ac:dyDescent="0.25">
      <c r="A92" s="44"/>
      <c r="B92" s="11" t="str">
        <f>CONCATENATE("          ", "9160", " - ", "MISC. INCOME")</f>
        <v xml:space="preserve">          9160 - MISC. INCOME</v>
      </c>
      <c r="C92" s="11"/>
      <c r="D92" s="2">
        <f t="shared" ref="D92:D93" si="76">0</f>
        <v>0</v>
      </c>
      <c r="E92" s="2"/>
      <c r="F92" s="19">
        <f t="shared" si="65"/>
        <v>0</v>
      </c>
      <c r="G92" s="2"/>
      <c r="H92" s="2">
        <f>0</f>
        <v>0</v>
      </c>
      <c r="I92" s="2"/>
      <c r="J92" s="19">
        <f t="shared" si="66"/>
        <v>0</v>
      </c>
      <c r="K92" s="2"/>
      <c r="L92" s="2">
        <f t="shared" si="67"/>
        <v>0</v>
      </c>
      <c r="M92" s="2"/>
      <c r="N92" s="19">
        <f t="shared" si="68"/>
        <v>0</v>
      </c>
      <c r="O92" s="11"/>
      <c r="P92" s="2">
        <f t="shared" ref="P92:P93" si="77">0</f>
        <v>0</v>
      </c>
      <c r="Q92" s="2"/>
      <c r="R92" s="19">
        <f t="shared" si="69"/>
        <v>0</v>
      </c>
      <c r="S92" s="2"/>
      <c r="T92" s="2">
        <f>--21170</f>
        <v>21170</v>
      </c>
      <c r="U92" s="2"/>
      <c r="V92" s="19">
        <f t="shared" si="70"/>
        <v>9.2247340873445938E-2</v>
      </c>
      <c r="W92" s="2"/>
      <c r="X92" s="2">
        <f t="shared" si="71"/>
        <v>-21170</v>
      </c>
      <c r="Y92" s="2"/>
      <c r="Z92" s="19">
        <f t="shared" si="72"/>
        <v>-1</v>
      </c>
    </row>
    <row r="93" spans="1:26" s="24" customFormat="1" hidden="1" outlineLevel="1" x14ac:dyDescent="0.25">
      <c r="A93" s="44"/>
      <c r="B93" s="11" t="str">
        <f>CONCATENATE("          ", "9163", " - ", "MISC. INCOME")</f>
        <v xml:space="preserve">          9163 - MISC. INCOME</v>
      </c>
      <c r="C93" s="11"/>
      <c r="D93" s="2">
        <f t="shared" si="76"/>
        <v>0</v>
      </c>
      <c r="E93" s="2"/>
      <c r="F93" s="19">
        <f t="shared" si="65"/>
        <v>0</v>
      </c>
      <c r="G93" s="2"/>
      <c r="H93" s="2">
        <f>--61106.55</f>
        <v>61106.55</v>
      </c>
      <c r="I93" s="2"/>
      <c r="J93" s="19">
        <f t="shared" si="66"/>
        <v>1.0622151469550112</v>
      </c>
      <c r="K93" s="2"/>
      <c r="L93" s="2">
        <f t="shared" si="67"/>
        <v>-61106.55</v>
      </c>
      <c r="M93" s="2"/>
      <c r="N93" s="19">
        <f t="shared" si="68"/>
        <v>-1</v>
      </c>
      <c r="O93" s="11"/>
      <c r="P93" s="2">
        <f t="shared" si="77"/>
        <v>0</v>
      </c>
      <c r="Q93" s="2"/>
      <c r="R93" s="19">
        <f t="shared" si="69"/>
        <v>0</v>
      </c>
      <c r="S93" s="2"/>
      <c r="T93" s="2">
        <f>--61106.55</f>
        <v>61106.55</v>
      </c>
      <c r="U93" s="2"/>
      <c r="V93" s="19">
        <f t="shared" si="70"/>
        <v>0.26626909529760356</v>
      </c>
      <c r="W93" s="2"/>
      <c r="X93" s="2">
        <f t="shared" si="71"/>
        <v>-61106.55</v>
      </c>
      <c r="Y93" s="2"/>
      <c r="Z93" s="19">
        <f t="shared" si="72"/>
        <v>-1</v>
      </c>
    </row>
    <row r="94" spans="1:26" x14ac:dyDescent="0.25">
      <c r="A94" s="9"/>
      <c r="B94" s="10"/>
      <c r="C94" s="10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O94" s="10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x14ac:dyDescent="0.25">
      <c r="A95" s="10"/>
      <c r="B95" s="25" t="s">
        <v>3</v>
      </c>
      <c r="C95" s="25"/>
      <c r="D95" s="20">
        <f>+D36-D38+D87</f>
        <v>-66669.39999999998</v>
      </c>
      <c r="E95" s="13"/>
      <c r="F95" s="21">
        <f>IF(D$12=0,0,D95/D$12)</f>
        <v>-6.3507307645045534</v>
      </c>
      <c r="G95" s="13"/>
      <c r="H95" s="20">
        <f>+H36-H38+H87</f>
        <v>74935.44</v>
      </c>
      <c r="I95" s="13"/>
      <c r="J95" s="21">
        <f>IF(H$12=0,0,H95/H$12)</f>
        <v>1.3026027391783439</v>
      </c>
      <c r="K95" s="15"/>
      <c r="L95" s="20">
        <f>+D95-H95</f>
        <v>-141604.83999999997</v>
      </c>
      <c r="M95" s="15"/>
      <c r="N95" s="21">
        <f>IF(H95=0,0,L95/H95)</f>
        <v>-1.889691179500647</v>
      </c>
      <c r="O95" s="26"/>
      <c r="P95" s="20">
        <f>+P36-P38+P87</f>
        <v>-21902.680000000008</v>
      </c>
      <c r="Q95" s="13"/>
      <c r="R95" s="21">
        <f>IF(P$12=0,0,P95/P$12)</f>
        <v>-0.30430950964786263</v>
      </c>
      <c r="S95" s="13"/>
      <c r="T95" s="20">
        <f>+T36-T38+T87</f>
        <v>187821.95000000004</v>
      </c>
      <c r="U95" s="13"/>
      <c r="V95" s="21">
        <f>IF(T$12=0,0,T95/T$12)</f>
        <v>0.81842585947875868</v>
      </c>
      <c r="W95" s="15"/>
      <c r="X95" s="20">
        <f>+P95-T95</f>
        <v>-209724.63000000006</v>
      </c>
      <c r="Y95" s="15"/>
      <c r="Z95" s="21">
        <f>IF(T95=0,0,X95/T95)</f>
        <v>-1.1166140592193832</v>
      </c>
    </row>
    <row r="96" spans="1:26" x14ac:dyDescent="0.25">
      <c r="A96" s="9"/>
      <c r="B96" s="10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x14ac:dyDescent="0.25">
      <c r="A97" s="51"/>
      <c r="B97" s="10" t="s">
        <v>13</v>
      </c>
      <c r="C97" s="10"/>
      <c r="D97" s="4">
        <v>4202.3999999999996</v>
      </c>
      <c r="E97" s="4"/>
      <c r="F97" s="12">
        <f>IF(D$12=0,0,D97/D$12)</f>
        <v>0.40030825183298396</v>
      </c>
      <c r="G97" s="4"/>
      <c r="H97" s="4">
        <v>4629.99</v>
      </c>
      <c r="I97" s="4"/>
      <c r="J97" s="12">
        <f>IF(H$12=0,0,H97/H$12)</f>
        <v>8.0483115283880899E-2</v>
      </c>
      <c r="K97" s="4"/>
      <c r="L97" s="4">
        <f>+D97-H97</f>
        <v>-427.59000000000015</v>
      </c>
      <c r="M97" s="4"/>
      <c r="N97" s="12">
        <f>IF(H97=0,0,L97/H97)</f>
        <v>-9.2352251300758789E-2</v>
      </c>
      <c r="O97" s="10"/>
      <c r="P97" s="4">
        <v>15591.34</v>
      </c>
      <c r="Q97" s="4"/>
      <c r="R97" s="12">
        <f>IF(P$12=0,0,P97/P$12)</f>
        <v>0.2166215746270824</v>
      </c>
      <c r="S97" s="4"/>
      <c r="T97" s="4">
        <v>23101.22</v>
      </c>
      <c r="U97" s="4"/>
      <c r="V97" s="12">
        <f>IF(T$12=0,0,T97/T$12)</f>
        <v>0.1006625468083357</v>
      </c>
      <c r="W97" s="4"/>
      <c r="X97" s="4">
        <f>+P97-T97</f>
        <v>-7509.880000000001</v>
      </c>
      <c r="Y97" s="4"/>
      <c r="Z97" s="12">
        <f>IF(T97=0,0,X97/T97)</f>
        <v>-0.32508586126620154</v>
      </c>
    </row>
    <row r="98" spans="1:26" x14ac:dyDescent="0.25">
      <c r="A98" s="9"/>
      <c r="B98" s="10"/>
      <c r="C98" s="10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O98" s="10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ht="15.75" thickBot="1" x14ac:dyDescent="0.3">
      <c r="A99" s="10"/>
      <c r="B99" s="25" t="s">
        <v>4</v>
      </c>
      <c r="C99" s="25"/>
      <c r="D99" s="30">
        <f>+D95-D97</f>
        <v>-70871.799999999974</v>
      </c>
      <c r="E99" s="13"/>
      <c r="F99" s="33">
        <f>IF(D$12=0,0,D99/D$12)</f>
        <v>-6.7510390163375362</v>
      </c>
      <c r="G99" s="13"/>
      <c r="H99" s="30">
        <f>+H95-H97</f>
        <v>70305.45</v>
      </c>
      <c r="I99" s="13"/>
      <c r="J99" s="33">
        <f>IF(H$12=0,0,H99/H$12)</f>
        <v>1.2221196238944629</v>
      </c>
      <c r="K99" s="15"/>
      <c r="L99" s="30">
        <f>D99-H99</f>
        <v>-141177.24999999997</v>
      </c>
      <c r="M99" s="15"/>
      <c r="N99" s="33">
        <f>IF(H99=0,0,L99/H99)</f>
        <v>-2.0080555632600317</v>
      </c>
      <c r="O99" s="26"/>
      <c r="P99" s="30">
        <f>+P95-P97</f>
        <v>-37494.020000000004</v>
      </c>
      <c r="Q99" s="13"/>
      <c r="R99" s="33">
        <f>IF(P$12=0,0,P99/P$12)</f>
        <v>-0.52093108427494494</v>
      </c>
      <c r="S99" s="13"/>
      <c r="T99" s="30">
        <f>+T95-T97</f>
        <v>164720.73000000004</v>
      </c>
      <c r="U99" s="13"/>
      <c r="V99" s="33">
        <f>IF(T$12=0,0,T99/T$12)</f>
        <v>0.71776331267042304</v>
      </c>
      <c r="W99" s="15"/>
      <c r="X99" s="30">
        <f>P99-T99</f>
        <v>-202214.75000000006</v>
      </c>
      <c r="Y99" s="15"/>
      <c r="Z99" s="33">
        <f>IF(T99=0,0,X99/T99)</f>
        <v>-1.2276217449983375</v>
      </c>
    </row>
    <row r="100" spans="1:26" ht="15.75" thickTop="1" x14ac:dyDescent="0.25">
      <c r="A100" s="9"/>
      <c r="B100" s="9"/>
      <c r="C100" s="9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x14ac:dyDescent="0.25">
      <c r="A101" s="9"/>
      <c r="B101" s="9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ht="15.75" thickBot="1" x14ac:dyDescent="0.3">
      <c r="A102" s="10"/>
      <c r="B102" s="25" t="s">
        <v>5</v>
      </c>
      <c r="C102" s="25"/>
      <c r="D102" s="34">
        <f>SUM(D99:D101)</f>
        <v>-70871.799999999974</v>
      </c>
      <c r="E102" s="13"/>
      <c r="F102" s="35">
        <f>IF(D$12=0,0,D102/D$12)</f>
        <v>-6.7510390163375362</v>
      </c>
      <c r="G102" s="13"/>
      <c r="H102" s="34">
        <f>SUM(H99:H101)</f>
        <v>70305.45</v>
      </c>
      <c r="I102" s="13"/>
      <c r="J102" s="35">
        <f>IF(H$12=0,0,H102/H$12)</f>
        <v>1.2221196238944629</v>
      </c>
      <c r="K102" s="15"/>
      <c r="L102" s="34">
        <f>+D102-H102</f>
        <v>-141177.24999999997</v>
      </c>
      <c r="M102" s="15"/>
      <c r="N102" s="35">
        <f>IF(H102=0,0,L102/H102)</f>
        <v>-2.0080555632600317</v>
      </c>
      <c r="O102" s="26"/>
      <c r="P102" s="34">
        <f>SUM(P99:P101)</f>
        <v>-37494.020000000004</v>
      </c>
      <c r="Q102" s="13"/>
      <c r="R102" s="35">
        <f>IF(P$12=0,0,P102/P$12)</f>
        <v>-0.52093108427494494</v>
      </c>
      <c r="S102" s="13"/>
      <c r="T102" s="34">
        <f>SUM(T99:T101)</f>
        <v>164720.73000000004</v>
      </c>
      <c r="U102" s="13"/>
      <c r="V102" s="35">
        <f>IF(T$12=0,0,T102/T$12)</f>
        <v>0.71776331267042304</v>
      </c>
      <c r="W102" s="15"/>
      <c r="X102" s="34">
        <f>+P102-T102</f>
        <v>-202214.75000000006</v>
      </c>
      <c r="Y102" s="15"/>
      <c r="Z102" s="35">
        <f>IF(T102=0,0,X102/T102)</f>
        <v>-1.2276217449983375</v>
      </c>
    </row>
    <row r="103" spans="1:26" ht="15.75" thickTop="1" x14ac:dyDescent="0.25">
      <c r="A103" s="9"/>
      <c r="C103" s="9"/>
      <c r="D103" s="18"/>
      <c r="E103" s="18"/>
      <c r="G103" s="18"/>
      <c r="H103" s="18"/>
      <c r="I103" s="18"/>
      <c r="J103" s="43"/>
      <c r="K103" s="18"/>
      <c r="L103" s="18"/>
      <c r="M103" s="18"/>
      <c r="P103" s="18"/>
      <c r="Q103" s="18"/>
      <c r="R103" s="43"/>
      <c r="S103" s="18"/>
      <c r="T103" s="18"/>
      <c r="U103" s="18"/>
      <c r="V103" s="43"/>
      <c r="W103" s="18"/>
      <c r="X103" s="18"/>
    </row>
    <row r="104" spans="1:26" x14ac:dyDescent="0.25">
      <c r="A104" s="9"/>
      <c r="B104" s="56">
        <v>44151.571980208333</v>
      </c>
      <c r="D104" s="18"/>
      <c r="E104" s="18"/>
      <c r="G104" s="18"/>
      <c r="H104" s="18"/>
      <c r="I104" s="18"/>
      <c r="J104" s="43"/>
      <c r="K104" s="18"/>
      <c r="L104" s="18"/>
      <c r="M104" s="18"/>
      <c r="P104" s="18"/>
      <c r="Q104" s="18"/>
      <c r="R104" s="43"/>
      <c r="S104" s="18"/>
      <c r="T104" s="18"/>
      <c r="U104" s="18"/>
      <c r="V104" s="43"/>
      <c r="W104" s="18"/>
      <c r="X104" s="18"/>
    </row>
    <row r="105" spans="1:26" x14ac:dyDescent="0.25">
      <c r="A105" s="9"/>
      <c r="B105" s="62" t="s">
        <v>313</v>
      </c>
      <c r="D105" s="18"/>
      <c r="E105" s="18"/>
      <c r="G105" s="18"/>
      <c r="H105" s="18"/>
      <c r="I105" s="18"/>
      <c r="J105" s="43"/>
      <c r="K105" s="18"/>
      <c r="L105" s="18"/>
      <c r="M105" s="18"/>
      <c r="P105" s="18"/>
      <c r="Q105" s="18"/>
      <c r="R105" s="43"/>
      <c r="S105" s="18"/>
      <c r="T105" s="18"/>
      <c r="U105" s="18"/>
      <c r="V105" s="43"/>
      <c r="W105" s="18"/>
      <c r="X105" s="18"/>
    </row>
    <row r="106" spans="1:26" x14ac:dyDescent="0.25">
      <c r="A106" s="9"/>
      <c r="B106" s="54"/>
      <c r="D106" s="18"/>
      <c r="E106" s="18"/>
      <c r="G106" s="18"/>
      <c r="H106" s="18"/>
      <c r="I106" s="18"/>
      <c r="J106" s="43"/>
      <c r="K106" s="18"/>
      <c r="L106" s="18"/>
      <c r="M106" s="18"/>
      <c r="P106" s="18"/>
      <c r="Q106" s="18"/>
      <c r="R106" s="43"/>
      <c r="S106" s="18"/>
      <c r="T106" s="18"/>
      <c r="U106" s="18"/>
      <c r="V106" s="43"/>
      <c r="W106" s="18"/>
      <c r="X106" s="18"/>
    </row>
    <row r="107" spans="1:26" x14ac:dyDescent="0.25">
      <c r="D107" s="18"/>
      <c r="E107" s="18"/>
      <c r="G107" s="18"/>
      <c r="H107" s="18"/>
      <c r="I107" s="18"/>
      <c r="J107" s="43"/>
      <c r="K107" s="18"/>
      <c r="L107" s="18"/>
      <c r="M107" s="18"/>
      <c r="P107" s="18"/>
      <c r="Q107" s="18"/>
      <c r="R107" s="43"/>
      <c r="S107" s="18"/>
      <c r="T107" s="18"/>
      <c r="U107" s="18"/>
      <c r="V107" s="43"/>
      <c r="W107" s="18"/>
      <c r="X107" s="18"/>
    </row>
  </sheetData>
  <pageMargins left="0.25" right="0.25" top="0.75" bottom="0.75" header="0.3" footer="0.3"/>
  <pageSetup scale="55" fitToWidth="2" orientation="landscape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",RIGHT(202104,2),", ",2021)</f>
        <v>Period 04,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44135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","316", " - ", "Campus Copy Center")</f>
        <v>Department 316 - Campus Copy Center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61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50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50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2"/>
      <c r="F10" s="31" t="s">
        <v>14</v>
      </c>
      <c r="G10" s="32"/>
      <c r="H10" s="49" t="s">
        <v>306</v>
      </c>
      <c r="I10" s="32"/>
      <c r="J10" s="31" t="s">
        <v>14</v>
      </c>
      <c r="K10" s="10"/>
      <c r="L10" s="42" t="s">
        <v>11</v>
      </c>
      <c r="M10" s="10"/>
      <c r="N10" s="31" t="s">
        <v>15</v>
      </c>
      <c r="O10" s="10"/>
      <c r="P10" s="59" t="s">
        <v>10</v>
      </c>
      <c r="Q10" s="32"/>
      <c r="R10" s="31" t="s">
        <v>14</v>
      </c>
      <c r="S10" s="32"/>
      <c r="T10" s="49" t="s">
        <v>306</v>
      </c>
      <c r="U10" s="32"/>
      <c r="V10" s="31" t="s">
        <v>14</v>
      </c>
      <c r="W10" s="10"/>
      <c r="X10" s="42" t="s">
        <v>11</v>
      </c>
      <c r="Y10" s="10"/>
      <c r="Z10" s="31" t="s">
        <v>15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10497.909999999998</v>
      </c>
      <c r="E12" s="4"/>
      <c r="F12" s="12"/>
      <c r="G12" s="4"/>
      <c r="H12" s="4">
        <f>SUM(OSRRefH13x_0)</f>
        <v>56348.18</v>
      </c>
      <c r="I12" s="4"/>
      <c r="J12" s="12"/>
      <c r="K12" s="4"/>
      <c r="L12" s="4">
        <f t="shared" ref="L12:L24" si="0">+D12-H12</f>
        <v>-45850.270000000004</v>
      </c>
      <c r="M12" s="4"/>
      <c r="N12" s="12">
        <f t="shared" ref="N12:N24" si="1">IF(H12=0,0,L12/H12)</f>
        <v>-0.81369566860899512</v>
      </c>
      <c r="O12" s="10"/>
      <c r="P12" s="4">
        <f>SUM(OSRRefP13x_0)</f>
        <v>71975.009999999995</v>
      </c>
      <c r="Q12" s="4"/>
      <c r="R12" s="12"/>
      <c r="S12" s="4"/>
      <c r="T12" s="4">
        <f>SUM(OSRRefT13x_0)</f>
        <v>224591.89999999997</v>
      </c>
      <c r="U12" s="4"/>
      <c r="V12" s="12"/>
      <c r="W12" s="4"/>
      <c r="X12" s="4">
        <f t="shared" ref="X12:X24" si="2">+P12-T12</f>
        <v>-152616.88999999996</v>
      </c>
      <c r="Y12" s="4"/>
      <c r="Z12" s="12">
        <f t="shared" ref="Z12:Z24" si="3">IF(T12=0,0,X12/T12)</f>
        <v>-0.67952980494844195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-1.35</f>
        <v>-1.35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-1.35</v>
      </c>
      <c r="M13" s="2"/>
      <c r="N13" s="19">
        <f t="shared" si="1"/>
        <v>0</v>
      </c>
      <c r="O13" s="11"/>
      <c r="P13" s="2">
        <f>-8.65</f>
        <v>-8.65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-8.65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"4041", " - ", "TAXABLE SALES-LOGO GIFTS")</f>
        <v xml:space="preserve">          4041 - TAXABLE SALES-LOGO GIFTS</v>
      </c>
      <c r="C14" s="11"/>
      <c r="D14" s="2">
        <f>--8147.55</f>
        <v>8147.55</v>
      </c>
      <c r="E14" s="2"/>
      <c r="F14" s="19"/>
      <c r="G14" s="2"/>
      <c r="H14" s="2">
        <f>--1480.05</f>
        <v>1480.05</v>
      </c>
      <c r="I14" s="2"/>
      <c r="J14" s="19"/>
      <c r="K14" s="2"/>
      <c r="L14" s="2">
        <f t="shared" si="0"/>
        <v>6667.5</v>
      </c>
      <c r="M14" s="2"/>
      <c r="N14" s="19">
        <f t="shared" si="1"/>
        <v>4.5049153744805919</v>
      </c>
      <c r="O14" s="11"/>
      <c r="P14" s="2">
        <f>--60369.32</f>
        <v>60369.32</v>
      </c>
      <c r="Q14" s="2"/>
      <c r="R14" s="19"/>
      <c r="S14" s="2"/>
      <c r="T14" s="2">
        <f>--96774.25</f>
        <v>96774.25</v>
      </c>
      <c r="U14" s="2"/>
      <c r="V14" s="19"/>
      <c r="W14" s="2"/>
      <c r="X14" s="2">
        <f t="shared" si="2"/>
        <v>-36404.93</v>
      </c>
      <c r="Y14" s="2"/>
      <c r="Z14" s="19">
        <f t="shared" si="3"/>
        <v>-0.37618405722596659</v>
      </c>
    </row>
    <row r="15" spans="1:26" s="24" customFormat="1" hidden="1" outlineLevel="1" x14ac:dyDescent="0.25">
      <c r="A15" s="44"/>
      <c r="B15" s="11" t="str">
        <f>CONCATENATE("          ", "4042", " - ", "TAXABLE SALES-EVERYDAY GIFTS")</f>
        <v xml:space="preserve">          4042 - TAXABLE SALES-EVERYDAY GIFTS</v>
      </c>
      <c r="C15" s="11"/>
      <c r="D15" s="2">
        <f>--2053.86</f>
        <v>2053.86</v>
      </c>
      <c r="E15" s="2"/>
      <c r="F15" s="19"/>
      <c r="G15" s="2"/>
      <c r="H15" s="2">
        <f>--12160.33</f>
        <v>12160.33</v>
      </c>
      <c r="I15" s="2"/>
      <c r="J15" s="19"/>
      <c r="K15" s="2"/>
      <c r="L15" s="2">
        <f t="shared" si="0"/>
        <v>-10106.469999999999</v>
      </c>
      <c r="M15" s="2"/>
      <c r="N15" s="19">
        <f t="shared" si="1"/>
        <v>-0.83110162306450563</v>
      </c>
      <c r="O15" s="11"/>
      <c r="P15" s="2">
        <f>--11487.58</f>
        <v>11487.58</v>
      </c>
      <c r="Q15" s="2"/>
      <c r="R15" s="19"/>
      <c r="S15" s="2"/>
      <c r="T15" s="2">
        <f>--31918.22</f>
        <v>31918.22</v>
      </c>
      <c r="U15" s="2"/>
      <c r="V15" s="19"/>
      <c r="W15" s="2"/>
      <c r="X15" s="2">
        <f t="shared" si="2"/>
        <v>-20430.64</v>
      </c>
      <c r="Y15" s="2"/>
      <c r="Z15" s="19">
        <f t="shared" si="3"/>
        <v>-0.64009333853830186</v>
      </c>
    </row>
    <row r="16" spans="1:26" s="24" customFormat="1" hidden="1" outlineLevel="1" x14ac:dyDescent="0.25">
      <c r="A16" s="44"/>
      <c r="B16" s="11" t="str">
        <f>CONCATENATE("          ", "4043", " - ", "TAXABLE SALES-CARDS")</f>
        <v xml:space="preserve">          4043 - TAXABLE SALES-CARDS</v>
      </c>
      <c r="C16" s="11"/>
      <c r="D16" s="2">
        <f t="shared" ref="D16:D17" si="4">0</f>
        <v>0</v>
      </c>
      <c r="E16" s="2"/>
      <c r="F16" s="19"/>
      <c r="G16" s="2"/>
      <c r="H16" s="2">
        <f>--2.55</f>
        <v>2.5499999999999998</v>
      </c>
      <c r="I16" s="2"/>
      <c r="J16" s="19"/>
      <c r="K16" s="2"/>
      <c r="L16" s="2">
        <f t="shared" si="0"/>
        <v>-2.5499999999999998</v>
      </c>
      <c r="M16" s="2"/>
      <c r="N16" s="19">
        <f t="shared" si="1"/>
        <v>-1</v>
      </c>
      <c r="O16" s="11"/>
      <c r="P16" s="2">
        <f>--7.98</f>
        <v>7.98</v>
      </c>
      <c r="Q16" s="2"/>
      <c r="R16" s="19"/>
      <c r="S16" s="2"/>
      <c r="T16" s="2">
        <f>--98.28</f>
        <v>98.28</v>
      </c>
      <c r="U16" s="2"/>
      <c r="V16" s="19"/>
      <c r="W16" s="2"/>
      <c r="X16" s="2">
        <f t="shared" si="2"/>
        <v>-90.3</v>
      </c>
      <c r="Y16" s="2"/>
      <c r="Z16" s="19">
        <f t="shared" si="3"/>
        <v>-0.91880341880341876</v>
      </c>
    </row>
    <row r="17" spans="1:26" s="24" customFormat="1" hidden="1" outlineLevel="1" x14ac:dyDescent="0.25">
      <c r="A17" s="44"/>
      <c r="B17" s="11" t="str">
        <f>CONCATENATE("          ", "4047", " - ", "TAXABLE SALES-MISC")</f>
        <v xml:space="preserve">          4047 - TAXABLE SALES-MISC</v>
      </c>
      <c r="C17" s="11"/>
      <c r="D17" s="2">
        <f t="shared" si="4"/>
        <v>0</v>
      </c>
      <c r="E17" s="2"/>
      <c r="F17" s="19"/>
      <c r="G17" s="2"/>
      <c r="H17" s="2">
        <f>--402.65</f>
        <v>402.65</v>
      </c>
      <c r="I17" s="2"/>
      <c r="J17" s="19"/>
      <c r="K17" s="2"/>
      <c r="L17" s="2">
        <f t="shared" si="0"/>
        <v>-402.65</v>
      </c>
      <c r="M17" s="2"/>
      <c r="N17" s="19">
        <f t="shared" si="1"/>
        <v>-1</v>
      </c>
      <c r="O17" s="11"/>
      <c r="P17" s="2">
        <f>0</f>
        <v>0</v>
      </c>
      <c r="Q17" s="2"/>
      <c r="R17" s="19"/>
      <c r="S17" s="2"/>
      <c r="T17" s="2">
        <f>--1374</f>
        <v>1374</v>
      </c>
      <c r="U17" s="2"/>
      <c r="V17" s="19"/>
      <c r="W17" s="2"/>
      <c r="X17" s="2">
        <f t="shared" si="2"/>
        <v>-1374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"4141", " - ", "NON-TAXABLE SALES-LOGO GIFTS")</f>
        <v xml:space="preserve">          4141 - NON-TAXABLE SALES-LOGO GIFTS</v>
      </c>
      <c r="C18" s="11"/>
      <c r="D18" s="2">
        <f>--54</f>
        <v>54</v>
      </c>
      <c r="E18" s="2"/>
      <c r="F18" s="19"/>
      <c r="G18" s="2"/>
      <c r="H18" s="2">
        <f>0</f>
        <v>0</v>
      </c>
      <c r="I18" s="2"/>
      <c r="J18" s="19"/>
      <c r="K18" s="2"/>
      <c r="L18" s="2">
        <f t="shared" si="0"/>
        <v>54</v>
      </c>
      <c r="M18" s="2"/>
      <c r="N18" s="19">
        <f t="shared" si="1"/>
        <v>0</v>
      </c>
      <c r="O18" s="11"/>
      <c r="P18" s="2">
        <f>--511.5</f>
        <v>511.5</v>
      </c>
      <c r="Q18" s="2"/>
      <c r="R18" s="19"/>
      <c r="S18" s="2"/>
      <c r="T18" s="2">
        <f>--152.75</f>
        <v>152.75</v>
      </c>
      <c r="U18" s="2"/>
      <c r="V18" s="19"/>
      <c r="W18" s="2"/>
      <c r="X18" s="2">
        <f t="shared" si="2"/>
        <v>358.75</v>
      </c>
      <c r="Y18" s="2"/>
      <c r="Z18" s="19">
        <f t="shared" si="3"/>
        <v>2.3486088379705401</v>
      </c>
    </row>
    <row r="19" spans="1:26" s="24" customFormat="1" hidden="1" outlineLevel="1" x14ac:dyDescent="0.25">
      <c r="A19" s="44"/>
      <c r="B19" s="11" t="str">
        <f>CONCATENATE("          ", "4142", " - ", "NON-TAXABLE SALES-EVERYDAY GIF")</f>
        <v xml:space="preserve">          4142 - NON-TAXABLE SALES-EVERYDAY GIF</v>
      </c>
      <c r="C19" s="11"/>
      <c r="D19" s="2">
        <f>--245</f>
        <v>245</v>
      </c>
      <c r="E19" s="2"/>
      <c r="F19" s="19"/>
      <c r="G19" s="2"/>
      <c r="H19" s="2">
        <f>--2246.8</f>
        <v>2246.8000000000002</v>
      </c>
      <c r="I19" s="2"/>
      <c r="J19" s="19"/>
      <c r="K19" s="2"/>
      <c r="L19" s="2">
        <f t="shared" si="0"/>
        <v>-2001.8000000000002</v>
      </c>
      <c r="M19" s="2"/>
      <c r="N19" s="19">
        <f t="shared" si="1"/>
        <v>-0.89095602634858462</v>
      </c>
      <c r="O19" s="11"/>
      <c r="P19" s="2">
        <f>--250.98</f>
        <v>250.98</v>
      </c>
      <c r="Q19" s="2"/>
      <c r="R19" s="19"/>
      <c r="S19" s="2"/>
      <c r="T19" s="2">
        <f>--4348.3</f>
        <v>4348.3</v>
      </c>
      <c r="U19" s="2"/>
      <c r="V19" s="19"/>
      <c r="W19" s="2"/>
      <c r="X19" s="2">
        <f t="shared" si="2"/>
        <v>-4097.3200000000006</v>
      </c>
      <c r="Y19" s="2"/>
      <c r="Z19" s="19">
        <f t="shared" si="3"/>
        <v>-0.94228089138283933</v>
      </c>
    </row>
    <row r="20" spans="1:26" s="24" customFormat="1" hidden="1" outlineLevel="1" x14ac:dyDescent="0.25">
      <c r="A20" s="44"/>
      <c r="B20" s="11" t="str">
        <f>CONCATENATE("          ", "4146", " - ", "NON-TAXABLE SALES-COIN OP MACH")</f>
        <v xml:space="preserve">          4146 - NON-TAXABLE SALES-COIN OP MACH</v>
      </c>
      <c r="C20" s="11"/>
      <c r="D20" s="2">
        <f>--21.3</f>
        <v>21.3</v>
      </c>
      <c r="E20" s="2"/>
      <c r="F20" s="19"/>
      <c r="G20" s="2"/>
      <c r="H20" s="2">
        <f>--40316.8</f>
        <v>40316.800000000003</v>
      </c>
      <c r="I20" s="2"/>
      <c r="J20" s="19"/>
      <c r="K20" s="2"/>
      <c r="L20" s="2">
        <f t="shared" si="0"/>
        <v>-40295.5</v>
      </c>
      <c r="M20" s="2"/>
      <c r="N20" s="19">
        <f t="shared" si="1"/>
        <v>-0.99947168426065558</v>
      </c>
      <c r="O20" s="11"/>
      <c r="P20" s="2">
        <f t="shared" ref="P20:P21" si="5">--86.5</f>
        <v>86.5</v>
      </c>
      <c r="Q20" s="2"/>
      <c r="R20" s="19"/>
      <c r="S20" s="2"/>
      <c r="T20" s="2">
        <f>--90410.3</f>
        <v>90410.3</v>
      </c>
      <c r="U20" s="2"/>
      <c r="V20" s="19"/>
      <c r="W20" s="2"/>
      <c r="X20" s="2">
        <f t="shared" si="2"/>
        <v>-90323.8</v>
      </c>
      <c r="Y20" s="2"/>
      <c r="Z20" s="19">
        <f t="shared" si="3"/>
        <v>-0.99904325060308397</v>
      </c>
    </row>
    <row r="21" spans="1:26" s="24" customFormat="1" hidden="1" outlineLevel="1" x14ac:dyDescent="0.25">
      <c r="A21" s="44"/>
      <c r="B21" s="11" t="str">
        <f>CONCATENATE("          ", "4147", " - ", "NON-TAXABLE SALES-MISC")</f>
        <v xml:space="preserve">          4147 - NON-TAXABLE SALES-MISC</v>
      </c>
      <c r="C21" s="11"/>
      <c r="D21" s="2">
        <f>--38.5</f>
        <v>38.5</v>
      </c>
      <c r="E21" s="2"/>
      <c r="F21" s="19"/>
      <c r="G21" s="2"/>
      <c r="H21" s="2">
        <f>-240</f>
        <v>-240</v>
      </c>
      <c r="I21" s="2"/>
      <c r="J21" s="19"/>
      <c r="K21" s="2"/>
      <c r="L21" s="2">
        <f t="shared" si="0"/>
        <v>278.5</v>
      </c>
      <c r="M21" s="2"/>
      <c r="N21" s="19">
        <f t="shared" si="1"/>
        <v>-1.1604166666666667</v>
      </c>
      <c r="O21" s="11"/>
      <c r="P21" s="2">
        <f t="shared" si="5"/>
        <v>86.5</v>
      </c>
      <c r="Q21" s="2"/>
      <c r="R21" s="19"/>
      <c r="S21" s="2"/>
      <c r="T21" s="2">
        <f>--174.9</f>
        <v>174.9</v>
      </c>
      <c r="U21" s="2"/>
      <c r="V21" s="19"/>
      <c r="W21" s="2"/>
      <c r="X21" s="2">
        <f t="shared" si="2"/>
        <v>-88.4</v>
      </c>
      <c r="Y21" s="2"/>
      <c r="Z21" s="19">
        <f t="shared" si="3"/>
        <v>-0.50543167524299604</v>
      </c>
    </row>
    <row r="22" spans="1:26" s="24" customFormat="1" hidden="1" outlineLevel="1" x14ac:dyDescent="0.25">
      <c r="A22" s="44"/>
      <c r="B22" s="11" t="str">
        <f>CONCATENATE("          ", "4241", " - ", "SALES RETURN TAXABLE-LOGO GIFT")</f>
        <v xml:space="preserve">          4241 - SALES RETURN TAXABLE-LOGO GIFT</v>
      </c>
      <c r="C22" s="11"/>
      <c r="D22" s="2">
        <f>-60.95</f>
        <v>-60.95</v>
      </c>
      <c r="E22" s="2"/>
      <c r="F22" s="19"/>
      <c r="G22" s="2"/>
      <c r="H22" s="2">
        <f>-21</f>
        <v>-21</v>
      </c>
      <c r="I22" s="2"/>
      <c r="J22" s="19"/>
      <c r="K22" s="2"/>
      <c r="L22" s="2">
        <f t="shared" si="0"/>
        <v>-39.950000000000003</v>
      </c>
      <c r="M22" s="2"/>
      <c r="N22" s="19">
        <f t="shared" si="1"/>
        <v>1.9023809523809525</v>
      </c>
      <c r="O22" s="11"/>
      <c r="P22" s="2">
        <f>-816.7</f>
        <v>-816.7</v>
      </c>
      <c r="Q22" s="2"/>
      <c r="R22" s="19"/>
      <c r="S22" s="2"/>
      <c r="T22" s="2">
        <f>-634.75</f>
        <v>-634.75</v>
      </c>
      <c r="U22" s="2"/>
      <c r="V22" s="19"/>
      <c r="W22" s="2"/>
      <c r="X22" s="2">
        <f t="shared" si="2"/>
        <v>-181.95000000000005</v>
      </c>
      <c r="Y22" s="2"/>
      <c r="Z22" s="19">
        <f t="shared" si="3"/>
        <v>0.28664828672705794</v>
      </c>
    </row>
    <row r="23" spans="1:26" s="24" customFormat="1" hidden="1" outlineLevel="1" x14ac:dyDescent="0.25">
      <c r="A23" s="44"/>
      <c r="B23" s="11" t="str">
        <f>CONCATENATE("          ", "4242", " - ", "SALES RETURN TAXABLE-EVERYDAY")</f>
        <v xml:space="preserve">          4242 - SALES RETURN TAXABLE-EVERYDAY</v>
      </c>
      <c r="C23" s="11"/>
      <c r="D23" s="2">
        <f t="shared" ref="D23:D24" si="6">0</f>
        <v>0</v>
      </c>
      <c r="E23" s="2"/>
      <c r="F23" s="19"/>
      <c r="G23" s="2"/>
      <c r="H23" s="2">
        <f t="shared" ref="H23:H24" si="7">0</f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 t="shared" ref="P23:P24" si="8">0</f>
        <v>0</v>
      </c>
      <c r="Q23" s="2"/>
      <c r="R23" s="19"/>
      <c r="S23" s="2"/>
      <c r="T23" s="2">
        <f>-16.2</f>
        <v>-16.2</v>
      </c>
      <c r="U23" s="2"/>
      <c r="V23" s="19"/>
      <c r="W23" s="2"/>
      <c r="X23" s="2">
        <f t="shared" si="2"/>
        <v>16.2</v>
      </c>
      <c r="Y23" s="2"/>
      <c r="Z23" s="19">
        <f t="shared" si="3"/>
        <v>-1</v>
      </c>
    </row>
    <row r="24" spans="1:26" s="24" customFormat="1" hidden="1" outlineLevel="1" x14ac:dyDescent="0.25">
      <c r="A24" s="44"/>
      <c r="B24" s="11" t="str">
        <f>CONCATENATE("          ", "4346", " - ", "SALES RETURN NON TAXABLE-COIN-")</f>
        <v xml:space="preserve">          4346 - SALES RETURN NON TAXABLE-COIN-</v>
      </c>
      <c r="C24" s="11"/>
      <c r="D24" s="2">
        <f t="shared" si="6"/>
        <v>0</v>
      </c>
      <c r="E24" s="2"/>
      <c r="F24" s="19"/>
      <c r="G24" s="2"/>
      <c r="H24" s="2">
        <f t="shared" si="7"/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 t="shared" si="8"/>
        <v>0</v>
      </c>
      <c r="Q24" s="2"/>
      <c r="R24" s="19"/>
      <c r="S24" s="2"/>
      <c r="T24" s="2">
        <f>-8.15</f>
        <v>-8.15</v>
      </c>
      <c r="U24" s="2"/>
      <c r="V24" s="19"/>
      <c r="W24" s="2"/>
      <c r="X24" s="2">
        <f t="shared" si="2"/>
        <v>8.15</v>
      </c>
      <c r="Y24" s="2"/>
      <c r="Z24" s="19">
        <f t="shared" si="3"/>
        <v>-1</v>
      </c>
    </row>
    <row r="25" spans="1:26" x14ac:dyDescent="0.25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25">
      <c r="A26" s="10"/>
      <c r="B26" s="26" t="s">
        <v>8</v>
      </c>
      <c r="C26" s="10"/>
      <c r="D26" s="4">
        <f>SUM(0)</f>
        <v>0</v>
      </c>
      <c r="E26" s="4"/>
      <c r="F26" s="12">
        <f>IF(D$12=0,0,D26/D$12)</f>
        <v>0</v>
      </c>
      <c r="G26" s="4"/>
      <c r="H26" s="4">
        <f>SUM(0)</f>
        <v>0</v>
      </c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>
        <f>SUM(0)</f>
        <v>0</v>
      </c>
      <c r="Q26" s="4"/>
      <c r="R26" s="12">
        <f>IF(P$12=0,0,P26/P$12)</f>
        <v>0</v>
      </c>
      <c r="S26" s="4"/>
      <c r="T26" s="4">
        <f>SUM(0)</f>
        <v>0</v>
      </c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10"/>
      <c r="B28" s="25" t="s">
        <v>6</v>
      </c>
      <c r="C28" s="25"/>
      <c r="D28" s="20">
        <f>D12-D26</f>
        <v>10497.909999999998</v>
      </c>
      <c r="E28" s="13"/>
      <c r="F28" s="21">
        <f>IF(D$12=0,0,D28/D$12)</f>
        <v>1</v>
      </c>
      <c r="G28" s="13"/>
      <c r="H28" s="20">
        <f>H12-H26</f>
        <v>56348.18</v>
      </c>
      <c r="I28" s="13"/>
      <c r="J28" s="21">
        <f>IF(H$12=0,0,H28/H$12)</f>
        <v>1</v>
      </c>
      <c r="K28" s="15"/>
      <c r="L28" s="20">
        <f>+D28-H28</f>
        <v>-45850.270000000004</v>
      </c>
      <c r="M28" s="15"/>
      <c r="N28" s="21">
        <f>IF(H28=0,0,L28/H28)</f>
        <v>-0.81369566860899512</v>
      </c>
      <c r="O28" s="26"/>
      <c r="P28" s="20">
        <f>P12-P26</f>
        <v>71975.009999999995</v>
      </c>
      <c r="Q28" s="13"/>
      <c r="R28" s="21">
        <f>IF(P$12=0,0,P28/P$12)</f>
        <v>1</v>
      </c>
      <c r="S28" s="13"/>
      <c r="T28" s="20">
        <f>T12-T26</f>
        <v>224591.89999999997</v>
      </c>
      <c r="U28" s="13"/>
      <c r="V28" s="21">
        <f>IF(T$12=0,0,T28/T$12)</f>
        <v>1</v>
      </c>
      <c r="W28" s="15"/>
      <c r="X28" s="20">
        <f>+P28-T28</f>
        <v>-152616.88999999996</v>
      </c>
      <c r="Y28" s="15"/>
      <c r="Z28" s="21">
        <f>IF(T28=0,0,X28/T28)</f>
        <v>-0.67952980494844195</v>
      </c>
    </row>
    <row r="29" spans="1:26" x14ac:dyDescent="0.25">
      <c r="A29" s="9"/>
      <c r="B29" s="10"/>
      <c r="C29" s="9"/>
      <c r="D29" s="1"/>
      <c r="E29" s="1"/>
      <c r="F29" s="5"/>
      <c r="G29" s="1"/>
      <c r="H29" s="1"/>
      <c r="I29" s="1"/>
      <c r="J29" s="5"/>
      <c r="K29" s="1"/>
      <c r="L29" s="1"/>
      <c r="M29" s="1"/>
      <c r="N29" s="5"/>
      <c r="O29" s="37"/>
      <c r="P29" s="1"/>
      <c r="Q29" s="1"/>
      <c r="R29" s="5"/>
      <c r="S29" s="1"/>
      <c r="T29" s="1"/>
      <c r="U29" s="1"/>
      <c r="V29" s="5"/>
      <c r="W29" s="1"/>
      <c r="X29" s="1"/>
      <c r="Y29" s="1"/>
      <c r="Z29" s="5"/>
    </row>
    <row r="30" spans="1:26" s="23" customFormat="1" x14ac:dyDescent="0.25">
      <c r="A30" s="10"/>
      <c r="B30" s="26" t="s">
        <v>9</v>
      </c>
      <c r="C30" s="10"/>
      <c r="D30" s="22">
        <f>SUM(OSRRefD22x_0)</f>
        <v>83949.309999999983</v>
      </c>
      <c r="E30" s="22"/>
      <c r="F30" s="36">
        <f t="shared" ref="F30:F39" si="9">IF(D$12=0,0,D30/D$12)</f>
        <v>7.9967641178101161</v>
      </c>
      <c r="G30" s="22"/>
      <c r="H30" s="22">
        <f>SUM(OSRRefH22x_0)</f>
        <v>55355.859999999993</v>
      </c>
      <c r="I30" s="22"/>
      <c r="J30" s="36">
        <f t="shared" ref="J30:J39" si="10">IF(H$12=0,0,H30/H$12)</f>
        <v>0.98238949332525016</v>
      </c>
      <c r="K30" s="4"/>
      <c r="L30" s="22">
        <f t="shared" ref="L30:L39" si="11">+D30-H30</f>
        <v>28593.44999999999</v>
      </c>
      <c r="M30" s="4"/>
      <c r="N30" s="36">
        <f t="shared" ref="N30:N39" si="12">IF(H30=0,0,L30/H30)</f>
        <v>0.51653880908001415</v>
      </c>
      <c r="O30" s="10"/>
      <c r="P30" s="22">
        <f>SUM(OSRRefP22x_0)</f>
        <v>121005.69</v>
      </c>
      <c r="Q30" s="22"/>
      <c r="R30" s="36">
        <f t="shared" ref="R30:R39" si="13">IF(P$12=0,0,P30/P$12)</f>
        <v>1.6812181061176652</v>
      </c>
      <c r="S30" s="22"/>
      <c r="T30" s="22">
        <f>SUM(OSRRefT22x_0)</f>
        <v>177013.58999999997</v>
      </c>
      <c r="U30" s="22"/>
      <c r="V30" s="36">
        <f t="shared" ref="V30:V39" si="14">IF(T$12=0,0,T30/T$12)</f>
        <v>0.78815660760695283</v>
      </c>
      <c r="W30" s="4"/>
      <c r="X30" s="22">
        <f t="shared" ref="X30:X39" si="15">+P30-T30</f>
        <v>-56007.899999999965</v>
      </c>
      <c r="Y30" s="4"/>
      <c r="Z30" s="36">
        <f t="shared" ref="Z30:Z39" si="16">IF(T30=0,0,X30/T30)</f>
        <v>-0.31640452012752229</v>
      </c>
    </row>
    <row r="31" spans="1:26" s="29" customFormat="1" outlineLevel="1" collapsed="1" x14ac:dyDescent="0.25">
      <c r="A31" s="27"/>
      <c r="B31" s="14" t="str">
        <f>CONCATENATE("     ","*Benefits                                         ")</f>
        <v xml:space="preserve">     *Benefits                                         </v>
      </c>
      <c r="C31" s="14"/>
      <c r="D31" s="1">
        <f>SUM(OSRRefD22_0x_0)</f>
        <v>10414.129999999999</v>
      </c>
      <c r="E31" s="1"/>
      <c r="F31" s="5">
        <f t="shared" si="9"/>
        <v>0.99201936385432921</v>
      </c>
      <c r="G31" s="1"/>
      <c r="H31" s="1">
        <f>SUM(OSRRefH22_0x_0)</f>
        <v>10020.68</v>
      </c>
      <c r="I31" s="1"/>
      <c r="J31" s="5">
        <f t="shared" si="10"/>
        <v>0.17783502501766696</v>
      </c>
      <c r="K31" s="1"/>
      <c r="L31" s="1">
        <f t="shared" si="11"/>
        <v>393.44999999999891</v>
      </c>
      <c r="M31" s="1"/>
      <c r="N31" s="5">
        <f t="shared" si="12"/>
        <v>3.9263802456519808E-2</v>
      </c>
      <c r="O31" s="14"/>
      <c r="P31" s="1">
        <f>SUM(OSRRefP22_0x_0)</f>
        <v>36273.040000000001</v>
      </c>
      <c r="Q31" s="1"/>
      <c r="R31" s="5">
        <f t="shared" si="13"/>
        <v>0.50396714081734761</v>
      </c>
      <c r="S31" s="1"/>
      <c r="T31" s="1">
        <f>SUM(OSRRefT22_0x_0)</f>
        <v>32301.06</v>
      </c>
      <c r="U31" s="1"/>
      <c r="V31" s="5">
        <f t="shared" si="14"/>
        <v>0.14382112622939655</v>
      </c>
      <c r="W31" s="1"/>
      <c r="X31" s="1">
        <f t="shared" si="15"/>
        <v>3971.9799999999996</v>
      </c>
      <c r="Y31" s="1"/>
      <c r="Z31" s="5">
        <f t="shared" si="16"/>
        <v>0.12296748156252456</v>
      </c>
    </row>
    <row r="32" spans="1:26" s="24" customFormat="1" hidden="1" outlineLevel="2" x14ac:dyDescent="0.25">
      <c r="A32" s="28"/>
      <c r="B32" s="11" t="str">
        <f>CONCATENATE("          ", "6111", " - ", "F.I.C.A.")</f>
        <v xml:space="preserve">          6111 - F.I.C.A.</v>
      </c>
      <c r="C32" s="11"/>
      <c r="D32" s="6">
        <v>2004</v>
      </c>
      <c r="E32" s="2"/>
      <c r="F32" s="7">
        <f t="shared" si="9"/>
        <v>0.19089514008026362</v>
      </c>
      <c r="G32" s="2"/>
      <c r="H32" s="6">
        <v>2360.46</v>
      </c>
      <c r="I32" s="2"/>
      <c r="J32" s="7">
        <f t="shared" si="10"/>
        <v>4.1890616520356118E-2</v>
      </c>
      <c r="K32" s="2"/>
      <c r="L32" s="6">
        <f t="shared" si="11"/>
        <v>-356.46000000000004</v>
      </c>
      <c r="M32" s="2"/>
      <c r="N32" s="7">
        <f t="shared" si="12"/>
        <v>-0.15101293815612213</v>
      </c>
      <c r="O32" s="11"/>
      <c r="P32" s="6">
        <v>5558.26</v>
      </c>
      <c r="Q32" s="2"/>
      <c r="R32" s="7">
        <f t="shared" si="13"/>
        <v>7.7224859017039391E-2</v>
      </c>
      <c r="S32" s="2"/>
      <c r="T32" s="6">
        <v>5747.37</v>
      </c>
      <c r="U32" s="2"/>
      <c r="V32" s="7">
        <f t="shared" si="14"/>
        <v>2.5590281751033766E-2</v>
      </c>
      <c r="W32" s="2"/>
      <c r="X32" s="6">
        <f t="shared" si="15"/>
        <v>-189.10999999999967</v>
      </c>
      <c r="Y32" s="2"/>
      <c r="Z32" s="7">
        <f t="shared" si="16"/>
        <v>-3.2903745539263993E-2</v>
      </c>
    </row>
    <row r="33" spans="1:26" s="24" customFormat="1" hidden="1" outlineLevel="2" x14ac:dyDescent="0.25">
      <c r="A33" s="28"/>
      <c r="B33" s="11" t="str">
        <f>CONCATENATE("          ", "6112", " - ", "COMPENSATION INSURANCE")</f>
        <v xml:space="preserve">          6112 - COMPENSATION INSURANCE</v>
      </c>
      <c r="C33" s="11"/>
      <c r="D33" s="6">
        <v>308.31</v>
      </c>
      <c r="E33" s="2"/>
      <c r="F33" s="7">
        <f t="shared" si="9"/>
        <v>2.9368702913246548E-2</v>
      </c>
      <c r="G33" s="2"/>
      <c r="H33" s="6">
        <v>51.4</v>
      </c>
      <c r="I33" s="2"/>
      <c r="J33" s="7">
        <f t="shared" si="10"/>
        <v>9.1218562871063448E-4</v>
      </c>
      <c r="K33" s="2"/>
      <c r="L33" s="6">
        <f t="shared" si="11"/>
        <v>256.91000000000003</v>
      </c>
      <c r="M33" s="2"/>
      <c r="N33" s="7">
        <f t="shared" si="12"/>
        <v>4.998249027237355</v>
      </c>
      <c r="O33" s="11"/>
      <c r="P33" s="6">
        <v>1230.6500000000001</v>
      </c>
      <c r="Q33" s="2"/>
      <c r="R33" s="7">
        <f t="shared" si="13"/>
        <v>1.7098295644557747E-2</v>
      </c>
      <c r="S33" s="2"/>
      <c r="T33" s="6">
        <v>656.15</v>
      </c>
      <c r="U33" s="2"/>
      <c r="V33" s="7">
        <f t="shared" si="14"/>
        <v>2.9215212124747156E-3</v>
      </c>
      <c r="W33" s="2"/>
      <c r="X33" s="6">
        <f t="shared" si="15"/>
        <v>574.50000000000011</v>
      </c>
      <c r="Y33" s="2"/>
      <c r="Z33" s="7">
        <f t="shared" si="16"/>
        <v>0.8755619903985371</v>
      </c>
    </row>
    <row r="34" spans="1:26" s="24" customFormat="1" hidden="1" outlineLevel="2" x14ac:dyDescent="0.25">
      <c r="A34" s="28"/>
      <c r="B34" s="11" t="str">
        <f>CONCATENATE("          ", "6113", " - ", "GROUP INSURANCE")</f>
        <v xml:space="preserve">          6113 - GROUP INSURANCE</v>
      </c>
      <c r="C34" s="11"/>
      <c r="D34" s="6">
        <v>3423.78</v>
      </c>
      <c r="E34" s="2"/>
      <c r="F34" s="7">
        <f t="shared" si="9"/>
        <v>0.32613920294611032</v>
      </c>
      <c r="G34" s="2"/>
      <c r="H34" s="6">
        <v>3051.28</v>
      </c>
      <c r="I34" s="2"/>
      <c r="J34" s="7">
        <f t="shared" si="10"/>
        <v>5.4150462357435508E-2</v>
      </c>
      <c r="K34" s="2"/>
      <c r="L34" s="6">
        <f t="shared" si="11"/>
        <v>372.5</v>
      </c>
      <c r="M34" s="2"/>
      <c r="N34" s="7">
        <f t="shared" si="12"/>
        <v>0.12207991400330352</v>
      </c>
      <c r="O34" s="11"/>
      <c r="P34" s="6">
        <v>12893.77</v>
      </c>
      <c r="Q34" s="2"/>
      <c r="R34" s="7">
        <f t="shared" si="13"/>
        <v>0.17914231620113705</v>
      </c>
      <c r="S34" s="2"/>
      <c r="T34" s="6">
        <v>11280.88</v>
      </c>
      <c r="U34" s="2"/>
      <c r="V34" s="7">
        <f t="shared" si="14"/>
        <v>5.0228347504963453E-2</v>
      </c>
      <c r="W34" s="2"/>
      <c r="X34" s="6">
        <f t="shared" si="15"/>
        <v>1612.8900000000012</v>
      </c>
      <c r="Y34" s="2"/>
      <c r="Z34" s="7">
        <f t="shared" si="16"/>
        <v>0.14297554800689319</v>
      </c>
    </row>
    <row r="35" spans="1:26" s="24" customFormat="1" hidden="1" outlineLevel="2" x14ac:dyDescent="0.25">
      <c r="A35" s="28"/>
      <c r="B35" s="11" t="str">
        <f>CONCATENATE("          ", "6114", " - ", "STATE UNEMPLOYMENT INSURANCE")</f>
        <v xml:space="preserve">          6114 - STATE UNEMPLOYMENT INSURANCE</v>
      </c>
      <c r="C35" s="11"/>
      <c r="D35" s="6">
        <v>43.33</v>
      </c>
      <c r="E35" s="2"/>
      <c r="F35" s="7">
        <f t="shared" si="9"/>
        <v>4.1274882333721674E-3</v>
      </c>
      <c r="G35" s="2"/>
      <c r="H35" s="6">
        <v>76.510000000000005</v>
      </c>
      <c r="I35" s="2"/>
      <c r="J35" s="7">
        <f t="shared" si="10"/>
        <v>1.3578078298181061E-3</v>
      </c>
      <c r="K35" s="2"/>
      <c r="L35" s="6">
        <f t="shared" si="11"/>
        <v>-33.180000000000007</v>
      </c>
      <c r="M35" s="2"/>
      <c r="N35" s="7">
        <f t="shared" si="12"/>
        <v>-0.433668801463861</v>
      </c>
      <c r="O35" s="11"/>
      <c r="P35" s="6">
        <v>172.95</v>
      </c>
      <c r="Q35" s="2"/>
      <c r="R35" s="7">
        <f t="shared" si="13"/>
        <v>2.4029173458954712E-3</v>
      </c>
      <c r="S35" s="2"/>
      <c r="T35" s="6">
        <v>202.33</v>
      </c>
      <c r="U35" s="2"/>
      <c r="V35" s="7">
        <f t="shared" si="14"/>
        <v>9.0087843773528804E-4</v>
      </c>
      <c r="W35" s="2"/>
      <c r="X35" s="6">
        <f t="shared" si="15"/>
        <v>-29.380000000000024</v>
      </c>
      <c r="Y35" s="2"/>
      <c r="Z35" s="7">
        <f t="shared" si="16"/>
        <v>-0.14520832303662345</v>
      </c>
    </row>
    <row r="36" spans="1:26" s="24" customFormat="1" hidden="1" outlineLevel="2" x14ac:dyDescent="0.25">
      <c r="A36" s="28"/>
      <c r="B36" s="11" t="str">
        <f>CONCATENATE("          ", "6115", " - ", "P.E.R.S.")</f>
        <v xml:space="preserve">          6115 - P.E.R.S.</v>
      </c>
      <c r="C36" s="11"/>
      <c r="D36" s="6">
        <v>1202.9100000000001</v>
      </c>
      <c r="E36" s="2"/>
      <c r="F36" s="7">
        <f t="shared" si="9"/>
        <v>0.1145856651466816</v>
      </c>
      <c r="G36" s="2"/>
      <c r="H36" s="6">
        <v>2078.9</v>
      </c>
      <c r="I36" s="2"/>
      <c r="J36" s="7">
        <f t="shared" si="10"/>
        <v>3.6893826916858719E-2</v>
      </c>
      <c r="K36" s="2"/>
      <c r="L36" s="6">
        <f t="shared" si="11"/>
        <v>-875.99</v>
      </c>
      <c r="M36" s="2"/>
      <c r="N36" s="7">
        <f t="shared" si="12"/>
        <v>-0.4213718793592765</v>
      </c>
      <c r="O36" s="11"/>
      <c r="P36" s="6">
        <v>6498.27</v>
      </c>
      <c r="Q36" s="2"/>
      <c r="R36" s="7">
        <f t="shared" si="13"/>
        <v>9.0285086448754936E-2</v>
      </c>
      <c r="S36" s="2"/>
      <c r="T36" s="6">
        <v>5445.91</v>
      </c>
      <c r="U36" s="2"/>
      <c r="V36" s="7">
        <f t="shared" si="14"/>
        <v>2.4248024973296013E-2</v>
      </c>
      <c r="W36" s="2"/>
      <c r="X36" s="6">
        <f t="shared" si="15"/>
        <v>1052.3600000000006</v>
      </c>
      <c r="Y36" s="2"/>
      <c r="Z36" s="7">
        <f t="shared" si="16"/>
        <v>0.19323859556988651</v>
      </c>
    </row>
    <row r="37" spans="1:26" s="24" customFormat="1" hidden="1" outlineLevel="2" x14ac:dyDescent="0.25">
      <c r="A37" s="28"/>
      <c r="B37" s="11" t="str">
        <f>CONCATENATE("          ", "6118", " - ", "VACATION")</f>
        <v xml:space="preserve">          6118 - VACATION</v>
      </c>
      <c r="C37" s="11"/>
      <c r="D37" s="6">
        <v>1824.15</v>
      </c>
      <c r="E37" s="2"/>
      <c r="F37" s="7">
        <f t="shared" si="9"/>
        <v>0.17376315857156333</v>
      </c>
      <c r="G37" s="2"/>
      <c r="H37" s="6">
        <v>1263.1600000000001</v>
      </c>
      <c r="I37" s="2"/>
      <c r="J37" s="7">
        <f t="shared" si="10"/>
        <v>2.2417050559574419E-2</v>
      </c>
      <c r="K37" s="2"/>
      <c r="L37" s="6">
        <f t="shared" si="11"/>
        <v>560.99</v>
      </c>
      <c r="M37" s="2"/>
      <c r="N37" s="7">
        <f t="shared" si="12"/>
        <v>0.4441163431394281</v>
      </c>
      <c r="O37" s="11"/>
      <c r="P37" s="6">
        <v>5235.2299999999996</v>
      </c>
      <c r="Q37" s="2"/>
      <c r="R37" s="7">
        <f t="shared" si="13"/>
        <v>7.2736773499579924E-2</v>
      </c>
      <c r="S37" s="2"/>
      <c r="T37" s="6">
        <v>4945.59</v>
      </c>
      <c r="U37" s="2"/>
      <c r="V37" s="7">
        <f t="shared" si="14"/>
        <v>2.2020340003357203E-2</v>
      </c>
      <c r="W37" s="2"/>
      <c r="X37" s="6">
        <f t="shared" si="15"/>
        <v>289.63999999999942</v>
      </c>
      <c r="Y37" s="2"/>
      <c r="Z37" s="7">
        <f t="shared" si="16"/>
        <v>5.8565307678153551E-2</v>
      </c>
    </row>
    <row r="38" spans="1:26" s="24" customFormat="1" hidden="1" outlineLevel="2" x14ac:dyDescent="0.25">
      <c r="A38" s="28"/>
      <c r="B38" s="11" t="str">
        <f>CONCATENATE("          ", "6119", " - ", "SICK LEAVE")</f>
        <v xml:space="preserve">          6119 - SICK LEAVE</v>
      </c>
      <c r="C38" s="11"/>
      <c r="D38" s="6">
        <v>1107.75</v>
      </c>
      <c r="E38" s="2"/>
      <c r="F38" s="7">
        <f t="shared" si="9"/>
        <v>0.10552100370454692</v>
      </c>
      <c r="G38" s="2"/>
      <c r="H38" s="6">
        <v>834.81</v>
      </c>
      <c r="I38" s="2"/>
      <c r="J38" s="7">
        <f t="shared" si="10"/>
        <v>1.4815207873617212E-2</v>
      </c>
      <c r="K38" s="2"/>
      <c r="L38" s="6">
        <f t="shared" si="11"/>
        <v>272.94000000000005</v>
      </c>
      <c r="M38" s="2"/>
      <c r="N38" s="7">
        <f t="shared" si="12"/>
        <v>0.32694864699752046</v>
      </c>
      <c r="O38" s="11"/>
      <c r="P38" s="6">
        <v>3217.27</v>
      </c>
      <c r="Q38" s="2"/>
      <c r="R38" s="7">
        <f t="shared" si="13"/>
        <v>4.4699820118121555E-2</v>
      </c>
      <c r="S38" s="2"/>
      <c r="T38" s="6">
        <v>2983.22</v>
      </c>
      <c r="U38" s="2"/>
      <c r="V38" s="7">
        <f t="shared" si="14"/>
        <v>1.3282847689520415E-2</v>
      </c>
      <c r="W38" s="2"/>
      <c r="X38" s="6">
        <f t="shared" si="15"/>
        <v>234.05000000000018</v>
      </c>
      <c r="Y38" s="2"/>
      <c r="Z38" s="7">
        <f t="shared" si="16"/>
        <v>7.8455494398669959E-2</v>
      </c>
    </row>
    <row r="39" spans="1:26" s="24" customFormat="1" hidden="1" outlineLevel="2" x14ac:dyDescent="0.25">
      <c r="A39" s="28"/>
      <c r="B39" s="11" t="str">
        <f>CONCATENATE("          ", "6156", " - ", "EMPLOYEE MEALS")</f>
        <v xml:space="preserve">          6156 - EMPLOYEE MEALS</v>
      </c>
      <c r="C39" s="11"/>
      <c r="D39" s="6">
        <v>499.9</v>
      </c>
      <c r="E39" s="2"/>
      <c r="F39" s="7">
        <f t="shared" si="9"/>
        <v>4.7619002258544804E-2</v>
      </c>
      <c r="G39" s="2"/>
      <c r="H39" s="6">
        <v>304.16000000000003</v>
      </c>
      <c r="I39" s="2"/>
      <c r="J39" s="7">
        <f t="shared" si="10"/>
        <v>5.3978673312962376E-3</v>
      </c>
      <c r="K39" s="2"/>
      <c r="L39" s="6">
        <f t="shared" si="11"/>
        <v>195.73999999999995</v>
      </c>
      <c r="M39" s="2"/>
      <c r="N39" s="7">
        <f t="shared" si="12"/>
        <v>0.64354287217254058</v>
      </c>
      <c r="O39" s="11"/>
      <c r="P39" s="6">
        <v>1466.64</v>
      </c>
      <c r="Q39" s="2"/>
      <c r="R39" s="7">
        <f t="shared" si="13"/>
        <v>2.0377072542261548E-2</v>
      </c>
      <c r="S39" s="2"/>
      <c r="T39" s="6">
        <v>1039.6099999999999</v>
      </c>
      <c r="U39" s="2"/>
      <c r="V39" s="7">
        <f t="shared" si="14"/>
        <v>4.6288846570156804E-3</v>
      </c>
      <c r="W39" s="2"/>
      <c r="X39" s="6">
        <f t="shared" si="15"/>
        <v>427.0300000000002</v>
      </c>
      <c r="Y39" s="2"/>
      <c r="Z39" s="7">
        <f t="shared" si="16"/>
        <v>0.41075980415732843</v>
      </c>
    </row>
    <row r="40" spans="1:26" s="29" customFormat="1" outlineLevel="1" collapsed="1" x14ac:dyDescent="0.25">
      <c r="A40" s="27"/>
      <c r="B40" s="14" t="str">
        <f>CONCATENATE("     ","*Payroll                                          ")</f>
        <v xml:space="preserve">     *Payroll                                          </v>
      </c>
      <c r="C40" s="14"/>
      <c r="D40" s="1">
        <f>SUM(OSRRefD22_1x_0)</f>
        <v>15617.39</v>
      </c>
      <c r="E40" s="1"/>
      <c r="F40" s="5">
        <f t="shared" ref="F40:F43" si="17">IF(D$12=0,0,D40/D$12)</f>
        <v>1.4876665926836867</v>
      </c>
      <c r="G40" s="1"/>
      <c r="H40" s="1">
        <f>SUM(OSRRefH22_1x_0)</f>
        <v>18919.54</v>
      </c>
      <c r="I40" s="1"/>
      <c r="J40" s="5">
        <f t="shared" ref="J40:J43" si="18">IF(H$12=0,0,H40/H$12)</f>
        <v>0.3357613324866926</v>
      </c>
      <c r="K40" s="1"/>
      <c r="L40" s="1">
        <f t="shared" ref="L40:L43" si="19">+D40-H40</f>
        <v>-3302.1500000000015</v>
      </c>
      <c r="M40" s="1"/>
      <c r="N40" s="5">
        <f t="shared" ref="N40:N43" si="20">IF(H40=0,0,L40/H40)</f>
        <v>-0.17453648450226597</v>
      </c>
      <c r="O40" s="14"/>
      <c r="P40" s="1">
        <f>SUM(OSRRefP22_1x_0)</f>
        <v>60168.05</v>
      </c>
      <c r="Q40" s="1"/>
      <c r="R40" s="5">
        <f t="shared" ref="R40:R43" si="21">IF(P$12=0,0,P40/P$12)</f>
        <v>0.83595750802952318</v>
      </c>
      <c r="S40" s="1"/>
      <c r="T40" s="1">
        <f>SUM(OSRRefT22_1x_0)</f>
        <v>71180.899999999994</v>
      </c>
      <c r="U40" s="1"/>
      <c r="V40" s="5">
        <f t="shared" ref="V40:V43" si="22">IF(T$12=0,0,T40/T$12)</f>
        <v>0.31693440413478852</v>
      </c>
      <c r="W40" s="1"/>
      <c r="X40" s="1">
        <f t="shared" ref="X40:X43" si="23">+P40-T40</f>
        <v>-11012.849999999991</v>
      </c>
      <c r="Y40" s="1"/>
      <c r="Z40" s="5">
        <f t="shared" ref="Z40:Z43" si="24">IF(T40=0,0,X40/T40)</f>
        <v>-0.1547163635188652</v>
      </c>
    </row>
    <row r="41" spans="1:26" s="24" customFormat="1" hidden="1" outlineLevel="2" x14ac:dyDescent="0.25">
      <c r="A41" s="28"/>
      <c r="B41" s="11" t="str">
        <f>CONCATENATE("          ", "6002", " - ", "STAFF SALARIES")</f>
        <v xml:space="preserve">          6002 - STAFF SALARIES</v>
      </c>
      <c r="C41" s="11"/>
      <c r="D41" s="6">
        <v>14754.47</v>
      </c>
      <c r="E41" s="2"/>
      <c r="F41" s="7">
        <f t="shared" si="17"/>
        <v>1.4054673739820596</v>
      </c>
      <c r="G41" s="2"/>
      <c r="H41" s="6">
        <v>11058.78</v>
      </c>
      <c r="I41" s="2"/>
      <c r="J41" s="7">
        <f t="shared" si="18"/>
        <v>0.19625798029324107</v>
      </c>
      <c r="K41" s="2"/>
      <c r="L41" s="6">
        <f t="shared" si="19"/>
        <v>3695.6899999999987</v>
      </c>
      <c r="M41" s="2"/>
      <c r="N41" s="7">
        <f t="shared" si="20"/>
        <v>0.33418604945572644</v>
      </c>
      <c r="O41" s="11"/>
      <c r="P41" s="6">
        <v>56768.43</v>
      </c>
      <c r="Q41" s="2"/>
      <c r="R41" s="7">
        <f t="shared" si="21"/>
        <v>0.78872416968056003</v>
      </c>
      <c r="S41" s="2"/>
      <c r="T41" s="6">
        <v>45973.75</v>
      </c>
      <c r="U41" s="2"/>
      <c r="V41" s="7">
        <f t="shared" si="22"/>
        <v>0.20469905637736716</v>
      </c>
      <c r="W41" s="2"/>
      <c r="X41" s="6">
        <f t="shared" si="23"/>
        <v>10794.68</v>
      </c>
      <c r="Y41" s="2"/>
      <c r="Z41" s="7">
        <f t="shared" si="24"/>
        <v>0.2348009461921205</v>
      </c>
    </row>
    <row r="42" spans="1:26" s="24" customFormat="1" hidden="1" outlineLevel="2" x14ac:dyDescent="0.25">
      <c r="A42" s="28"/>
      <c r="B42" s="11" t="str">
        <f>CONCATENATE("          ", "6005", " - ", "TEMPORARY WAGES-HOURLY")</f>
        <v xml:space="preserve">          6005 - TEMPORARY WAGES-HOURLY</v>
      </c>
      <c r="C42" s="11"/>
      <c r="D42" s="6"/>
      <c r="E42" s="2"/>
      <c r="F42" s="7">
        <f t="shared" si="17"/>
        <v>0</v>
      </c>
      <c r="G42" s="2"/>
      <c r="H42" s="6">
        <v>4012.75</v>
      </c>
      <c r="I42" s="2"/>
      <c r="J42" s="7">
        <f t="shared" si="18"/>
        <v>7.1213480186937711E-2</v>
      </c>
      <c r="K42" s="2"/>
      <c r="L42" s="6">
        <f t="shared" si="19"/>
        <v>-4012.75</v>
      </c>
      <c r="M42" s="2"/>
      <c r="N42" s="7">
        <f t="shared" si="20"/>
        <v>-1</v>
      </c>
      <c r="O42" s="11"/>
      <c r="P42" s="6">
        <v>383.25</v>
      </c>
      <c r="Q42" s="2"/>
      <c r="R42" s="7">
        <f t="shared" si="21"/>
        <v>5.3247648037839804E-3</v>
      </c>
      <c r="S42" s="2"/>
      <c r="T42" s="6">
        <v>8195.25</v>
      </c>
      <c r="U42" s="2"/>
      <c r="V42" s="7">
        <f t="shared" si="22"/>
        <v>3.6489517208768446E-2</v>
      </c>
      <c r="W42" s="2"/>
      <c r="X42" s="6">
        <f t="shared" si="23"/>
        <v>-7812</v>
      </c>
      <c r="Y42" s="2"/>
      <c r="Z42" s="7">
        <f t="shared" si="24"/>
        <v>-0.95323510570147341</v>
      </c>
    </row>
    <row r="43" spans="1:26" s="24" customFormat="1" hidden="1" outlineLevel="2" x14ac:dyDescent="0.25">
      <c r="A43" s="28"/>
      <c r="B43" s="11" t="str">
        <f>CONCATENATE("          ", "6007", " - ", "STUDENT HOURLY")</f>
        <v xml:space="preserve">          6007 - STUDENT HOURLY</v>
      </c>
      <c r="C43" s="11"/>
      <c r="D43" s="6">
        <v>862.92</v>
      </c>
      <c r="E43" s="2"/>
      <c r="F43" s="7">
        <f t="shared" si="17"/>
        <v>8.2199218701627288E-2</v>
      </c>
      <c r="G43" s="2"/>
      <c r="H43" s="6">
        <v>3848.01</v>
      </c>
      <c r="I43" s="2"/>
      <c r="J43" s="7">
        <f t="shared" si="18"/>
        <v>6.8289872006513791E-2</v>
      </c>
      <c r="K43" s="2"/>
      <c r="L43" s="6">
        <f t="shared" si="19"/>
        <v>-2985.09</v>
      </c>
      <c r="M43" s="2"/>
      <c r="N43" s="7">
        <f t="shared" si="20"/>
        <v>-0.77574902352124864</v>
      </c>
      <c r="O43" s="11"/>
      <c r="P43" s="6">
        <v>3016.37</v>
      </c>
      <c r="Q43" s="2"/>
      <c r="R43" s="7">
        <f t="shared" si="21"/>
        <v>4.1908573545179087E-2</v>
      </c>
      <c r="S43" s="2"/>
      <c r="T43" s="6">
        <v>17011.900000000001</v>
      </c>
      <c r="U43" s="2"/>
      <c r="V43" s="7">
        <f t="shared" si="22"/>
        <v>7.5745830548652929E-2</v>
      </c>
      <c r="W43" s="2"/>
      <c r="X43" s="6">
        <f t="shared" si="23"/>
        <v>-13995.530000000002</v>
      </c>
      <c r="Y43" s="2"/>
      <c r="Z43" s="7">
        <f t="shared" si="24"/>
        <v>-0.82269058717721133</v>
      </c>
    </row>
    <row r="44" spans="1:26" s="29" customFormat="1" outlineLevel="1" collapsed="1" x14ac:dyDescent="0.25">
      <c r="A44" s="27"/>
      <c r="B44" s="14" t="str">
        <f>CONCATENATE("     ","Depreciation                                      ")</f>
        <v xml:space="preserve">     Depreciation                                      </v>
      </c>
      <c r="C44" s="14"/>
      <c r="D44" s="1">
        <f>SUM(OSRRefD22_2x_0)</f>
        <v>169.88</v>
      </c>
      <c r="E44" s="1"/>
      <c r="F44" s="5">
        <f t="shared" ref="F44:F52" si="25">IF(D$12=0,0,D44/D$12)</f>
        <v>1.61822686610954E-2</v>
      </c>
      <c r="G44" s="1"/>
      <c r="H44" s="1">
        <f>SUM(OSRRefH22_2x_0)</f>
        <v>0</v>
      </c>
      <c r="I44" s="1"/>
      <c r="J44" s="5">
        <f t="shared" ref="J44:J52" si="26">IF(H$12=0,0,H44/H$12)</f>
        <v>0</v>
      </c>
      <c r="K44" s="1"/>
      <c r="L44" s="1">
        <f t="shared" ref="L44:L52" si="27">+D44-H44</f>
        <v>169.88</v>
      </c>
      <c r="M44" s="1"/>
      <c r="N44" s="5">
        <f t="shared" ref="N44:N52" si="28">IF(H44=0,0,L44/H44)</f>
        <v>0</v>
      </c>
      <c r="O44" s="14"/>
      <c r="P44" s="1">
        <f>SUM(OSRRefP22_2x_0)</f>
        <v>679.52</v>
      </c>
      <c r="Q44" s="1"/>
      <c r="R44" s="5">
        <f t="shared" ref="R44:R52" si="29">IF(P$12=0,0,P44/P$12)</f>
        <v>9.4410546104821656E-3</v>
      </c>
      <c r="S44" s="1"/>
      <c r="T44" s="1">
        <f>SUM(OSRRefT22_2x_0)</f>
        <v>0</v>
      </c>
      <c r="U44" s="1"/>
      <c r="V44" s="5">
        <f t="shared" ref="V44:V52" si="30">IF(T$12=0,0,T44/T$12)</f>
        <v>0</v>
      </c>
      <c r="W44" s="1"/>
      <c r="X44" s="1">
        <f t="shared" ref="X44:X52" si="31">+P44-T44</f>
        <v>679.52</v>
      </c>
      <c r="Y44" s="1"/>
      <c r="Z44" s="5">
        <f t="shared" ref="Z44:Z52" si="32">IF(T44=0,0,X44/T44)</f>
        <v>0</v>
      </c>
    </row>
    <row r="45" spans="1:26" s="24" customFormat="1" hidden="1" outlineLevel="2" x14ac:dyDescent="0.25">
      <c r="A45" s="28"/>
      <c r="B45" s="11" t="str">
        <f>CONCATENATE("          ", "6322", " - ", "EQUIPMENT DEPRECIATION EXPENSE")</f>
        <v xml:space="preserve">          6322 - EQUIPMENT DEPRECIATION EXPENSE</v>
      </c>
      <c r="C45" s="11"/>
      <c r="D45" s="6">
        <v>169.88</v>
      </c>
      <c r="E45" s="2"/>
      <c r="F45" s="7">
        <f t="shared" si="25"/>
        <v>1.61822686610954E-2</v>
      </c>
      <c r="G45" s="2"/>
      <c r="H45" s="6"/>
      <c r="I45" s="2"/>
      <c r="J45" s="7">
        <f t="shared" si="26"/>
        <v>0</v>
      </c>
      <c r="K45" s="2"/>
      <c r="L45" s="6">
        <f t="shared" si="27"/>
        <v>169.88</v>
      </c>
      <c r="M45" s="2"/>
      <c r="N45" s="7">
        <f t="shared" si="28"/>
        <v>0</v>
      </c>
      <c r="O45" s="11"/>
      <c r="P45" s="6">
        <v>679.52</v>
      </c>
      <c r="Q45" s="2"/>
      <c r="R45" s="7">
        <f t="shared" si="29"/>
        <v>9.4410546104821656E-3</v>
      </c>
      <c r="S45" s="2"/>
      <c r="T45" s="6"/>
      <c r="U45" s="2"/>
      <c r="V45" s="7">
        <f t="shared" si="30"/>
        <v>0</v>
      </c>
      <c r="W45" s="2"/>
      <c r="X45" s="6">
        <f t="shared" si="31"/>
        <v>679.52</v>
      </c>
      <c r="Y45" s="2"/>
      <c r="Z45" s="7">
        <f t="shared" si="32"/>
        <v>0</v>
      </c>
    </row>
    <row r="46" spans="1:26" s="29" customFormat="1" outlineLevel="1" collapsed="1" x14ac:dyDescent="0.25">
      <c r="A46" s="27"/>
      <c r="B46" s="14" t="str">
        <f>CONCATENATE("     ","Discounts and Markdowns                           ")</f>
        <v xml:space="preserve">     Discounts and Markdowns                           </v>
      </c>
      <c r="C46" s="14"/>
      <c r="D46" s="1">
        <f>SUM(OSRRefD22_3x_0)</f>
        <v>0</v>
      </c>
      <c r="E46" s="1"/>
      <c r="F46" s="5">
        <f t="shared" si="25"/>
        <v>0</v>
      </c>
      <c r="G46" s="1"/>
      <c r="H46" s="1">
        <f>SUM(OSRRefH22_3x_0)</f>
        <v>88.21</v>
      </c>
      <c r="I46" s="1"/>
      <c r="J46" s="5">
        <f t="shared" si="26"/>
        <v>1.5654454145635226E-3</v>
      </c>
      <c r="K46" s="1"/>
      <c r="L46" s="1">
        <f t="shared" si="27"/>
        <v>-88.21</v>
      </c>
      <c r="M46" s="1"/>
      <c r="N46" s="5">
        <f t="shared" si="28"/>
        <v>-1</v>
      </c>
      <c r="O46" s="14"/>
      <c r="P46" s="1">
        <f>SUM(OSRRefP22_3x_0)</f>
        <v>0</v>
      </c>
      <c r="Q46" s="1"/>
      <c r="R46" s="5">
        <f t="shared" si="29"/>
        <v>0</v>
      </c>
      <c r="S46" s="1"/>
      <c r="T46" s="1">
        <f>SUM(OSRRefT22_3x_0)</f>
        <v>388.77</v>
      </c>
      <c r="U46" s="1"/>
      <c r="V46" s="5">
        <f t="shared" si="30"/>
        <v>1.7310063274766367E-3</v>
      </c>
      <c r="W46" s="1"/>
      <c r="X46" s="1">
        <f t="shared" si="31"/>
        <v>-388.77</v>
      </c>
      <c r="Y46" s="1"/>
      <c r="Z46" s="5">
        <f t="shared" si="32"/>
        <v>-1</v>
      </c>
    </row>
    <row r="47" spans="1:26" s="24" customFormat="1" hidden="1" outlineLevel="2" x14ac:dyDescent="0.25">
      <c r="A47" s="28"/>
      <c r="B47" s="11" t="str">
        <f>CONCATENATE("          ", "6382", " - ", "DISCOUNTS/MARK DOWNS")</f>
        <v xml:space="preserve">          6382 - DISCOUNTS/MARK DOWNS</v>
      </c>
      <c r="C47" s="11"/>
      <c r="D47" s="6"/>
      <c r="E47" s="2"/>
      <c r="F47" s="7">
        <f t="shared" si="25"/>
        <v>0</v>
      </c>
      <c r="G47" s="2"/>
      <c r="H47" s="6">
        <v>88.21</v>
      </c>
      <c r="I47" s="2"/>
      <c r="J47" s="7">
        <f t="shared" si="26"/>
        <v>1.5654454145635226E-3</v>
      </c>
      <c r="K47" s="2"/>
      <c r="L47" s="6">
        <f t="shared" si="27"/>
        <v>-88.21</v>
      </c>
      <c r="M47" s="2"/>
      <c r="N47" s="7">
        <f t="shared" si="28"/>
        <v>-1</v>
      </c>
      <c r="O47" s="11"/>
      <c r="P47" s="6"/>
      <c r="Q47" s="2"/>
      <c r="R47" s="7">
        <f t="shared" si="29"/>
        <v>0</v>
      </c>
      <c r="S47" s="2"/>
      <c r="T47" s="6">
        <v>388.77</v>
      </c>
      <c r="U47" s="2"/>
      <c r="V47" s="7">
        <f t="shared" si="30"/>
        <v>1.7310063274766367E-3</v>
      </c>
      <c r="W47" s="2"/>
      <c r="X47" s="6">
        <f t="shared" si="31"/>
        <v>-388.77</v>
      </c>
      <c r="Y47" s="2"/>
      <c r="Z47" s="7">
        <f t="shared" si="32"/>
        <v>-1</v>
      </c>
    </row>
    <row r="48" spans="1:26" s="29" customFormat="1" outlineLevel="1" collapsed="1" x14ac:dyDescent="0.25">
      <c r="A48" s="27"/>
      <c r="B48" s="14" t="str">
        <f>CONCATENATE("     ","Equipment Rental                                  ")</f>
        <v xml:space="preserve">     Equipment Rental                                  </v>
      </c>
      <c r="C48" s="14"/>
      <c r="D48" s="1">
        <f>SUM(OSRRefD22_4x_0)</f>
        <v>1205.6400000000001</v>
      </c>
      <c r="E48" s="1"/>
      <c r="F48" s="5">
        <f t="shared" si="25"/>
        <v>0.11484571690936581</v>
      </c>
      <c r="G48" s="1"/>
      <c r="H48" s="1">
        <f>SUM(OSRRefH22_4x_0)</f>
        <v>2411.2800000000002</v>
      </c>
      <c r="I48" s="1"/>
      <c r="J48" s="5">
        <f t="shared" si="26"/>
        <v>4.279250900384006E-2</v>
      </c>
      <c r="K48" s="1"/>
      <c r="L48" s="1">
        <f t="shared" si="27"/>
        <v>-1205.6400000000001</v>
      </c>
      <c r="M48" s="1"/>
      <c r="N48" s="5">
        <f t="shared" si="28"/>
        <v>-0.5</v>
      </c>
      <c r="O48" s="14"/>
      <c r="P48" s="1">
        <f>SUM(OSRRefP22_4x_0)</f>
        <v>4822.5600000000004</v>
      </c>
      <c r="Q48" s="1"/>
      <c r="R48" s="5">
        <f t="shared" si="29"/>
        <v>6.7003255713337179E-2</v>
      </c>
      <c r="S48" s="1"/>
      <c r="T48" s="1">
        <f>SUM(OSRRefT22_4x_0)</f>
        <v>6028.2</v>
      </c>
      <c r="U48" s="1"/>
      <c r="V48" s="5">
        <f t="shared" si="30"/>
        <v>2.6840683034428225E-2</v>
      </c>
      <c r="W48" s="1"/>
      <c r="X48" s="1">
        <f t="shared" si="31"/>
        <v>-1205.6399999999994</v>
      </c>
      <c r="Y48" s="1"/>
      <c r="Z48" s="5">
        <f t="shared" si="32"/>
        <v>-0.1999999999999999</v>
      </c>
    </row>
    <row r="49" spans="1:26" s="24" customFormat="1" hidden="1" outlineLevel="2" x14ac:dyDescent="0.25">
      <c r="A49" s="28"/>
      <c r="B49" s="11" t="str">
        <f>CONCATENATE("          ", "6351", " - ", "EQUIPMENT RENTAL")</f>
        <v xml:space="preserve">          6351 - EQUIPMENT RENTAL</v>
      </c>
      <c r="C49" s="11"/>
      <c r="D49" s="6">
        <v>1205.6400000000001</v>
      </c>
      <c r="E49" s="2"/>
      <c r="F49" s="7">
        <f t="shared" si="25"/>
        <v>0.11484571690936581</v>
      </c>
      <c r="G49" s="2"/>
      <c r="H49" s="6">
        <v>2411.2800000000002</v>
      </c>
      <c r="I49" s="2"/>
      <c r="J49" s="7">
        <f t="shared" si="26"/>
        <v>4.279250900384006E-2</v>
      </c>
      <c r="K49" s="2"/>
      <c r="L49" s="6">
        <f t="shared" si="27"/>
        <v>-1205.6400000000001</v>
      </c>
      <c r="M49" s="2"/>
      <c r="N49" s="7">
        <f t="shared" si="28"/>
        <v>-0.5</v>
      </c>
      <c r="O49" s="11"/>
      <c r="P49" s="6">
        <v>4822.5600000000004</v>
      </c>
      <c r="Q49" s="2"/>
      <c r="R49" s="7">
        <f t="shared" si="29"/>
        <v>6.7003255713337179E-2</v>
      </c>
      <c r="S49" s="2"/>
      <c r="T49" s="6">
        <v>6028.2</v>
      </c>
      <c r="U49" s="2"/>
      <c r="V49" s="7">
        <f t="shared" si="30"/>
        <v>2.6840683034428225E-2</v>
      </c>
      <c r="W49" s="2"/>
      <c r="X49" s="6">
        <f t="shared" si="31"/>
        <v>-1205.6399999999994</v>
      </c>
      <c r="Y49" s="2"/>
      <c r="Z49" s="7">
        <f t="shared" si="32"/>
        <v>-0.1999999999999999</v>
      </c>
    </row>
    <row r="50" spans="1:26" s="29" customFormat="1" outlineLevel="1" collapsed="1" x14ac:dyDescent="0.25">
      <c r="A50" s="27"/>
      <c r="B50" s="14" t="str">
        <f>CONCATENATE("     ","Freight out/Postage                               ")</f>
        <v xml:space="preserve">     Freight out/Postage                               </v>
      </c>
      <c r="C50" s="14"/>
      <c r="D50" s="1">
        <f>SUM(OSRRefD22_5x_0)</f>
        <v>48851.520000000004</v>
      </c>
      <c r="E50" s="1"/>
      <c r="F50" s="5">
        <f t="shared" si="25"/>
        <v>4.6534519728212578</v>
      </c>
      <c r="G50" s="1"/>
      <c r="H50" s="1">
        <f>SUM(OSRRefH22_5x_0)</f>
        <v>0</v>
      </c>
      <c r="I50" s="1"/>
      <c r="J50" s="5">
        <f t="shared" si="26"/>
        <v>0</v>
      </c>
      <c r="K50" s="1"/>
      <c r="L50" s="1">
        <f t="shared" si="27"/>
        <v>48851.520000000004</v>
      </c>
      <c r="M50" s="1"/>
      <c r="N50" s="5">
        <f t="shared" si="28"/>
        <v>0</v>
      </c>
      <c r="O50" s="14"/>
      <c r="P50" s="1">
        <f>SUM(OSRRefP22_5x_0)</f>
        <v>-33149.160000000018</v>
      </c>
      <c r="Q50" s="1"/>
      <c r="R50" s="5">
        <f t="shared" si="29"/>
        <v>-0.46056485438487638</v>
      </c>
      <c r="S50" s="1"/>
      <c r="T50" s="1">
        <f>SUM(OSRRefT22_5x_0)</f>
        <v>0</v>
      </c>
      <c r="U50" s="1"/>
      <c r="V50" s="5">
        <f t="shared" si="30"/>
        <v>0</v>
      </c>
      <c r="W50" s="1"/>
      <c r="X50" s="1">
        <f t="shared" si="31"/>
        <v>-33149.160000000018</v>
      </c>
      <c r="Y50" s="1"/>
      <c r="Z50" s="5">
        <f t="shared" si="32"/>
        <v>0</v>
      </c>
    </row>
    <row r="51" spans="1:26" s="24" customFormat="1" hidden="1" outlineLevel="2" x14ac:dyDescent="0.25">
      <c r="A51" s="28"/>
      <c r="B51" s="11" t="str">
        <f>CONCATENATE("          ", "6305", " - ", "FREIGHT OUT")</f>
        <v xml:space="preserve">          6305 - FREIGHT OUT</v>
      </c>
      <c r="C51" s="11"/>
      <c r="D51" s="6">
        <v>60553.990000000005</v>
      </c>
      <c r="E51" s="2"/>
      <c r="F51" s="7">
        <f t="shared" si="25"/>
        <v>5.768194812110222</v>
      </c>
      <c r="G51" s="2"/>
      <c r="H51" s="6"/>
      <c r="I51" s="2"/>
      <c r="J51" s="7">
        <f t="shared" si="26"/>
        <v>0</v>
      </c>
      <c r="K51" s="2"/>
      <c r="L51" s="6">
        <f t="shared" si="27"/>
        <v>60553.990000000005</v>
      </c>
      <c r="M51" s="2"/>
      <c r="N51" s="7">
        <f t="shared" si="28"/>
        <v>0</v>
      </c>
      <c r="O51" s="11"/>
      <c r="P51" s="6">
        <v>85594.78</v>
      </c>
      <c r="Q51" s="2"/>
      <c r="R51" s="7">
        <f t="shared" si="29"/>
        <v>1.189229150506544</v>
      </c>
      <c r="S51" s="2"/>
      <c r="T51" s="6"/>
      <c r="U51" s="2"/>
      <c r="V51" s="7">
        <f t="shared" si="30"/>
        <v>0</v>
      </c>
      <c r="W51" s="2"/>
      <c r="X51" s="6">
        <f t="shared" si="31"/>
        <v>85594.78</v>
      </c>
      <c r="Y51" s="2"/>
      <c r="Z51" s="7">
        <f t="shared" si="32"/>
        <v>0</v>
      </c>
    </row>
    <row r="52" spans="1:26" s="24" customFormat="1" hidden="1" outlineLevel="2" x14ac:dyDescent="0.25">
      <c r="A52" s="28"/>
      <c r="B52" s="11" t="str">
        <f>CONCATENATE("          ", "6307", " - ", "POSTAGE")</f>
        <v xml:space="preserve">          6307 - POSTAGE</v>
      </c>
      <c r="C52" s="11"/>
      <c r="D52" s="6">
        <v>-11702.47</v>
      </c>
      <c r="E52" s="2"/>
      <c r="F52" s="7">
        <f t="shared" si="25"/>
        <v>-1.1147428392889633</v>
      </c>
      <c r="G52" s="2"/>
      <c r="H52" s="6"/>
      <c r="I52" s="2"/>
      <c r="J52" s="7">
        <f t="shared" si="26"/>
        <v>0</v>
      </c>
      <c r="K52" s="2"/>
      <c r="L52" s="6">
        <f t="shared" si="27"/>
        <v>-11702.47</v>
      </c>
      <c r="M52" s="2"/>
      <c r="N52" s="7">
        <f t="shared" si="28"/>
        <v>0</v>
      </c>
      <c r="O52" s="11"/>
      <c r="P52" s="6">
        <v>-118743.94000000002</v>
      </c>
      <c r="Q52" s="2"/>
      <c r="R52" s="7">
        <f t="shared" si="29"/>
        <v>-1.6497940048914204</v>
      </c>
      <c r="S52" s="2"/>
      <c r="T52" s="6"/>
      <c r="U52" s="2"/>
      <c r="V52" s="7">
        <f t="shared" si="30"/>
        <v>0</v>
      </c>
      <c r="W52" s="2"/>
      <c r="X52" s="6">
        <f t="shared" si="31"/>
        <v>-118743.94000000002</v>
      </c>
      <c r="Y52" s="2"/>
      <c r="Z52" s="7">
        <f t="shared" si="32"/>
        <v>0</v>
      </c>
    </row>
    <row r="53" spans="1:26" s="29" customFormat="1" outlineLevel="1" collapsed="1" x14ac:dyDescent="0.25">
      <c r="A53" s="27"/>
      <c r="B53" s="14" t="str">
        <f>CONCATENATE("     ","Repair and Maintenance                            ")</f>
        <v xml:space="preserve">     Repair and Maintenance                            </v>
      </c>
      <c r="C53" s="14"/>
      <c r="D53" s="1">
        <f>SUM(OSRRefD22_6x_0)</f>
        <v>5274.0899999999992</v>
      </c>
      <c r="E53" s="1"/>
      <c r="F53" s="5">
        <f t="shared" ref="F53:F55" si="33">IF(D$12=0,0,D53/D$12)</f>
        <v>0.5023942861007572</v>
      </c>
      <c r="G53" s="1"/>
      <c r="H53" s="1">
        <f>SUM(OSRRefH22_6x_0)</f>
        <v>9597.5400000000009</v>
      </c>
      <c r="I53" s="1"/>
      <c r="J53" s="5">
        <f t="shared" ref="J53:J55" si="34">IF(H$12=0,0,H53/H$12)</f>
        <v>0.17032564317072887</v>
      </c>
      <c r="K53" s="1"/>
      <c r="L53" s="1">
        <f t="shared" ref="L53:L55" si="35">+D53-H53</f>
        <v>-4323.4500000000016</v>
      </c>
      <c r="M53" s="1"/>
      <c r="N53" s="5">
        <f t="shared" ref="N53:N55" si="36">IF(H53=0,0,L53/H53)</f>
        <v>-0.45047480916984989</v>
      </c>
      <c r="O53" s="14"/>
      <c r="P53" s="1">
        <f>SUM(OSRRefP22_6x_0)</f>
        <v>24120.760000000002</v>
      </c>
      <c r="Q53" s="1"/>
      <c r="R53" s="5">
        <f t="shared" ref="R53:R55" si="37">IF(P$12=0,0,P53/P$12)</f>
        <v>0.33512687250755513</v>
      </c>
      <c r="S53" s="1"/>
      <c r="T53" s="1">
        <f>SUM(OSRRefT22_6x_0)</f>
        <v>28044.969999999998</v>
      </c>
      <c r="U53" s="1"/>
      <c r="V53" s="5">
        <f t="shared" ref="V53:V55" si="38">IF(T$12=0,0,T53/T$12)</f>
        <v>0.12487079899141511</v>
      </c>
      <c r="W53" s="1"/>
      <c r="X53" s="1">
        <f t="shared" ref="X53:X55" si="39">+P53-T53</f>
        <v>-3924.2099999999955</v>
      </c>
      <c r="Y53" s="1"/>
      <c r="Z53" s="5">
        <f t="shared" ref="Z53:Z55" si="40">IF(T53=0,0,X53/T53)</f>
        <v>-0.13992562659186286</v>
      </c>
    </row>
    <row r="54" spans="1:26" s="24" customFormat="1" hidden="1" outlineLevel="2" x14ac:dyDescent="0.25">
      <c r="A54" s="28"/>
      <c r="B54" s="11" t="str">
        <f>CONCATENATE("          ", "6371", " - ", "COMPUTER SOFTWARE MAINTENANCE")</f>
        <v xml:space="preserve">          6371 - COMPUTER SOFTWARE MAINTENANCE</v>
      </c>
      <c r="C54" s="11"/>
      <c r="D54" s="6">
        <v>7.69</v>
      </c>
      <c r="E54" s="2"/>
      <c r="F54" s="7">
        <f t="shared" si="33"/>
        <v>7.325267600884368E-4</v>
      </c>
      <c r="G54" s="2"/>
      <c r="H54" s="6"/>
      <c r="I54" s="2"/>
      <c r="J54" s="7">
        <f t="shared" si="34"/>
        <v>0</v>
      </c>
      <c r="K54" s="2"/>
      <c r="L54" s="6">
        <f t="shared" si="35"/>
        <v>7.69</v>
      </c>
      <c r="M54" s="2"/>
      <c r="N54" s="7">
        <f t="shared" si="36"/>
        <v>0</v>
      </c>
      <c r="O54" s="11"/>
      <c r="P54" s="6">
        <v>7.69</v>
      </c>
      <c r="Q54" s="2"/>
      <c r="R54" s="7">
        <f t="shared" si="37"/>
        <v>1.0684263885479142E-4</v>
      </c>
      <c r="S54" s="2"/>
      <c r="T54" s="6"/>
      <c r="U54" s="2"/>
      <c r="V54" s="7">
        <f t="shared" si="38"/>
        <v>0</v>
      </c>
      <c r="W54" s="2"/>
      <c r="X54" s="6">
        <f t="shared" si="39"/>
        <v>7.69</v>
      </c>
      <c r="Y54" s="2"/>
      <c r="Z54" s="7">
        <f t="shared" si="40"/>
        <v>0</v>
      </c>
    </row>
    <row r="55" spans="1:26" s="24" customFormat="1" hidden="1" outlineLevel="2" x14ac:dyDescent="0.25">
      <c r="A55" s="28"/>
      <c r="B55" s="11" t="str">
        <f>CONCATENATE("          ", "6373", " - ", "MAINTENANCE CONTRACTS")</f>
        <v xml:space="preserve">          6373 - MAINTENANCE CONTRACTS</v>
      </c>
      <c r="C55" s="11"/>
      <c r="D55" s="6">
        <v>5266.4</v>
      </c>
      <c r="E55" s="2"/>
      <c r="F55" s="7">
        <f t="shared" si="33"/>
        <v>0.50166175934066881</v>
      </c>
      <c r="G55" s="2"/>
      <c r="H55" s="6">
        <v>9597.5400000000009</v>
      </c>
      <c r="I55" s="2"/>
      <c r="J55" s="7">
        <f t="shared" si="34"/>
        <v>0.17032564317072887</v>
      </c>
      <c r="K55" s="2"/>
      <c r="L55" s="6">
        <f t="shared" si="35"/>
        <v>-4331.1400000000012</v>
      </c>
      <c r="M55" s="2"/>
      <c r="N55" s="7">
        <f t="shared" si="36"/>
        <v>-0.45127605615605676</v>
      </c>
      <c r="O55" s="11"/>
      <c r="P55" s="6">
        <v>24113.070000000003</v>
      </c>
      <c r="Q55" s="2"/>
      <c r="R55" s="7">
        <f t="shared" si="37"/>
        <v>0.33502002986870033</v>
      </c>
      <c r="S55" s="2"/>
      <c r="T55" s="6">
        <v>28044.969999999998</v>
      </c>
      <c r="U55" s="2"/>
      <c r="V55" s="7">
        <f t="shared" si="38"/>
        <v>0.12487079899141511</v>
      </c>
      <c r="W55" s="2"/>
      <c r="X55" s="6">
        <f t="shared" si="39"/>
        <v>-3931.8999999999942</v>
      </c>
      <c r="Y55" s="2"/>
      <c r="Z55" s="7">
        <f t="shared" si="40"/>
        <v>-0.14019982906025552</v>
      </c>
    </row>
    <row r="56" spans="1:26" s="29" customFormat="1" outlineLevel="1" collapsed="1" x14ac:dyDescent="0.25">
      <c r="A56" s="27"/>
      <c r="B56" s="14" t="str">
        <f>CONCATENATE("     ","Royalty &amp; Commissions                             ")</f>
        <v xml:space="preserve">     Royalty &amp; Commissions                             </v>
      </c>
      <c r="C56" s="14"/>
      <c r="D56" s="1">
        <f>SUM(OSRRefD22_7x_0)</f>
        <v>320.39999999999998</v>
      </c>
      <c r="E56" s="1"/>
      <c r="F56" s="5">
        <f t="shared" ref="F56:F64" si="41">IF(D$12=0,0,D56/D$12)</f>
        <v>3.0520360719419392E-2</v>
      </c>
      <c r="G56" s="1"/>
      <c r="H56" s="1">
        <f>SUM(OSRRefH22_7x_0)</f>
        <v>11744.64</v>
      </c>
      <c r="I56" s="1"/>
      <c r="J56" s="5">
        <f t="shared" ref="J56:J64" si="42">IF(H$12=0,0,H56/H$12)</f>
        <v>0.20842980199183006</v>
      </c>
      <c r="K56" s="1"/>
      <c r="L56" s="1">
        <f t="shared" ref="L56:L64" si="43">+D56-H56</f>
        <v>-11424.24</v>
      </c>
      <c r="M56" s="1"/>
      <c r="N56" s="5">
        <f t="shared" ref="N56:N64" si="44">IF(H56=0,0,L56/H56)</f>
        <v>-0.97271947032859252</v>
      </c>
      <c r="O56" s="14"/>
      <c r="P56" s="1">
        <f>SUM(OSRRefP22_7x_0)</f>
        <v>5705.2</v>
      </c>
      <c r="Q56" s="1"/>
      <c r="R56" s="5">
        <f t="shared" ref="R56:R64" si="45">IF(P$12=0,0,P56/P$12)</f>
        <v>7.9266400935546932E-2</v>
      </c>
      <c r="S56" s="1"/>
      <c r="T56" s="1">
        <f>SUM(OSRRefT22_7x_0)</f>
        <v>26214.26</v>
      </c>
      <c r="U56" s="1"/>
      <c r="V56" s="5">
        <f t="shared" ref="V56:V64" si="46">IF(T$12=0,0,T56/T$12)</f>
        <v>0.11671952550381381</v>
      </c>
      <c r="W56" s="1"/>
      <c r="X56" s="1">
        <f t="shared" ref="X56:X64" si="47">+P56-T56</f>
        <v>-20509.059999999998</v>
      </c>
      <c r="Y56" s="1"/>
      <c r="Z56" s="5">
        <f t="shared" ref="Z56:Z64" si="48">IF(T56=0,0,X56/T56)</f>
        <v>-0.78236272929314044</v>
      </c>
    </row>
    <row r="57" spans="1:26" s="24" customFormat="1" hidden="1" outlineLevel="2" x14ac:dyDescent="0.25">
      <c r="A57" s="28"/>
      <c r="B57" s="11" t="str">
        <f>CONCATENATE("          ", "6259", " - ", "ROYALTY &amp; COMMISSIONS")</f>
        <v xml:space="preserve">          6259 - ROYALTY &amp; COMMISSIONS</v>
      </c>
      <c r="C57" s="11"/>
      <c r="D57" s="6">
        <v>320.39999999999998</v>
      </c>
      <c r="E57" s="2"/>
      <c r="F57" s="7">
        <f t="shared" si="41"/>
        <v>3.0520360719419392E-2</v>
      </c>
      <c r="G57" s="2"/>
      <c r="H57" s="6">
        <v>11744.64</v>
      </c>
      <c r="I57" s="2"/>
      <c r="J57" s="7">
        <f t="shared" si="42"/>
        <v>0.20842980199183006</v>
      </c>
      <c r="K57" s="2"/>
      <c r="L57" s="6">
        <f t="shared" si="43"/>
        <v>-11424.24</v>
      </c>
      <c r="M57" s="2"/>
      <c r="N57" s="7">
        <f t="shared" si="44"/>
        <v>-0.97271947032859252</v>
      </c>
      <c r="O57" s="11"/>
      <c r="P57" s="6">
        <v>5705.2</v>
      </c>
      <c r="Q57" s="2"/>
      <c r="R57" s="7">
        <f t="shared" si="45"/>
        <v>7.9266400935546932E-2</v>
      </c>
      <c r="S57" s="2"/>
      <c r="T57" s="6">
        <v>26214.26</v>
      </c>
      <c r="U57" s="2"/>
      <c r="V57" s="7">
        <f t="shared" si="46"/>
        <v>0.11671952550381381</v>
      </c>
      <c r="W57" s="2"/>
      <c r="X57" s="6">
        <f t="shared" si="47"/>
        <v>-20509.059999999998</v>
      </c>
      <c r="Y57" s="2"/>
      <c r="Z57" s="7">
        <f t="shared" si="48"/>
        <v>-0.78236272929314044</v>
      </c>
    </row>
    <row r="58" spans="1:26" s="29" customFormat="1" outlineLevel="1" collapsed="1" x14ac:dyDescent="0.25">
      <c r="A58" s="27"/>
      <c r="B58" s="14" t="str">
        <f>CONCATENATE("     ","Supplies                                          ")</f>
        <v xml:space="preserve">     Supplies                                          </v>
      </c>
      <c r="C58" s="14"/>
      <c r="D58" s="1">
        <f>SUM(OSRRefD22_8x_0)</f>
        <v>1902.8600000000001</v>
      </c>
      <c r="E58" s="1"/>
      <c r="F58" s="5">
        <f t="shared" si="41"/>
        <v>0.18126084144367788</v>
      </c>
      <c r="G58" s="1"/>
      <c r="H58" s="1">
        <f>SUM(OSRRefH22_8x_0)</f>
        <v>2467.37</v>
      </c>
      <c r="I58" s="1"/>
      <c r="J58" s="5">
        <f t="shared" si="42"/>
        <v>4.3787927134470002E-2</v>
      </c>
      <c r="K58" s="1"/>
      <c r="L58" s="1">
        <f t="shared" si="43"/>
        <v>-564.50999999999976</v>
      </c>
      <c r="M58" s="1"/>
      <c r="N58" s="5">
        <f t="shared" si="44"/>
        <v>-0.22879016928956736</v>
      </c>
      <c r="O58" s="14"/>
      <c r="P58" s="1">
        <f>SUM(OSRRefP22_8x_0)</f>
        <v>21511.55</v>
      </c>
      <c r="Q58" s="1"/>
      <c r="R58" s="5">
        <f t="shared" si="45"/>
        <v>0.29887526240010248</v>
      </c>
      <c r="S58" s="1"/>
      <c r="T58" s="1">
        <f>SUM(OSRRefT22_8x_0)</f>
        <v>12155.369999999999</v>
      </c>
      <c r="U58" s="1"/>
      <c r="V58" s="5">
        <f t="shared" si="46"/>
        <v>5.412203200560662E-2</v>
      </c>
      <c r="W58" s="1"/>
      <c r="X58" s="1">
        <f t="shared" si="47"/>
        <v>9356.18</v>
      </c>
      <c r="Y58" s="1"/>
      <c r="Z58" s="5">
        <f t="shared" si="48"/>
        <v>0.76971577171242023</v>
      </c>
    </row>
    <row r="59" spans="1:26" s="24" customFormat="1" hidden="1" outlineLevel="2" x14ac:dyDescent="0.25">
      <c r="A59" s="28"/>
      <c r="B59" s="11" t="str">
        <f>CONCATENATE("          ", "6234", " - ", "EXPENDABLE SUPPLIES &amp; EQUIPMEN")</f>
        <v xml:space="preserve">          6234 - EXPENDABLE SUPPLIES &amp; EQUIPMEN</v>
      </c>
      <c r="C59" s="11"/>
      <c r="D59" s="6"/>
      <c r="E59" s="2"/>
      <c r="F59" s="7">
        <f t="shared" si="41"/>
        <v>0</v>
      </c>
      <c r="G59" s="2"/>
      <c r="H59" s="6"/>
      <c r="I59" s="2"/>
      <c r="J59" s="7">
        <f t="shared" si="42"/>
        <v>0</v>
      </c>
      <c r="K59" s="2"/>
      <c r="L59" s="6">
        <f t="shared" si="43"/>
        <v>0</v>
      </c>
      <c r="M59" s="2"/>
      <c r="N59" s="7">
        <f t="shared" si="44"/>
        <v>0</v>
      </c>
      <c r="O59" s="11"/>
      <c r="P59" s="6"/>
      <c r="Q59" s="2"/>
      <c r="R59" s="7">
        <f t="shared" si="45"/>
        <v>0</v>
      </c>
      <c r="S59" s="2"/>
      <c r="T59" s="6">
        <v>1017.27</v>
      </c>
      <c r="U59" s="2"/>
      <c r="V59" s="7">
        <f t="shared" si="46"/>
        <v>4.5294153529134408E-3</v>
      </c>
      <c r="W59" s="2"/>
      <c r="X59" s="6">
        <f t="shared" si="47"/>
        <v>-1017.27</v>
      </c>
      <c r="Y59" s="2"/>
      <c r="Z59" s="7">
        <f t="shared" si="48"/>
        <v>-1</v>
      </c>
    </row>
    <row r="60" spans="1:26" s="24" customFormat="1" hidden="1" outlineLevel="2" x14ac:dyDescent="0.25">
      <c r="A60" s="28"/>
      <c r="B60" s="11" t="str">
        <f>CONCATENATE("          ", "6235", " - ", "COVID-19 EXPENSES")</f>
        <v xml:space="preserve">          6235 - COVID-19 EXPENSES</v>
      </c>
      <c r="C60" s="11"/>
      <c r="D60" s="6"/>
      <c r="E60" s="2"/>
      <c r="F60" s="7">
        <f t="shared" si="41"/>
        <v>0</v>
      </c>
      <c r="G60" s="2"/>
      <c r="H60" s="6"/>
      <c r="I60" s="2"/>
      <c r="J60" s="7">
        <f t="shared" si="42"/>
        <v>0</v>
      </c>
      <c r="K60" s="2"/>
      <c r="L60" s="6">
        <f t="shared" si="43"/>
        <v>0</v>
      </c>
      <c r="M60" s="2"/>
      <c r="N60" s="7">
        <f t="shared" si="44"/>
        <v>0</v>
      </c>
      <c r="O60" s="11"/>
      <c r="P60" s="6">
        <v>310.91000000000003</v>
      </c>
      <c r="Q60" s="2"/>
      <c r="R60" s="7">
        <f t="shared" si="45"/>
        <v>4.3196937381460602E-3</v>
      </c>
      <c r="S60" s="2"/>
      <c r="T60" s="6"/>
      <c r="U60" s="2"/>
      <c r="V60" s="7">
        <f t="shared" si="46"/>
        <v>0</v>
      </c>
      <c r="W60" s="2"/>
      <c r="X60" s="6">
        <f t="shared" si="47"/>
        <v>310.91000000000003</v>
      </c>
      <c r="Y60" s="2"/>
      <c r="Z60" s="7">
        <f t="shared" si="48"/>
        <v>0</v>
      </c>
    </row>
    <row r="61" spans="1:26" s="24" customFormat="1" hidden="1" outlineLevel="2" x14ac:dyDescent="0.25">
      <c r="A61" s="28"/>
      <c r="B61" s="11" t="str">
        <f>CONCATENATE("          ", "6241", " - ", "OFFICE EXPENSE")</f>
        <v xml:space="preserve">          6241 - OFFICE EXPENSE</v>
      </c>
      <c r="C61" s="11"/>
      <c r="D61" s="6">
        <v>6.6</v>
      </c>
      <c r="E61" s="2"/>
      <c r="F61" s="7">
        <f t="shared" si="41"/>
        <v>6.286965691266167E-4</v>
      </c>
      <c r="G61" s="2"/>
      <c r="H61" s="6"/>
      <c r="I61" s="2"/>
      <c r="J61" s="7">
        <f t="shared" si="42"/>
        <v>0</v>
      </c>
      <c r="K61" s="2"/>
      <c r="L61" s="6">
        <f t="shared" si="43"/>
        <v>6.6</v>
      </c>
      <c r="M61" s="2"/>
      <c r="N61" s="7">
        <f t="shared" si="44"/>
        <v>0</v>
      </c>
      <c r="O61" s="11"/>
      <c r="P61" s="6">
        <v>4596.8599999999997</v>
      </c>
      <c r="Q61" s="2"/>
      <c r="R61" s="7">
        <f t="shared" si="45"/>
        <v>6.3867445103515788E-2</v>
      </c>
      <c r="S61" s="2"/>
      <c r="T61" s="6"/>
      <c r="U61" s="2"/>
      <c r="V61" s="7">
        <f t="shared" si="46"/>
        <v>0</v>
      </c>
      <c r="W61" s="2"/>
      <c r="X61" s="6">
        <f t="shared" si="47"/>
        <v>4596.8599999999997</v>
      </c>
      <c r="Y61" s="2"/>
      <c r="Z61" s="7">
        <f t="shared" si="48"/>
        <v>0</v>
      </c>
    </row>
    <row r="62" spans="1:26" s="24" customFormat="1" hidden="1" outlineLevel="2" x14ac:dyDescent="0.25">
      <c r="A62" s="28"/>
      <c r="B62" s="11" t="str">
        <f>CONCATENATE("          ", "6243", " - ", "PAPER SUPPLIES")</f>
        <v xml:space="preserve">          6243 - PAPER SUPPLIES</v>
      </c>
      <c r="C62" s="11"/>
      <c r="D62" s="6">
        <v>449.01</v>
      </c>
      <c r="E62" s="2"/>
      <c r="F62" s="7">
        <f t="shared" si="41"/>
        <v>4.2771370682354877E-2</v>
      </c>
      <c r="G62" s="2"/>
      <c r="H62" s="6">
        <v>1929.38</v>
      </c>
      <c r="I62" s="2"/>
      <c r="J62" s="7">
        <f t="shared" si="42"/>
        <v>3.4240325064624981E-2</v>
      </c>
      <c r="K62" s="2"/>
      <c r="L62" s="6">
        <f t="shared" si="43"/>
        <v>-1480.3700000000001</v>
      </c>
      <c r="M62" s="2"/>
      <c r="N62" s="7">
        <f t="shared" si="44"/>
        <v>-0.76727757103318162</v>
      </c>
      <c r="O62" s="11"/>
      <c r="P62" s="6">
        <v>3573.7</v>
      </c>
      <c r="Q62" s="2"/>
      <c r="R62" s="7">
        <f t="shared" si="45"/>
        <v>4.9651955588474392E-2</v>
      </c>
      <c r="S62" s="2"/>
      <c r="T62" s="6">
        <v>4906.33</v>
      </c>
      <c r="U62" s="2"/>
      <c r="V62" s="7">
        <f t="shared" si="46"/>
        <v>2.1845534055324349E-2</v>
      </c>
      <c r="W62" s="2"/>
      <c r="X62" s="6">
        <f t="shared" si="47"/>
        <v>-1332.63</v>
      </c>
      <c r="Y62" s="2"/>
      <c r="Z62" s="7">
        <f t="shared" si="48"/>
        <v>-0.27161442463103791</v>
      </c>
    </row>
    <row r="63" spans="1:26" s="24" customFormat="1" hidden="1" outlineLevel="2" x14ac:dyDescent="0.25">
      <c r="A63" s="28"/>
      <c r="B63" s="11" t="str">
        <f>CONCATENATE("          ", "6245", " - ", "PRINTING")</f>
        <v xml:space="preserve">          6245 - PRINTING</v>
      </c>
      <c r="C63" s="11"/>
      <c r="D63" s="6">
        <v>353.09</v>
      </c>
      <c r="E63" s="2"/>
      <c r="F63" s="7">
        <f t="shared" si="41"/>
        <v>3.3634313877714712E-2</v>
      </c>
      <c r="G63" s="2"/>
      <c r="H63" s="6">
        <v>7.24</v>
      </c>
      <c r="I63" s="2"/>
      <c r="J63" s="7">
        <f t="shared" si="42"/>
        <v>1.2848684731254852E-4</v>
      </c>
      <c r="K63" s="2"/>
      <c r="L63" s="6">
        <f t="shared" si="43"/>
        <v>345.84999999999997</v>
      </c>
      <c r="M63" s="2"/>
      <c r="N63" s="7">
        <f t="shared" si="44"/>
        <v>47.769337016574582</v>
      </c>
      <c r="O63" s="11"/>
      <c r="P63" s="6">
        <v>345.89</v>
      </c>
      <c r="Q63" s="2"/>
      <c r="R63" s="7">
        <f t="shared" si="45"/>
        <v>4.8056957546792978E-3</v>
      </c>
      <c r="S63" s="2"/>
      <c r="T63" s="6">
        <v>249.44</v>
      </c>
      <c r="U63" s="2"/>
      <c r="V63" s="7">
        <f t="shared" si="46"/>
        <v>1.1106366703340594E-3</v>
      </c>
      <c r="W63" s="2"/>
      <c r="X63" s="6">
        <f t="shared" si="47"/>
        <v>96.449999999999989</v>
      </c>
      <c r="Y63" s="2"/>
      <c r="Z63" s="7">
        <f t="shared" si="48"/>
        <v>0.38666613213598455</v>
      </c>
    </row>
    <row r="64" spans="1:26" s="24" customFormat="1" hidden="1" outlineLevel="2" x14ac:dyDescent="0.25">
      <c r="A64" s="28"/>
      <c r="B64" s="11" t="str">
        <f>CONCATENATE("          ", "6247", " - ", "STORE SUPPLIES")</f>
        <v xml:space="preserve">          6247 - STORE SUPPLIES</v>
      </c>
      <c r="C64" s="11"/>
      <c r="D64" s="6">
        <v>1094.1600000000001</v>
      </c>
      <c r="E64" s="2"/>
      <c r="F64" s="7">
        <f t="shared" si="41"/>
        <v>0.10422646031448167</v>
      </c>
      <c r="G64" s="2"/>
      <c r="H64" s="6">
        <v>530.75</v>
      </c>
      <c r="I64" s="2"/>
      <c r="J64" s="7">
        <f t="shared" si="42"/>
        <v>9.4191152225324756E-3</v>
      </c>
      <c r="K64" s="2"/>
      <c r="L64" s="6">
        <f t="shared" si="43"/>
        <v>563.41000000000008</v>
      </c>
      <c r="M64" s="2"/>
      <c r="N64" s="7">
        <f t="shared" si="44"/>
        <v>1.0615355628827132</v>
      </c>
      <c r="O64" s="11"/>
      <c r="P64" s="6">
        <v>12684.19</v>
      </c>
      <c r="Q64" s="2"/>
      <c r="R64" s="7">
        <f t="shared" si="45"/>
        <v>0.17623047221528695</v>
      </c>
      <c r="S64" s="2"/>
      <c r="T64" s="6">
        <v>5982.33</v>
      </c>
      <c r="U64" s="2"/>
      <c r="V64" s="7">
        <f t="shared" si="46"/>
        <v>2.6636445927034774E-2</v>
      </c>
      <c r="W64" s="2"/>
      <c r="X64" s="6">
        <f t="shared" si="47"/>
        <v>6701.8600000000006</v>
      </c>
      <c r="Y64" s="2"/>
      <c r="Z64" s="7">
        <f t="shared" si="48"/>
        <v>1.1202758791307068</v>
      </c>
    </row>
    <row r="65" spans="1:26" s="29" customFormat="1" outlineLevel="1" collapsed="1" x14ac:dyDescent="0.25">
      <c r="A65" s="27"/>
      <c r="B65" s="14" t="str">
        <f>CONCATENATE("     ","Telephone/Data Lines                              ")</f>
        <v xml:space="preserve">     Telephone/Data Lines                              </v>
      </c>
      <c r="C65" s="14"/>
      <c r="D65" s="1">
        <f>SUM(OSRRefD22_9x_0)</f>
        <v>193.4</v>
      </c>
      <c r="E65" s="1"/>
      <c r="F65" s="5">
        <f t="shared" ref="F65:F70" si="49">IF(D$12=0,0,D65/D$12)</f>
        <v>1.8422714616528436E-2</v>
      </c>
      <c r="G65" s="1"/>
      <c r="H65" s="1">
        <f>SUM(OSRRefH22_9x_0)</f>
        <v>106.6</v>
      </c>
      <c r="I65" s="1"/>
      <c r="J65" s="5">
        <f t="shared" ref="J65:J70" si="50">IF(H$12=0,0,H65/H$12)</f>
        <v>1.8918091054582419E-3</v>
      </c>
      <c r="K65" s="1"/>
      <c r="L65" s="1">
        <f t="shared" ref="L65:L70" si="51">+D65-H65</f>
        <v>86.800000000000011</v>
      </c>
      <c r="M65" s="1"/>
      <c r="N65" s="5">
        <f t="shared" ref="N65:N70" si="52">IF(H65=0,0,L65/H65)</f>
        <v>0.81425891181988763</v>
      </c>
      <c r="O65" s="14"/>
      <c r="P65" s="1">
        <f>SUM(OSRRefP22_9x_0)</f>
        <v>859.15</v>
      </c>
      <c r="Q65" s="1"/>
      <c r="R65" s="5">
        <f t="shared" ref="R65:R70" si="53">IF(P$12=0,0,P65/P$12)</f>
        <v>1.1936781946956312E-2</v>
      </c>
      <c r="S65" s="1"/>
      <c r="T65" s="1">
        <f>SUM(OSRRefT22_9x_0)</f>
        <v>602.35</v>
      </c>
      <c r="U65" s="1"/>
      <c r="V65" s="5">
        <f t="shared" ref="V65:V70" si="54">IF(T$12=0,0,T65/T$12)</f>
        <v>2.6819756188891947E-3</v>
      </c>
      <c r="W65" s="1"/>
      <c r="X65" s="1">
        <f t="shared" ref="X65:X70" si="55">+P65-T65</f>
        <v>256.79999999999995</v>
      </c>
      <c r="Y65" s="1"/>
      <c r="Z65" s="5">
        <f t="shared" ref="Z65:Z70" si="56">IF(T65=0,0,X65/T65)</f>
        <v>0.42633020669046229</v>
      </c>
    </row>
    <row r="66" spans="1:26" s="24" customFormat="1" hidden="1" outlineLevel="2" x14ac:dyDescent="0.25">
      <c r="A66" s="28"/>
      <c r="B66" s="11" t="str">
        <f>CONCATENATE("          ", "6309", " - ", "TELEPHONE")</f>
        <v xml:space="preserve">          6309 - TELEPHONE</v>
      </c>
      <c r="C66" s="11"/>
      <c r="D66" s="6">
        <v>193.4</v>
      </c>
      <c r="E66" s="2"/>
      <c r="F66" s="7">
        <f t="shared" si="49"/>
        <v>1.8422714616528436E-2</v>
      </c>
      <c r="G66" s="2"/>
      <c r="H66" s="6">
        <v>106.6</v>
      </c>
      <c r="I66" s="2"/>
      <c r="J66" s="7">
        <f t="shared" si="50"/>
        <v>1.8918091054582419E-3</v>
      </c>
      <c r="K66" s="2"/>
      <c r="L66" s="6">
        <f t="shared" si="51"/>
        <v>86.800000000000011</v>
      </c>
      <c r="M66" s="2"/>
      <c r="N66" s="7">
        <f t="shared" si="52"/>
        <v>0.81425891181988763</v>
      </c>
      <c r="O66" s="11"/>
      <c r="P66" s="6">
        <v>859.15</v>
      </c>
      <c r="Q66" s="2"/>
      <c r="R66" s="7">
        <f t="shared" si="53"/>
        <v>1.1936781946956312E-2</v>
      </c>
      <c r="S66" s="2"/>
      <c r="T66" s="6">
        <v>602.35</v>
      </c>
      <c r="U66" s="2"/>
      <c r="V66" s="7">
        <f t="shared" si="54"/>
        <v>2.6819756188891947E-3</v>
      </c>
      <c r="W66" s="2"/>
      <c r="X66" s="6">
        <f t="shared" si="55"/>
        <v>256.79999999999995</v>
      </c>
      <c r="Y66" s="2"/>
      <c r="Z66" s="7">
        <f t="shared" si="56"/>
        <v>0.42633020669046229</v>
      </c>
    </row>
    <row r="67" spans="1:26" s="29" customFormat="1" outlineLevel="1" collapsed="1" x14ac:dyDescent="0.25">
      <c r="A67" s="27"/>
      <c r="B67" s="14" t="str">
        <f>CONCATENATE("     ","Training                                          ")</f>
        <v xml:space="preserve">     Training                                          </v>
      </c>
      <c r="C67" s="14"/>
      <c r="D67" s="1">
        <f>SUM(OSRRefD22_10x_0)</f>
        <v>0</v>
      </c>
      <c r="E67" s="1"/>
      <c r="F67" s="5">
        <f t="shared" si="49"/>
        <v>0</v>
      </c>
      <c r="G67" s="1"/>
      <c r="H67" s="1">
        <f>SUM(OSRRefH22_10x_0)</f>
        <v>0</v>
      </c>
      <c r="I67" s="1"/>
      <c r="J67" s="5">
        <f t="shared" si="50"/>
        <v>0</v>
      </c>
      <c r="K67" s="1"/>
      <c r="L67" s="1">
        <f t="shared" si="51"/>
        <v>0</v>
      </c>
      <c r="M67" s="1"/>
      <c r="N67" s="5">
        <f t="shared" si="52"/>
        <v>0</v>
      </c>
      <c r="O67" s="14"/>
      <c r="P67" s="1">
        <f>SUM(OSRRefP22_10x_0)</f>
        <v>0</v>
      </c>
      <c r="Q67" s="1"/>
      <c r="R67" s="5">
        <f t="shared" si="53"/>
        <v>0</v>
      </c>
      <c r="S67" s="1"/>
      <c r="T67" s="1">
        <f>SUM(OSRRefT22_10x_0)</f>
        <v>97.71</v>
      </c>
      <c r="U67" s="1"/>
      <c r="V67" s="5">
        <f t="shared" si="54"/>
        <v>4.3505576113831356E-4</v>
      </c>
      <c r="W67" s="1"/>
      <c r="X67" s="1">
        <f t="shared" si="55"/>
        <v>-97.71</v>
      </c>
      <c r="Y67" s="1"/>
      <c r="Z67" s="5">
        <f t="shared" si="56"/>
        <v>-1</v>
      </c>
    </row>
    <row r="68" spans="1:26" s="24" customFormat="1" hidden="1" outlineLevel="2" x14ac:dyDescent="0.25">
      <c r="A68" s="28"/>
      <c r="B68" s="11" t="str">
        <f>CONCATENATE("          ", "6376", " - ", "TRAINING")</f>
        <v xml:space="preserve">          6376 - TRAINING</v>
      </c>
      <c r="C68" s="11"/>
      <c r="D68" s="6"/>
      <c r="E68" s="2"/>
      <c r="F68" s="7">
        <f t="shared" si="49"/>
        <v>0</v>
      </c>
      <c r="G68" s="2"/>
      <c r="H68" s="6"/>
      <c r="I68" s="2"/>
      <c r="J68" s="7">
        <f t="shared" si="50"/>
        <v>0</v>
      </c>
      <c r="K68" s="2"/>
      <c r="L68" s="6">
        <f t="shared" si="51"/>
        <v>0</v>
      </c>
      <c r="M68" s="2"/>
      <c r="N68" s="7">
        <f t="shared" si="52"/>
        <v>0</v>
      </c>
      <c r="O68" s="11"/>
      <c r="P68" s="6"/>
      <c r="Q68" s="2"/>
      <c r="R68" s="7">
        <f t="shared" si="53"/>
        <v>0</v>
      </c>
      <c r="S68" s="2"/>
      <c r="T68" s="6">
        <v>97.71</v>
      </c>
      <c r="U68" s="2"/>
      <c r="V68" s="7">
        <f t="shared" si="54"/>
        <v>4.3505576113831356E-4</v>
      </c>
      <c r="W68" s="2"/>
      <c r="X68" s="6">
        <f t="shared" si="55"/>
        <v>-97.71</v>
      </c>
      <c r="Y68" s="2"/>
      <c r="Z68" s="7">
        <f t="shared" si="56"/>
        <v>-1</v>
      </c>
    </row>
    <row r="69" spans="1:26" s="29" customFormat="1" outlineLevel="1" collapsed="1" x14ac:dyDescent="0.25">
      <c r="A69" s="27"/>
      <c r="B69" s="14" t="str">
        <f>CONCATENATE("     ","Utilities                                         ")</f>
        <v xml:space="preserve">     Utilities                                         </v>
      </c>
      <c r="C69" s="14"/>
      <c r="D69" s="1">
        <f>SUM(OSRRefD22_11x_0)</f>
        <v>0</v>
      </c>
      <c r="E69" s="1"/>
      <c r="F69" s="5">
        <f t="shared" si="49"/>
        <v>0</v>
      </c>
      <c r="G69" s="1"/>
      <c r="H69" s="1">
        <f>SUM(OSRRefH22_11x_0)</f>
        <v>0</v>
      </c>
      <c r="I69" s="1"/>
      <c r="J69" s="5">
        <f t="shared" si="50"/>
        <v>0</v>
      </c>
      <c r="K69" s="1"/>
      <c r="L69" s="1">
        <f t="shared" si="51"/>
        <v>0</v>
      </c>
      <c r="M69" s="1"/>
      <c r="N69" s="5">
        <f t="shared" si="52"/>
        <v>0</v>
      </c>
      <c r="O69" s="14"/>
      <c r="P69" s="1">
        <f>SUM(OSRRefP22_11x_0)</f>
        <v>15.02</v>
      </c>
      <c r="Q69" s="1"/>
      <c r="R69" s="5">
        <f t="shared" si="53"/>
        <v>2.0868354169037282E-4</v>
      </c>
      <c r="S69" s="1"/>
      <c r="T69" s="1">
        <f>SUM(OSRRefT22_11x_0)</f>
        <v>0</v>
      </c>
      <c r="U69" s="1"/>
      <c r="V69" s="5">
        <f t="shared" si="54"/>
        <v>0</v>
      </c>
      <c r="W69" s="1"/>
      <c r="X69" s="1">
        <f t="shared" si="55"/>
        <v>15.02</v>
      </c>
      <c r="Y69" s="1"/>
      <c r="Z69" s="5">
        <f t="shared" si="56"/>
        <v>0</v>
      </c>
    </row>
    <row r="70" spans="1:26" s="24" customFormat="1" hidden="1" outlineLevel="2" x14ac:dyDescent="0.25">
      <c r="A70" s="28"/>
      <c r="B70" s="11" t="str">
        <f>CONCATENATE("          ", "6274", " - ", "UTILITIES")</f>
        <v xml:space="preserve">          6274 - UTILITIES</v>
      </c>
      <c r="C70" s="11"/>
      <c r="D70" s="6"/>
      <c r="E70" s="2"/>
      <c r="F70" s="7">
        <f t="shared" si="49"/>
        <v>0</v>
      </c>
      <c r="G70" s="2"/>
      <c r="H70" s="6"/>
      <c r="I70" s="2"/>
      <c r="J70" s="7">
        <f t="shared" si="50"/>
        <v>0</v>
      </c>
      <c r="K70" s="2"/>
      <c r="L70" s="6">
        <f t="shared" si="51"/>
        <v>0</v>
      </c>
      <c r="M70" s="2"/>
      <c r="N70" s="7">
        <f t="shared" si="52"/>
        <v>0</v>
      </c>
      <c r="O70" s="11"/>
      <c r="P70" s="6">
        <v>15.02</v>
      </c>
      <c r="Q70" s="2"/>
      <c r="R70" s="7">
        <f t="shared" si="53"/>
        <v>2.0868354169037282E-4</v>
      </c>
      <c r="S70" s="2"/>
      <c r="T70" s="6"/>
      <c r="U70" s="2"/>
      <c r="V70" s="7">
        <f t="shared" si="54"/>
        <v>0</v>
      </c>
      <c r="W70" s="2"/>
      <c r="X70" s="6">
        <f t="shared" si="55"/>
        <v>15.02</v>
      </c>
      <c r="Y70" s="2"/>
      <c r="Z70" s="7">
        <f t="shared" si="56"/>
        <v>0</v>
      </c>
    </row>
    <row r="71" spans="1:26" s="57" customFormat="1" x14ac:dyDescent="0.25">
      <c r="A71" s="37"/>
      <c r="B71" s="37"/>
      <c r="C71" s="37"/>
      <c r="D71" s="1"/>
      <c r="E71" s="1"/>
      <c r="F71" s="5"/>
      <c r="G71" s="1"/>
      <c r="H71" s="1"/>
      <c r="I71" s="1"/>
      <c r="J71" s="5"/>
      <c r="K71" s="1"/>
      <c r="L71" s="1"/>
      <c r="M71" s="1"/>
      <c r="N71" s="5"/>
      <c r="O71" s="37"/>
      <c r="P71" s="1"/>
      <c r="Q71" s="1"/>
      <c r="R71" s="5"/>
      <c r="S71" s="1"/>
      <c r="T71" s="1"/>
      <c r="U71" s="1"/>
      <c r="V71" s="5"/>
      <c r="W71" s="1"/>
      <c r="X71" s="1"/>
      <c r="Y71" s="1"/>
      <c r="Z71" s="5"/>
    </row>
    <row r="72" spans="1:26" s="23" customFormat="1" collapsed="1" x14ac:dyDescent="0.25">
      <c r="A72" s="10"/>
      <c r="B72" s="26" t="s">
        <v>0</v>
      </c>
      <c r="C72" s="10"/>
      <c r="D72" s="4">
        <f>SUM(OSRRefD25x_0)</f>
        <v>6782</v>
      </c>
      <c r="E72" s="4"/>
      <c r="F72" s="12">
        <f t="shared" ref="F72:F73" si="57">IF(D$12=0,0,D72/D$12)</f>
        <v>0.64603335330556289</v>
      </c>
      <c r="G72" s="4"/>
      <c r="H72" s="4">
        <f>SUM(OSRRefH25x_0)</f>
        <v>13269</v>
      </c>
      <c r="I72" s="4"/>
      <c r="J72" s="12">
        <f t="shared" ref="J72:J73" si="58">IF(H$12=0,0,H72/H$12)</f>
        <v>0.23548231726384064</v>
      </c>
      <c r="K72" s="4"/>
      <c r="L72" s="4">
        <f t="shared" ref="L72:L73" si="59">+D72-H72</f>
        <v>-6487</v>
      </c>
      <c r="M72" s="4"/>
      <c r="N72" s="12">
        <f t="shared" ref="N72:N73" si="60">IF(H72=0,0,L72/H72)</f>
        <v>-0.48888386464692141</v>
      </c>
      <c r="O72" s="10"/>
      <c r="P72" s="4">
        <f>SUM(OSRRefP25x_0)</f>
        <v>27128</v>
      </c>
      <c r="Q72" s="4"/>
      <c r="R72" s="12">
        <f t="shared" ref="R72:R73" si="61">IF(P$12=0,0,P72/P$12)</f>
        <v>0.37690859646980251</v>
      </c>
      <c r="S72" s="4"/>
      <c r="T72" s="4">
        <f>SUM(OSRRefT25x_0)</f>
        <v>53076</v>
      </c>
      <c r="U72" s="4"/>
      <c r="V72" s="12">
        <f t="shared" ref="V72:V73" si="62">IF(T$12=0,0,T72/T$12)</f>
        <v>0.23632196886886842</v>
      </c>
      <c r="W72" s="4"/>
      <c r="X72" s="4">
        <f t="shared" ref="X72:X73" si="63">+P72-T72</f>
        <v>-25948</v>
      </c>
      <c r="Y72" s="4"/>
      <c r="Z72" s="12">
        <f t="shared" ref="Z72:Z73" si="64">IF(T72=0,0,X72/T72)</f>
        <v>-0.48888386464692141</v>
      </c>
    </row>
    <row r="73" spans="1:26" s="24" customFormat="1" hidden="1" outlineLevel="1" x14ac:dyDescent="0.25">
      <c r="A73" s="44"/>
      <c r="B73" s="11" t="str">
        <f>CONCATENATE("          ", "9150", " - ", "MISC. INCOME")</f>
        <v xml:space="preserve">          9150 - MISC. INCOME</v>
      </c>
      <c r="C73" s="11"/>
      <c r="D73" s="2">
        <f>--6782</f>
        <v>6782</v>
      </c>
      <c r="E73" s="2"/>
      <c r="F73" s="19">
        <f t="shared" si="57"/>
        <v>0.64603335330556289</v>
      </c>
      <c r="G73" s="2"/>
      <c r="H73" s="2">
        <f>--13269</f>
        <v>13269</v>
      </c>
      <c r="I73" s="2"/>
      <c r="J73" s="19">
        <f t="shared" si="58"/>
        <v>0.23548231726384064</v>
      </c>
      <c r="K73" s="2"/>
      <c r="L73" s="2">
        <f t="shared" si="59"/>
        <v>-6487</v>
      </c>
      <c r="M73" s="2"/>
      <c r="N73" s="19">
        <f t="shared" si="60"/>
        <v>-0.48888386464692141</v>
      </c>
      <c r="O73" s="11"/>
      <c r="P73" s="2">
        <f>--27128</f>
        <v>27128</v>
      </c>
      <c r="Q73" s="2"/>
      <c r="R73" s="19">
        <f t="shared" si="61"/>
        <v>0.37690859646980251</v>
      </c>
      <c r="S73" s="2"/>
      <c r="T73" s="2">
        <f>--53076</f>
        <v>53076</v>
      </c>
      <c r="U73" s="2"/>
      <c r="V73" s="19">
        <f t="shared" si="62"/>
        <v>0.23632196886886842</v>
      </c>
      <c r="W73" s="2"/>
      <c r="X73" s="2">
        <f t="shared" si="63"/>
        <v>-25948</v>
      </c>
      <c r="Y73" s="2"/>
      <c r="Z73" s="19">
        <f t="shared" si="64"/>
        <v>-0.48888386464692141</v>
      </c>
    </row>
    <row r="74" spans="1:26" x14ac:dyDescent="0.25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25">
      <c r="A75" s="10"/>
      <c r="B75" s="25" t="s">
        <v>3</v>
      </c>
      <c r="C75" s="25"/>
      <c r="D75" s="20">
        <f>+D28-D30+D72</f>
        <v>-66669.39999999998</v>
      </c>
      <c r="E75" s="13"/>
      <c r="F75" s="21">
        <f>IF(D$12=0,0,D75/D$12)</f>
        <v>-6.3507307645045534</v>
      </c>
      <c r="G75" s="13"/>
      <c r="H75" s="20">
        <f>+H28-H30+H72</f>
        <v>14261.320000000007</v>
      </c>
      <c r="I75" s="13"/>
      <c r="J75" s="21">
        <f>IF(H$12=0,0,H75/H$12)</f>
        <v>0.25309282393859051</v>
      </c>
      <c r="K75" s="15"/>
      <c r="L75" s="20">
        <f>+D75-H75</f>
        <v>-80930.719999999987</v>
      </c>
      <c r="M75" s="15"/>
      <c r="N75" s="21">
        <f>IF(H75=0,0,L75/H75)</f>
        <v>-5.6748407580784912</v>
      </c>
      <c r="O75" s="26"/>
      <c r="P75" s="20">
        <f>+P28-P30+P72</f>
        <v>-21902.680000000008</v>
      </c>
      <c r="Q75" s="13"/>
      <c r="R75" s="21">
        <f>IF(P$12=0,0,P75/P$12)</f>
        <v>-0.30430950964786263</v>
      </c>
      <c r="S75" s="13"/>
      <c r="T75" s="20">
        <f>+T28-T30+T72</f>
        <v>100654.31</v>
      </c>
      <c r="U75" s="13"/>
      <c r="V75" s="21">
        <f>IF(T$12=0,0,T75/T$12)</f>
        <v>0.44816536126191558</v>
      </c>
      <c r="W75" s="15"/>
      <c r="X75" s="20">
        <f>+P75-T75</f>
        <v>-122556.99</v>
      </c>
      <c r="Y75" s="15"/>
      <c r="Z75" s="21">
        <f>IF(T75=0,0,X75/T75)</f>
        <v>-1.2176030017989294</v>
      </c>
    </row>
    <row r="76" spans="1:26" x14ac:dyDescent="0.25">
      <c r="A76" s="9"/>
      <c r="B76" s="10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x14ac:dyDescent="0.25">
      <c r="A77" s="51"/>
      <c r="B77" s="10" t="s">
        <v>13</v>
      </c>
      <c r="C77" s="10"/>
      <c r="D77" s="4">
        <v>4202.3999999999996</v>
      </c>
      <c r="E77" s="4"/>
      <c r="F77" s="12">
        <f>IF(D$12=0,0,D77/D$12)</f>
        <v>0.40030825183298396</v>
      </c>
      <c r="G77" s="4"/>
      <c r="H77" s="4">
        <v>4536.3900000000003</v>
      </c>
      <c r="I77" s="4"/>
      <c r="J77" s="12">
        <f>IF(H$12=0,0,H77/H$12)</f>
        <v>8.05064156464326E-2</v>
      </c>
      <c r="K77" s="4"/>
      <c r="L77" s="4">
        <f>+D77-H77</f>
        <v>-333.99000000000069</v>
      </c>
      <c r="M77" s="4"/>
      <c r="N77" s="12">
        <f>IF(H77=0,0,L77/H77)</f>
        <v>-7.3624622221634531E-2</v>
      </c>
      <c r="O77" s="10"/>
      <c r="P77" s="4">
        <v>15591.34</v>
      </c>
      <c r="Q77" s="4"/>
      <c r="R77" s="12">
        <f>IF(P$12=0,0,P77/P$12)</f>
        <v>0.2166215746270824</v>
      </c>
      <c r="S77" s="4"/>
      <c r="T77" s="4">
        <v>22607.99</v>
      </c>
      <c r="U77" s="4"/>
      <c r="V77" s="12">
        <f>IF(T$12=0,0,T77/T$12)</f>
        <v>0.10066253502463804</v>
      </c>
      <c r="W77" s="4"/>
      <c r="X77" s="4">
        <f>+P77-T77</f>
        <v>-7016.6500000000015</v>
      </c>
      <c r="Y77" s="4"/>
      <c r="Z77" s="12">
        <f>IF(T77=0,0,X77/T77)</f>
        <v>-0.31036151378340138</v>
      </c>
    </row>
    <row r="78" spans="1:26" x14ac:dyDescent="0.25">
      <c r="A78" s="9"/>
      <c r="B78" s="10"/>
      <c r="C78" s="10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O78" s="10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ht="15.75" thickBot="1" x14ac:dyDescent="0.3">
      <c r="A79" s="10"/>
      <c r="B79" s="25" t="s">
        <v>4</v>
      </c>
      <c r="C79" s="25"/>
      <c r="D79" s="30">
        <f>+D75-D77</f>
        <v>-70871.799999999974</v>
      </c>
      <c r="E79" s="13"/>
      <c r="F79" s="33">
        <f>IF(D$12=0,0,D79/D$12)</f>
        <v>-6.7510390163375362</v>
      </c>
      <c r="G79" s="13"/>
      <c r="H79" s="30">
        <f>+H75-H77</f>
        <v>9724.9300000000076</v>
      </c>
      <c r="I79" s="13"/>
      <c r="J79" s="33">
        <f>IF(H$12=0,0,H79/H$12)</f>
        <v>0.17258640829215793</v>
      </c>
      <c r="K79" s="15"/>
      <c r="L79" s="30">
        <f>D79-H79</f>
        <v>-80596.729999999981</v>
      </c>
      <c r="M79" s="15"/>
      <c r="N79" s="33">
        <f>IF(H79=0,0,L79/H79)</f>
        <v>-8.2876411449748133</v>
      </c>
      <c r="O79" s="26"/>
      <c r="P79" s="30">
        <f>+P75-P77</f>
        <v>-37494.020000000004</v>
      </c>
      <c r="Q79" s="13"/>
      <c r="R79" s="33">
        <f>IF(P$12=0,0,P79/P$12)</f>
        <v>-0.52093108427494494</v>
      </c>
      <c r="S79" s="13"/>
      <c r="T79" s="30">
        <f>+T75-T77</f>
        <v>78046.319999999992</v>
      </c>
      <c r="U79" s="13"/>
      <c r="V79" s="33">
        <f>IF(T$12=0,0,T79/T$12)</f>
        <v>0.34750282623727752</v>
      </c>
      <c r="W79" s="15"/>
      <c r="X79" s="30">
        <f>P79-T79</f>
        <v>-115540.34</v>
      </c>
      <c r="Y79" s="15"/>
      <c r="Z79" s="33">
        <f>IF(T79=0,0,X79/T79)</f>
        <v>-1.4804072760893787</v>
      </c>
    </row>
    <row r="80" spans="1:26" ht="15.75" thickTop="1" x14ac:dyDescent="0.25">
      <c r="A80" s="9"/>
      <c r="B80" s="9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x14ac:dyDescent="0.25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ht="15.75" thickBot="1" x14ac:dyDescent="0.3">
      <c r="A82" s="10"/>
      <c r="B82" s="25" t="s">
        <v>5</v>
      </c>
      <c r="C82" s="25"/>
      <c r="D82" s="34">
        <f>SUM(D79:D81)</f>
        <v>-70871.799999999974</v>
      </c>
      <c r="E82" s="13"/>
      <c r="F82" s="35">
        <f>IF(D$12=0,0,D82/D$12)</f>
        <v>-6.7510390163375362</v>
      </c>
      <c r="G82" s="13"/>
      <c r="H82" s="34">
        <f>SUM(H79:H81)</f>
        <v>9724.9300000000076</v>
      </c>
      <c r="I82" s="13"/>
      <c r="J82" s="35">
        <f>IF(H$12=0,0,H82/H$12)</f>
        <v>0.17258640829215793</v>
      </c>
      <c r="K82" s="15"/>
      <c r="L82" s="34">
        <f>+D82-H82</f>
        <v>-80596.729999999981</v>
      </c>
      <c r="M82" s="15"/>
      <c r="N82" s="35">
        <f>IF(H82=0,0,L82/H82)</f>
        <v>-8.2876411449748133</v>
      </c>
      <c r="O82" s="26"/>
      <c r="P82" s="34">
        <f>SUM(P79:P81)</f>
        <v>-37494.020000000004</v>
      </c>
      <c r="Q82" s="13"/>
      <c r="R82" s="35">
        <f>IF(P$12=0,0,P82/P$12)</f>
        <v>-0.52093108427494494</v>
      </c>
      <c r="S82" s="13"/>
      <c r="T82" s="34">
        <f>SUM(T79:T81)</f>
        <v>78046.319999999992</v>
      </c>
      <c r="U82" s="13"/>
      <c r="V82" s="35">
        <f>IF(T$12=0,0,T82/T$12)</f>
        <v>0.34750282623727752</v>
      </c>
      <c r="W82" s="15"/>
      <c r="X82" s="34">
        <f>+P82-T82</f>
        <v>-115540.34</v>
      </c>
      <c r="Y82" s="15"/>
      <c r="Z82" s="35">
        <f>IF(T82=0,0,X82/T82)</f>
        <v>-1.4804072760893787</v>
      </c>
    </row>
    <row r="83" spans="1:26" ht="15.75" thickTop="1" x14ac:dyDescent="0.25">
      <c r="A83" s="9"/>
      <c r="C83" s="9"/>
      <c r="D83" s="18"/>
      <c r="E83" s="18"/>
      <c r="G83" s="18"/>
      <c r="H83" s="18"/>
      <c r="I83" s="18"/>
      <c r="J83" s="43"/>
      <c r="K83" s="18"/>
      <c r="L83" s="18"/>
      <c r="M83" s="18"/>
      <c r="P83" s="18"/>
      <c r="Q83" s="18"/>
      <c r="R83" s="43"/>
      <c r="S83" s="18"/>
      <c r="T83" s="18"/>
      <c r="U83" s="18"/>
      <c r="V83" s="43"/>
      <c r="W83" s="18"/>
      <c r="X83" s="18"/>
    </row>
    <row r="84" spans="1:26" x14ac:dyDescent="0.25">
      <c r="A84" s="9"/>
      <c r="B84" s="56">
        <v>44151.57247658565</v>
      </c>
      <c r="D84" s="18"/>
      <c r="E84" s="18"/>
      <c r="G84" s="18"/>
      <c r="H84" s="18"/>
      <c r="I84" s="18"/>
      <c r="J84" s="43"/>
      <c r="K84" s="18"/>
      <c r="L84" s="18"/>
      <c r="M84" s="18"/>
      <c r="P84" s="18"/>
      <c r="Q84" s="18"/>
      <c r="R84" s="43"/>
      <c r="S84" s="18"/>
      <c r="T84" s="18"/>
      <c r="U84" s="18"/>
      <c r="V84" s="43"/>
      <c r="W84" s="18"/>
      <c r="X84" s="18"/>
    </row>
    <row r="85" spans="1:26" x14ac:dyDescent="0.25">
      <c r="A85" s="9"/>
      <c r="B85" s="62" t="s">
        <v>313</v>
      </c>
      <c r="D85" s="18"/>
      <c r="E85" s="18"/>
      <c r="G85" s="18"/>
      <c r="H85" s="18"/>
      <c r="I85" s="18"/>
      <c r="J85" s="43"/>
      <c r="K85" s="18"/>
      <c r="L85" s="18"/>
      <c r="M85" s="18"/>
      <c r="P85" s="18"/>
      <c r="Q85" s="18"/>
      <c r="R85" s="43"/>
      <c r="S85" s="18"/>
      <c r="T85" s="18"/>
      <c r="U85" s="18"/>
      <c r="V85" s="43"/>
      <c r="W85" s="18"/>
      <c r="X85" s="18"/>
    </row>
    <row r="86" spans="1:26" x14ac:dyDescent="0.25">
      <c r="A86" s="9"/>
      <c r="B86" s="54"/>
      <c r="D86" s="18"/>
      <c r="E86" s="18"/>
      <c r="G86" s="18"/>
      <c r="H86" s="18"/>
      <c r="I86" s="18"/>
      <c r="J86" s="43"/>
      <c r="K86" s="18"/>
      <c r="L86" s="18"/>
      <c r="M86" s="18"/>
      <c r="P86" s="18"/>
      <c r="Q86" s="18"/>
      <c r="R86" s="43"/>
      <c r="S86" s="18"/>
      <c r="T86" s="18"/>
      <c r="U86" s="18"/>
      <c r="V86" s="43"/>
      <c r="W86" s="18"/>
      <c r="X86" s="18"/>
    </row>
    <row r="87" spans="1:26" x14ac:dyDescent="0.25">
      <c r="D87" s="18"/>
      <c r="E87" s="18"/>
      <c r="G87" s="18"/>
      <c r="H87" s="18"/>
      <c r="I87" s="18"/>
      <c r="J87" s="43"/>
      <c r="K87" s="18"/>
      <c r="L87" s="18"/>
      <c r="M87" s="18"/>
      <c r="P87" s="18"/>
      <c r="Q87" s="18"/>
      <c r="R87" s="43"/>
      <c r="S87" s="18"/>
      <c r="T87" s="18"/>
      <c r="U87" s="18"/>
      <c r="V87" s="43"/>
      <c r="W87" s="18"/>
      <c r="X87" s="18"/>
    </row>
  </sheetData>
  <pageMargins left="0.25" right="0.25" top="0.75" bottom="0.75" header="0.3" footer="0.3"/>
  <pageSetup scale="55" fitToWidth="2" orientation="landscape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",RIGHT(202104,2),", ",2021)</f>
        <v>Period 04,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44135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","320", " - ", "Customer Service (old)")</f>
        <v>Department 320 - Customer Service (old)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61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50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50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2"/>
      <c r="F10" s="31" t="s">
        <v>14</v>
      </c>
      <c r="G10" s="32"/>
      <c r="H10" s="49" t="s">
        <v>306</v>
      </c>
      <c r="I10" s="32"/>
      <c r="J10" s="31" t="s">
        <v>14</v>
      </c>
      <c r="K10" s="10"/>
      <c r="L10" s="42" t="s">
        <v>11</v>
      </c>
      <c r="M10" s="10"/>
      <c r="N10" s="31" t="s">
        <v>15</v>
      </c>
      <c r="O10" s="10"/>
      <c r="P10" s="59" t="s">
        <v>10</v>
      </c>
      <c r="Q10" s="32"/>
      <c r="R10" s="31" t="s">
        <v>14</v>
      </c>
      <c r="S10" s="32"/>
      <c r="T10" s="49" t="s">
        <v>306</v>
      </c>
      <c r="U10" s="32"/>
      <c r="V10" s="31" t="s">
        <v>14</v>
      </c>
      <c r="W10" s="10"/>
      <c r="X10" s="42" t="s">
        <v>11</v>
      </c>
      <c r="Y10" s="10"/>
      <c r="Z10" s="31" t="s">
        <v>15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1179.29</v>
      </c>
      <c r="I12" s="4"/>
      <c r="J12" s="12"/>
      <c r="K12" s="4"/>
      <c r="L12" s="4">
        <f t="shared" ref="L12:L15" si="0">+D12-H12</f>
        <v>-1179.29</v>
      </c>
      <c r="M12" s="4"/>
      <c r="N12" s="12">
        <f t="shared" ref="N12:N15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4899.8099999999995</v>
      </c>
      <c r="U12" s="4"/>
      <c r="V12" s="12"/>
      <c r="W12" s="4"/>
      <c r="X12" s="4">
        <f t="shared" ref="X12:X15" si="2">+P12-T12</f>
        <v>-4899.8099999999995</v>
      </c>
      <c r="Y12" s="4"/>
      <c r="Z12" s="12">
        <f t="shared" ref="Z12:Z15" si="3">IF(T12=0,0,X12/T12)</f>
        <v>-1</v>
      </c>
    </row>
    <row r="13" spans="1:26" s="24" customFormat="1" hidden="1" outlineLevel="1" x14ac:dyDescent="0.25">
      <c r="A13" s="44"/>
      <c r="B13" s="11" t="str">
        <f>CONCATENATE("          ", "4092", " - ", "TAXABLE SALES-GRAD MERCH")</f>
        <v xml:space="preserve">          4092 - TAXABLE SALES-GRAD MERCH</v>
      </c>
      <c r="C13" s="11"/>
      <c r="D13" s="2">
        <f t="shared" ref="D13:D15" si="4">0</f>
        <v>0</v>
      </c>
      <c r="E13" s="2"/>
      <c r="F13" s="19"/>
      <c r="G13" s="2"/>
      <c r="H13" s="2">
        <f>--1178.45</f>
        <v>1178.45</v>
      </c>
      <c r="I13" s="2"/>
      <c r="J13" s="19"/>
      <c r="K13" s="2"/>
      <c r="L13" s="2">
        <f t="shared" si="0"/>
        <v>-1178.45</v>
      </c>
      <c r="M13" s="2"/>
      <c r="N13" s="19">
        <f t="shared" si="1"/>
        <v>-1</v>
      </c>
      <c r="O13" s="11"/>
      <c r="P13" s="2">
        <f t="shared" ref="P13:P15" si="5">0</f>
        <v>0</v>
      </c>
      <c r="Q13" s="2"/>
      <c r="R13" s="19"/>
      <c r="S13" s="2"/>
      <c r="T13" s="2">
        <f>--5091.03</f>
        <v>5091.03</v>
      </c>
      <c r="U13" s="2"/>
      <c r="V13" s="19"/>
      <c r="W13" s="2"/>
      <c r="X13" s="2">
        <f t="shared" si="2"/>
        <v>-5091.03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"4095", " - ", "TAXABLE SALES-CUSTOMER SERVICE")</f>
        <v xml:space="preserve">          4095 - TAXABLE SALES-CUSTOMER SERVICE</v>
      </c>
      <c r="C14" s="11"/>
      <c r="D14" s="2">
        <f t="shared" si="4"/>
        <v>0</v>
      </c>
      <c r="E14" s="2"/>
      <c r="F14" s="19"/>
      <c r="G14" s="2"/>
      <c r="H14" s="2">
        <f>--40.79</f>
        <v>40.79</v>
      </c>
      <c r="I14" s="2"/>
      <c r="J14" s="19"/>
      <c r="K14" s="2"/>
      <c r="L14" s="2">
        <f t="shared" si="0"/>
        <v>-40.79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f>--217.88</f>
        <v>217.88</v>
      </c>
      <c r="U14" s="2"/>
      <c r="V14" s="19"/>
      <c r="W14" s="2"/>
      <c r="X14" s="2">
        <f t="shared" si="2"/>
        <v>-217.88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"4292", " - ", "SALES RETURN TAXABLE-GRAD MERC")</f>
        <v xml:space="preserve">          4292 - SALES RETURN TAXABLE-GRAD MERC</v>
      </c>
      <c r="C15" s="11"/>
      <c r="D15" s="2">
        <f t="shared" si="4"/>
        <v>0</v>
      </c>
      <c r="E15" s="2"/>
      <c r="F15" s="19"/>
      <c r="G15" s="2"/>
      <c r="H15" s="2">
        <f>-39.95</f>
        <v>-39.950000000000003</v>
      </c>
      <c r="I15" s="2"/>
      <c r="J15" s="19"/>
      <c r="K15" s="2"/>
      <c r="L15" s="2">
        <f t="shared" si="0"/>
        <v>39.950000000000003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-409.1</f>
        <v>-409.1</v>
      </c>
      <c r="U15" s="2"/>
      <c r="V15" s="19"/>
      <c r="W15" s="2"/>
      <c r="X15" s="2">
        <f t="shared" si="2"/>
        <v>409.1</v>
      </c>
      <c r="Y15" s="2"/>
      <c r="Z15" s="19">
        <f t="shared" si="3"/>
        <v>-1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6" t="s">
        <v>8</v>
      </c>
      <c r="C17" s="10"/>
      <c r="D17" s="4">
        <f>SUM(OSRRefD16x_0)</f>
        <v>0</v>
      </c>
      <c r="E17" s="4"/>
      <c r="F17" s="12">
        <f t="shared" ref="F17:F22" si="6">IF(D$12=0,0,D17/D$12)</f>
        <v>0</v>
      </c>
      <c r="G17" s="4"/>
      <c r="H17" s="4">
        <f>SUM(OSRRefH16x_0)</f>
        <v>570.54</v>
      </c>
      <c r="I17" s="4"/>
      <c r="J17" s="12">
        <f t="shared" ref="J17:J22" si="7">IF(H$12=0,0,H17/H$12)</f>
        <v>0.48379957432014176</v>
      </c>
      <c r="K17" s="4"/>
      <c r="L17" s="4">
        <f t="shared" ref="L17:L22" si="8">+D17-H17</f>
        <v>-570.54</v>
      </c>
      <c r="M17" s="4"/>
      <c r="N17" s="12">
        <f t="shared" ref="N17:N22" si="9">IF(H17=0,0,L17/H17)</f>
        <v>-1</v>
      </c>
      <c r="O17" s="10"/>
      <c r="P17" s="4">
        <f>SUM(OSRRefP16x_0)</f>
        <v>0</v>
      </c>
      <c r="Q17" s="4"/>
      <c r="R17" s="12">
        <f t="shared" ref="R17:R22" si="10">IF(P$12=0,0,P17/P$12)</f>
        <v>0</v>
      </c>
      <c r="S17" s="4"/>
      <c r="T17" s="4">
        <f>SUM(OSRRefT16x_0)</f>
        <v>2462.1200000000003</v>
      </c>
      <c r="U17" s="4"/>
      <c r="V17" s="12">
        <f t="shared" ref="V17:V22" si="11">IF(T$12=0,0,T17/T$12)</f>
        <v>0.50249295380841308</v>
      </c>
      <c r="W17" s="4"/>
      <c r="X17" s="4">
        <f t="shared" ref="X17:X22" si="12">+P17-T17</f>
        <v>-2462.1200000000003</v>
      </c>
      <c r="Y17" s="4"/>
      <c r="Z17" s="12">
        <f t="shared" ref="Z17:Z22" si="13">IF(T17=0,0,X17/T17)</f>
        <v>-1</v>
      </c>
    </row>
    <row r="18" spans="1:26" s="24" customFormat="1" hidden="1" outlineLevel="1" x14ac:dyDescent="0.25">
      <c r="A18" s="44"/>
      <c r="B18" s="11" t="str">
        <f>CONCATENATE("          ", "5092", " - ", "PURCHASES @ COST-GRAD MERCH")</f>
        <v xml:space="preserve">          5092 - PURCHASES @ COST-GRAD MERCH</v>
      </c>
      <c r="C18" s="11"/>
      <c r="D18" s="2"/>
      <c r="E18" s="2"/>
      <c r="F18" s="19">
        <f t="shared" si="6"/>
        <v>0</v>
      </c>
      <c r="G18" s="2"/>
      <c r="H18" s="2">
        <v>1343.54</v>
      </c>
      <c r="I18" s="2"/>
      <c r="J18" s="19">
        <f t="shared" si="7"/>
        <v>1.1392787185509925</v>
      </c>
      <c r="K18" s="2"/>
      <c r="L18" s="2">
        <f t="shared" si="8"/>
        <v>-1343.54</v>
      </c>
      <c r="M18" s="2"/>
      <c r="N18" s="19">
        <f t="shared" si="9"/>
        <v>-1</v>
      </c>
      <c r="O18" s="11"/>
      <c r="P18" s="2"/>
      <c r="Q18" s="2"/>
      <c r="R18" s="19">
        <f t="shared" si="10"/>
        <v>0</v>
      </c>
      <c r="S18" s="2"/>
      <c r="T18" s="2">
        <v>1356.49</v>
      </c>
      <c r="U18" s="2"/>
      <c r="V18" s="19">
        <f t="shared" si="11"/>
        <v>0.27684542870029655</v>
      </c>
      <c r="W18" s="2"/>
      <c r="X18" s="2">
        <f t="shared" si="12"/>
        <v>-1356.49</v>
      </c>
      <c r="Y18" s="2"/>
      <c r="Z18" s="19">
        <f t="shared" si="13"/>
        <v>-1</v>
      </c>
    </row>
    <row r="19" spans="1:26" s="24" customFormat="1" hidden="1" outlineLevel="1" x14ac:dyDescent="0.25">
      <c r="A19" s="44"/>
      <c r="B19" s="11" t="str">
        <f>CONCATENATE("          ", "5095", " - ", "PURCHASES @ COST-CUSTOMER SERV")</f>
        <v xml:space="preserve">          5095 - PURCHASES @ COST-CUSTOMER SERV</v>
      </c>
      <c r="C19" s="11"/>
      <c r="D19" s="2"/>
      <c r="E19" s="2"/>
      <c r="F19" s="19">
        <f t="shared" si="6"/>
        <v>0</v>
      </c>
      <c r="G19" s="2"/>
      <c r="H19" s="2"/>
      <c r="I19" s="2"/>
      <c r="J19" s="19">
        <f t="shared" si="7"/>
        <v>0</v>
      </c>
      <c r="K19" s="2"/>
      <c r="L19" s="2">
        <f t="shared" si="8"/>
        <v>0</v>
      </c>
      <c r="M19" s="2"/>
      <c r="N19" s="19">
        <f t="shared" si="9"/>
        <v>0</v>
      </c>
      <c r="O19" s="11"/>
      <c r="P19" s="2"/>
      <c r="Q19" s="2"/>
      <c r="R19" s="19">
        <f t="shared" si="10"/>
        <v>0</v>
      </c>
      <c r="S19" s="2"/>
      <c r="T19" s="2">
        <v>11.85</v>
      </c>
      <c r="U19" s="2"/>
      <c r="V19" s="19">
        <f t="shared" si="11"/>
        <v>2.4184611240027675E-3</v>
      </c>
      <c r="W19" s="2"/>
      <c r="X19" s="2">
        <f t="shared" si="12"/>
        <v>-11.85</v>
      </c>
      <c r="Y19" s="2"/>
      <c r="Z19" s="19">
        <f t="shared" si="13"/>
        <v>-1</v>
      </c>
    </row>
    <row r="20" spans="1:26" s="24" customFormat="1" hidden="1" outlineLevel="1" x14ac:dyDescent="0.25">
      <c r="A20" s="44"/>
      <c r="B20" s="11" t="str">
        <f>CONCATENATE("          ", "5200", " - ", "PURCHASES OFFSET")</f>
        <v xml:space="preserve">          5200 - PURCHASES OFFSET</v>
      </c>
      <c r="C20" s="11"/>
      <c r="D20" s="2"/>
      <c r="E20" s="2"/>
      <c r="F20" s="19">
        <f t="shared" si="6"/>
        <v>0</v>
      </c>
      <c r="G20" s="2"/>
      <c r="H20" s="2">
        <v>-1344</v>
      </c>
      <c r="I20" s="2"/>
      <c r="J20" s="19">
        <f t="shared" si="7"/>
        <v>-1.1396687837597199</v>
      </c>
      <c r="K20" s="2"/>
      <c r="L20" s="2">
        <f t="shared" si="8"/>
        <v>1344</v>
      </c>
      <c r="M20" s="2"/>
      <c r="N20" s="19">
        <f t="shared" si="9"/>
        <v>-1</v>
      </c>
      <c r="O20" s="11"/>
      <c r="P20" s="2"/>
      <c r="Q20" s="2"/>
      <c r="R20" s="19">
        <f t="shared" si="10"/>
        <v>0</v>
      </c>
      <c r="S20" s="2"/>
      <c r="T20" s="2">
        <v>-1440</v>
      </c>
      <c r="U20" s="2"/>
      <c r="V20" s="19">
        <f t="shared" si="11"/>
        <v>-0.29388894671426036</v>
      </c>
      <c r="W20" s="2"/>
      <c r="X20" s="2">
        <f t="shared" si="12"/>
        <v>1440</v>
      </c>
      <c r="Y20" s="2"/>
      <c r="Z20" s="19">
        <f t="shared" si="13"/>
        <v>-1</v>
      </c>
    </row>
    <row r="21" spans="1:26" s="24" customFormat="1" hidden="1" outlineLevel="1" x14ac:dyDescent="0.25">
      <c r="A21" s="44"/>
      <c r="B21" s="11" t="str">
        <f>CONCATENATE("          ", "5300", " - ", "COG$ OFFSET")</f>
        <v xml:space="preserve">          5300 - COG$ OFFSET</v>
      </c>
      <c r="C21" s="11"/>
      <c r="D21" s="2"/>
      <c r="E21" s="2"/>
      <c r="F21" s="19">
        <f t="shared" si="6"/>
        <v>0</v>
      </c>
      <c r="G21" s="2"/>
      <c r="H21" s="2">
        <v>571</v>
      </c>
      <c r="I21" s="2"/>
      <c r="J21" s="19">
        <f t="shared" si="7"/>
        <v>0.48418963952886906</v>
      </c>
      <c r="K21" s="2"/>
      <c r="L21" s="2">
        <f t="shared" si="8"/>
        <v>-571</v>
      </c>
      <c r="M21" s="2"/>
      <c r="N21" s="19">
        <f t="shared" si="9"/>
        <v>-1</v>
      </c>
      <c r="O21" s="11"/>
      <c r="P21" s="2"/>
      <c r="Q21" s="2"/>
      <c r="R21" s="19">
        <f t="shared" si="10"/>
        <v>0</v>
      </c>
      <c r="S21" s="2"/>
      <c r="T21" s="2">
        <v>2463</v>
      </c>
      <c r="U21" s="2"/>
      <c r="V21" s="19">
        <f t="shared" si="11"/>
        <v>0.50267255260918287</v>
      </c>
      <c r="W21" s="2"/>
      <c r="X21" s="2">
        <f t="shared" si="12"/>
        <v>-2463</v>
      </c>
      <c r="Y21" s="2"/>
      <c r="Z21" s="19">
        <f t="shared" si="13"/>
        <v>-1</v>
      </c>
    </row>
    <row r="22" spans="1:26" s="24" customFormat="1" hidden="1" outlineLevel="1" x14ac:dyDescent="0.25">
      <c r="A22" s="44"/>
      <c r="B22" s="11" t="str">
        <f>CONCATENATE("          ", "5592", " - ", "FREIGHT-IN-GRAD MERCH")</f>
        <v xml:space="preserve">          5592 - FREIGHT-IN-GRAD MERCH</v>
      </c>
      <c r="C22" s="11"/>
      <c r="D22" s="2"/>
      <c r="E22" s="2"/>
      <c r="F22" s="19">
        <f t="shared" si="6"/>
        <v>0</v>
      </c>
      <c r="G22" s="2"/>
      <c r="H22" s="2"/>
      <c r="I22" s="2"/>
      <c r="J22" s="19">
        <f t="shared" si="7"/>
        <v>0</v>
      </c>
      <c r="K22" s="2"/>
      <c r="L22" s="2">
        <f t="shared" si="8"/>
        <v>0</v>
      </c>
      <c r="M22" s="2"/>
      <c r="N22" s="19">
        <f t="shared" si="9"/>
        <v>0</v>
      </c>
      <c r="O22" s="11"/>
      <c r="P22" s="2"/>
      <c r="Q22" s="2"/>
      <c r="R22" s="19">
        <f t="shared" si="10"/>
        <v>0</v>
      </c>
      <c r="S22" s="2"/>
      <c r="T22" s="2">
        <v>70.78</v>
      </c>
      <c r="U22" s="2"/>
      <c r="V22" s="19">
        <f t="shared" si="11"/>
        <v>1.4445458089191215E-2</v>
      </c>
      <c r="W22" s="2"/>
      <c r="X22" s="2">
        <f t="shared" si="12"/>
        <v>-70.78</v>
      </c>
      <c r="Y22" s="2"/>
      <c r="Z22" s="19">
        <f t="shared" si="13"/>
        <v>-1</v>
      </c>
    </row>
    <row r="23" spans="1:26" x14ac:dyDescent="0.25">
      <c r="A23" s="9"/>
      <c r="B23" s="10"/>
      <c r="C23" s="10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0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10"/>
      <c r="B24" s="25" t="s">
        <v>6</v>
      </c>
      <c r="C24" s="25"/>
      <c r="D24" s="20">
        <f>D12-D17</f>
        <v>0</v>
      </c>
      <c r="E24" s="13"/>
      <c r="F24" s="21">
        <f>IF(D$12=0,0,D24/D$12)</f>
        <v>0</v>
      </c>
      <c r="G24" s="13"/>
      <c r="H24" s="20">
        <f>H12-H17</f>
        <v>608.75</v>
      </c>
      <c r="I24" s="13"/>
      <c r="J24" s="21">
        <f>IF(H$12=0,0,H24/H$12)</f>
        <v>0.51620042567985824</v>
      </c>
      <c r="K24" s="15"/>
      <c r="L24" s="20">
        <f>+D24-H24</f>
        <v>-608.75</v>
      </c>
      <c r="M24" s="15"/>
      <c r="N24" s="21">
        <f>IF(H24=0,0,L24/H24)</f>
        <v>-1</v>
      </c>
      <c r="O24" s="26"/>
      <c r="P24" s="20">
        <f>P12-P17</f>
        <v>0</v>
      </c>
      <c r="Q24" s="13"/>
      <c r="R24" s="21">
        <f>IF(P$12=0,0,P24/P$12)</f>
        <v>0</v>
      </c>
      <c r="S24" s="13"/>
      <c r="T24" s="20">
        <f>T12-T17</f>
        <v>2437.6899999999991</v>
      </c>
      <c r="U24" s="13"/>
      <c r="V24" s="21">
        <f>IF(T$12=0,0,T24/T$12)</f>
        <v>0.49750704619158692</v>
      </c>
      <c r="W24" s="15"/>
      <c r="X24" s="20">
        <f>+P24-T24</f>
        <v>-2437.6899999999991</v>
      </c>
      <c r="Y24" s="15"/>
      <c r="Z24" s="21">
        <f>IF(T24=0,0,X24/T24)</f>
        <v>-1</v>
      </c>
    </row>
    <row r="25" spans="1:26" x14ac:dyDescent="0.25">
      <c r="A25" s="9"/>
      <c r="B25" s="10"/>
      <c r="C25" s="9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7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3" customFormat="1" x14ac:dyDescent="0.25">
      <c r="A26" s="10"/>
      <c r="B26" s="26" t="s">
        <v>9</v>
      </c>
      <c r="C26" s="10"/>
      <c r="D26" s="22">
        <f>SUM(OSRRefD22x_0)</f>
        <v>0</v>
      </c>
      <c r="E26" s="22"/>
      <c r="F26" s="36">
        <f t="shared" ref="F26:F34" si="14">IF(D$12=0,0,D26/D$12)</f>
        <v>0</v>
      </c>
      <c r="G26" s="22"/>
      <c r="H26" s="22">
        <f>SUM(OSRRefH22x_0)</f>
        <v>1041.18</v>
      </c>
      <c r="I26" s="22"/>
      <c r="J26" s="36">
        <f t="shared" ref="J26:J34" si="15">IF(H$12=0,0,H26/H$12)</f>
        <v>0.88288716091885799</v>
      </c>
      <c r="K26" s="4"/>
      <c r="L26" s="22">
        <f t="shared" ref="L26:L34" si="16">+D26-H26</f>
        <v>-1041.18</v>
      </c>
      <c r="M26" s="4"/>
      <c r="N26" s="36">
        <f t="shared" ref="N26:N34" si="17">IF(H26=0,0,L26/H26)</f>
        <v>-1</v>
      </c>
      <c r="O26" s="10"/>
      <c r="P26" s="22">
        <f>SUM(OSRRefP22x_0)</f>
        <v>0</v>
      </c>
      <c r="Q26" s="22"/>
      <c r="R26" s="36">
        <f t="shared" ref="R26:R34" si="18">IF(P$12=0,0,P26/P$12)</f>
        <v>0</v>
      </c>
      <c r="S26" s="22"/>
      <c r="T26" s="22">
        <f>SUM(OSRRefT22x_0)</f>
        <v>-301.54999999999688</v>
      </c>
      <c r="U26" s="22"/>
      <c r="V26" s="36">
        <f t="shared" ref="V26:V34" si="19">IF(T$12=0,0,T26/T$12)</f>
        <v>-6.1543202695614099E-2</v>
      </c>
      <c r="W26" s="4"/>
      <c r="X26" s="22">
        <f t="shared" ref="X26:X34" si="20">+P26-T26</f>
        <v>301.54999999999688</v>
      </c>
      <c r="Y26" s="4"/>
      <c r="Z26" s="36">
        <f t="shared" ref="Z26:Z34" si="21">IF(T26=0,0,X26/T26)</f>
        <v>-1</v>
      </c>
    </row>
    <row r="27" spans="1:26" s="29" customFormat="1" outlineLevel="1" collapsed="1" x14ac:dyDescent="0.25">
      <c r="A27" s="27"/>
      <c r="B27" s="14" t="str">
        <f>CONCATENATE("     ","*Benefits                                         ")</f>
        <v xml:space="preserve">     *Benefits                                         </v>
      </c>
      <c r="C27" s="14"/>
      <c r="D27" s="1">
        <f>SUM(OSRRefD22_0x_0)</f>
        <v>0</v>
      </c>
      <c r="E27" s="1"/>
      <c r="F27" s="5">
        <f t="shared" si="14"/>
        <v>0</v>
      </c>
      <c r="G27" s="1"/>
      <c r="H27" s="1">
        <f>SUM(OSRRefH22_0x_0)</f>
        <v>-14.43</v>
      </c>
      <c r="I27" s="1"/>
      <c r="J27" s="5">
        <f t="shared" si="15"/>
        <v>-1.223617600420592E-2</v>
      </c>
      <c r="K27" s="1"/>
      <c r="L27" s="1">
        <f t="shared" si="16"/>
        <v>14.43</v>
      </c>
      <c r="M27" s="1"/>
      <c r="N27" s="5">
        <f t="shared" si="17"/>
        <v>-1</v>
      </c>
      <c r="O27" s="14"/>
      <c r="P27" s="1">
        <f>SUM(OSRRefP22_0x_0)</f>
        <v>0</v>
      </c>
      <c r="Q27" s="1"/>
      <c r="R27" s="5">
        <f t="shared" si="18"/>
        <v>0</v>
      </c>
      <c r="S27" s="1"/>
      <c r="T27" s="1">
        <f>SUM(OSRRefT22_0x_0)</f>
        <v>821.29</v>
      </c>
      <c r="U27" s="1"/>
      <c r="V27" s="5">
        <f t="shared" si="19"/>
        <v>0.16761670350482979</v>
      </c>
      <c r="W27" s="1"/>
      <c r="X27" s="1">
        <f t="shared" si="20"/>
        <v>-821.29</v>
      </c>
      <c r="Y27" s="1"/>
      <c r="Z27" s="5">
        <f t="shared" si="21"/>
        <v>-1</v>
      </c>
    </row>
    <row r="28" spans="1:26" s="24" customFormat="1" hidden="1" outlineLevel="2" x14ac:dyDescent="0.25">
      <c r="A28" s="28"/>
      <c r="B28" s="11" t="str">
        <f>CONCATENATE("          ", "6111", " - ", "F.I.C.A.")</f>
        <v xml:space="preserve">          6111 - F.I.C.A.</v>
      </c>
      <c r="C28" s="11"/>
      <c r="D28" s="6"/>
      <c r="E28" s="2"/>
      <c r="F28" s="7">
        <f t="shared" si="14"/>
        <v>0</v>
      </c>
      <c r="G28" s="2"/>
      <c r="H28" s="6"/>
      <c r="I28" s="2"/>
      <c r="J28" s="7">
        <f t="shared" si="15"/>
        <v>0</v>
      </c>
      <c r="K28" s="2"/>
      <c r="L28" s="6">
        <f t="shared" si="16"/>
        <v>0</v>
      </c>
      <c r="M28" s="2"/>
      <c r="N28" s="7">
        <f t="shared" si="17"/>
        <v>0</v>
      </c>
      <c r="O28" s="11"/>
      <c r="P28" s="6"/>
      <c r="Q28" s="2"/>
      <c r="R28" s="7">
        <f t="shared" si="18"/>
        <v>0</v>
      </c>
      <c r="S28" s="2"/>
      <c r="T28" s="6">
        <v>155.66</v>
      </c>
      <c r="U28" s="2"/>
      <c r="V28" s="7">
        <f t="shared" si="19"/>
        <v>3.1768578781626228E-2</v>
      </c>
      <c r="W28" s="2"/>
      <c r="X28" s="6">
        <f t="shared" si="20"/>
        <v>-155.66</v>
      </c>
      <c r="Y28" s="2"/>
      <c r="Z28" s="7">
        <f t="shared" si="21"/>
        <v>-1</v>
      </c>
    </row>
    <row r="29" spans="1:26" s="24" customFormat="1" hidden="1" outlineLevel="2" x14ac:dyDescent="0.25">
      <c r="A29" s="28"/>
      <c r="B29" s="11" t="str">
        <f>CONCATENATE("          ", "6112", " - ", "COMPENSATION INSURANCE")</f>
        <v xml:space="preserve">          6112 - COMPENSATION INSURANCE</v>
      </c>
      <c r="C29" s="11"/>
      <c r="D29" s="6"/>
      <c r="E29" s="2"/>
      <c r="F29" s="7">
        <f t="shared" si="14"/>
        <v>0</v>
      </c>
      <c r="G29" s="2"/>
      <c r="H29" s="6">
        <v>-14.43</v>
      </c>
      <c r="I29" s="2"/>
      <c r="J29" s="7">
        <f t="shared" si="15"/>
        <v>-1.223617600420592E-2</v>
      </c>
      <c r="K29" s="2"/>
      <c r="L29" s="6">
        <f t="shared" si="16"/>
        <v>14.43</v>
      </c>
      <c r="M29" s="2"/>
      <c r="N29" s="7">
        <f t="shared" si="17"/>
        <v>-1</v>
      </c>
      <c r="O29" s="11"/>
      <c r="P29" s="6"/>
      <c r="Q29" s="2"/>
      <c r="R29" s="7">
        <f t="shared" si="18"/>
        <v>0</v>
      </c>
      <c r="S29" s="2"/>
      <c r="T29" s="6">
        <v>22.05</v>
      </c>
      <c r="U29" s="2"/>
      <c r="V29" s="7">
        <f t="shared" si="19"/>
        <v>4.5001744965621126E-3</v>
      </c>
      <c r="W29" s="2"/>
      <c r="X29" s="6">
        <f t="shared" si="20"/>
        <v>-22.05</v>
      </c>
      <c r="Y29" s="2"/>
      <c r="Z29" s="7">
        <f t="shared" si="21"/>
        <v>-1</v>
      </c>
    </row>
    <row r="30" spans="1:26" s="24" customFormat="1" hidden="1" outlineLevel="2" x14ac:dyDescent="0.25">
      <c r="A30" s="28"/>
      <c r="B30" s="11" t="str">
        <f>CONCATENATE("          ", "6113", " - ", "GROUP INSURANCE")</f>
        <v xml:space="preserve">          6113 - GROUP INSURANCE</v>
      </c>
      <c r="C30" s="11"/>
      <c r="D30" s="6"/>
      <c r="E30" s="2"/>
      <c r="F30" s="7">
        <f t="shared" si="14"/>
        <v>0</v>
      </c>
      <c r="G30" s="2"/>
      <c r="H30" s="6"/>
      <c r="I30" s="2"/>
      <c r="J30" s="7">
        <f t="shared" si="15"/>
        <v>0</v>
      </c>
      <c r="K30" s="2"/>
      <c r="L30" s="6">
        <f t="shared" si="16"/>
        <v>0</v>
      </c>
      <c r="M30" s="2"/>
      <c r="N30" s="7">
        <f t="shared" si="17"/>
        <v>0</v>
      </c>
      <c r="O30" s="11"/>
      <c r="P30" s="6"/>
      <c r="Q30" s="2"/>
      <c r="R30" s="7">
        <f t="shared" si="18"/>
        <v>0</v>
      </c>
      <c r="S30" s="2"/>
      <c r="T30" s="6">
        <v>305.26</v>
      </c>
      <c r="U30" s="2"/>
      <c r="V30" s="7">
        <f t="shared" si="19"/>
        <v>6.2300374912496612E-2</v>
      </c>
      <c r="W30" s="2"/>
      <c r="X30" s="6">
        <f t="shared" si="20"/>
        <v>-305.26</v>
      </c>
      <c r="Y30" s="2"/>
      <c r="Z30" s="7">
        <f t="shared" si="21"/>
        <v>-1</v>
      </c>
    </row>
    <row r="31" spans="1:26" s="24" customFormat="1" hidden="1" outlineLevel="2" x14ac:dyDescent="0.25">
      <c r="A31" s="28"/>
      <c r="B31" s="11" t="str">
        <f>CONCATENATE("          ", "6114", " - ", "STATE UNEMPLOYMENT INSURANCE")</f>
        <v xml:space="preserve">          6114 - STATE UNEMPLOYMENT INSURANCE</v>
      </c>
      <c r="C31" s="11"/>
      <c r="D31" s="6"/>
      <c r="E31" s="2"/>
      <c r="F31" s="7">
        <f t="shared" si="14"/>
        <v>0</v>
      </c>
      <c r="G31" s="2"/>
      <c r="H31" s="6"/>
      <c r="I31" s="2"/>
      <c r="J31" s="7">
        <f t="shared" si="15"/>
        <v>0</v>
      </c>
      <c r="K31" s="2"/>
      <c r="L31" s="6">
        <f t="shared" si="16"/>
        <v>0</v>
      </c>
      <c r="M31" s="2"/>
      <c r="N31" s="7">
        <f t="shared" si="17"/>
        <v>0</v>
      </c>
      <c r="O31" s="11"/>
      <c r="P31" s="6"/>
      <c r="Q31" s="2"/>
      <c r="R31" s="7">
        <f t="shared" si="18"/>
        <v>0</v>
      </c>
      <c r="S31" s="2"/>
      <c r="T31" s="6">
        <v>5</v>
      </c>
      <c r="U31" s="2"/>
      <c r="V31" s="7">
        <f t="shared" si="19"/>
        <v>1.0204477316467374E-3</v>
      </c>
      <c r="W31" s="2"/>
      <c r="X31" s="6">
        <f t="shared" si="20"/>
        <v>-5</v>
      </c>
      <c r="Y31" s="2"/>
      <c r="Z31" s="7">
        <f t="shared" si="21"/>
        <v>-1</v>
      </c>
    </row>
    <row r="32" spans="1:26" s="24" customFormat="1" hidden="1" outlineLevel="2" x14ac:dyDescent="0.25">
      <c r="A32" s="28"/>
      <c r="B32" s="11" t="str">
        <f>CONCATENATE("          ", "6115", " - ", "P.E.R.S.")</f>
        <v xml:space="preserve">          6115 - P.E.R.S.</v>
      </c>
      <c r="C32" s="11"/>
      <c r="D32" s="6"/>
      <c r="E32" s="2"/>
      <c r="F32" s="7">
        <f t="shared" si="14"/>
        <v>0</v>
      </c>
      <c r="G32" s="2"/>
      <c r="H32" s="6"/>
      <c r="I32" s="2"/>
      <c r="J32" s="7">
        <f t="shared" si="15"/>
        <v>0</v>
      </c>
      <c r="K32" s="2"/>
      <c r="L32" s="6">
        <f t="shared" si="16"/>
        <v>0</v>
      </c>
      <c r="M32" s="2"/>
      <c r="N32" s="7">
        <f t="shared" si="17"/>
        <v>0</v>
      </c>
      <c r="O32" s="11"/>
      <c r="P32" s="6"/>
      <c r="Q32" s="2"/>
      <c r="R32" s="7">
        <f t="shared" si="18"/>
        <v>0</v>
      </c>
      <c r="S32" s="2"/>
      <c r="T32" s="6">
        <v>134.12</v>
      </c>
      <c r="U32" s="2"/>
      <c r="V32" s="7">
        <f t="shared" si="19"/>
        <v>2.7372489953692087E-2</v>
      </c>
      <c r="W32" s="2"/>
      <c r="X32" s="6">
        <f t="shared" si="20"/>
        <v>-134.12</v>
      </c>
      <c r="Y32" s="2"/>
      <c r="Z32" s="7">
        <f t="shared" si="21"/>
        <v>-1</v>
      </c>
    </row>
    <row r="33" spans="1:26" s="24" customFormat="1" hidden="1" outlineLevel="2" x14ac:dyDescent="0.25">
      <c r="A33" s="28"/>
      <c r="B33" s="11" t="str">
        <f>CONCATENATE("          ", "6118", " - ", "VACATION")</f>
        <v xml:space="preserve">          6118 - VACATION</v>
      </c>
      <c r="C33" s="11"/>
      <c r="D33" s="6"/>
      <c r="E33" s="2"/>
      <c r="F33" s="7">
        <f t="shared" si="14"/>
        <v>0</v>
      </c>
      <c r="G33" s="2"/>
      <c r="H33" s="6"/>
      <c r="I33" s="2"/>
      <c r="J33" s="7">
        <f t="shared" si="15"/>
        <v>0</v>
      </c>
      <c r="K33" s="2"/>
      <c r="L33" s="6">
        <f t="shared" si="16"/>
        <v>0</v>
      </c>
      <c r="M33" s="2"/>
      <c r="N33" s="7">
        <f t="shared" si="17"/>
        <v>0</v>
      </c>
      <c r="O33" s="11"/>
      <c r="P33" s="6"/>
      <c r="Q33" s="2"/>
      <c r="R33" s="7">
        <f t="shared" si="18"/>
        <v>0</v>
      </c>
      <c r="S33" s="2"/>
      <c r="T33" s="6">
        <v>110.64</v>
      </c>
      <c r="U33" s="2"/>
      <c r="V33" s="7">
        <f t="shared" si="19"/>
        <v>2.2580467405879007E-2</v>
      </c>
      <c r="W33" s="2"/>
      <c r="X33" s="6">
        <f t="shared" si="20"/>
        <v>-110.64</v>
      </c>
      <c r="Y33" s="2"/>
      <c r="Z33" s="7">
        <f t="shared" si="21"/>
        <v>-1</v>
      </c>
    </row>
    <row r="34" spans="1:26" s="24" customFormat="1" hidden="1" outlineLevel="2" x14ac:dyDescent="0.25">
      <c r="A34" s="28"/>
      <c r="B34" s="11" t="str">
        <f>CONCATENATE("          ", "6119", " - ", "SICK LEAVE")</f>
        <v xml:space="preserve">          6119 - SICK LEAVE</v>
      </c>
      <c r="C34" s="11"/>
      <c r="D34" s="6"/>
      <c r="E34" s="2"/>
      <c r="F34" s="7">
        <f t="shared" si="14"/>
        <v>0</v>
      </c>
      <c r="G34" s="2"/>
      <c r="H34" s="6"/>
      <c r="I34" s="2"/>
      <c r="J34" s="7">
        <f t="shared" si="15"/>
        <v>0</v>
      </c>
      <c r="K34" s="2"/>
      <c r="L34" s="6">
        <f t="shared" si="16"/>
        <v>0</v>
      </c>
      <c r="M34" s="2"/>
      <c r="N34" s="7">
        <f t="shared" si="17"/>
        <v>0</v>
      </c>
      <c r="O34" s="11"/>
      <c r="P34" s="6"/>
      <c r="Q34" s="2"/>
      <c r="R34" s="7">
        <f t="shared" si="18"/>
        <v>0</v>
      </c>
      <c r="S34" s="2"/>
      <c r="T34" s="6">
        <v>88.56</v>
      </c>
      <c r="U34" s="2"/>
      <c r="V34" s="7">
        <f t="shared" si="19"/>
        <v>1.8074170222927014E-2</v>
      </c>
      <c r="W34" s="2"/>
      <c r="X34" s="6">
        <f t="shared" si="20"/>
        <v>-88.56</v>
      </c>
      <c r="Y34" s="2"/>
      <c r="Z34" s="7">
        <f t="shared" si="21"/>
        <v>-1</v>
      </c>
    </row>
    <row r="35" spans="1:26" s="29" customFormat="1" outlineLevel="1" collapsed="1" x14ac:dyDescent="0.25">
      <c r="A35" s="27"/>
      <c r="B35" s="14" t="str">
        <f>CONCATENATE("     ","*Payroll                                          ")</f>
        <v xml:space="preserve">     *Payroll                                          </v>
      </c>
      <c r="C35" s="14"/>
      <c r="D35" s="1">
        <f>SUM(OSRRefD22_1x_0)</f>
        <v>0</v>
      </c>
      <c r="E35" s="1"/>
      <c r="F35" s="5">
        <f t="shared" ref="F35:F38" si="22">IF(D$12=0,0,D35/D$12)</f>
        <v>0</v>
      </c>
      <c r="G35" s="1"/>
      <c r="H35" s="1">
        <f>SUM(OSRRefH22_1x_0)</f>
        <v>0</v>
      </c>
      <c r="I35" s="1"/>
      <c r="J35" s="5">
        <f t="shared" ref="J35:J38" si="23">IF(H$12=0,0,H35/H$12)</f>
        <v>0</v>
      </c>
      <c r="K35" s="1"/>
      <c r="L35" s="1">
        <f t="shared" ref="L35:L38" si="24">+D35-H35</f>
        <v>0</v>
      </c>
      <c r="M35" s="1"/>
      <c r="N35" s="5">
        <f t="shared" ref="N35:N38" si="25">IF(H35=0,0,L35/H35)</f>
        <v>0</v>
      </c>
      <c r="O35" s="14"/>
      <c r="P35" s="1">
        <f>SUM(OSRRefP22_1x_0)</f>
        <v>0</v>
      </c>
      <c r="Q35" s="1"/>
      <c r="R35" s="5">
        <f t="shared" ref="R35:R38" si="26">IF(P$12=0,0,P35/P$12)</f>
        <v>0</v>
      </c>
      <c r="S35" s="1"/>
      <c r="T35" s="1">
        <f>SUM(OSRRefT22_1x_0)</f>
        <v>1986.7399999999998</v>
      </c>
      <c r="U35" s="1"/>
      <c r="V35" s="5">
        <f t="shared" ref="V35:V38" si="27">IF(T$12=0,0,T35/T$12)</f>
        <v>0.40547286527436777</v>
      </c>
      <c r="W35" s="1"/>
      <c r="X35" s="1">
        <f t="shared" ref="X35:X38" si="28">+P35-T35</f>
        <v>-1986.7399999999998</v>
      </c>
      <c r="Y35" s="1"/>
      <c r="Z35" s="5">
        <f t="shared" ref="Z35:Z38" si="29">IF(T35=0,0,X35/T35)</f>
        <v>-1</v>
      </c>
    </row>
    <row r="36" spans="1:26" s="24" customFormat="1" hidden="1" outlineLevel="2" x14ac:dyDescent="0.25">
      <c r="A36" s="28"/>
      <c r="B36" s="11" t="str">
        <f>CONCATENATE("          ", "6002", " - ", "STAFF SALARIES")</f>
        <v xml:space="preserve">          6002 - STAFF SALARIES</v>
      </c>
      <c r="C36" s="11"/>
      <c r="D36" s="6"/>
      <c r="E36" s="2"/>
      <c r="F36" s="7">
        <f t="shared" si="22"/>
        <v>0</v>
      </c>
      <c r="G36" s="2"/>
      <c r="H36" s="6"/>
      <c r="I36" s="2"/>
      <c r="J36" s="7">
        <f t="shared" si="23"/>
        <v>0</v>
      </c>
      <c r="K36" s="2"/>
      <c r="L36" s="6">
        <f t="shared" si="24"/>
        <v>0</v>
      </c>
      <c r="M36" s="2"/>
      <c r="N36" s="7">
        <f t="shared" si="25"/>
        <v>0</v>
      </c>
      <c r="O36" s="11"/>
      <c r="P36" s="6"/>
      <c r="Q36" s="2"/>
      <c r="R36" s="7">
        <f t="shared" si="26"/>
        <v>0</v>
      </c>
      <c r="S36" s="2"/>
      <c r="T36" s="6">
        <v>1872</v>
      </c>
      <c r="U36" s="2"/>
      <c r="V36" s="7">
        <f t="shared" si="27"/>
        <v>0.38205563072853849</v>
      </c>
      <c r="W36" s="2"/>
      <c r="X36" s="6">
        <f t="shared" si="28"/>
        <v>-1872</v>
      </c>
      <c r="Y36" s="2"/>
      <c r="Z36" s="7">
        <f t="shared" si="29"/>
        <v>-1</v>
      </c>
    </row>
    <row r="37" spans="1:26" s="24" customFormat="1" hidden="1" outlineLevel="2" x14ac:dyDescent="0.25">
      <c r="A37" s="28"/>
      <c r="B37" s="11" t="str">
        <f>CONCATENATE("          ", "6006", " - ", "TEMPORARY PART TIME")</f>
        <v xml:space="preserve">          6006 - TEMPORARY PART TIME</v>
      </c>
      <c r="C37" s="11"/>
      <c r="D37" s="6"/>
      <c r="E37" s="2"/>
      <c r="F37" s="7">
        <f t="shared" si="22"/>
        <v>0</v>
      </c>
      <c r="G37" s="2"/>
      <c r="H37" s="6"/>
      <c r="I37" s="2"/>
      <c r="J37" s="7">
        <f t="shared" si="23"/>
        <v>0</v>
      </c>
      <c r="K37" s="2"/>
      <c r="L37" s="6">
        <f t="shared" si="24"/>
        <v>0</v>
      </c>
      <c r="M37" s="2"/>
      <c r="N37" s="7">
        <f t="shared" si="25"/>
        <v>0</v>
      </c>
      <c r="O37" s="11"/>
      <c r="P37" s="6"/>
      <c r="Q37" s="2"/>
      <c r="R37" s="7">
        <f t="shared" si="26"/>
        <v>0</v>
      </c>
      <c r="S37" s="2"/>
      <c r="T37" s="6">
        <v>57.37</v>
      </c>
      <c r="U37" s="2"/>
      <c r="V37" s="7">
        <f t="shared" si="27"/>
        <v>1.1708617272914664E-2</v>
      </c>
      <c r="W37" s="2"/>
      <c r="X37" s="6">
        <f t="shared" si="28"/>
        <v>-57.37</v>
      </c>
      <c r="Y37" s="2"/>
      <c r="Z37" s="7">
        <f t="shared" si="29"/>
        <v>-1</v>
      </c>
    </row>
    <row r="38" spans="1:26" s="24" customFormat="1" hidden="1" outlineLevel="2" x14ac:dyDescent="0.25">
      <c r="A38" s="28"/>
      <c r="B38" s="11" t="str">
        <f>CONCATENATE("          ", "6007", " - ", "STUDENT HOURLY")</f>
        <v xml:space="preserve">          6007 - STUDENT HOURLY</v>
      </c>
      <c r="C38" s="11"/>
      <c r="D38" s="6"/>
      <c r="E38" s="2"/>
      <c r="F38" s="7">
        <f t="shared" si="22"/>
        <v>0</v>
      </c>
      <c r="G38" s="2"/>
      <c r="H38" s="6"/>
      <c r="I38" s="2"/>
      <c r="J38" s="7">
        <f t="shared" si="23"/>
        <v>0</v>
      </c>
      <c r="K38" s="2"/>
      <c r="L38" s="6">
        <f t="shared" si="24"/>
        <v>0</v>
      </c>
      <c r="M38" s="2"/>
      <c r="N38" s="7">
        <f t="shared" si="25"/>
        <v>0</v>
      </c>
      <c r="O38" s="11"/>
      <c r="P38" s="6"/>
      <c r="Q38" s="2"/>
      <c r="R38" s="7">
        <f t="shared" si="26"/>
        <v>0</v>
      </c>
      <c r="S38" s="2"/>
      <c r="T38" s="6">
        <v>57.37</v>
      </c>
      <c r="U38" s="2"/>
      <c r="V38" s="7">
        <f t="shared" si="27"/>
        <v>1.1708617272914664E-2</v>
      </c>
      <c r="W38" s="2"/>
      <c r="X38" s="6">
        <f t="shared" si="28"/>
        <v>-57.37</v>
      </c>
      <c r="Y38" s="2"/>
      <c r="Z38" s="7">
        <f t="shared" si="29"/>
        <v>-1</v>
      </c>
    </row>
    <row r="39" spans="1:26" s="29" customFormat="1" outlineLevel="1" collapsed="1" x14ac:dyDescent="0.25">
      <c r="A39" s="27"/>
      <c r="B39" s="14" t="str">
        <f>CONCATENATE("     ","Advertising/Promo                                 ")</f>
        <v xml:space="preserve">     Advertising/Promo                                 </v>
      </c>
      <c r="C39" s="14"/>
      <c r="D39" s="1">
        <f>SUM(OSRRefD22_2x_0)</f>
        <v>0</v>
      </c>
      <c r="E39" s="1"/>
      <c r="F39" s="5">
        <f t="shared" ref="F39:F45" si="30">IF(D$12=0,0,D39/D$12)</f>
        <v>0</v>
      </c>
      <c r="G39" s="1"/>
      <c r="H39" s="1">
        <f>SUM(OSRRefH22_2x_0)</f>
        <v>0</v>
      </c>
      <c r="I39" s="1"/>
      <c r="J39" s="5">
        <f t="shared" ref="J39:J45" si="31">IF(H$12=0,0,H39/H$12)</f>
        <v>0</v>
      </c>
      <c r="K39" s="1"/>
      <c r="L39" s="1">
        <f t="shared" ref="L39:L45" si="32">+D39-H39</f>
        <v>0</v>
      </c>
      <c r="M39" s="1"/>
      <c r="N39" s="5">
        <f t="shared" ref="N39:N45" si="33">IF(H39=0,0,L39/H39)</f>
        <v>0</v>
      </c>
      <c r="O39" s="14"/>
      <c r="P39" s="1">
        <f>SUM(OSRRefP22_2x_0)</f>
        <v>0</v>
      </c>
      <c r="Q39" s="1"/>
      <c r="R39" s="5">
        <f t="shared" ref="R39:R45" si="34">IF(P$12=0,0,P39/P$12)</f>
        <v>0</v>
      </c>
      <c r="S39" s="1"/>
      <c r="T39" s="1">
        <f>SUM(OSRRefT22_2x_0)</f>
        <v>-857.46</v>
      </c>
      <c r="U39" s="1"/>
      <c r="V39" s="5">
        <f t="shared" ref="V39:V45" si="35">IF(T$12=0,0,T39/T$12)</f>
        <v>-0.1749986223955623</v>
      </c>
      <c r="W39" s="1"/>
      <c r="X39" s="1">
        <f t="shared" ref="X39:X45" si="36">+P39-T39</f>
        <v>857.46</v>
      </c>
      <c r="Y39" s="1"/>
      <c r="Z39" s="5">
        <f t="shared" ref="Z39:Z45" si="37">IF(T39=0,0,X39/T39)</f>
        <v>-1</v>
      </c>
    </row>
    <row r="40" spans="1:26" s="24" customFormat="1" hidden="1" outlineLevel="2" x14ac:dyDescent="0.25">
      <c r="A40" s="28"/>
      <c r="B40" s="11" t="str">
        <f>CONCATENATE("          ", "6362", " - ", "ADVERTISING EXPENSE")</f>
        <v xml:space="preserve">          6362 - ADVERTISING EXPENSE</v>
      </c>
      <c r="C40" s="11"/>
      <c r="D40" s="6"/>
      <c r="E40" s="2"/>
      <c r="F40" s="7">
        <f t="shared" si="30"/>
        <v>0</v>
      </c>
      <c r="G40" s="2"/>
      <c r="H40" s="6"/>
      <c r="I40" s="2"/>
      <c r="J40" s="7">
        <f t="shared" si="31"/>
        <v>0</v>
      </c>
      <c r="K40" s="2"/>
      <c r="L40" s="6">
        <f t="shared" si="32"/>
        <v>0</v>
      </c>
      <c r="M40" s="2"/>
      <c r="N40" s="7">
        <f t="shared" si="33"/>
        <v>0</v>
      </c>
      <c r="O40" s="11"/>
      <c r="P40" s="6"/>
      <c r="Q40" s="2"/>
      <c r="R40" s="7">
        <f t="shared" si="34"/>
        <v>0</v>
      </c>
      <c r="S40" s="2"/>
      <c r="T40" s="6">
        <v>-857.46</v>
      </c>
      <c r="U40" s="2"/>
      <c r="V40" s="7">
        <f t="shared" si="35"/>
        <v>-0.1749986223955623</v>
      </c>
      <c r="W40" s="2"/>
      <c r="X40" s="6">
        <f t="shared" si="36"/>
        <v>857.46</v>
      </c>
      <c r="Y40" s="2"/>
      <c r="Z40" s="7">
        <f t="shared" si="37"/>
        <v>-1</v>
      </c>
    </row>
    <row r="41" spans="1:26" s="29" customFormat="1" outlineLevel="1" collapsed="1" x14ac:dyDescent="0.25">
      <c r="A41" s="27"/>
      <c r="B41" s="14" t="str">
        <f>CONCATENATE("     ","Discounts and Markdowns                           ")</f>
        <v xml:space="preserve">     Discounts and Markdowns                           </v>
      </c>
      <c r="C41" s="14"/>
      <c r="D41" s="1">
        <f>SUM(OSRRefD22_3x_0)</f>
        <v>0</v>
      </c>
      <c r="E41" s="1"/>
      <c r="F41" s="5">
        <f t="shared" si="30"/>
        <v>0</v>
      </c>
      <c r="G41" s="1"/>
      <c r="H41" s="1">
        <f>SUM(OSRRefH22_3x_0)</f>
        <v>233.7</v>
      </c>
      <c r="I41" s="1"/>
      <c r="J41" s="5">
        <f t="shared" si="31"/>
        <v>0.19817008539036199</v>
      </c>
      <c r="K41" s="1"/>
      <c r="L41" s="1">
        <f t="shared" si="32"/>
        <v>-233.7</v>
      </c>
      <c r="M41" s="1"/>
      <c r="N41" s="5">
        <f t="shared" si="33"/>
        <v>-1</v>
      </c>
      <c r="O41" s="14"/>
      <c r="P41" s="1">
        <f>SUM(OSRRefP22_3x_0)</f>
        <v>0</v>
      </c>
      <c r="Q41" s="1"/>
      <c r="R41" s="5">
        <f t="shared" si="34"/>
        <v>0</v>
      </c>
      <c r="S41" s="1"/>
      <c r="T41" s="1">
        <f>SUM(OSRRefT22_3x_0)</f>
        <v>238.95</v>
      </c>
      <c r="U41" s="1"/>
      <c r="V41" s="5">
        <f t="shared" si="35"/>
        <v>4.8767197095397577E-2</v>
      </c>
      <c r="W41" s="1"/>
      <c r="X41" s="1">
        <f t="shared" si="36"/>
        <v>-238.95</v>
      </c>
      <c r="Y41" s="1"/>
      <c r="Z41" s="5">
        <f t="shared" si="37"/>
        <v>-1</v>
      </c>
    </row>
    <row r="42" spans="1:26" s="24" customFormat="1" hidden="1" outlineLevel="2" x14ac:dyDescent="0.25">
      <c r="A42" s="28"/>
      <c r="B42" s="11" t="str">
        <f>CONCATENATE("          ", "6382", " - ", "DISCOUNTS/MARK DOWNS")</f>
        <v xml:space="preserve">          6382 - DISCOUNTS/MARK DOWNS</v>
      </c>
      <c r="C42" s="11"/>
      <c r="D42" s="6"/>
      <c r="E42" s="2"/>
      <c r="F42" s="7">
        <f t="shared" si="30"/>
        <v>0</v>
      </c>
      <c r="G42" s="2"/>
      <c r="H42" s="6">
        <v>233.7</v>
      </c>
      <c r="I42" s="2"/>
      <c r="J42" s="7">
        <f t="shared" si="31"/>
        <v>0.19817008539036199</v>
      </c>
      <c r="K42" s="2"/>
      <c r="L42" s="6">
        <f t="shared" si="32"/>
        <v>-233.7</v>
      </c>
      <c r="M42" s="2"/>
      <c r="N42" s="7">
        <f t="shared" si="33"/>
        <v>-1</v>
      </c>
      <c r="O42" s="11"/>
      <c r="P42" s="6"/>
      <c r="Q42" s="2"/>
      <c r="R42" s="7">
        <f t="shared" si="34"/>
        <v>0</v>
      </c>
      <c r="S42" s="2"/>
      <c r="T42" s="6">
        <v>238.95</v>
      </c>
      <c r="U42" s="2"/>
      <c r="V42" s="7">
        <f t="shared" si="35"/>
        <v>4.8767197095397577E-2</v>
      </c>
      <c r="W42" s="2"/>
      <c r="X42" s="6">
        <f t="shared" si="36"/>
        <v>-238.95</v>
      </c>
      <c r="Y42" s="2"/>
      <c r="Z42" s="7">
        <f t="shared" si="37"/>
        <v>-1</v>
      </c>
    </row>
    <row r="43" spans="1:26" s="29" customFormat="1" outlineLevel="1" collapsed="1" x14ac:dyDescent="0.25">
      <c r="A43" s="27"/>
      <c r="B43" s="14" t="str">
        <f>CONCATENATE("     ","Freight out/Postage                               ")</f>
        <v xml:space="preserve">     Freight out/Postage                               </v>
      </c>
      <c r="C43" s="14"/>
      <c r="D43" s="1">
        <f>SUM(OSRRefD22_4x_0)</f>
        <v>0</v>
      </c>
      <c r="E43" s="1"/>
      <c r="F43" s="5">
        <f t="shared" si="30"/>
        <v>0</v>
      </c>
      <c r="G43" s="1"/>
      <c r="H43" s="1">
        <f>SUM(OSRRefH22_4x_0)</f>
        <v>234.75</v>
      </c>
      <c r="I43" s="1"/>
      <c r="J43" s="5">
        <f t="shared" si="31"/>
        <v>0.19906045162767427</v>
      </c>
      <c r="K43" s="1"/>
      <c r="L43" s="1">
        <f t="shared" si="32"/>
        <v>-234.75</v>
      </c>
      <c r="M43" s="1"/>
      <c r="N43" s="5">
        <f t="shared" si="33"/>
        <v>-1</v>
      </c>
      <c r="O43" s="14"/>
      <c r="P43" s="1">
        <f>SUM(OSRRefP22_4x_0)</f>
        <v>0</v>
      </c>
      <c r="Q43" s="1"/>
      <c r="R43" s="5">
        <f t="shared" si="34"/>
        <v>0</v>
      </c>
      <c r="S43" s="1"/>
      <c r="T43" s="1">
        <f>SUM(OSRRefT22_4x_0)</f>
        <v>-8278.4699999999975</v>
      </c>
      <c r="U43" s="1"/>
      <c r="V43" s="5">
        <f t="shared" si="35"/>
        <v>-1.6895491866011128</v>
      </c>
      <c r="W43" s="1"/>
      <c r="X43" s="1">
        <f t="shared" si="36"/>
        <v>8278.4699999999975</v>
      </c>
      <c r="Y43" s="1"/>
      <c r="Z43" s="5">
        <f t="shared" si="37"/>
        <v>-1</v>
      </c>
    </row>
    <row r="44" spans="1:26" s="24" customFormat="1" hidden="1" outlineLevel="2" x14ac:dyDescent="0.25">
      <c r="A44" s="28"/>
      <c r="B44" s="11" t="str">
        <f>CONCATENATE("          ", "6305", " - ", "FREIGHT OUT")</f>
        <v xml:space="preserve">          6305 - FREIGHT OUT</v>
      </c>
      <c r="C44" s="11"/>
      <c r="D44" s="6"/>
      <c r="E44" s="2"/>
      <c r="F44" s="7">
        <f t="shared" si="30"/>
        <v>0</v>
      </c>
      <c r="G44" s="2"/>
      <c r="H44" s="6">
        <v>3195.83</v>
      </c>
      <c r="I44" s="2"/>
      <c r="J44" s="7">
        <f t="shared" si="31"/>
        <v>2.7099610782759118</v>
      </c>
      <c r="K44" s="2"/>
      <c r="L44" s="6">
        <f t="shared" si="32"/>
        <v>-3195.83</v>
      </c>
      <c r="M44" s="2"/>
      <c r="N44" s="7">
        <f t="shared" si="33"/>
        <v>-1</v>
      </c>
      <c r="O44" s="11"/>
      <c r="P44" s="6"/>
      <c r="Q44" s="2"/>
      <c r="R44" s="7">
        <f t="shared" si="34"/>
        <v>0</v>
      </c>
      <c r="S44" s="2"/>
      <c r="T44" s="6">
        <v>15325.150000000001</v>
      </c>
      <c r="U44" s="2"/>
      <c r="V44" s="7">
        <f t="shared" si="35"/>
        <v>3.1277029109291998</v>
      </c>
      <c r="W44" s="2"/>
      <c r="X44" s="6">
        <f t="shared" si="36"/>
        <v>-15325.150000000001</v>
      </c>
      <c r="Y44" s="2"/>
      <c r="Z44" s="7">
        <f t="shared" si="37"/>
        <v>-1</v>
      </c>
    </row>
    <row r="45" spans="1:26" s="24" customFormat="1" hidden="1" outlineLevel="2" x14ac:dyDescent="0.25">
      <c r="A45" s="28"/>
      <c r="B45" s="11" t="str">
        <f>CONCATENATE("          ", "6307", " - ", "POSTAGE")</f>
        <v xml:space="preserve">          6307 - POSTAGE</v>
      </c>
      <c r="C45" s="11"/>
      <c r="D45" s="6"/>
      <c r="E45" s="2"/>
      <c r="F45" s="7">
        <f t="shared" si="30"/>
        <v>0</v>
      </c>
      <c r="G45" s="2"/>
      <c r="H45" s="6">
        <v>-2961.08</v>
      </c>
      <c r="I45" s="2"/>
      <c r="J45" s="7">
        <f t="shared" si="31"/>
        <v>-2.5109006266482377</v>
      </c>
      <c r="K45" s="2"/>
      <c r="L45" s="6">
        <f t="shared" si="32"/>
        <v>2961.08</v>
      </c>
      <c r="M45" s="2"/>
      <c r="N45" s="7">
        <f t="shared" si="33"/>
        <v>-1</v>
      </c>
      <c r="O45" s="11"/>
      <c r="P45" s="6"/>
      <c r="Q45" s="2"/>
      <c r="R45" s="7">
        <f t="shared" si="34"/>
        <v>0</v>
      </c>
      <c r="S45" s="2"/>
      <c r="T45" s="6">
        <v>-23603.62</v>
      </c>
      <c r="U45" s="2"/>
      <c r="V45" s="7">
        <f t="shared" si="35"/>
        <v>-4.8172520975303126</v>
      </c>
      <c r="W45" s="2"/>
      <c r="X45" s="6">
        <f t="shared" si="36"/>
        <v>23603.62</v>
      </c>
      <c r="Y45" s="2"/>
      <c r="Z45" s="7">
        <f t="shared" si="37"/>
        <v>-1</v>
      </c>
    </row>
    <row r="46" spans="1:26" s="29" customFormat="1" outlineLevel="1" collapsed="1" x14ac:dyDescent="0.25">
      <c r="A46" s="27"/>
      <c r="B46" s="14" t="str">
        <f>CONCATENATE("     ","General                                           ")</f>
        <v xml:space="preserve">     General                                           </v>
      </c>
      <c r="C46" s="14"/>
      <c r="D46" s="1">
        <f>SUM(OSRRefD22_5x_0)</f>
        <v>0</v>
      </c>
      <c r="E46" s="1"/>
      <c r="F46" s="5">
        <f t="shared" ref="F46:F52" si="38">IF(D$12=0,0,D46/D$12)</f>
        <v>0</v>
      </c>
      <c r="G46" s="1"/>
      <c r="H46" s="1">
        <f>SUM(OSRRefH22_5x_0)</f>
        <v>0</v>
      </c>
      <c r="I46" s="1"/>
      <c r="J46" s="5">
        <f t="shared" ref="J46:J52" si="39">IF(H$12=0,0,H46/H$12)</f>
        <v>0</v>
      </c>
      <c r="K46" s="1"/>
      <c r="L46" s="1">
        <f t="shared" ref="L46:L52" si="40">+D46-H46</f>
        <v>0</v>
      </c>
      <c r="M46" s="1"/>
      <c r="N46" s="5">
        <f t="shared" ref="N46:N52" si="41">IF(H46=0,0,L46/H46)</f>
        <v>0</v>
      </c>
      <c r="O46" s="14"/>
      <c r="P46" s="1">
        <f>SUM(OSRRefP22_5x_0)</f>
        <v>0</v>
      </c>
      <c r="Q46" s="1"/>
      <c r="R46" s="5">
        <f t="shared" ref="R46:R52" si="42">IF(P$12=0,0,P46/P$12)</f>
        <v>0</v>
      </c>
      <c r="S46" s="1"/>
      <c r="T46" s="1">
        <f>SUM(OSRRefT22_5x_0)</f>
        <v>80.17</v>
      </c>
      <c r="U46" s="1"/>
      <c r="V46" s="5">
        <f t="shared" ref="V46:V52" si="43">IF(T$12=0,0,T46/T$12)</f>
        <v>1.6361858929223788E-2</v>
      </c>
      <c r="W46" s="1"/>
      <c r="X46" s="1">
        <f t="shared" ref="X46:X52" si="44">+P46-T46</f>
        <v>-80.17</v>
      </c>
      <c r="Y46" s="1"/>
      <c r="Z46" s="5">
        <f t="shared" ref="Z46:Z52" si="45">IF(T46=0,0,X46/T46)</f>
        <v>-1</v>
      </c>
    </row>
    <row r="47" spans="1:26" s="24" customFormat="1" hidden="1" outlineLevel="2" x14ac:dyDescent="0.25">
      <c r="A47" s="28"/>
      <c r="B47" s="11" t="str">
        <f>CONCATENATE("          ", "6279", " - ", "GENERAL EXPENSE")</f>
        <v xml:space="preserve">          6279 - GENERAL EXPENSE</v>
      </c>
      <c r="C47" s="11"/>
      <c r="D47" s="6"/>
      <c r="E47" s="2"/>
      <c r="F47" s="7">
        <f t="shared" si="38"/>
        <v>0</v>
      </c>
      <c r="G47" s="2"/>
      <c r="H47" s="6"/>
      <c r="I47" s="2"/>
      <c r="J47" s="7">
        <f t="shared" si="39"/>
        <v>0</v>
      </c>
      <c r="K47" s="2"/>
      <c r="L47" s="6">
        <f t="shared" si="40"/>
        <v>0</v>
      </c>
      <c r="M47" s="2"/>
      <c r="N47" s="7">
        <f t="shared" si="41"/>
        <v>0</v>
      </c>
      <c r="O47" s="11"/>
      <c r="P47" s="6"/>
      <c r="Q47" s="2"/>
      <c r="R47" s="7">
        <f t="shared" si="42"/>
        <v>0</v>
      </c>
      <c r="S47" s="2"/>
      <c r="T47" s="6">
        <v>80.17</v>
      </c>
      <c r="U47" s="2"/>
      <c r="V47" s="7">
        <f t="shared" si="43"/>
        <v>1.6361858929223788E-2</v>
      </c>
      <c r="W47" s="2"/>
      <c r="X47" s="6">
        <f t="shared" si="44"/>
        <v>-80.17</v>
      </c>
      <c r="Y47" s="2"/>
      <c r="Z47" s="7">
        <f t="shared" si="45"/>
        <v>-1</v>
      </c>
    </row>
    <row r="48" spans="1:26" s="29" customFormat="1" outlineLevel="1" collapsed="1" x14ac:dyDescent="0.25">
      <c r="A48" s="27"/>
      <c r="B48" s="14" t="str">
        <f>CONCATENATE("     ","Inventory Adjustment                              ")</f>
        <v xml:space="preserve">     Inventory Adjustment                              </v>
      </c>
      <c r="C48" s="14"/>
      <c r="D48" s="1">
        <f>SUM(OSRRefD22_6x_0)</f>
        <v>0</v>
      </c>
      <c r="E48" s="1"/>
      <c r="F48" s="5">
        <f t="shared" si="38"/>
        <v>0</v>
      </c>
      <c r="G48" s="1"/>
      <c r="H48" s="1">
        <f>SUM(OSRRefH22_6x_0)</f>
        <v>100</v>
      </c>
      <c r="I48" s="1"/>
      <c r="J48" s="5">
        <f t="shared" si="39"/>
        <v>8.4796784505931533E-2</v>
      </c>
      <c r="K48" s="1"/>
      <c r="L48" s="1">
        <f t="shared" si="40"/>
        <v>-100</v>
      </c>
      <c r="M48" s="1"/>
      <c r="N48" s="5">
        <f t="shared" si="41"/>
        <v>-1</v>
      </c>
      <c r="O48" s="14"/>
      <c r="P48" s="1">
        <f>SUM(OSRRefP22_6x_0)</f>
        <v>0</v>
      </c>
      <c r="Q48" s="1"/>
      <c r="R48" s="5">
        <f t="shared" si="42"/>
        <v>0</v>
      </c>
      <c r="S48" s="1"/>
      <c r="T48" s="1">
        <f>SUM(OSRRefT22_6x_0)</f>
        <v>300</v>
      </c>
      <c r="U48" s="1"/>
      <c r="V48" s="5">
        <f t="shared" si="43"/>
        <v>6.1226863898804246E-2</v>
      </c>
      <c r="W48" s="1"/>
      <c r="X48" s="1">
        <f t="shared" si="44"/>
        <v>-300</v>
      </c>
      <c r="Y48" s="1"/>
      <c r="Z48" s="5">
        <f t="shared" si="45"/>
        <v>-1</v>
      </c>
    </row>
    <row r="49" spans="1:26" s="24" customFormat="1" hidden="1" outlineLevel="2" x14ac:dyDescent="0.25">
      <c r="A49" s="28"/>
      <c r="B49" s="11" t="str">
        <f>CONCATENATE("          ", "6408", " - ", "INVENTORY ADJUSTMENT")</f>
        <v xml:space="preserve">          6408 - INVENTORY ADJUSTMENT</v>
      </c>
      <c r="C49" s="11"/>
      <c r="D49" s="6"/>
      <c r="E49" s="2"/>
      <c r="F49" s="7">
        <f t="shared" si="38"/>
        <v>0</v>
      </c>
      <c r="G49" s="2"/>
      <c r="H49" s="6">
        <v>100</v>
      </c>
      <c r="I49" s="2"/>
      <c r="J49" s="7">
        <f t="shared" si="39"/>
        <v>8.4796784505931533E-2</v>
      </c>
      <c r="K49" s="2"/>
      <c r="L49" s="6">
        <f t="shared" si="40"/>
        <v>-100</v>
      </c>
      <c r="M49" s="2"/>
      <c r="N49" s="7">
        <f t="shared" si="41"/>
        <v>-1</v>
      </c>
      <c r="O49" s="11"/>
      <c r="P49" s="6"/>
      <c r="Q49" s="2"/>
      <c r="R49" s="7">
        <f t="shared" si="42"/>
        <v>0</v>
      </c>
      <c r="S49" s="2"/>
      <c r="T49" s="6">
        <v>300</v>
      </c>
      <c r="U49" s="2"/>
      <c r="V49" s="7">
        <f t="shared" si="43"/>
        <v>6.1226863898804246E-2</v>
      </c>
      <c r="W49" s="2"/>
      <c r="X49" s="6">
        <f t="shared" si="44"/>
        <v>-300</v>
      </c>
      <c r="Y49" s="2"/>
      <c r="Z49" s="7">
        <f t="shared" si="45"/>
        <v>-1</v>
      </c>
    </row>
    <row r="50" spans="1:26" s="29" customFormat="1" outlineLevel="1" collapsed="1" x14ac:dyDescent="0.25">
      <c r="A50" s="27"/>
      <c r="B50" s="14" t="str">
        <f>CONCATENATE("     ","Supplies                                          ")</f>
        <v xml:space="preserve">     Supplies                                          </v>
      </c>
      <c r="C50" s="14"/>
      <c r="D50" s="1">
        <f>SUM(OSRRefD22_7x_0)</f>
        <v>0</v>
      </c>
      <c r="E50" s="1"/>
      <c r="F50" s="5">
        <f t="shared" si="38"/>
        <v>0</v>
      </c>
      <c r="G50" s="1"/>
      <c r="H50" s="1">
        <f>SUM(OSRRefH22_7x_0)</f>
        <v>400.86</v>
      </c>
      <c r="I50" s="1"/>
      <c r="J50" s="5">
        <f t="shared" si="39"/>
        <v>0.33991639037047716</v>
      </c>
      <c r="K50" s="1"/>
      <c r="L50" s="1">
        <f t="shared" si="40"/>
        <v>-400.86</v>
      </c>
      <c r="M50" s="1"/>
      <c r="N50" s="5">
        <f t="shared" si="41"/>
        <v>-1</v>
      </c>
      <c r="O50" s="14"/>
      <c r="P50" s="1">
        <f>SUM(OSRRefP22_7x_0)</f>
        <v>0</v>
      </c>
      <c r="Q50" s="1"/>
      <c r="R50" s="5">
        <f t="shared" si="42"/>
        <v>0</v>
      </c>
      <c r="S50" s="1"/>
      <c r="T50" s="1">
        <f>SUM(OSRRefT22_7x_0)</f>
        <v>5174.63</v>
      </c>
      <c r="U50" s="1"/>
      <c r="V50" s="5">
        <f t="shared" si="43"/>
        <v>1.0560878891222314</v>
      </c>
      <c r="W50" s="1"/>
      <c r="X50" s="1">
        <f t="shared" si="44"/>
        <v>-5174.63</v>
      </c>
      <c r="Y50" s="1"/>
      <c r="Z50" s="5">
        <f t="shared" si="45"/>
        <v>-1</v>
      </c>
    </row>
    <row r="51" spans="1:26" s="24" customFormat="1" hidden="1" outlineLevel="2" x14ac:dyDescent="0.25">
      <c r="A51" s="28"/>
      <c r="B51" s="11" t="str">
        <f>CONCATENATE("          ", "6241", " - ", "OFFICE EXPENSE")</f>
        <v xml:space="preserve">          6241 - OFFICE EXPENSE</v>
      </c>
      <c r="C51" s="11"/>
      <c r="D51" s="6"/>
      <c r="E51" s="2"/>
      <c r="F51" s="7">
        <f t="shared" si="38"/>
        <v>0</v>
      </c>
      <c r="G51" s="2"/>
      <c r="H51" s="6"/>
      <c r="I51" s="2"/>
      <c r="J51" s="7">
        <f t="shared" si="39"/>
        <v>0</v>
      </c>
      <c r="K51" s="2"/>
      <c r="L51" s="6">
        <f t="shared" si="40"/>
        <v>0</v>
      </c>
      <c r="M51" s="2"/>
      <c r="N51" s="7">
        <f t="shared" si="41"/>
        <v>0</v>
      </c>
      <c r="O51" s="11"/>
      <c r="P51" s="6"/>
      <c r="Q51" s="2"/>
      <c r="R51" s="7">
        <f t="shared" si="42"/>
        <v>0</v>
      </c>
      <c r="S51" s="2"/>
      <c r="T51" s="6">
        <v>115.02</v>
      </c>
      <c r="U51" s="2"/>
      <c r="V51" s="7">
        <f t="shared" si="43"/>
        <v>2.3474379618801548E-2</v>
      </c>
      <c r="W51" s="2"/>
      <c r="X51" s="6">
        <f t="shared" si="44"/>
        <v>-115.02</v>
      </c>
      <c r="Y51" s="2"/>
      <c r="Z51" s="7">
        <f t="shared" si="45"/>
        <v>-1</v>
      </c>
    </row>
    <row r="52" spans="1:26" s="24" customFormat="1" hidden="1" outlineLevel="2" x14ac:dyDescent="0.25">
      <c r="A52" s="28"/>
      <c r="B52" s="11" t="str">
        <f>CONCATENATE("          ", "6247", " - ", "STORE SUPPLIES")</f>
        <v xml:space="preserve">          6247 - STORE SUPPLIES</v>
      </c>
      <c r="C52" s="11"/>
      <c r="D52" s="6"/>
      <c r="E52" s="2"/>
      <c r="F52" s="7">
        <f t="shared" si="38"/>
        <v>0</v>
      </c>
      <c r="G52" s="2"/>
      <c r="H52" s="6">
        <v>400.86</v>
      </c>
      <c r="I52" s="2"/>
      <c r="J52" s="7">
        <f t="shared" si="39"/>
        <v>0.33991639037047716</v>
      </c>
      <c r="K52" s="2"/>
      <c r="L52" s="6">
        <f t="shared" si="40"/>
        <v>-400.86</v>
      </c>
      <c r="M52" s="2"/>
      <c r="N52" s="7">
        <f t="shared" si="41"/>
        <v>-1</v>
      </c>
      <c r="O52" s="11"/>
      <c r="P52" s="6"/>
      <c r="Q52" s="2"/>
      <c r="R52" s="7">
        <f t="shared" si="42"/>
        <v>0</v>
      </c>
      <c r="S52" s="2"/>
      <c r="T52" s="6">
        <v>5059.6099999999997</v>
      </c>
      <c r="U52" s="2"/>
      <c r="V52" s="7">
        <f t="shared" si="43"/>
        <v>1.0326135095034297</v>
      </c>
      <c r="W52" s="2"/>
      <c r="X52" s="6">
        <f t="shared" si="44"/>
        <v>-5059.6099999999997</v>
      </c>
      <c r="Y52" s="2"/>
      <c r="Z52" s="7">
        <f t="shared" si="45"/>
        <v>-1</v>
      </c>
    </row>
    <row r="53" spans="1:26" s="29" customFormat="1" outlineLevel="1" collapsed="1" x14ac:dyDescent="0.25">
      <c r="A53" s="27"/>
      <c r="B53" s="14" t="str">
        <f>CONCATENATE("     ","Telephone/Data Lines                              ")</f>
        <v xml:space="preserve">     Telephone/Data Lines                              </v>
      </c>
      <c r="C53" s="14"/>
      <c r="D53" s="1">
        <f>SUM(OSRRefD22_8x_0)</f>
        <v>0</v>
      </c>
      <c r="E53" s="1"/>
      <c r="F53" s="5">
        <f t="shared" ref="F53:F54" si="46">IF(D$12=0,0,D53/D$12)</f>
        <v>0</v>
      </c>
      <c r="G53" s="1"/>
      <c r="H53" s="1">
        <f>SUM(OSRRefH22_8x_0)</f>
        <v>86.3</v>
      </c>
      <c r="I53" s="1"/>
      <c r="J53" s="5">
        <f t="shared" ref="J53:J54" si="47">IF(H$12=0,0,H53/H$12)</f>
        <v>7.3179625028618911E-2</v>
      </c>
      <c r="K53" s="1"/>
      <c r="L53" s="1">
        <f t="shared" ref="L53:L54" si="48">+D53-H53</f>
        <v>-86.3</v>
      </c>
      <c r="M53" s="1"/>
      <c r="N53" s="5">
        <f t="shared" ref="N53:N54" si="49">IF(H53=0,0,L53/H53)</f>
        <v>-1</v>
      </c>
      <c r="O53" s="14"/>
      <c r="P53" s="1">
        <f>SUM(OSRRefP22_8x_0)</f>
        <v>0</v>
      </c>
      <c r="Q53" s="1"/>
      <c r="R53" s="5">
        <f t="shared" ref="R53:R54" si="50">IF(P$12=0,0,P53/P$12)</f>
        <v>0</v>
      </c>
      <c r="S53" s="1"/>
      <c r="T53" s="1">
        <f>SUM(OSRRefT22_8x_0)</f>
        <v>232.6</v>
      </c>
      <c r="U53" s="1"/>
      <c r="V53" s="5">
        <f t="shared" ref="V53:V54" si="51">IF(T$12=0,0,T53/T$12)</f>
        <v>4.7471228476206224E-2</v>
      </c>
      <c r="W53" s="1"/>
      <c r="X53" s="1">
        <f t="shared" ref="X53:X54" si="52">+P53-T53</f>
        <v>-232.6</v>
      </c>
      <c r="Y53" s="1"/>
      <c r="Z53" s="5">
        <f t="shared" ref="Z53:Z54" si="53">IF(T53=0,0,X53/T53)</f>
        <v>-1</v>
      </c>
    </row>
    <row r="54" spans="1:26" s="24" customFormat="1" hidden="1" outlineLevel="2" x14ac:dyDescent="0.25">
      <c r="A54" s="28"/>
      <c r="B54" s="11" t="str">
        <f>CONCATENATE("          ", "6309", " - ", "TELEPHONE")</f>
        <v xml:space="preserve">          6309 - TELEPHONE</v>
      </c>
      <c r="C54" s="11"/>
      <c r="D54" s="6"/>
      <c r="E54" s="2"/>
      <c r="F54" s="7">
        <f t="shared" si="46"/>
        <v>0</v>
      </c>
      <c r="G54" s="2"/>
      <c r="H54" s="6">
        <v>86.3</v>
      </c>
      <c r="I54" s="2"/>
      <c r="J54" s="7">
        <f t="shared" si="47"/>
        <v>7.3179625028618911E-2</v>
      </c>
      <c r="K54" s="2"/>
      <c r="L54" s="6">
        <f t="shared" si="48"/>
        <v>-86.3</v>
      </c>
      <c r="M54" s="2"/>
      <c r="N54" s="7">
        <f t="shared" si="49"/>
        <v>-1</v>
      </c>
      <c r="O54" s="11"/>
      <c r="P54" s="6"/>
      <c r="Q54" s="2"/>
      <c r="R54" s="7">
        <f t="shared" si="50"/>
        <v>0</v>
      </c>
      <c r="S54" s="2"/>
      <c r="T54" s="6">
        <v>232.6</v>
      </c>
      <c r="U54" s="2"/>
      <c r="V54" s="7">
        <f t="shared" si="51"/>
        <v>4.7471228476206224E-2</v>
      </c>
      <c r="W54" s="2"/>
      <c r="X54" s="6">
        <f t="shared" si="52"/>
        <v>-232.6</v>
      </c>
      <c r="Y54" s="2"/>
      <c r="Z54" s="7">
        <f t="shared" si="53"/>
        <v>-1</v>
      </c>
    </row>
    <row r="55" spans="1:26" s="57" customFormat="1" x14ac:dyDescent="0.25">
      <c r="A55" s="37"/>
      <c r="B55" s="37"/>
      <c r="C55" s="37"/>
      <c r="D55" s="1"/>
      <c r="E55" s="1"/>
      <c r="F55" s="5"/>
      <c r="G55" s="1"/>
      <c r="H55" s="1"/>
      <c r="I55" s="1"/>
      <c r="J55" s="5"/>
      <c r="K55" s="1"/>
      <c r="L55" s="1"/>
      <c r="M55" s="1"/>
      <c r="N55" s="5"/>
      <c r="O55" s="37"/>
      <c r="P55" s="1"/>
      <c r="Q55" s="1"/>
      <c r="R55" s="5"/>
      <c r="S55" s="1"/>
      <c r="T55" s="1"/>
      <c r="U55" s="1"/>
      <c r="V55" s="5"/>
      <c r="W55" s="1"/>
      <c r="X55" s="1"/>
      <c r="Y55" s="1"/>
      <c r="Z55" s="5"/>
    </row>
    <row r="56" spans="1:26" s="23" customFormat="1" collapsed="1" x14ac:dyDescent="0.25">
      <c r="A56" s="10"/>
      <c r="B56" s="26" t="s">
        <v>0</v>
      </c>
      <c r="C56" s="10"/>
      <c r="D56" s="4">
        <f>SUM(OSRRefD25x_0)</f>
        <v>0</v>
      </c>
      <c r="E56" s="4"/>
      <c r="F56" s="12">
        <f t="shared" ref="F56:F61" si="54">IF(D$12=0,0,D56/D$12)</f>
        <v>0</v>
      </c>
      <c r="G56" s="4"/>
      <c r="H56" s="4">
        <f>SUM(OSRRefH25x_0)</f>
        <v>61106.55</v>
      </c>
      <c r="I56" s="4"/>
      <c r="J56" s="12">
        <f t="shared" ref="J56:J61" si="55">IF(H$12=0,0,H56/H$12)</f>
        <v>51.816389522509311</v>
      </c>
      <c r="K56" s="4"/>
      <c r="L56" s="4">
        <f t="shared" ref="L56:L61" si="56">+D56-H56</f>
        <v>-61106.55</v>
      </c>
      <c r="M56" s="4"/>
      <c r="N56" s="12">
        <f t="shared" ref="N56:N61" si="57">IF(H56=0,0,L56/H56)</f>
        <v>-1</v>
      </c>
      <c r="O56" s="10"/>
      <c r="P56" s="4">
        <f>SUM(OSRRefP25x_0)</f>
        <v>0</v>
      </c>
      <c r="Q56" s="4"/>
      <c r="R56" s="12">
        <f t="shared" ref="R56:R61" si="58">IF(P$12=0,0,P56/P$12)</f>
        <v>0</v>
      </c>
      <c r="S56" s="4"/>
      <c r="T56" s="4">
        <f>SUM(OSRRefT25x_0)</f>
        <v>84428.4</v>
      </c>
      <c r="U56" s="4"/>
      <c r="V56" s="12">
        <f t="shared" ref="V56:V61" si="59">IF(T$12=0,0,T56/T$12)</f>
        <v>17.23095385331268</v>
      </c>
      <c r="W56" s="4"/>
      <c r="X56" s="4">
        <f t="shared" ref="X56:X61" si="60">+P56-T56</f>
        <v>-84428.4</v>
      </c>
      <c r="Y56" s="4"/>
      <c r="Z56" s="12">
        <f t="shared" ref="Z56:Z61" si="61">IF(T56=0,0,X56/T56)</f>
        <v>-1</v>
      </c>
    </row>
    <row r="57" spans="1:26" s="24" customFormat="1" hidden="1" outlineLevel="1" x14ac:dyDescent="0.25">
      <c r="A57" s="44"/>
      <c r="B57" s="11" t="str">
        <f>CONCATENATE("          ", "4098", " - ", "TAXABLE SALES-GRAD RENTALS")</f>
        <v xml:space="preserve">          4098 - TAXABLE SALES-GRAD RENTALS</v>
      </c>
      <c r="C57" s="11"/>
      <c r="D57" s="2">
        <f t="shared" ref="D57:D61" si="62">0</f>
        <v>0</v>
      </c>
      <c r="E57" s="2"/>
      <c r="F57" s="19">
        <f t="shared" si="54"/>
        <v>0</v>
      </c>
      <c r="G57" s="2"/>
      <c r="H57" s="2">
        <f t="shared" ref="H57:H60" si="63">0</f>
        <v>0</v>
      </c>
      <c r="I57" s="2"/>
      <c r="J57" s="19">
        <f t="shared" si="55"/>
        <v>0</v>
      </c>
      <c r="K57" s="2"/>
      <c r="L57" s="2">
        <f t="shared" si="56"/>
        <v>0</v>
      </c>
      <c r="M57" s="2"/>
      <c r="N57" s="19">
        <f t="shared" si="57"/>
        <v>0</v>
      </c>
      <c r="O57" s="11"/>
      <c r="P57" s="2">
        <f t="shared" ref="P57:P61" si="64">0</f>
        <v>0</v>
      </c>
      <c r="Q57" s="2"/>
      <c r="R57" s="19">
        <f t="shared" si="58"/>
        <v>0</v>
      </c>
      <c r="S57" s="2"/>
      <c r="T57" s="2">
        <f>--1626.85</f>
        <v>1626.85</v>
      </c>
      <c r="U57" s="2"/>
      <c r="V57" s="19">
        <f t="shared" si="59"/>
        <v>0.33202307844589896</v>
      </c>
      <c r="W57" s="2"/>
      <c r="X57" s="2">
        <f t="shared" si="60"/>
        <v>-1626.85</v>
      </c>
      <c r="Y57" s="2"/>
      <c r="Z57" s="19">
        <f t="shared" si="61"/>
        <v>-1</v>
      </c>
    </row>
    <row r="58" spans="1:26" s="24" customFormat="1" hidden="1" outlineLevel="1" x14ac:dyDescent="0.25">
      <c r="A58" s="44"/>
      <c r="B58" s="11" t="str">
        <f>CONCATENATE("          ", "4197", " - ", "NON-TAXABLE SALES-RETURNED CHE")</f>
        <v xml:space="preserve">          4197 - NON-TAXABLE SALES-RETURNED CHE</v>
      </c>
      <c r="C58" s="11"/>
      <c r="D58" s="2">
        <f t="shared" si="62"/>
        <v>0</v>
      </c>
      <c r="E58" s="2"/>
      <c r="F58" s="19">
        <f t="shared" si="54"/>
        <v>0</v>
      </c>
      <c r="G58" s="2"/>
      <c r="H58" s="2">
        <f t="shared" si="63"/>
        <v>0</v>
      </c>
      <c r="I58" s="2"/>
      <c r="J58" s="19">
        <f t="shared" si="55"/>
        <v>0</v>
      </c>
      <c r="K58" s="2"/>
      <c r="L58" s="2">
        <f t="shared" si="56"/>
        <v>0</v>
      </c>
      <c r="M58" s="2"/>
      <c r="N58" s="19">
        <f t="shared" si="57"/>
        <v>0</v>
      </c>
      <c r="O58" s="11"/>
      <c r="P58" s="2">
        <f t="shared" si="64"/>
        <v>0</v>
      </c>
      <c r="Q58" s="2"/>
      <c r="R58" s="19">
        <f t="shared" si="58"/>
        <v>0</v>
      </c>
      <c r="S58" s="2"/>
      <c r="T58" s="2">
        <f>--30</f>
        <v>30</v>
      </c>
      <c r="U58" s="2"/>
      <c r="V58" s="19">
        <f t="shared" si="59"/>
        <v>6.1226863898804244E-3</v>
      </c>
      <c r="W58" s="2"/>
      <c r="X58" s="2">
        <f t="shared" si="60"/>
        <v>-30</v>
      </c>
      <c r="Y58" s="2"/>
      <c r="Z58" s="19">
        <f t="shared" si="61"/>
        <v>-1</v>
      </c>
    </row>
    <row r="59" spans="1:26" s="24" customFormat="1" hidden="1" outlineLevel="1" x14ac:dyDescent="0.25">
      <c r="A59" s="44"/>
      <c r="B59" s="11" t="str">
        <f>CONCATENATE("          ", "4198", " - ", "NON-TAXABLE SALES-GRAD RENTALS")</f>
        <v xml:space="preserve">          4198 - NON-TAXABLE SALES-GRAD RENTALS</v>
      </c>
      <c r="C59" s="11"/>
      <c r="D59" s="2">
        <f t="shared" si="62"/>
        <v>0</v>
      </c>
      <c r="E59" s="2"/>
      <c r="F59" s="19">
        <f t="shared" si="54"/>
        <v>0</v>
      </c>
      <c r="G59" s="2"/>
      <c r="H59" s="2">
        <f t="shared" si="63"/>
        <v>0</v>
      </c>
      <c r="I59" s="2"/>
      <c r="J59" s="19">
        <f t="shared" si="55"/>
        <v>0</v>
      </c>
      <c r="K59" s="2"/>
      <c r="L59" s="2">
        <f t="shared" si="56"/>
        <v>0</v>
      </c>
      <c r="M59" s="2"/>
      <c r="N59" s="19">
        <f t="shared" si="57"/>
        <v>0</v>
      </c>
      <c r="O59" s="11"/>
      <c r="P59" s="2">
        <f t="shared" si="64"/>
        <v>0</v>
      </c>
      <c r="Q59" s="2"/>
      <c r="R59" s="19">
        <f t="shared" si="58"/>
        <v>0</v>
      </c>
      <c r="S59" s="2"/>
      <c r="T59" s="2">
        <f>--495</f>
        <v>495</v>
      </c>
      <c r="U59" s="2"/>
      <c r="V59" s="19">
        <f t="shared" si="59"/>
        <v>0.101024325433027</v>
      </c>
      <c r="W59" s="2"/>
      <c r="X59" s="2">
        <f t="shared" si="60"/>
        <v>-495</v>
      </c>
      <c r="Y59" s="2"/>
      <c r="Z59" s="19">
        <f t="shared" si="61"/>
        <v>-1</v>
      </c>
    </row>
    <row r="60" spans="1:26" s="24" customFormat="1" hidden="1" outlineLevel="1" x14ac:dyDescent="0.25">
      <c r="A60" s="44"/>
      <c r="B60" s="11" t="str">
        <f>CONCATENATE("          ", "9160", " - ", "MISC. INCOME")</f>
        <v xml:space="preserve">          9160 - MISC. INCOME</v>
      </c>
      <c r="C60" s="11"/>
      <c r="D60" s="2">
        <f t="shared" si="62"/>
        <v>0</v>
      </c>
      <c r="E60" s="2"/>
      <c r="F60" s="19">
        <f t="shared" si="54"/>
        <v>0</v>
      </c>
      <c r="G60" s="2"/>
      <c r="H60" s="2">
        <f t="shared" si="63"/>
        <v>0</v>
      </c>
      <c r="I60" s="2"/>
      <c r="J60" s="19">
        <f t="shared" si="55"/>
        <v>0</v>
      </c>
      <c r="K60" s="2"/>
      <c r="L60" s="2">
        <f t="shared" si="56"/>
        <v>0</v>
      </c>
      <c r="M60" s="2"/>
      <c r="N60" s="19">
        <f t="shared" si="57"/>
        <v>0</v>
      </c>
      <c r="O60" s="11"/>
      <c r="P60" s="2">
        <f t="shared" si="64"/>
        <v>0</v>
      </c>
      <c r="Q60" s="2"/>
      <c r="R60" s="19">
        <f t="shared" si="58"/>
        <v>0</v>
      </c>
      <c r="S60" s="2"/>
      <c r="T60" s="2">
        <f>--21170</f>
        <v>21170</v>
      </c>
      <c r="U60" s="2"/>
      <c r="V60" s="19">
        <f t="shared" si="59"/>
        <v>4.3205756957922858</v>
      </c>
      <c r="W60" s="2"/>
      <c r="X60" s="2">
        <f t="shared" si="60"/>
        <v>-21170</v>
      </c>
      <c r="Y60" s="2"/>
      <c r="Z60" s="19">
        <f t="shared" si="61"/>
        <v>-1</v>
      </c>
    </row>
    <row r="61" spans="1:26" s="24" customFormat="1" hidden="1" outlineLevel="1" x14ac:dyDescent="0.25">
      <c r="A61" s="44"/>
      <c r="B61" s="11" t="str">
        <f>CONCATENATE("          ", "9163", " - ", "MISC. INCOME")</f>
        <v xml:space="preserve">          9163 - MISC. INCOME</v>
      </c>
      <c r="C61" s="11"/>
      <c r="D61" s="2">
        <f t="shared" si="62"/>
        <v>0</v>
      </c>
      <c r="E61" s="2"/>
      <c r="F61" s="19">
        <f t="shared" si="54"/>
        <v>0</v>
      </c>
      <c r="G61" s="2"/>
      <c r="H61" s="2">
        <f>--61106.55</f>
        <v>61106.55</v>
      </c>
      <c r="I61" s="2"/>
      <c r="J61" s="19">
        <f t="shared" si="55"/>
        <v>51.816389522509311</v>
      </c>
      <c r="K61" s="2"/>
      <c r="L61" s="2">
        <f t="shared" si="56"/>
        <v>-61106.55</v>
      </c>
      <c r="M61" s="2"/>
      <c r="N61" s="19">
        <f t="shared" si="57"/>
        <v>-1</v>
      </c>
      <c r="O61" s="11"/>
      <c r="P61" s="2">
        <f t="shared" si="64"/>
        <v>0</v>
      </c>
      <c r="Q61" s="2"/>
      <c r="R61" s="19">
        <f t="shared" si="58"/>
        <v>0</v>
      </c>
      <c r="S61" s="2"/>
      <c r="T61" s="2">
        <f>--61106.55</f>
        <v>61106.55</v>
      </c>
      <c r="U61" s="2"/>
      <c r="V61" s="19">
        <f t="shared" si="59"/>
        <v>12.47120806725159</v>
      </c>
      <c r="W61" s="2"/>
      <c r="X61" s="2">
        <f t="shared" si="60"/>
        <v>-61106.55</v>
      </c>
      <c r="Y61" s="2"/>
      <c r="Z61" s="19">
        <f t="shared" si="61"/>
        <v>-1</v>
      </c>
    </row>
    <row r="62" spans="1:26" x14ac:dyDescent="0.25">
      <c r="A62" s="9"/>
      <c r="B62" s="10"/>
      <c r="C62" s="10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O62" s="10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3" customFormat="1" x14ac:dyDescent="0.25">
      <c r="A63" s="10"/>
      <c r="B63" s="25" t="s">
        <v>3</v>
      </c>
      <c r="C63" s="25"/>
      <c r="D63" s="20">
        <f>+D24-D26+D56</f>
        <v>0</v>
      </c>
      <c r="E63" s="13"/>
      <c r="F63" s="21">
        <f>IF(D$12=0,0,D63/D$12)</f>
        <v>0</v>
      </c>
      <c r="G63" s="13"/>
      <c r="H63" s="20">
        <f>+H24-H26+H56</f>
        <v>60674.12</v>
      </c>
      <c r="I63" s="13"/>
      <c r="J63" s="21">
        <f>IF(H$12=0,0,H63/H$12)</f>
        <v>51.449702787270311</v>
      </c>
      <c r="K63" s="15"/>
      <c r="L63" s="20">
        <f>+D63-H63</f>
        <v>-60674.12</v>
      </c>
      <c r="M63" s="15"/>
      <c r="N63" s="21">
        <f>IF(H63=0,0,L63/H63)</f>
        <v>-1</v>
      </c>
      <c r="O63" s="26"/>
      <c r="P63" s="20">
        <f>+P24-P26+P56</f>
        <v>0</v>
      </c>
      <c r="Q63" s="13"/>
      <c r="R63" s="21">
        <f>IF(P$12=0,0,P63/P$12)</f>
        <v>0</v>
      </c>
      <c r="S63" s="13"/>
      <c r="T63" s="20">
        <f>+T24-T26+T56</f>
        <v>87167.639999999985</v>
      </c>
      <c r="U63" s="13"/>
      <c r="V63" s="21">
        <f>IF(T$12=0,0,T63/T$12)</f>
        <v>17.79000410219988</v>
      </c>
      <c r="W63" s="15"/>
      <c r="X63" s="20">
        <f>+P63-T63</f>
        <v>-87167.639999999985</v>
      </c>
      <c r="Y63" s="15"/>
      <c r="Z63" s="21">
        <f>IF(T63=0,0,X63/T63)</f>
        <v>-1</v>
      </c>
    </row>
    <row r="64" spans="1:26" x14ac:dyDescent="0.25">
      <c r="A64" s="9"/>
      <c r="B64" s="10"/>
      <c r="C64" s="9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x14ac:dyDescent="0.25">
      <c r="A65" s="51"/>
      <c r="B65" s="10" t="s">
        <v>13</v>
      </c>
      <c r="C65" s="10"/>
      <c r="D65" s="4"/>
      <c r="E65" s="4"/>
      <c r="F65" s="12">
        <f>IF(D$12=0,0,D65/D$12)</f>
        <v>0</v>
      </c>
      <c r="G65" s="4"/>
      <c r="H65" s="4">
        <v>93.6</v>
      </c>
      <c r="I65" s="4"/>
      <c r="J65" s="12">
        <f>IF(H$12=0,0,H65/H$12)</f>
        <v>7.9369790297551909E-2</v>
      </c>
      <c r="K65" s="4"/>
      <c r="L65" s="4">
        <f>+D65-H65</f>
        <v>-93.6</v>
      </c>
      <c r="M65" s="4"/>
      <c r="N65" s="12">
        <f>IF(H65=0,0,L65/H65)</f>
        <v>-1</v>
      </c>
      <c r="O65" s="10"/>
      <c r="P65" s="4"/>
      <c r="Q65" s="4"/>
      <c r="R65" s="12">
        <f>IF(P$12=0,0,P65/P$12)</f>
        <v>0</v>
      </c>
      <c r="S65" s="4"/>
      <c r="T65" s="4">
        <v>493.23</v>
      </c>
      <c r="U65" s="4"/>
      <c r="V65" s="12">
        <f>IF(T$12=0,0,T65/T$12)</f>
        <v>0.10066308693602406</v>
      </c>
      <c r="W65" s="4"/>
      <c r="X65" s="4">
        <f>+P65-T65</f>
        <v>-493.23</v>
      </c>
      <c r="Y65" s="4"/>
      <c r="Z65" s="12">
        <f>IF(T65=0,0,X65/T65)</f>
        <v>-1</v>
      </c>
    </row>
    <row r="66" spans="1:26" x14ac:dyDescent="0.25">
      <c r="A66" s="9"/>
      <c r="B66" s="10"/>
      <c r="C66" s="10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O66" s="10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ht="15.75" thickBot="1" x14ac:dyDescent="0.3">
      <c r="A67" s="10"/>
      <c r="B67" s="25" t="s">
        <v>4</v>
      </c>
      <c r="C67" s="25"/>
      <c r="D67" s="30">
        <f>+D63-D65</f>
        <v>0</v>
      </c>
      <c r="E67" s="13"/>
      <c r="F67" s="33">
        <f>IF(D$12=0,0,D67/D$12)</f>
        <v>0</v>
      </c>
      <c r="G67" s="13"/>
      <c r="H67" s="30">
        <f>+H63-H65</f>
        <v>60580.520000000004</v>
      </c>
      <c r="I67" s="13"/>
      <c r="J67" s="33">
        <f>IF(H$12=0,0,H67/H$12)</f>
        <v>51.370332996972763</v>
      </c>
      <c r="K67" s="15"/>
      <c r="L67" s="30">
        <f>D67-H67</f>
        <v>-60580.520000000004</v>
      </c>
      <c r="M67" s="15"/>
      <c r="N67" s="33">
        <f>IF(H67=0,0,L67/H67)</f>
        <v>-1</v>
      </c>
      <c r="O67" s="26"/>
      <c r="P67" s="30">
        <f>+P63-P65</f>
        <v>0</v>
      </c>
      <c r="Q67" s="13"/>
      <c r="R67" s="33">
        <f>IF(P$12=0,0,P67/P$12)</f>
        <v>0</v>
      </c>
      <c r="S67" s="13"/>
      <c r="T67" s="30">
        <f>+T63-T65</f>
        <v>86674.409999999989</v>
      </c>
      <c r="U67" s="13"/>
      <c r="V67" s="33">
        <f>IF(T$12=0,0,T67/T$12)</f>
        <v>17.689341015263857</v>
      </c>
      <c r="W67" s="15"/>
      <c r="X67" s="30">
        <f>P67-T67</f>
        <v>-86674.409999999989</v>
      </c>
      <c r="Y67" s="15"/>
      <c r="Z67" s="33">
        <f>IF(T67=0,0,X67/T67)</f>
        <v>-1</v>
      </c>
    </row>
    <row r="68" spans="1:26" ht="15.75" thickTop="1" x14ac:dyDescent="0.25">
      <c r="A68" s="9"/>
      <c r="B68" s="9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x14ac:dyDescent="0.25">
      <c r="A69" s="9"/>
      <c r="B69" s="9"/>
      <c r="C69" s="9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ht="15.75" thickBot="1" x14ac:dyDescent="0.3">
      <c r="A70" s="10"/>
      <c r="B70" s="25" t="s">
        <v>5</v>
      </c>
      <c r="C70" s="25"/>
      <c r="D70" s="34">
        <f>SUM(D67:D69)</f>
        <v>0</v>
      </c>
      <c r="E70" s="13"/>
      <c r="F70" s="35">
        <f>IF(D$12=0,0,D70/D$12)</f>
        <v>0</v>
      </c>
      <c r="G70" s="13"/>
      <c r="H70" s="34">
        <f>SUM(H67:H69)</f>
        <v>60580.520000000004</v>
      </c>
      <c r="I70" s="13"/>
      <c r="J70" s="35">
        <f>IF(H$12=0,0,H70/H$12)</f>
        <v>51.370332996972763</v>
      </c>
      <c r="K70" s="15"/>
      <c r="L70" s="34">
        <f>+D70-H70</f>
        <v>-60580.520000000004</v>
      </c>
      <c r="M70" s="15"/>
      <c r="N70" s="35">
        <f>IF(H70=0,0,L70/H70)</f>
        <v>-1</v>
      </c>
      <c r="O70" s="26"/>
      <c r="P70" s="34">
        <f>SUM(P67:P69)</f>
        <v>0</v>
      </c>
      <c r="Q70" s="13"/>
      <c r="R70" s="35">
        <f>IF(P$12=0,0,P70/P$12)</f>
        <v>0</v>
      </c>
      <c r="S70" s="13"/>
      <c r="T70" s="34">
        <f>SUM(T67:T69)</f>
        <v>86674.409999999989</v>
      </c>
      <c r="U70" s="13"/>
      <c r="V70" s="35">
        <f>IF(T$12=0,0,T70/T$12)</f>
        <v>17.689341015263857</v>
      </c>
      <c r="W70" s="15"/>
      <c r="X70" s="34">
        <f>+P70-T70</f>
        <v>-86674.409999999989</v>
      </c>
      <c r="Y70" s="15"/>
      <c r="Z70" s="35">
        <f>IF(T70=0,0,X70/T70)</f>
        <v>-1</v>
      </c>
    </row>
    <row r="71" spans="1:26" ht="15.75" thickTop="1" x14ac:dyDescent="0.25">
      <c r="A71" s="9"/>
      <c r="C71" s="9"/>
      <c r="D71" s="18"/>
      <c r="E71" s="18"/>
      <c r="G71" s="18"/>
      <c r="H71" s="18"/>
      <c r="I71" s="18"/>
      <c r="J71" s="43"/>
      <c r="K71" s="18"/>
      <c r="L71" s="18"/>
      <c r="M71" s="18"/>
      <c r="P71" s="18"/>
      <c r="Q71" s="18"/>
      <c r="R71" s="43"/>
      <c r="S71" s="18"/>
      <c r="T71" s="18"/>
      <c r="U71" s="18"/>
      <c r="V71" s="43"/>
      <c r="W71" s="18"/>
      <c r="X71" s="18"/>
    </row>
    <row r="72" spans="1:26" x14ac:dyDescent="0.25">
      <c r="A72" s="9"/>
      <c r="B72" s="56">
        <v>44151.572526701391</v>
      </c>
      <c r="D72" s="18"/>
      <c r="E72" s="18"/>
      <c r="G72" s="18"/>
      <c r="H72" s="18"/>
      <c r="I72" s="18"/>
      <c r="J72" s="43"/>
      <c r="K72" s="18"/>
      <c r="L72" s="18"/>
      <c r="M72" s="18"/>
      <c r="P72" s="18"/>
      <c r="Q72" s="18"/>
      <c r="R72" s="43"/>
      <c r="S72" s="18"/>
      <c r="T72" s="18"/>
      <c r="U72" s="18"/>
      <c r="V72" s="43"/>
      <c r="W72" s="18"/>
      <c r="X72" s="18"/>
    </row>
    <row r="73" spans="1:26" x14ac:dyDescent="0.25">
      <c r="A73" s="9"/>
      <c r="B73" s="62" t="s">
        <v>313</v>
      </c>
      <c r="D73" s="18"/>
      <c r="E73" s="18"/>
      <c r="G73" s="18"/>
      <c r="H73" s="18"/>
      <c r="I73" s="18"/>
      <c r="J73" s="43"/>
      <c r="K73" s="18"/>
      <c r="L73" s="18"/>
      <c r="M73" s="18"/>
      <c r="P73" s="18"/>
      <c r="Q73" s="18"/>
      <c r="R73" s="43"/>
      <c r="S73" s="18"/>
      <c r="T73" s="18"/>
      <c r="U73" s="18"/>
      <c r="V73" s="43"/>
      <c r="W73" s="18"/>
      <c r="X73" s="18"/>
    </row>
    <row r="74" spans="1:26" x14ac:dyDescent="0.25">
      <c r="A74" s="9"/>
      <c r="B74" s="54"/>
      <c r="D74" s="18"/>
      <c r="E74" s="18"/>
      <c r="G74" s="18"/>
      <c r="H74" s="18"/>
      <c r="I74" s="18"/>
      <c r="J74" s="43"/>
      <c r="K74" s="18"/>
      <c r="L74" s="18"/>
      <c r="M74" s="18"/>
      <c r="P74" s="18"/>
      <c r="Q74" s="18"/>
      <c r="R74" s="43"/>
      <c r="S74" s="18"/>
      <c r="T74" s="18"/>
      <c r="U74" s="18"/>
      <c r="V74" s="43"/>
      <c r="W74" s="18"/>
      <c r="X74" s="18"/>
    </row>
    <row r="75" spans="1:26" x14ac:dyDescent="0.25">
      <c r="D75" s="18"/>
      <c r="E75" s="18"/>
      <c r="G75" s="18"/>
      <c r="H75" s="18"/>
      <c r="I75" s="18"/>
      <c r="J75" s="43"/>
      <c r="K75" s="18"/>
      <c r="L75" s="18"/>
      <c r="M75" s="18"/>
      <c r="P75" s="18"/>
      <c r="Q75" s="18"/>
      <c r="R75" s="43"/>
      <c r="S75" s="18"/>
      <c r="T75" s="18"/>
      <c r="U75" s="18"/>
      <c r="V75" s="43"/>
      <c r="W75" s="18"/>
      <c r="X75" s="18"/>
    </row>
  </sheetData>
  <pageMargins left="0.25" right="0.25" top="0.75" bottom="0.75" header="0.3" footer="0.3"/>
  <pageSetup scale="55" fitToWidth="2" orientation="landscape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1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",RIGHT(202104,2),", ",2021)</f>
        <v>Period 04,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44135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310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61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50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50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2"/>
      <c r="F10" s="31" t="s">
        <v>14</v>
      </c>
      <c r="G10" s="32"/>
      <c r="H10" s="49" t="s">
        <v>306</v>
      </c>
      <c r="I10" s="32"/>
      <c r="J10" s="31" t="s">
        <v>14</v>
      </c>
      <c r="K10" s="10"/>
      <c r="L10" s="42" t="s">
        <v>11</v>
      </c>
      <c r="M10" s="10"/>
      <c r="N10" s="31" t="s">
        <v>15</v>
      </c>
      <c r="O10" s="10"/>
      <c r="P10" s="59" t="s">
        <v>10</v>
      </c>
      <c r="Q10" s="32"/>
      <c r="R10" s="31" t="s">
        <v>14</v>
      </c>
      <c r="S10" s="32"/>
      <c r="T10" s="49" t="s">
        <v>306</v>
      </c>
      <c r="U10" s="32"/>
      <c r="V10" s="31" t="s">
        <v>14</v>
      </c>
      <c r="W10" s="10"/>
      <c r="X10" s="42" t="s">
        <v>11</v>
      </c>
      <c r="Y10" s="10"/>
      <c r="Z10" s="31" t="s">
        <v>15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172836.80000000005</v>
      </c>
      <c r="E12" s="4"/>
      <c r="F12" s="12"/>
      <c r="G12" s="4"/>
      <c r="H12" s="4">
        <f>SUM(OSRRefH13x_0)</f>
        <v>146226.72000000003</v>
      </c>
      <c r="I12" s="4"/>
      <c r="J12" s="12"/>
      <c r="K12" s="4"/>
      <c r="L12" s="4">
        <f t="shared" ref="L12:L37" si="0">+D12-H12</f>
        <v>26610.080000000016</v>
      </c>
      <c r="M12" s="4"/>
      <c r="N12" s="12">
        <f t="shared" ref="N12:N37" si="1">IF(H12=0,0,L12/H12)</f>
        <v>0.18197823215893791</v>
      </c>
      <c r="O12" s="10"/>
      <c r="P12" s="4">
        <f>SUM(OSRRefP13x_0)</f>
        <v>1136121.5299999998</v>
      </c>
      <c r="Q12" s="4"/>
      <c r="R12" s="12"/>
      <c r="S12" s="4"/>
      <c r="T12" s="4">
        <f>SUM(OSRRefT13x_0)</f>
        <v>1338404.7999999996</v>
      </c>
      <c r="U12" s="4"/>
      <c r="V12" s="12"/>
      <c r="W12" s="4"/>
      <c r="X12" s="4">
        <f t="shared" ref="X12:X37" si="2">+P12-T12</f>
        <v>-202283.26999999979</v>
      </c>
      <c r="Y12" s="4"/>
      <c r="Z12" s="12">
        <f t="shared" ref="Z12:Z37" si="3">IF(T12=0,0,X12/T12)</f>
        <v>-0.15113758557948975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-178.39</f>
        <v>-178.39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-178.39</v>
      </c>
      <c r="M13" s="2"/>
      <c r="N13" s="19">
        <f t="shared" si="1"/>
        <v>0</v>
      </c>
      <c r="O13" s="11"/>
      <c r="P13" s="2">
        <f>-1902.09</f>
        <v>-1902.09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-1902.09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"4081", " - ", "TAXABLE SALES-ELECTRONICS")</f>
        <v xml:space="preserve">          4081 - TAXABLE SALES-ELECTRONICS</v>
      </c>
      <c r="C14" s="11"/>
      <c r="D14" s="2">
        <f>--5014.67</f>
        <v>5014.67</v>
      </c>
      <c r="E14" s="2"/>
      <c r="F14" s="19"/>
      <c r="G14" s="2"/>
      <c r="H14" s="2">
        <f>--24779.49</f>
        <v>24779.49</v>
      </c>
      <c r="I14" s="2"/>
      <c r="J14" s="19"/>
      <c r="K14" s="2"/>
      <c r="L14" s="2">
        <f t="shared" si="0"/>
        <v>-19764.82</v>
      </c>
      <c r="M14" s="2"/>
      <c r="N14" s="19">
        <f t="shared" si="1"/>
        <v>-0.79762819977328014</v>
      </c>
      <c r="O14" s="11"/>
      <c r="P14" s="2">
        <f>--55045.34</f>
        <v>55045.34</v>
      </c>
      <c r="Q14" s="2"/>
      <c r="R14" s="19"/>
      <c r="S14" s="2"/>
      <c r="T14" s="2">
        <f>--213456.81</f>
        <v>213456.81</v>
      </c>
      <c r="U14" s="2"/>
      <c r="V14" s="19"/>
      <c r="W14" s="2"/>
      <c r="X14" s="2">
        <f t="shared" si="2"/>
        <v>-158411.47</v>
      </c>
      <c r="Y14" s="2"/>
      <c r="Z14" s="19">
        <f t="shared" si="3"/>
        <v>-0.7421242264418737</v>
      </c>
    </row>
    <row r="15" spans="1:26" s="24" customFormat="1" hidden="1" outlineLevel="1" x14ac:dyDescent="0.25">
      <c r="A15" s="44"/>
      <c r="B15" s="11" t="str">
        <f>CONCATENATE("          ", "4082", " - ", "TAXABLE SALES-COMPUTER HARDWAR")</f>
        <v xml:space="preserve">          4082 - TAXABLE SALES-COMPUTER HARDWAR</v>
      </c>
      <c r="C15" s="11"/>
      <c r="D15" s="2">
        <f>--152786.78</f>
        <v>152786.78</v>
      </c>
      <c r="E15" s="2"/>
      <c r="F15" s="19"/>
      <c r="G15" s="2"/>
      <c r="H15" s="2">
        <f>--109645.14</f>
        <v>109645.14</v>
      </c>
      <c r="I15" s="2"/>
      <c r="J15" s="19"/>
      <c r="K15" s="2"/>
      <c r="L15" s="2">
        <f t="shared" si="0"/>
        <v>43141.64</v>
      </c>
      <c r="M15" s="2"/>
      <c r="N15" s="19">
        <f t="shared" si="1"/>
        <v>0.39346604874598179</v>
      </c>
      <c r="O15" s="11"/>
      <c r="P15" s="2">
        <f>--892099.99</f>
        <v>892099.99</v>
      </c>
      <c r="Q15" s="2"/>
      <c r="R15" s="19"/>
      <c r="S15" s="2"/>
      <c r="T15" s="2">
        <f>--1148399.63</f>
        <v>1148399.6299999999</v>
      </c>
      <c r="U15" s="2"/>
      <c r="V15" s="19"/>
      <c r="W15" s="2"/>
      <c r="X15" s="2">
        <f t="shared" si="2"/>
        <v>-256299.6399999999</v>
      </c>
      <c r="Y15" s="2"/>
      <c r="Z15" s="19">
        <f t="shared" si="3"/>
        <v>-0.2231798350544574</v>
      </c>
    </row>
    <row r="16" spans="1:26" s="24" customFormat="1" hidden="1" outlineLevel="1" x14ac:dyDescent="0.25">
      <c r="A16" s="44"/>
      <c r="B16" s="11" t="str">
        <f>CONCATENATE("          ", "4083", " - ", "TAXABLE SALES-COMPUTER EQUIPME")</f>
        <v xml:space="preserve">          4083 - TAXABLE SALES-COMPUTER EQUIPME</v>
      </c>
      <c r="C16" s="11"/>
      <c r="D16" s="2">
        <f>--3392.4</f>
        <v>3392.4</v>
      </c>
      <c r="E16" s="2"/>
      <c r="F16" s="19"/>
      <c r="G16" s="2"/>
      <c r="H16" s="2">
        <f>--12650.01</f>
        <v>12650.01</v>
      </c>
      <c r="I16" s="2"/>
      <c r="J16" s="19"/>
      <c r="K16" s="2"/>
      <c r="L16" s="2">
        <f t="shared" si="0"/>
        <v>-9257.61</v>
      </c>
      <c r="M16" s="2"/>
      <c r="N16" s="19">
        <f t="shared" si="1"/>
        <v>-0.73182629895154239</v>
      </c>
      <c r="O16" s="11"/>
      <c r="P16" s="2">
        <f>--72045.1</f>
        <v>72045.100000000006</v>
      </c>
      <c r="Q16" s="2"/>
      <c r="R16" s="19"/>
      <c r="S16" s="2"/>
      <c r="T16" s="2">
        <f>--53606.22</f>
        <v>53606.22</v>
      </c>
      <c r="U16" s="2"/>
      <c r="V16" s="19"/>
      <c r="W16" s="2"/>
      <c r="X16" s="2">
        <f t="shared" si="2"/>
        <v>18438.880000000005</v>
      </c>
      <c r="Y16" s="2"/>
      <c r="Z16" s="19">
        <f t="shared" si="3"/>
        <v>0.34396903941370993</v>
      </c>
    </row>
    <row r="17" spans="1:26" s="24" customFormat="1" hidden="1" outlineLevel="1" x14ac:dyDescent="0.25">
      <c r="A17" s="44"/>
      <c r="B17" s="11" t="str">
        <f>CONCATENATE("          ", "4084", " - ", "TAXABLE SALES-SOFTWARE LICENSE")</f>
        <v xml:space="preserve">          4084 - TAXABLE SALES-SOFTWARE LICENSE</v>
      </c>
      <c r="C17" s="11"/>
      <c r="D17" s="2">
        <f>0</f>
        <v>0</v>
      </c>
      <c r="E17" s="2"/>
      <c r="F17" s="19"/>
      <c r="G17" s="2"/>
      <c r="H17" s="2">
        <f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0</f>
        <v>0</v>
      </c>
      <c r="Q17" s="2"/>
      <c r="R17" s="19"/>
      <c r="S17" s="2"/>
      <c r="T17" s="2">
        <f>--129</f>
        <v>129</v>
      </c>
      <c r="U17" s="2"/>
      <c r="V17" s="19"/>
      <c r="W17" s="2"/>
      <c r="X17" s="2">
        <f t="shared" si="2"/>
        <v>-129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"4085", " - ", "TAXABLE SALES-SOFTWARE")</f>
        <v xml:space="preserve">          4085 - TAXABLE SALES-SOFTWARE</v>
      </c>
      <c r="C18" s="11"/>
      <c r="D18" s="2">
        <f>--139</f>
        <v>139</v>
      </c>
      <c r="E18" s="2"/>
      <c r="F18" s="19"/>
      <c r="G18" s="2"/>
      <c r="H18" s="2">
        <f>--3913.99</f>
        <v>3913.99</v>
      </c>
      <c r="I18" s="2"/>
      <c r="J18" s="19"/>
      <c r="K18" s="2"/>
      <c r="L18" s="2">
        <f t="shared" si="0"/>
        <v>-3774.99</v>
      </c>
      <c r="M18" s="2"/>
      <c r="N18" s="19">
        <f t="shared" si="1"/>
        <v>-0.96448636813073108</v>
      </c>
      <c r="O18" s="11"/>
      <c r="P18" s="2">
        <f>--1120.96</f>
        <v>1120.96</v>
      </c>
      <c r="Q18" s="2"/>
      <c r="R18" s="19"/>
      <c r="S18" s="2"/>
      <c r="T18" s="2">
        <f>--4407.94</f>
        <v>4407.9399999999996</v>
      </c>
      <c r="U18" s="2"/>
      <c r="V18" s="19"/>
      <c r="W18" s="2"/>
      <c r="X18" s="2">
        <f t="shared" si="2"/>
        <v>-3286.9799999999996</v>
      </c>
      <c r="Y18" s="2"/>
      <c r="Z18" s="19">
        <f t="shared" si="3"/>
        <v>-0.74569526808441133</v>
      </c>
    </row>
    <row r="19" spans="1:26" s="24" customFormat="1" hidden="1" outlineLevel="1" x14ac:dyDescent="0.25">
      <c r="A19" s="44"/>
      <c r="B19" s="11" t="str">
        <f>CONCATENATE("          ", "4086", " - ", "TAXABLE SALES-COMPUTER SUPPLIE")</f>
        <v xml:space="preserve">          4086 - TAXABLE SALES-COMPUTER SUPPLIE</v>
      </c>
      <c r="C19" s="11"/>
      <c r="D19" s="2">
        <f>--1385.25</f>
        <v>1385.25</v>
      </c>
      <c r="E19" s="2"/>
      <c r="F19" s="19"/>
      <c r="G19" s="2"/>
      <c r="H19" s="2">
        <f>--6615.09</f>
        <v>6615.09</v>
      </c>
      <c r="I19" s="2"/>
      <c r="J19" s="19"/>
      <c r="K19" s="2"/>
      <c r="L19" s="2">
        <f t="shared" si="0"/>
        <v>-5229.84</v>
      </c>
      <c r="M19" s="2"/>
      <c r="N19" s="19">
        <f t="shared" si="1"/>
        <v>-0.79059241824374271</v>
      </c>
      <c r="O19" s="11"/>
      <c r="P19" s="2">
        <f>--29366.66</f>
        <v>29366.66</v>
      </c>
      <c r="Q19" s="2"/>
      <c r="R19" s="19"/>
      <c r="S19" s="2"/>
      <c r="T19" s="2">
        <f>--26598.3</f>
        <v>26598.3</v>
      </c>
      <c r="U19" s="2"/>
      <c r="V19" s="19"/>
      <c r="W19" s="2"/>
      <c r="X19" s="2">
        <f t="shared" si="2"/>
        <v>2768.3600000000006</v>
      </c>
      <c r="Y19" s="2"/>
      <c r="Z19" s="19">
        <f t="shared" si="3"/>
        <v>0.10408033596132087</v>
      </c>
    </row>
    <row r="20" spans="1:26" s="24" customFormat="1" hidden="1" outlineLevel="1" x14ac:dyDescent="0.25">
      <c r="A20" s="44"/>
      <c r="B20" s="11" t="str">
        <f>CONCATENATE("          ", "4088", " - ", "TAXABLE SALES-MUSIC")</f>
        <v xml:space="preserve">          4088 - TAXABLE SALES-MUSIC</v>
      </c>
      <c r="C20" s="11"/>
      <c r="D20" s="2">
        <f>0</f>
        <v>0</v>
      </c>
      <c r="E20" s="2"/>
      <c r="F20" s="19"/>
      <c r="G20" s="2"/>
      <c r="H20" s="2">
        <f>--281.98</f>
        <v>281.98</v>
      </c>
      <c r="I20" s="2"/>
      <c r="J20" s="19"/>
      <c r="K20" s="2"/>
      <c r="L20" s="2">
        <f t="shared" si="0"/>
        <v>-281.98</v>
      </c>
      <c r="M20" s="2"/>
      <c r="N20" s="19">
        <f t="shared" si="1"/>
        <v>-1</v>
      </c>
      <c r="O20" s="11"/>
      <c r="P20" s="2">
        <f>0</f>
        <v>0</v>
      </c>
      <c r="Q20" s="2"/>
      <c r="R20" s="19"/>
      <c r="S20" s="2"/>
      <c r="T20" s="2">
        <f>--817.94</f>
        <v>817.94</v>
      </c>
      <c r="U20" s="2"/>
      <c r="V20" s="19"/>
      <c r="W20" s="2"/>
      <c r="X20" s="2">
        <f t="shared" si="2"/>
        <v>-817.94</v>
      </c>
      <c r="Y20" s="2"/>
      <c r="Z20" s="19">
        <f t="shared" si="3"/>
        <v>-1</v>
      </c>
    </row>
    <row r="21" spans="1:26" s="24" customFormat="1" hidden="1" outlineLevel="1" x14ac:dyDescent="0.25">
      <c r="A21" s="44"/>
      <c r="B21" s="11" t="str">
        <f>CONCATENATE("          ", "4181", " - ", "NON-TAXABLE SALES-ELECTRONICS")</f>
        <v xml:space="preserve">          4181 - NON-TAXABLE SALES-ELECTRONICS</v>
      </c>
      <c r="C21" s="11"/>
      <c r="D21" s="2">
        <f>--194.97</f>
        <v>194.97</v>
      </c>
      <c r="E21" s="2"/>
      <c r="F21" s="19"/>
      <c r="G21" s="2"/>
      <c r="H21" s="2">
        <f>--7.99</f>
        <v>7.99</v>
      </c>
      <c r="I21" s="2"/>
      <c r="J21" s="19"/>
      <c r="K21" s="2"/>
      <c r="L21" s="2">
        <f t="shared" si="0"/>
        <v>186.98</v>
      </c>
      <c r="M21" s="2"/>
      <c r="N21" s="19">
        <f t="shared" si="1"/>
        <v>23.401752190237794</v>
      </c>
      <c r="O21" s="11"/>
      <c r="P21" s="2">
        <f>--3504.13</f>
        <v>3504.13</v>
      </c>
      <c r="Q21" s="2"/>
      <c r="R21" s="19"/>
      <c r="S21" s="2"/>
      <c r="T21" s="2">
        <f>--1462.51</f>
        <v>1462.51</v>
      </c>
      <c r="U21" s="2"/>
      <c r="V21" s="19"/>
      <c r="W21" s="2"/>
      <c r="X21" s="2">
        <f t="shared" si="2"/>
        <v>2041.6200000000001</v>
      </c>
      <c r="Y21" s="2"/>
      <c r="Z21" s="19">
        <f t="shared" si="3"/>
        <v>1.3959699420858662</v>
      </c>
    </row>
    <row r="22" spans="1:26" s="24" customFormat="1" hidden="1" outlineLevel="1" x14ac:dyDescent="0.25">
      <c r="A22" s="44"/>
      <c r="B22" s="11" t="str">
        <f>CONCATENATE("          ", "4182", " - ", "NON-TAXABLE SALES-COMPUTER HAR")</f>
        <v xml:space="preserve">          4182 - NON-TAXABLE SALES-COMPUTER HAR</v>
      </c>
      <c r="C22" s="11"/>
      <c r="D22" s="2">
        <f>--24570</f>
        <v>24570</v>
      </c>
      <c r="E22" s="2"/>
      <c r="F22" s="19"/>
      <c r="G22" s="2"/>
      <c r="H22" s="2">
        <f>--10758</f>
        <v>10758</v>
      </c>
      <c r="I22" s="2"/>
      <c r="J22" s="19"/>
      <c r="K22" s="2"/>
      <c r="L22" s="2">
        <f t="shared" si="0"/>
        <v>13812</v>
      </c>
      <c r="M22" s="2"/>
      <c r="N22" s="19">
        <f t="shared" si="1"/>
        <v>1.2838817624093697</v>
      </c>
      <c r="O22" s="11"/>
      <c r="P22" s="2">
        <f>--145294.38</f>
        <v>145294.38</v>
      </c>
      <c r="Q22" s="2"/>
      <c r="R22" s="19"/>
      <c r="S22" s="2"/>
      <c r="T22" s="2">
        <f>--56560</f>
        <v>56560</v>
      </c>
      <c r="U22" s="2"/>
      <c r="V22" s="19"/>
      <c r="W22" s="2"/>
      <c r="X22" s="2">
        <f t="shared" si="2"/>
        <v>88734.38</v>
      </c>
      <c r="Y22" s="2"/>
      <c r="Z22" s="19">
        <f t="shared" si="3"/>
        <v>1.5688539603960396</v>
      </c>
    </row>
    <row r="23" spans="1:26" s="24" customFormat="1" hidden="1" outlineLevel="1" x14ac:dyDescent="0.25">
      <c r="A23" s="44"/>
      <c r="B23" s="11" t="str">
        <f>CONCATENATE("          ", "4183", " - ", "NON-TAXABLE SALES-COMPUTER EQU")</f>
        <v xml:space="preserve">          4183 - NON-TAXABLE SALES-COMPUTER EQU</v>
      </c>
      <c r="C23" s="11"/>
      <c r="D23" s="2">
        <f>--1269.91</f>
        <v>1269.9100000000001</v>
      </c>
      <c r="E23" s="2"/>
      <c r="F23" s="19"/>
      <c r="G23" s="2"/>
      <c r="H23" s="2">
        <f>--1033.81</f>
        <v>1033.81</v>
      </c>
      <c r="I23" s="2"/>
      <c r="J23" s="19"/>
      <c r="K23" s="2"/>
      <c r="L23" s="2">
        <f t="shared" si="0"/>
        <v>236.10000000000014</v>
      </c>
      <c r="M23" s="2"/>
      <c r="N23" s="19">
        <f t="shared" si="1"/>
        <v>0.22837852216558183</v>
      </c>
      <c r="O23" s="11"/>
      <c r="P23" s="2">
        <f>--6336.39</f>
        <v>6336.39</v>
      </c>
      <c r="Q23" s="2"/>
      <c r="R23" s="19"/>
      <c r="S23" s="2"/>
      <c r="T23" s="2">
        <f>--3054.92</f>
        <v>3054.92</v>
      </c>
      <c r="U23" s="2"/>
      <c r="V23" s="19"/>
      <c r="W23" s="2"/>
      <c r="X23" s="2">
        <f t="shared" si="2"/>
        <v>3281.4700000000003</v>
      </c>
      <c r="Y23" s="2"/>
      <c r="Z23" s="19">
        <f t="shared" si="3"/>
        <v>1.0741590614484178</v>
      </c>
    </row>
    <row r="24" spans="1:26" s="24" customFormat="1" hidden="1" outlineLevel="1" x14ac:dyDescent="0.25">
      <c r="A24" s="44"/>
      <c r="B24" s="11" t="str">
        <f>CONCATENATE("          ", "4184", " - ", "NON-TAXABLE SALES-SOFTWARE LIC")</f>
        <v xml:space="preserve">          4184 - NON-TAXABLE SALES-SOFTWARE LIC</v>
      </c>
      <c r="C24" s="11"/>
      <c r="D24" s="2">
        <f>0</f>
        <v>0</v>
      </c>
      <c r="E24" s="2"/>
      <c r="F24" s="19"/>
      <c r="G24" s="2"/>
      <c r="H24" s="2">
        <f>0</f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0</f>
        <v>0</v>
      </c>
      <c r="Q24" s="2"/>
      <c r="R24" s="19"/>
      <c r="S24" s="2"/>
      <c r="T24" s="2">
        <f>--1522</f>
        <v>1522</v>
      </c>
      <c r="U24" s="2"/>
      <c r="V24" s="19"/>
      <c r="W24" s="2"/>
      <c r="X24" s="2">
        <f t="shared" si="2"/>
        <v>-1522</v>
      </c>
      <c r="Y24" s="2"/>
      <c r="Z24" s="19">
        <f t="shared" si="3"/>
        <v>-1</v>
      </c>
    </row>
    <row r="25" spans="1:26" s="24" customFormat="1" hidden="1" outlineLevel="1" x14ac:dyDescent="0.25">
      <c r="A25" s="44"/>
      <c r="B25" s="11" t="str">
        <f>CONCATENATE("          ", "4185", " - ", "NON-TAXABLE SALES-SOFTWARE")</f>
        <v xml:space="preserve">          4185 - NON-TAXABLE SALES-SOFTWARE</v>
      </c>
      <c r="C25" s="11"/>
      <c r="D25" s="2">
        <f>--4590.76</f>
        <v>4590.76</v>
      </c>
      <c r="E25" s="2"/>
      <c r="F25" s="19"/>
      <c r="G25" s="2"/>
      <c r="H25" s="2">
        <f>--1389.95</f>
        <v>1389.95</v>
      </c>
      <c r="I25" s="2"/>
      <c r="J25" s="19"/>
      <c r="K25" s="2"/>
      <c r="L25" s="2">
        <f t="shared" si="0"/>
        <v>3200.8100000000004</v>
      </c>
      <c r="M25" s="2"/>
      <c r="N25" s="19">
        <f t="shared" si="1"/>
        <v>2.302823842584266</v>
      </c>
      <c r="O25" s="11"/>
      <c r="P25" s="2">
        <f>--23816.85</f>
        <v>23816.85</v>
      </c>
      <c r="Q25" s="2"/>
      <c r="R25" s="19"/>
      <c r="S25" s="2"/>
      <c r="T25" s="2">
        <f>--8467.89</f>
        <v>8467.89</v>
      </c>
      <c r="U25" s="2"/>
      <c r="V25" s="19"/>
      <c r="W25" s="2"/>
      <c r="X25" s="2">
        <f t="shared" si="2"/>
        <v>15348.96</v>
      </c>
      <c r="Y25" s="2"/>
      <c r="Z25" s="19">
        <f t="shared" si="3"/>
        <v>1.812607390979335</v>
      </c>
    </row>
    <row r="26" spans="1:26" s="24" customFormat="1" hidden="1" outlineLevel="1" x14ac:dyDescent="0.25">
      <c r="A26" s="44"/>
      <c r="B26" s="11" t="str">
        <f>CONCATENATE("          ", "4186", " - ", "NON-TAXABLE SALES-COMPUTER SUP")</f>
        <v xml:space="preserve">          4186 - NON-TAXABLE SALES-COMPUTER SUP</v>
      </c>
      <c r="C26" s="11"/>
      <c r="D26" s="2">
        <f>--855.98</f>
        <v>855.98</v>
      </c>
      <c r="E26" s="2"/>
      <c r="F26" s="19"/>
      <c r="G26" s="2"/>
      <c r="H26" s="2">
        <f>--792.62</f>
        <v>792.62</v>
      </c>
      <c r="I26" s="2"/>
      <c r="J26" s="19"/>
      <c r="K26" s="2"/>
      <c r="L26" s="2">
        <f t="shared" si="0"/>
        <v>63.360000000000014</v>
      </c>
      <c r="M26" s="2"/>
      <c r="N26" s="19">
        <f t="shared" si="1"/>
        <v>7.9937422724634777E-2</v>
      </c>
      <c r="O26" s="11"/>
      <c r="P26" s="2">
        <f>--1729.77</f>
        <v>1729.77</v>
      </c>
      <c r="Q26" s="2"/>
      <c r="R26" s="19"/>
      <c r="S26" s="2"/>
      <c r="T26" s="2">
        <f>--1553.38</f>
        <v>1553.38</v>
      </c>
      <c r="U26" s="2"/>
      <c r="V26" s="19"/>
      <c r="W26" s="2"/>
      <c r="X26" s="2">
        <f t="shared" si="2"/>
        <v>176.38999999999987</v>
      </c>
      <c r="Y26" s="2"/>
      <c r="Z26" s="19">
        <f t="shared" si="3"/>
        <v>0.11355238254644701</v>
      </c>
    </row>
    <row r="27" spans="1:26" s="24" customFormat="1" hidden="1" outlineLevel="1" x14ac:dyDescent="0.25">
      <c r="A27" s="44"/>
      <c r="B27" s="11" t="str">
        <f>CONCATENATE("          ", "4188", " - ", "NON-TAXABLE SALES-MUSIC")</f>
        <v xml:space="preserve">          4188 - NON-TAXABLE SALES-MUSIC</v>
      </c>
      <c r="C27" s="11"/>
      <c r="D27" s="2">
        <f>0</f>
        <v>0</v>
      </c>
      <c r="E27" s="2"/>
      <c r="F27" s="19"/>
      <c r="G27" s="2"/>
      <c r="H27" s="2">
        <f>0</f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0</f>
        <v>0</v>
      </c>
      <c r="Q27" s="2"/>
      <c r="R27" s="19"/>
      <c r="S27" s="2"/>
      <c r="T27" s="2">
        <f>--219.96</f>
        <v>219.96</v>
      </c>
      <c r="U27" s="2"/>
      <c r="V27" s="19"/>
      <c r="W27" s="2"/>
      <c r="X27" s="2">
        <f t="shared" si="2"/>
        <v>-219.96</v>
      </c>
      <c r="Y27" s="2"/>
      <c r="Z27" s="19">
        <f t="shared" si="3"/>
        <v>-1</v>
      </c>
    </row>
    <row r="28" spans="1:26" s="24" customFormat="1" hidden="1" outlineLevel="1" x14ac:dyDescent="0.25">
      <c r="A28" s="44"/>
      <c r="B28" s="11" t="str">
        <f>CONCATENATE("          ", "4281", " - ", "SALES RETURN TAXABLE-ELECTRONI")</f>
        <v xml:space="preserve">          4281 - SALES RETURN TAXABLE-ELECTRONI</v>
      </c>
      <c r="C28" s="11"/>
      <c r="D28" s="2">
        <f>-357.99</f>
        <v>-357.99</v>
      </c>
      <c r="E28" s="2"/>
      <c r="F28" s="19"/>
      <c r="G28" s="2"/>
      <c r="H28" s="2">
        <f>-1281.68</f>
        <v>-1281.68</v>
      </c>
      <c r="I28" s="2"/>
      <c r="J28" s="19"/>
      <c r="K28" s="2"/>
      <c r="L28" s="2">
        <f t="shared" si="0"/>
        <v>923.69</v>
      </c>
      <c r="M28" s="2"/>
      <c r="N28" s="19">
        <f t="shared" si="1"/>
        <v>-0.72068691092940518</v>
      </c>
      <c r="O28" s="11"/>
      <c r="P28" s="2">
        <f>-14632.15</f>
        <v>-14632.15</v>
      </c>
      <c r="Q28" s="2"/>
      <c r="R28" s="19"/>
      <c r="S28" s="2"/>
      <c r="T28" s="2">
        <f>-4556.15</f>
        <v>-4556.1499999999996</v>
      </c>
      <c r="U28" s="2"/>
      <c r="V28" s="19"/>
      <c r="W28" s="2"/>
      <c r="X28" s="2">
        <f t="shared" si="2"/>
        <v>-10076</v>
      </c>
      <c r="Y28" s="2"/>
      <c r="Z28" s="19">
        <f t="shared" si="3"/>
        <v>2.2115163021410624</v>
      </c>
    </row>
    <row r="29" spans="1:26" s="24" customFormat="1" hidden="1" outlineLevel="1" x14ac:dyDescent="0.25">
      <c r="A29" s="44"/>
      <c r="B29" s="11" t="str">
        <f>CONCATENATE("          ", "4282", " - ", "SALES RETURN TAXABLE-COMPUTER")</f>
        <v xml:space="preserve">          4282 - SALES RETURN TAXABLE-COMPUTER</v>
      </c>
      <c r="C29" s="11"/>
      <c r="D29" s="2">
        <f>-20038</f>
        <v>-20038</v>
      </c>
      <c r="E29" s="2"/>
      <c r="F29" s="19"/>
      <c r="G29" s="2"/>
      <c r="H29" s="2">
        <f>-22491.01</f>
        <v>-22491.01</v>
      </c>
      <c r="I29" s="2"/>
      <c r="J29" s="19"/>
      <c r="K29" s="2"/>
      <c r="L29" s="2">
        <f t="shared" si="0"/>
        <v>2453.0099999999984</v>
      </c>
      <c r="M29" s="2"/>
      <c r="N29" s="19">
        <f t="shared" si="1"/>
        <v>-0.10906624469065633</v>
      </c>
      <c r="O29" s="11"/>
      <c r="P29" s="2">
        <f>-68323</f>
        <v>-68323</v>
      </c>
      <c r="Q29" s="2"/>
      <c r="R29" s="19"/>
      <c r="S29" s="2"/>
      <c r="T29" s="2">
        <f>-170137.86</f>
        <v>-170137.86</v>
      </c>
      <c r="U29" s="2"/>
      <c r="V29" s="19"/>
      <c r="W29" s="2"/>
      <c r="X29" s="2">
        <f t="shared" si="2"/>
        <v>101814.85999999999</v>
      </c>
      <c r="Y29" s="2"/>
      <c r="Z29" s="19">
        <f t="shared" si="3"/>
        <v>-0.59842565317325602</v>
      </c>
    </row>
    <row r="30" spans="1:26" s="24" customFormat="1" hidden="1" outlineLevel="1" x14ac:dyDescent="0.25">
      <c r="A30" s="44"/>
      <c r="B30" s="11" t="str">
        <f>CONCATENATE("          ", "4283", " - ", "SALES RETURN TAXABLE-COMPUTER")</f>
        <v xml:space="preserve">          4283 - SALES RETURN TAXABLE-COMPUTER</v>
      </c>
      <c r="C30" s="11"/>
      <c r="D30" s="2">
        <f>-629.58</f>
        <v>-629.58000000000004</v>
      </c>
      <c r="E30" s="2"/>
      <c r="F30" s="19"/>
      <c r="G30" s="2"/>
      <c r="H30" s="2">
        <f>-1247.85</f>
        <v>-1247.8499999999999</v>
      </c>
      <c r="I30" s="2"/>
      <c r="J30" s="19"/>
      <c r="K30" s="2"/>
      <c r="L30" s="2">
        <f t="shared" si="0"/>
        <v>618.26999999999987</v>
      </c>
      <c r="M30" s="2"/>
      <c r="N30" s="19">
        <f t="shared" si="1"/>
        <v>-0.49546820531313851</v>
      </c>
      <c r="O30" s="11"/>
      <c r="P30" s="2">
        <f>-2632.31</f>
        <v>-2632.31</v>
      </c>
      <c r="Q30" s="2"/>
      <c r="R30" s="19"/>
      <c r="S30" s="2"/>
      <c r="T30" s="2">
        <f>-2532.33</f>
        <v>-2532.33</v>
      </c>
      <c r="U30" s="2"/>
      <c r="V30" s="19"/>
      <c r="W30" s="2"/>
      <c r="X30" s="2">
        <f t="shared" si="2"/>
        <v>-99.980000000000018</v>
      </c>
      <c r="Y30" s="2"/>
      <c r="Z30" s="19">
        <f t="shared" si="3"/>
        <v>3.9481426196427805E-2</v>
      </c>
    </row>
    <row r="31" spans="1:26" s="24" customFormat="1" hidden="1" outlineLevel="1" x14ac:dyDescent="0.25">
      <c r="A31" s="44"/>
      <c r="B31" s="11" t="str">
        <f>CONCATENATE("          ", "4284", " - ", "SALES RETURN TAXABLE-SOFTWARE")</f>
        <v xml:space="preserve">          4284 - SALES RETURN TAXABLE-SOFTWARE</v>
      </c>
      <c r="C31" s="11"/>
      <c r="D31" s="2">
        <f t="shared" ref="D31:D32" si="4">0</f>
        <v>0</v>
      </c>
      <c r="E31" s="2"/>
      <c r="F31" s="19"/>
      <c r="G31" s="2"/>
      <c r="H31" s="2">
        <f>0</f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0</f>
        <v>0</v>
      </c>
      <c r="Q31" s="2"/>
      <c r="R31" s="19"/>
      <c r="S31" s="2"/>
      <c r="T31" s="2">
        <f>-129</f>
        <v>-129</v>
      </c>
      <c r="U31" s="2"/>
      <c r="V31" s="19"/>
      <c r="W31" s="2"/>
      <c r="X31" s="2">
        <f t="shared" si="2"/>
        <v>129</v>
      </c>
      <c r="Y31" s="2"/>
      <c r="Z31" s="19">
        <f t="shared" si="3"/>
        <v>-1</v>
      </c>
    </row>
    <row r="32" spans="1:26" s="24" customFormat="1" hidden="1" outlineLevel="1" x14ac:dyDescent="0.25">
      <c r="A32" s="44"/>
      <c r="B32" s="11" t="str">
        <f>CONCATENATE("          ", "4285", " - ", "SALES RETURN TAXABLE-SOFTWARE")</f>
        <v xml:space="preserve">          4285 - SALES RETURN TAXABLE-SOFTWARE</v>
      </c>
      <c r="C32" s="11"/>
      <c r="D32" s="2">
        <f t="shared" si="4"/>
        <v>0</v>
      </c>
      <c r="E32" s="2"/>
      <c r="F32" s="19"/>
      <c r="G32" s="2"/>
      <c r="H32" s="2">
        <f>-248.99</f>
        <v>-248.99</v>
      </c>
      <c r="I32" s="2"/>
      <c r="J32" s="19"/>
      <c r="K32" s="2"/>
      <c r="L32" s="2">
        <f t="shared" si="0"/>
        <v>248.99</v>
      </c>
      <c r="M32" s="2"/>
      <c r="N32" s="19">
        <f t="shared" si="1"/>
        <v>-1</v>
      </c>
      <c r="O32" s="11"/>
      <c r="P32" s="2">
        <f>-552.98</f>
        <v>-552.98</v>
      </c>
      <c r="Q32" s="2"/>
      <c r="R32" s="19"/>
      <c r="S32" s="2"/>
      <c r="T32" s="2">
        <f>-655.98</f>
        <v>-655.98</v>
      </c>
      <c r="U32" s="2"/>
      <c r="V32" s="19"/>
      <c r="W32" s="2"/>
      <c r="X32" s="2">
        <f t="shared" si="2"/>
        <v>103</v>
      </c>
      <c r="Y32" s="2"/>
      <c r="Z32" s="19">
        <f t="shared" si="3"/>
        <v>-0.15701698222506782</v>
      </c>
    </row>
    <row r="33" spans="1:26" s="24" customFormat="1" hidden="1" outlineLevel="1" x14ac:dyDescent="0.25">
      <c r="A33" s="44"/>
      <c r="B33" s="11" t="str">
        <f>CONCATENATE("          ", "4286", " - ", "SALES RETURN TAXABLE-COMPUTER")</f>
        <v xml:space="preserve">          4286 - SALES RETURN TAXABLE-COMPUTER</v>
      </c>
      <c r="C33" s="11"/>
      <c r="D33" s="2">
        <f>-158.96</f>
        <v>-158.96</v>
      </c>
      <c r="E33" s="2"/>
      <c r="F33" s="19"/>
      <c r="G33" s="2"/>
      <c r="H33" s="2">
        <f>-307.86</f>
        <v>-307.86</v>
      </c>
      <c r="I33" s="2"/>
      <c r="J33" s="19"/>
      <c r="K33" s="2"/>
      <c r="L33" s="2">
        <f t="shared" si="0"/>
        <v>148.9</v>
      </c>
      <c r="M33" s="2"/>
      <c r="N33" s="19">
        <f t="shared" si="1"/>
        <v>-0.48366140453452866</v>
      </c>
      <c r="O33" s="11"/>
      <c r="P33" s="2">
        <f>-571.36</f>
        <v>-571.36</v>
      </c>
      <c r="Q33" s="2"/>
      <c r="R33" s="19"/>
      <c r="S33" s="2"/>
      <c r="T33" s="2">
        <f>-2451.6</f>
        <v>-2451.6</v>
      </c>
      <c r="U33" s="2"/>
      <c r="V33" s="19"/>
      <c r="W33" s="2"/>
      <c r="X33" s="2">
        <f t="shared" si="2"/>
        <v>1880.2399999999998</v>
      </c>
      <c r="Y33" s="2"/>
      <c r="Z33" s="19">
        <f t="shared" si="3"/>
        <v>-0.76694403654756071</v>
      </c>
    </row>
    <row r="34" spans="1:26" s="24" customFormat="1" hidden="1" outlineLevel="1" x14ac:dyDescent="0.25">
      <c r="A34" s="44"/>
      <c r="B34" s="11" t="str">
        <f>CONCATENATE("          ", "4288", " - ", "TAXABLE SALES RETURN-MUSIC")</f>
        <v xml:space="preserve">          4288 - TAXABLE SALES RETURN-MUSIC</v>
      </c>
      <c r="C34" s="11"/>
      <c r="D34" s="2">
        <f t="shared" ref="D34:D37" si="5">0</f>
        <v>0</v>
      </c>
      <c r="E34" s="2"/>
      <c r="F34" s="19"/>
      <c r="G34" s="2"/>
      <c r="H34" s="2">
        <f>-3.99</f>
        <v>-3.99</v>
      </c>
      <c r="I34" s="2"/>
      <c r="J34" s="19"/>
      <c r="K34" s="2"/>
      <c r="L34" s="2">
        <f t="shared" si="0"/>
        <v>3.99</v>
      </c>
      <c r="M34" s="2"/>
      <c r="N34" s="19">
        <f t="shared" si="1"/>
        <v>-1</v>
      </c>
      <c r="O34" s="11"/>
      <c r="P34" s="2">
        <f>0</f>
        <v>0</v>
      </c>
      <c r="Q34" s="2"/>
      <c r="R34" s="19"/>
      <c r="S34" s="2"/>
      <c r="T34" s="2">
        <f>-3.99</f>
        <v>-3.99</v>
      </c>
      <c r="U34" s="2"/>
      <c r="V34" s="19"/>
      <c r="W34" s="2"/>
      <c r="X34" s="2">
        <f t="shared" si="2"/>
        <v>3.99</v>
      </c>
      <c r="Y34" s="2"/>
      <c r="Z34" s="19">
        <f t="shared" si="3"/>
        <v>-1</v>
      </c>
    </row>
    <row r="35" spans="1:26" s="24" customFormat="1" hidden="1" outlineLevel="1" x14ac:dyDescent="0.25">
      <c r="A35" s="44"/>
      <c r="B35" s="11" t="str">
        <f>CONCATENATE("          ", "4381", " - ", "SALES RETURN NON TAXABLE-ELECT")</f>
        <v xml:space="preserve">          4381 - SALES RETURN NON TAXABLE-ELECT</v>
      </c>
      <c r="C35" s="11"/>
      <c r="D35" s="2">
        <f t="shared" si="5"/>
        <v>0</v>
      </c>
      <c r="E35" s="2"/>
      <c r="F35" s="19"/>
      <c r="G35" s="2"/>
      <c r="H35" s="2">
        <f>0</f>
        <v>0</v>
      </c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1"/>
      <c r="P35" s="2">
        <f>-5624.15</f>
        <v>-5624.15</v>
      </c>
      <c r="Q35" s="2"/>
      <c r="R35" s="19"/>
      <c r="S35" s="2"/>
      <c r="T35" s="2">
        <f>-1279.84</f>
        <v>-1279.8399999999999</v>
      </c>
      <c r="U35" s="2"/>
      <c r="V35" s="19"/>
      <c r="W35" s="2"/>
      <c r="X35" s="2">
        <f t="shared" si="2"/>
        <v>-4344.3099999999995</v>
      </c>
      <c r="Y35" s="2"/>
      <c r="Z35" s="19">
        <f t="shared" si="3"/>
        <v>3.3944164895611948</v>
      </c>
    </row>
    <row r="36" spans="1:26" s="24" customFormat="1" hidden="1" outlineLevel="1" x14ac:dyDescent="0.25">
      <c r="A36" s="44"/>
      <c r="B36" s="11" t="str">
        <f>CONCATENATE("          ", "4383", " - ", "SALES RETURN NON TAXABLE-COMPU")</f>
        <v xml:space="preserve">          4383 - SALES RETURN NON TAXABLE-COMPU</v>
      </c>
      <c r="C36" s="11"/>
      <c r="D36" s="2">
        <f t="shared" si="5"/>
        <v>0</v>
      </c>
      <c r="E36" s="2"/>
      <c r="F36" s="19"/>
      <c r="G36" s="2"/>
      <c r="H36" s="2">
        <f>-24.99</f>
        <v>-24.99</v>
      </c>
      <c r="I36" s="2"/>
      <c r="J36" s="19"/>
      <c r="K36" s="2"/>
      <c r="L36" s="2">
        <f t="shared" si="0"/>
        <v>24.99</v>
      </c>
      <c r="M36" s="2"/>
      <c r="N36" s="19">
        <f t="shared" si="1"/>
        <v>-1</v>
      </c>
      <c r="O36" s="11"/>
      <c r="P36" s="2">
        <f t="shared" ref="P36:P37" si="6">0</f>
        <v>0</v>
      </c>
      <c r="Q36" s="2"/>
      <c r="R36" s="19"/>
      <c r="S36" s="2"/>
      <c r="T36" s="2">
        <f>-49.98</f>
        <v>-49.98</v>
      </c>
      <c r="U36" s="2"/>
      <c r="V36" s="19"/>
      <c r="W36" s="2"/>
      <c r="X36" s="2">
        <f t="shared" si="2"/>
        <v>49.98</v>
      </c>
      <c r="Y36" s="2"/>
      <c r="Z36" s="19">
        <f t="shared" si="3"/>
        <v>-1</v>
      </c>
    </row>
    <row r="37" spans="1:26" s="24" customFormat="1" hidden="1" outlineLevel="1" x14ac:dyDescent="0.25">
      <c r="A37" s="44"/>
      <c r="B37" s="11" t="str">
        <f>CONCATENATE("          ", "4386", " - ", "SALES RETURN NON TAXABLE-COMPU")</f>
        <v xml:space="preserve">          4386 - SALES RETURN NON TAXABLE-COMPU</v>
      </c>
      <c r="C37" s="11"/>
      <c r="D37" s="2">
        <f t="shared" si="5"/>
        <v>0</v>
      </c>
      <c r="E37" s="2"/>
      <c r="F37" s="19"/>
      <c r="G37" s="2"/>
      <c r="H37" s="2">
        <f>-34.98</f>
        <v>-34.979999999999997</v>
      </c>
      <c r="I37" s="2"/>
      <c r="J37" s="19"/>
      <c r="K37" s="2"/>
      <c r="L37" s="2">
        <f t="shared" si="0"/>
        <v>34.979999999999997</v>
      </c>
      <c r="M37" s="2"/>
      <c r="N37" s="19">
        <f t="shared" si="1"/>
        <v>-1</v>
      </c>
      <c r="O37" s="11"/>
      <c r="P37" s="2">
        <f t="shared" si="6"/>
        <v>0</v>
      </c>
      <c r="Q37" s="2"/>
      <c r="R37" s="19"/>
      <c r="S37" s="2"/>
      <c r="T37" s="2">
        <f>-54.97</f>
        <v>-54.97</v>
      </c>
      <c r="U37" s="2"/>
      <c r="V37" s="19"/>
      <c r="W37" s="2"/>
      <c r="X37" s="2">
        <f t="shared" si="2"/>
        <v>54.97</v>
      </c>
      <c r="Y37" s="2"/>
      <c r="Z37" s="19">
        <f t="shared" si="3"/>
        <v>-1</v>
      </c>
    </row>
    <row r="38" spans="1:26" x14ac:dyDescent="0.25">
      <c r="A38" s="9"/>
      <c r="B38" s="10"/>
      <c r="C38" s="9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s="23" customFormat="1" collapsed="1" x14ac:dyDescent="0.25">
      <c r="A39" s="10"/>
      <c r="B39" s="26" t="s">
        <v>8</v>
      </c>
      <c r="C39" s="10"/>
      <c r="D39" s="4">
        <f>SUM(OSRRefD16x_0)</f>
        <v>156723</v>
      </c>
      <c r="E39" s="4"/>
      <c r="F39" s="12">
        <f t="shared" ref="F39:F52" si="7">IF(D$12=0,0,D39/D$12)</f>
        <v>0.90676869740703347</v>
      </c>
      <c r="G39" s="4"/>
      <c r="H39" s="4">
        <f>SUM(OSRRefH16x_0)</f>
        <v>123920.84999999999</v>
      </c>
      <c r="I39" s="4"/>
      <c r="J39" s="12">
        <f t="shared" ref="J39:J52" si="8">IF(H$12=0,0,H39/H$12)</f>
        <v>0.84745694904460667</v>
      </c>
      <c r="K39" s="4"/>
      <c r="L39" s="4">
        <f t="shared" ref="L39:L52" si="9">+D39-H39</f>
        <v>32802.150000000009</v>
      </c>
      <c r="M39" s="4"/>
      <c r="N39" s="12">
        <f t="shared" ref="N39:N52" si="10">IF(H39=0,0,L39/H39)</f>
        <v>0.26470242901013036</v>
      </c>
      <c r="O39" s="10"/>
      <c r="P39" s="4">
        <f>SUM(OSRRefP16x_0)</f>
        <v>1081275</v>
      </c>
      <c r="Q39" s="4"/>
      <c r="R39" s="12">
        <f t="shared" ref="R39:R52" si="11">IF(P$12=0,0,P39/P$12)</f>
        <v>0.95172476838811437</v>
      </c>
      <c r="S39" s="4"/>
      <c r="T39" s="4">
        <f>SUM(OSRRefT16x_0)</f>
        <v>1200081</v>
      </c>
      <c r="U39" s="4"/>
      <c r="V39" s="12">
        <f t="shared" ref="V39:V52" si="12">IF(T$12=0,0,T39/T$12)</f>
        <v>0.89665025110489771</v>
      </c>
      <c r="W39" s="4"/>
      <c r="X39" s="4">
        <f t="shared" ref="X39:X52" si="13">+P39-T39</f>
        <v>-118806</v>
      </c>
      <c r="Y39" s="4"/>
      <c r="Z39" s="12">
        <f t="shared" ref="Z39:Z52" si="14">IF(T39=0,0,X39/T39)</f>
        <v>-9.8998317613561079E-2</v>
      </c>
    </row>
    <row r="40" spans="1:26" s="24" customFormat="1" hidden="1" outlineLevel="1" x14ac:dyDescent="0.25">
      <c r="A40" s="44"/>
      <c r="B40" s="11" t="str">
        <f>CONCATENATE("          ", "5081", " - ", "PURCHASES @ COST-ELECTRONICS")</f>
        <v xml:space="preserve">          5081 - PURCHASES @ COST-ELECTRONICS</v>
      </c>
      <c r="C40" s="11"/>
      <c r="D40" s="2">
        <v>6249.76</v>
      </c>
      <c r="E40" s="2"/>
      <c r="F40" s="19">
        <f t="shared" si="7"/>
        <v>3.6159891874878489E-2</v>
      </c>
      <c r="G40" s="2"/>
      <c r="H40" s="2">
        <v>18487.53</v>
      </c>
      <c r="I40" s="2"/>
      <c r="J40" s="19">
        <f t="shared" si="8"/>
        <v>0.12643058669441531</v>
      </c>
      <c r="K40" s="2"/>
      <c r="L40" s="2">
        <f t="shared" si="9"/>
        <v>-12237.769999999999</v>
      </c>
      <c r="M40" s="2"/>
      <c r="N40" s="19">
        <f t="shared" si="10"/>
        <v>-0.66194726932153725</v>
      </c>
      <c r="O40" s="11"/>
      <c r="P40" s="2">
        <v>21947.21</v>
      </c>
      <c r="Q40" s="2"/>
      <c r="R40" s="19">
        <f t="shared" si="11"/>
        <v>1.931766049711249E-2</v>
      </c>
      <c r="S40" s="2"/>
      <c r="T40" s="2">
        <v>168173.62</v>
      </c>
      <c r="U40" s="2"/>
      <c r="V40" s="19">
        <f t="shared" si="12"/>
        <v>0.12565228397268155</v>
      </c>
      <c r="W40" s="2"/>
      <c r="X40" s="2">
        <f t="shared" si="13"/>
        <v>-146226.41</v>
      </c>
      <c r="Y40" s="2"/>
      <c r="Z40" s="19">
        <f t="shared" si="14"/>
        <v>-0.86949671416955887</v>
      </c>
    </row>
    <row r="41" spans="1:26" s="24" customFormat="1" hidden="1" outlineLevel="1" x14ac:dyDescent="0.25">
      <c r="A41" s="44"/>
      <c r="B41" s="11" t="str">
        <f>CONCATENATE("          ", "5082", " - ", "PURCHASES @ COST-COMPUTER HARD")</f>
        <v xml:space="preserve">          5082 - PURCHASES @ COST-COMPUTER HARD</v>
      </c>
      <c r="C41" s="11"/>
      <c r="D41" s="2">
        <v>175404.87</v>
      </c>
      <c r="E41" s="2"/>
      <c r="F41" s="19">
        <f t="shared" si="7"/>
        <v>1.0148583519250527</v>
      </c>
      <c r="G41" s="2"/>
      <c r="H41" s="2">
        <v>94594.73</v>
      </c>
      <c r="I41" s="2"/>
      <c r="J41" s="19">
        <f t="shared" si="8"/>
        <v>0.64690454658355179</v>
      </c>
      <c r="K41" s="2"/>
      <c r="L41" s="2">
        <f t="shared" si="9"/>
        <v>80810.14</v>
      </c>
      <c r="M41" s="2"/>
      <c r="N41" s="19">
        <f t="shared" si="10"/>
        <v>0.85427740002006458</v>
      </c>
      <c r="O41" s="11"/>
      <c r="P41" s="2">
        <v>888778.08000000007</v>
      </c>
      <c r="Q41" s="2"/>
      <c r="R41" s="19">
        <f t="shared" si="11"/>
        <v>0.78229138039484225</v>
      </c>
      <c r="S41" s="2"/>
      <c r="T41" s="2">
        <v>895637.7</v>
      </c>
      <c r="U41" s="2"/>
      <c r="V41" s="19">
        <f t="shared" si="12"/>
        <v>0.66918297065282506</v>
      </c>
      <c r="W41" s="2"/>
      <c r="X41" s="2">
        <f t="shared" si="13"/>
        <v>-6859.6199999998789</v>
      </c>
      <c r="Y41" s="2"/>
      <c r="Z41" s="19">
        <f t="shared" si="14"/>
        <v>-7.6589227988056773E-3</v>
      </c>
    </row>
    <row r="42" spans="1:26" s="24" customFormat="1" hidden="1" outlineLevel="1" x14ac:dyDescent="0.25">
      <c r="A42" s="44"/>
      <c r="B42" s="11" t="str">
        <f>CONCATENATE("          ", "5083", " - ", "PURCHASES @ COST-COMPUTER EQUI")</f>
        <v xml:space="preserve">          5083 - PURCHASES @ COST-COMPUTER EQUI</v>
      </c>
      <c r="C42" s="11"/>
      <c r="D42" s="2">
        <v>11838.95</v>
      </c>
      <c r="E42" s="2"/>
      <c r="F42" s="19">
        <f t="shared" si="7"/>
        <v>6.8497854623552373E-2</v>
      </c>
      <c r="G42" s="2"/>
      <c r="H42" s="2">
        <v>14096.28</v>
      </c>
      <c r="I42" s="2"/>
      <c r="J42" s="19">
        <f t="shared" si="8"/>
        <v>9.6400165441719532E-2</v>
      </c>
      <c r="K42" s="2"/>
      <c r="L42" s="2">
        <f t="shared" si="9"/>
        <v>-2257.33</v>
      </c>
      <c r="M42" s="2"/>
      <c r="N42" s="19">
        <f t="shared" si="10"/>
        <v>-0.16013657503965584</v>
      </c>
      <c r="O42" s="11"/>
      <c r="P42" s="2">
        <v>73272.95</v>
      </c>
      <c r="Q42" s="2"/>
      <c r="R42" s="19">
        <f t="shared" si="11"/>
        <v>6.4493936665384735E-2</v>
      </c>
      <c r="S42" s="2"/>
      <c r="T42" s="2">
        <v>41808.689999999995</v>
      </c>
      <c r="U42" s="2"/>
      <c r="V42" s="19">
        <f t="shared" si="12"/>
        <v>3.1237701777519035E-2</v>
      </c>
      <c r="W42" s="2"/>
      <c r="X42" s="2">
        <f t="shared" si="13"/>
        <v>31464.260000000002</v>
      </c>
      <c r="Y42" s="2"/>
      <c r="Z42" s="19">
        <f t="shared" si="14"/>
        <v>0.75257703601811021</v>
      </c>
    </row>
    <row r="43" spans="1:26" s="24" customFormat="1" hidden="1" outlineLevel="1" x14ac:dyDescent="0.25">
      <c r="A43" s="44"/>
      <c r="B43" s="11" t="str">
        <f>CONCATENATE("          ", "5084", " - ", "PURCHASES @ COST-SOFTWARE LICE")</f>
        <v xml:space="preserve">          5084 - PURCHASES @ COST-SOFTWARE LICE</v>
      </c>
      <c r="C43" s="11"/>
      <c r="D43" s="2"/>
      <c r="E43" s="2"/>
      <c r="F43" s="19">
        <f t="shared" si="7"/>
        <v>0</v>
      </c>
      <c r="G43" s="2"/>
      <c r="H43" s="2">
        <v>1206</v>
      </c>
      <c r="I43" s="2"/>
      <c r="J43" s="19">
        <f t="shared" si="8"/>
        <v>8.2474666736694884E-3</v>
      </c>
      <c r="K43" s="2"/>
      <c r="L43" s="2">
        <f t="shared" si="9"/>
        <v>-1206</v>
      </c>
      <c r="M43" s="2"/>
      <c r="N43" s="19">
        <f t="shared" si="10"/>
        <v>-1</v>
      </c>
      <c r="O43" s="11"/>
      <c r="P43" s="2"/>
      <c r="Q43" s="2"/>
      <c r="R43" s="19">
        <f t="shared" si="11"/>
        <v>0</v>
      </c>
      <c r="S43" s="2"/>
      <c r="T43" s="2">
        <v>2728</v>
      </c>
      <c r="U43" s="2"/>
      <c r="V43" s="19">
        <f t="shared" si="12"/>
        <v>2.0382473224841999E-3</v>
      </c>
      <c r="W43" s="2"/>
      <c r="X43" s="2">
        <f t="shared" si="13"/>
        <v>-2728</v>
      </c>
      <c r="Y43" s="2"/>
      <c r="Z43" s="19">
        <f t="shared" si="14"/>
        <v>-1</v>
      </c>
    </row>
    <row r="44" spans="1:26" s="24" customFormat="1" hidden="1" outlineLevel="1" x14ac:dyDescent="0.25">
      <c r="A44" s="44"/>
      <c r="B44" s="11" t="str">
        <f>CONCATENATE("          ", "5085", " - ", "PURCHASES @ COST-SOFTWARE")</f>
        <v xml:space="preserve">          5085 - PURCHASES @ COST-SOFTWARE</v>
      </c>
      <c r="C44" s="11"/>
      <c r="D44" s="2">
        <v>5843.52</v>
      </c>
      <c r="E44" s="2"/>
      <c r="F44" s="19">
        <f t="shared" si="7"/>
        <v>3.380946650250409E-2</v>
      </c>
      <c r="G44" s="2"/>
      <c r="H44" s="2">
        <v>506.04</v>
      </c>
      <c r="I44" s="2"/>
      <c r="J44" s="19">
        <f t="shared" si="8"/>
        <v>3.4606534291407201E-3</v>
      </c>
      <c r="K44" s="2"/>
      <c r="L44" s="2">
        <f t="shared" si="9"/>
        <v>5337.4800000000005</v>
      </c>
      <c r="M44" s="2"/>
      <c r="N44" s="19">
        <f t="shared" si="10"/>
        <v>10.547545648565331</v>
      </c>
      <c r="O44" s="11"/>
      <c r="P44" s="2">
        <v>20681.2</v>
      </c>
      <c r="Q44" s="2"/>
      <c r="R44" s="19">
        <f t="shared" si="11"/>
        <v>1.820333428590162E-2</v>
      </c>
      <c r="S44" s="2"/>
      <c r="T44" s="2">
        <v>6932.04</v>
      </c>
      <c r="U44" s="2"/>
      <c r="V44" s="19">
        <f t="shared" si="12"/>
        <v>5.1793299007893588E-3</v>
      </c>
      <c r="W44" s="2"/>
      <c r="X44" s="2">
        <f t="shared" si="13"/>
        <v>13749.16</v>
      </c>
      <c r="Y44" s="2"/>
      <c r="Z44" s="19">
        <f t="shared" si="14"/>
        <v>1.9834219075481387</v>
      </c>
    </row>
    <row r="45" spans="1:26" s="24" customFormat="1" hidden="1" outlineLevel="1" x14ac:dyDescent="0.25">
      <c r="A45" s="44"/>
      <c r="B45" s="11" t="str">
        <f>CONCATENATE("          ", "5086", " - ", "PURCHASES @ COST-COMPUTER SUPP")</f>
        <v xml:space="preserve">          5086 - PURCHASES @ COST-COMPUTER SUPP</v>
      </c>
      <c r="C45" s="11"/>
      <c r="D45" s="2">
        <v>773.47</v>
      </c>
      <c r="E45" s="2"/>
      <c r="F45" s="19">
        <f t="shared" si="7"/>
        <v>4.4751464965794314E-3</v>
      </c>
      <c r="G45" s="2"/>
      <c r="H45" s="2">
        <v>5888.35</v>
      </c>
      <c r="I45" s="2"/>
      <c r="J45" s="19">
        <f t="shared" si="8"/>
        <v>4.0268632162439255E-2</v>
      </c>
      <c r="K45" s="2"/>
      <c r="L45" s="2">
        <f t="shared" si="9"/>
        <v>-5114.88</v>
      </c>
      <c r="M45" s="2"/>
      <c r="N45" s="19">
        <f t="shared" si="10"/>
        <v>-0.86864401742423591</v>
      </c>
      <c r="O45" s="11"/>
      <c r="P45" s="2">
        <v>22529.439999999999</v>
      </c>
      <c r="Q45" s="2"/>
      <c r="R45" s="19">
        <f t="shared" si="11"/>
        <v>1.9830132081028341E-2</v>
      </c>
      <c r="S45" s="2"/>
      <c r="T45" s="2">
        <v>18368.099999999999</v>
      </c>
      <c r="U45" s="2"/>
      <c r="V45" s="19">
        <f t="shared" si="12"/>
        <v>1.3723874869546198E-2</v>
      </c>
      <c r="W45" s="2"/>
      <c r="X45" s="2">
        <f t="shared" si="13"/>
        <v>4161.34</v>
      </c>
      <c r="Y45" s="2"/>
      <c r="Z45" s="19">
        <f t="shared" si="14"/>
        <v>0.22655255578965711</v>
      </c>
    </row>
    <row r="46" spans="1:26" s="24" customFormat="1" hidden="1" outlineLevel="1" x14ac:dyDescent="0.25">
      <c r="A46" s="44"/>
      <c r="B46" s="11" t="str">
        <f>CONCATENATE("          ", "5088", " - ", "PURCHASES @ COST-MUSIC")</f>
        <v xml:space="preserve">          5088 - PURCHASES @ COST-MUSIC</v>
      </c>
      <c r="C46" s="11"/>
      <c r="D46" s="2"/>
      <c r="E46" s="2"/>
      <c r="F46" s="19">
        <f t="shared" si="7"/>
        <v>0</v>
      </c>
      <c r="G46" s="2"/>
      <c r="H46" s="2"/>
      <c r="I46" s="2"/>
      <c r="J46" s="19">
        <f t="shared" si="8"/>
        <v>0</v>
      </c>
      <c r="K46" s="2"/>
      <c r="L46" s="2">
        <f t="shared" si="9"/>
        <v>0</v>
      </c>
      <c r="M46" s="2"/>
      <c r="N46" s="19">
        <f t="shared" si="10"/>
        <v>0</v>
      </c>
      <c r="O46" s="11"/>
      <c r="P46" s="2"/>
      <c r="Q46" s="2"/>
      <c r="R46" s="19">
        <f t="shared" si="11"/>
        <v>0</v>
      </c>
      <c r="S46" s="2"/>
      <c r="T46" s="2">
        <v>88.75</v>
      </c>
      <c r="U46" s="2"/>
      <c r="V46" s="19">
        <f t="shared" si="12"/>
        <v>6.6310282210583848E-5</v>
      </c>
      <c r="W46" s="2"/>
      <c r="X46" s="2">
        <f t="shared" si="13"/>
        <v>-88.75</v>
      </c>
      <c r="Y46" s="2"/>
      <c r="Z46" s="19">
        <f t="shared" si="14"/>
        <v>-1</v>
      </c>
    </row>
    <row r="47" spans="1:26" s="24" customFormat="1" hidden="1" outlineLevel="1" x14ac:dyDescent="0.25">
      <c r="A47" s="44"/>
      <c r="B47" s="11" t="str">
        <f>CONCATENATE("          ", "5200", " - ", "PURCHASES OFFSET")</f>
        <v xml:space="preserve">          5200 - PURCHASES OFFSET</v>
      </c>
      <c r="C47" s="11"/>
      <c r="D47" s="2">
        <v>-200232.35</v>
      </c>
      <c r="E47" s="2"/>
      <c r="F47" s="19">
        <f t="shared" si="7"/>
        <v>-1.1585053067402309</v>
      </c>
      <c r="G47" s="2"/>
      <c r="H47" s="2">
        <v>-134851</v>
      </c>
      <c r="I47" s="2"/>
      <c r="J47" s="19">
        <f t="shared" si="8"/>
        <v>-0.92220491576368513</v>
      </c>
      <c r="K47" s="2"/>
      <c r="L47" s="2">
        <f t="shared" si="9"/>
        <v>-65381.350000000006</v>
      </c>
      <c r="M47" s="2"/>
      <c r="N47" s="19">
        <f t="shared" si="10"/>
        <v>0.48484141756457133</v>
      </c>
      <c r="O47" s="11"/>
      <c r="P47" s="2">
        <v>-1027552.17</v>
      </c>
      <c r="Q47" s="2"/>
      <c r="R47" s="19">
        <f t="shared" si="11"/>
        <v>-0.90443860350045491</v>
      </c>
      <c r="S47" s="2"/>
      <c r="T47" s="2">
        <v>-1134049</v>
      </c>
      <c r="U47" s="2"/>
      <c r="V47" s="19">
        <f t="shared" si="12"/>
        <v>-0.84731390682400454</v>
      </c>
      <c r="W47" s="2"/>
      <c r="X47" s="2">
        <f t="shared" si="13"/>
        <v>106496.82999999996</v>
      </c>
      <c r="Y47" s="2"/>
      <c r="Z47" s="19">
        <f t="shared" si="14"/>
        <v>-9.3908490726591146E-2</v>
      </c>
    </row>
    <row r="48" spans="1:26" s="24" customFormat="1" hidden="1" outlineLevel="1" x14ac:dyDescent="0.25">
      <c r="A48" s="44"/>
      <c r="B48" s="11" t="str">
        <f>CONCATENATE("          ", "5300", " - ", "COG$ OFFSET")</f>
        <v xml:space="preserve">          5300 - COG$ OFFSET</v>
      </c>
      <c r="C48" s="11"/>
      <c r="D48" s="2">
        <v>156723</v>
      </c>
      <c r="E48" s="2"/>
      <c r="F48" s="19">
        <f t="shared" si="7"/>
        <v>0.90676869740703347</v>
      </c>
      <c r="G48" s="2"/>
      <c r="H48" s="2">
        <v>123920</v>
      </c>
      <c r="I48" s="2"/>
      <c r="J48" s="19">
        <f t="shared" si="8"/>
        <v>0.84745113615350176</v>
      </c>
      <c r="K48" s="2"/>
      <c r="L48" s="2">
        <f t="shared" si="9"/>
        <v>32803</v>
      </c>
      <c r="M48" s="2"/>
      <c r="N48" s="19">
        <f t="shared" si="10"/>
        <v>0.26471110393802455</v>
      </c>
      <c r="O48" s="11"/>
      <c r="P48" s="2">
        <v>1081275</v>
      </c>
      <c r="Q48" s="2"/>
      <c r="R48" s="19">
        <f t="shared" si="11"/>
        <v>0.95172476838811437</v>
      </c>
      <c r="S48" s="2"/>
      <c r="T48" s="2">
        <v>1200079</v>
      </c>
      <c r="U48" s="2"/>
      <c r="V48" s="19">
        <f t="shared" si="12"/>
        <v>0.89664875678867884</v>
      </c>
      <c r="W48" s="2"/>
      <c r="X48" s="2">
        <f t="shared" si="13"/>
        <v>-118804</v>
      </c>
      <c r="Y48" s="2"/>
      <c r="Z48" s="19">
        <f t="shared" si="14"/>
        <v>-9.8996816042943844E-2</v>
      </c>
    </row>
    <row r="49" spans="1:26" s="24" customFormat="1" hidden="1" outlineLevel="1" x14ac:dyDescent="0.25">
      <c r="A49" s="44"/>
      <c r="B49" s="11" t="str">
        <f>CONCATENATE("          ", "5581", " - ", "FREIGHT-IN-ELECTRONICS")</f>
        <v xml:space="preserve">          5581 - FREIGHT-IN-ELECTRONICS</v>
      </c>
      <c r="C49" s="11"/>
      <c r="D49" s="2"/>
      <c r="E49" s="2"/>
      <c r="F49" s="19">
        <f t="shared" si="7"/>
        <v>0</v>
      </c>
      <c r="G49" s="2"/>
      <c r="H49" s="2">
        <v>12.8</v>
      </c>
      <c r="I49" s="2"/>
      <c r="J49" s="19">
        <f t="shared" si="8"/>
        <v>8.7535301345745823E-5</v>
      </c>
      <c r="K49" s="2"/>
      <c r="L49" s="2">
        <f t="shared" si="9"/>
        <v>-12.8</v>
      </c>
      <c r="M49" s="2"/>
      <c r="N49" s="19">
        <f t="shared" si="10"/>
        <v>-1</v>
      </c>
      <c r="O49" s="11"/>
      <c r="P49" s="2"/>
      <c r="Q49" s="2"/>
      <c r="R49" s="19">
        <f t="shared" si="11"/>
        <v>0</v>
      </c>
      <c r="S49" s="2"/>
      <c r="T49" s="2">
        <v>105.75</v>
      </c>
      <c r="U49" s="2"/>
      <c r="V49" s="19">
        <f t="shared" si="12"/>
        <v>7.9011970070639342E-5</v>
      </c>
      <c r="W49" s="2"/>
      <c r="X49" s="2">
        <f t="shared" si="13"/>
        <v>-105.75</v>
      </c>
      <c r="Y49" s="2"/>
      <c r="Z49" s="19">
        <f t="shared" si="14"/>
        <v>-1</v>
      </c>
    </row>
    <row r="50" spans="1:26" s="24" customFormat="1" hidden="1" outlineLevel="1" x14ac:dyDescent="0.25">
      <c r="A50" s="44"/>
      <c r="B50" s="11" t="str">
        <f>CONCATENATE("          ", "5582", " - ", "FREIGHT-IN-COMPUTER HARDWARE")</f>
        <v xml:space="preserve">          5582 - FREIGHT-IN-COMPUTER HARDWARE</v>
      </c>
      <c r="C50" s="11"/>
      <c r="D50" s="2">
        <v>70</v>
      </c>
      <c r="E50" s="2"/>
      <c r="F50" s="19">
        <f t="shared" si="7"/>
        <v>4.0500634124214274E-4</v>
      </c>
      <c r="G50" s="2"/>
      <c r="H50" s="2"/>
      <c r="I50" s="2"/>
      <c r="J50" s="19">
        <f t="shared" si="8"/>
        <v>0</v>
      </c>
      <c r="K50" s="2"/>
      <c r="L50" s="2">
        <f t="shared" si="9"/>
        <v>70</v>
      </c>
      <c r="M50" s="2"/>
      <c r="N50" s="19">
        <f t="shared" si="10"/>
        <v>0</v>
      </c>
      <c r="O50" s="11"/>
      <c r="P50" s="2">
        <v>94</v>
      </c>
      <c r="Q50" s="2"/>
      <c r="R50" s="19">
        <f t="shared" si="11"/>
        <v>8.2737627549404874E-5</v>
      </c>
      <c r="S50" s="2"/>
      <c r="T50" s="2">
        <v>4.84</v>
      </c>
      <c r="U50" s="2"/>
      <c r="V50" s="19">
        <f t="shared" si="12"/>
        <v>3.6162452495687415E-6</v>
      </c>
      <c r="W50" s="2"/>
      <c r="X50" s="2">
        <f t="shared" si="13"/>
        <v>89.16</v>
      </c>
      <c r="Y50" s="2"/>
      <c r="Z50" s="19">
        <f t="shared" si="14"/>
        <v>18.421487603305785</v>
      </c>
    </row>
    <row r="51" spans="1:26" s="24" customFormat="1" hidden="1" outlineLevel="1" x14ac:dyDescent="0.25">
      <c r="A51" s="44"/>
      <c r="B51" s="11" t="str">
        <f>CONCATENATE("          ", "5583", " - ", "FREIGHT-IN-COMPUTER EQUIPMENT")</f>
        <v xml:space="preserve">          5583 - FREIGHT-IN-COMPUTER EQUIPMENT</v>
      </c>
      <c r="C51" s="11"/>
      <c r="D51" s="2">
        <v>51.78</v>
      </c>
      <c r="E51" s="2"/>
      <c r="F51" s="19">
        <f t="shared" si="7"/>
        <v>2.9958897642168791E-4</v>
      </c>
      <c r="G51" s="2"/>
      <c r="H51" s="2"/>
      <c r="I51" s="2"/>
      <c r="J51" s="19">
        <f t="shared" si="8"/>
        <v>0</v>
      </c>
      <c r="K51" s="2"/>
      <c r="L51" s="2">
        <f t="shared" si="9"/>
        <v>51.78</v>
      </c>
      <c r="M51" s="2"/>
      <c r="N51" s="19">
        <f t="shared" si="10"/>
        <v>0</v>
      </c>
      <c r="O51" s="11"/>
      <c r="P51" s="2">
        <v>225.17</v>
      </c>
      <c r="Q51" s="2"/>
      <c r="R51" s="19">
        <f t="shared" si="11"/>
        <v>1.9819182548190951E-4</v>
      </c>
      <c r="S51" s="2"/>
      <c r="T51" s="2">
        <v>41</v>
      </c>
      <c r="U51" s="2"/>
      <c r="V51" s="19">
        <f t="shared" si="12"/>
        <v>3.0633482486016197E-5</v>
      </c>
      <c r="W51" s="2"/>
      <c r="X51" s="2">
        <f t="shared" si="13"/>
        <v>184.17</v>
      </c>
      <c r="Y51" s="2"/>
      <c r="Z51" s="19">
        <f t="shared" si="14"/>
        <v>4.4919512195121944</v>
      </c>
    </row>
    <row r="52" spans="1:26" s="24" customFormat="1" hidden="1" outlineLevel="1" x14ac:dyDescent="0.25">
      <c r="A52" s="44"/>
      <c r="B52" s="11" t="str">
        <f>CONCATENATE("          ", "5586", " - ", "FREIGHT-IN-COMPUTER SUPPLIES")</f>
        <v xml:space="preserve">          5586 - FREIGHT-IN-COMPUTER SUPPLIES</v>
      </c>
      <c r="C52" s="11"/>
      <c r="D52" s="2"/>
      <c r="E52" s="2"/>
      <c r="F52" s="19">
        <f t="shared" si="7"/>
        <v>0</v>
      </c>
      <c r="G52" s="2"/>
      <c r="H52" s="2">
        <v>60.12</v>
      </c>
      <c r="I52" s="2"/>
      <c r="J52" s="19">
        <f t="shared" si="8"/>
        <v>4.1114236850829986E-4</v>
      </c>
      <c r="K52" s="2"/>
      <c r="L52" s="2">
        <f t="shared" si="9"/>
        <v>-60.12</v>
      </c>
      <c r="M52" s="2"/>
      <c r="N52" s="19">
        <f t="shared" si="10"/>
        <v>-1</v>
      </c>
      <c r="O52" s="11"/>
      <c r="P52" s="2">
        <v>24.12</v>
      </c>
      <c r="Q52" s="2"/>
      <c r="R52" s="19">
        <f t="shared" si="11"/>
        <v>2.1230123154166442E-5</v>
      </c>
      <c r="S52" s="2"/>
      <c r="T52" s="2">
        <v>162.51</v>
      </c>
      <c r="U52" s="2"/>
      <c r="V52" s="19">
        <f t="shared" si="12"/>
        <v>1.214206643610364E-4</v>
      </c>
      <c r="W52" s="2"/>
      <c r="X52" s="2">
        <f t="shared" si="13"/>
        <v>-138.38999999999999</v>
      </c>
      <c r="Y52" s="2"/>
      <c r="Z52" s="19">
        <f t="shared" si="14"/>
        <v>-0.85157836440834411</v>
      </c>
    </row>
    <row r="53" spans="1:26" x14ac:dyDescent="0.25">
      <c r="A53" s="9"/>
      <c r="B53" s="10"/>
      <c r="C53" s="10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O53" s="10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s="23" customFormat="1" x14ac:dyDescent="0.25">
      <c r="A54" s="10"/>
      <c r="B54" s="25" t="s">
        <v>6</v>
      </c>
      <c r="C54" s="25"/>
      <c r="D54" s="20">
        <f>D12-D39</f>
        <v>16113.800000000047</v>
      </c>
      <c r="E54" s="13"/>
      <c r="F54" s="21">
        <f>IF(D$12=0,0,D54/D$12)</f>
        <v>9.3231302592966553E-2</v>
      </c>
      <c r="G54" s="13"/>
      <c r="H54" s="20">
        <f>H12-H39</f>
        <v>22305.870000000039</v>
      </c>
      <c r="I54" s="13"/>
      <c r="J54" s="21">
        <f>IF(H$12=0,0,H54/H$12)</f>
        <v>0.15254305095539333</v>
      </c>
      <c r="K54" s="15"/>
      <c r="L54" s="20">
        <f>+D54-H54</f>
        <v>-6192.0699999999924</v>
      </c>
      <c r="M54" s="15"/>
      <c r="N54" s="21">
        <f>IF(H54=0,0,L54/H54)</f>
        <v>-0.27759822862771016</v>
      </c>
      <c r="O54" s="26"/>
      <c r="P54" s="20">
        <f>P12-P39</f>
        <v>54846.529999999795</v>
      </c>
      <c r="Q54" s="13"/>
      <c r="R54" s="21">
        <f>IF(P$12=0,0,P54/P$12)</f>
        <v>4.8275231611885572E-2</v>
      </c>
      <c r="S54" s="13"/>
      <c r="T54" s="20">
        <f>T12-T39</f>
        <v>138323.79999999958</v>
      </c>
      <c r="U54" s="13"/>
      <c r="V54" s="21">
        <f>IF(T$12=0,0,T54/T$12)</f>
        <v>0.1033497488951023</v>
      </c>
      <c r="W54" s="15"/>
      <c r="X54" s="20">
        <f>+P54-T54</f>
        <v>-83477.269999999786</v>
      </c>
      <c r="Y54" s="15"/>
      <c r="Z54" s="21">
        <f>IF(T54=0,0,X54/T54)</f>
        <v>-0.60349173461110839</v>
      </c>
    </row>
    <row r="55" spans="1:26" x14ac:dyDescent="0.25">
      <c r="A55" s="9"/>
      <c r="B55" s="10"/>
      <c r="C55" s="9"/>
      <c r="D55" s="1"/>
      <c r="E55" s="1"/>
      <c r="F55" s="5"/>
      <c r="G55" s="1"/>
      <c r="H55" s="1"/>
      <c r="I55" s="1"/>
      <c r="J55" s="5"/>
      <c r="K55" s="1"/>
      <c r="L55" s="1"/>
      <c r="M55" s="1"/>
      <c r="N55" s="5"/>
      <c r="O55" s="37"/>
      <c r="P55" s="1"/>
      <c r="Q55" s="1"/>
      <c r="R55" s="5"/>
      <c r="S55" s="1"/>
      <c r="T55" s="1"/>
      <c r="U55" s="1"/>
      <c r="V55" s="5"/>
      <c r="W55" s="1"/>
      <c r="X55" s="1"/>
      <c r="Y55" s="1"/>
      <c r="Z55" s="5"/>
    </row>
    <row r="56" spans="1:26" s="23" customFormat="1" x14ac:dyDescent="0.25">
      <c r="A56" s="10"/>
      <c r="B56" s="26" t="s">
        <v>9</v>
      </c>
      <c r="C56" s="10"/>
      <c r="D56" s="22">
        <f>SUM(OSRRefD22x_0)</f>
        <v>14663.089999999998</v>
      </c>
      <c r="E56" s="22"/>
      <c r="F56" s="36">
        <f t="shared" ref="F56:F66" si="15">IF(D$12=0,0,D56/D$12)</f>
        <v>8.4837777602917872E-2</v>
      </c>
      <c r="G56" s="22"/>
      <c r="H56" s="22">
        <f>SUM(OSRRefH22x_0)</f>
        <v>17525.629999999997</v>
      </c>
      <c r="I56" s="22"/>
      <c r="J56" s="36">
        <f t="shared" ref="J56:J66" si="16">IF(H$12=0,0,H56/H$12)</f>
        <v>0.11985244557219087</v>
      </c>
      <c r="K56" s="4"/>
      <c r="L56" s="22">
        <f t="shared" ref="L56:L66" si="17">+D56-H56</f>
        <v>-2862.5399999999991</v>
      </c>
      <c r="M56" s="4"/>
      <c r="N56" s="36">
        <f t="shared" ref="N56:N66" si="18">IF(H56=0,0,L56/H56)</f>
        <v>-0.16333449924482027</v>
      </c>
      <c r="O56" s="10"/>
      <c r="P56" s="22">
        <f>SUM(OSRRefP22x_0)</f>
        <v>53904.79</v>
      </c>
      <c r="Q56" s="22"/>
      <c r="R56" s="36">
        <f t="shared" ref="R56:R66" si="19">IF(P$12=0,0,P56/P$12)</f>
        <v>4.7446323810094518E-2</v>
      </c>
      <c r="S56" s="22"/>
      <c r="T56" s="22">
        <f>SUM(OSRRefT22x_0)</f>
        <v>119718.84999999999</v>
      </c>
      <c r="U56" s="22"/>
      <c r="V56" s="36">
        <f t="shared" ref="V56:V66" si="20">IF(T$12=0,0,T56/T$12)</f>
        <v>8.9448909627341464E-2</v>
      </c>
      <c r="W56" s="4"/>
      <c r="X56" s="22">
        <f t="shared" ref="X56:X66" si="21">+P56-T56</f>
        <v>-65814.06</v>
      </c>
      <c r="Y56" s="4"/>
      <c r="Z56" s="36">
        <f t="shared" ref="Z56:Z66" si="22">IF(T56=0,0,X56/T56)</f>
        <v>-0.54973849147398257</v>
      </c>
    </row>
    <row r="57" spans="1:26" s="29" customFormat="1" outlineLevel="1" collapsed="1" x14ac:dyDescent="0.25">
      <c r="A57" s="27"/>
      <c r="B57" s="14" t="str">
        <f>CONCATENATE("     ","*Benefits                                         ")</f>
        <v xml:space="preserve">     *Benefits                                         </v>
      </c>
      <c r="C57" s="14"/>
      <c r="D57" s="1">
        <f>SUM(OSRRefD22_0x_0)</f>
        <v>3471.1499999999996</v>
      </c>
      <c r="E57" s="1"/>
      <c r="F57" s="5">
        <f t="shared" si="15"/>
        <v>2.0083396591466626E-2</v>
      </c>
      <c r="G57" s="1"/>
      <c r="H57" s="1">
        <f>SUM(OSRRefH22_0x_0)</f>
        <v>3367.3299999999995</v>
      </c>
      <c r="I57" s="1"/>
      <c r="J57" s="5">
        <f t="shared" si="16"/>
        <v>2.3028144240669551E-2</v>
      </c>
      <c r="K57" s="1"/>
      <c r="L57" s="1">
        <f t="shared" si="17"/>
        <v>103.82000000000016</v>
      </c>
      <c r="M57" s="1"/>
      <c r="N57" s="5">
        <f t="shared" si="18"/>
        <v>3.0831549031428516E-2</v>
      </c>
      <c r="O57" s="14"/>
      <c r="P57" s="1">
        <f>SUM(OSRRefP22_0x_0)</f>
        <v>11959.910000000002</v>
      </c>
      <c r="Q57" s="1"/>
      <c r="R57" s="5">
        <f t="shared" si="19"/>
        <v>1.0526963607493649E-2</v>
      </c>
      <c r="S57" s="1"/>
      <c r="T57" s="1">
        <f>SUM(OSRRefT22_0x_0)</f>
        <v>12276.279999999999</v>
      </c>
      <c r="U57" s="1"/>
      <c r="V57" s="5">
        <f t="shared" si="20"/>
        <v>9.1723221554495336E-3</v>
      </c>
      <c r="W57" s="1"/>
      <c r="X57" s="1">
        <f t="shared" si="21"/>
        <v>-316.36999999999716</v>
      </c>
      <c r="Y57" s="1"/>
      <c r="Z57" s="5">
        <f t="shared" si="22"/>
        <v>-2.5770836116478055E-2</v>
      </c>
    </row>
    <row r="58" spans="1:26" s="24" customFormat="1" hidden="1" outlineLevel="2" x14ac:dyDescent="0.25">
      <c r="A58" s="28"/>
      <c r="B58" s="11" t="str">
        <f>CONCATENATE("          ", "6111", " - ", "F.I.C.A.")</f>
        <v xml:space="preserve">          6111 - F.I.C.A.</v>
      </c>
      <c r="C58" s="11"/>
      <c r="D58" s="6">
        <v>929.65</v>
      </c>
      <c r="E58" s="2"/>
      <c r="F58" s="7">
        <f t="shared" si="15"/>
        <v>5.3787735019394005E-3</v>
      </c>
      <c r="G58" s="2"/>
      <c r="H58" s="6">
        <v>1360.46</v>
      </c>
      <c r="I58" s="2"/>
      <c r="J58" s="7">
        <f t="shared" si="16"/>
        <v>9.3037715678776067E-3</v>
      </c>
      <c r="K58" s="2"/>
      <c r="L58" s="6">
        <f t="shared" si="17"/>
        <v>-430.81000000000006</v>
      </c>
      <c r="M58" s="2"/>
      <c r="N58" s="7">
        <f t="shared" si="18"/>
        <v>-0.31666495156050162</v>
      </c>
      <c r="O58" s="11"/>
      <c r="P58" s="6">
        <v>2499.0100000000002</v>
      </c>
      <c r="Q58" s="2"/>
      <c r="R58" s="7">
        <f t="shared" si="19"/>
        <v>2.199597432151471E-3</v>
      </c>
      <c r="S58" s="2"/>
      <c r="T58" s="6">
        <v>3135.16</v>
      </c>
      <c r="U58" s="2"/>
      <c r="V58" s="7">
        <f t="shared" si="20"/>
        <v>2.342460218313623E-3</v>
      </c>
      <c r="W58" s="2"/>
      <c r="X58" s="6">
        <f t="shared" si="21"/>
        <v>-636.14999999999964</v>
      </c>
      <c r="Y58" s="2"/>
      <c r="Z58" s="7">
        <f t="shared" si="22"/>
        <v>-0.20290830452034336</v>
      </c>
    </row>
    <row r="59" spans="1:26" s="24" customFormat="1" hidden="1" outlineLevel="2" x14ac:dyDescent="0.25">
      <c r="A59" s="28"/>
      <c r="B59" s="11" t="str">
        <f>CONCATENATE("          ", "6112", " - ", "COMPENSATION INSURANCE")</f>
        <v xml:space="preserve">          6112 - COMPENSATION INSURANCE</v>
      </c>
      <c r="C59" s="11"/>
      <c r="D59" s="6">
        <v>156.43</v>
      </c>
      <c r="E59" s="2"/>
      <c r="F59" s="7">
        <f t="shared" si="15"/>
        <v>9.0507345657869136E-4</v>
      </c>
      <c r="G59" s="2"/>
      <c r="H59" s="6">
        <v>47.99</v>
      </c>
      <c r="I59" s="2"/>
      <c r="J59" s="7">
        <f t="shared" si="16"/>
        <v>3.2818899309237047E-4</v>
      </c>
      <c r="K59" s="2"/>
      <c r="L59" s="6">
        <f t="shared" si="17"/>
        <v>108.44</v>
      </c>
      <c r="M59" s="2"/>
      <c r="N59" s="7">
        <f t="shared" si="18"/>
        <v>2.2596374244634299</v>
      </c>
      <c r="O59" s="11"/>
      <c r="P59" s="6">
        <v>468.93</v>
      </c>
      <c r="Q59" s="2"/>
      <c r="R59" s="7">
        <f t="shared" si="19"/>
        <v>4.1274633709300457E-4</v>
      </c>
      <c r="S59" s="2"/>
      <c r="T59" s="6">
        <v>511.56</v>
      </c>
      <c r="U59" s="2"/>
      <c r="V59" s="7">
        <f t="shared" si="20"/>
        <v>3.8221620245235236E-4</v>
      </c>
      <c r="W59" s="2"/>
      <c r="X59" s="6">
        <f t="shared" si="21"/>
        <v>-42.629999999999995</v>
      </c>
      <c r="Y59" s="2"/>
      <c r="Z59" s="7">
        <f t="shared" si="22"/>
        <v>-8.3333333333333329E-2</v>
      </c>
    </row>
    <row r="60" spans="1:26" s="24" customFormat="1" hidden="1" outlineLevel="2" x14ac:dyDescent="0.25">
      <c r="A60" s="28"/>
      <c r="B60" s="11" t="str">
        <f>CONCATENATE("          ", "6113", " - ", "GROUP INSURANCE")</f>
        <v xml:space="preserve">          6113 - GROUP INSURANCE</v>
      </c>
      <c r="C60" s="11"/>
      <c r="D60" s="6">
        <v>1035.69</v>
      </c>
      <c r="E60" s="2"/>
      <c r="F60" s="7">
        <f t="shared" si="15"/>
        <v>5.992300250872498E-3</v>
      </c>
      <c r="G60" s="2"/>
      <c r="H60" s="6">
        <v>964.88</v>
      </c>
      <c r="I60" s="2"/>
      <c r="J60" s="7">
        <f t="shared" si="16"/>
        <v>6.5985204345690024E-3</v>
      </c>
      <c r="K60" s="2"/>
      <c r="L60" s="6">
        <f t="shared" si="17"/>
        <v>70.810000000000059</v>
      </c>
      <c r="M60" s="2"/>
      <c r="N60" s="7">
        <f t="shared" si="18"/>
        <v>7.3387364231821642E-2</v>
      </c>
      <c r="O60" s="11"/>
      <c r="P60" s="6">
        <v>4142.76</v>
      </c>
      <c r="Q60" s="2"/>
      <c r="R60" s="7">
        <f t="shared" si="19"/>
        <v>3.6464056798571551E-3</v>
      </c>
      <c r="S60" s="2"/>
      <c r="T60" s="6">
        <v>3859.52</v>
      </c>
      <c r="U60" s="2"/>
      <c r="V60" s="7">
        <f t="shared" si="20"/>
        <v>2.8836716664494937E-3</v>
      </c>
      <c r="W60" s="2"/>
      <c r="X60" s="6">
        <f t="shared" si="21"/>
        <v>283.24000000000024</v>
      </c>
      <c r="Y60" s="2"/>
      <c r="Z60" s="7">
        <f t="shared" si="22"/>
        <v>7.3387364231821642E-2</v>
      </c>
    </row>
    <row r="61" spans="1:26" s="24" customFormat="1" hidden="1" outlineLevel="2" x14ac:dyDescent="0.25">
      <c r="A61" s="28"/>
      <c r="B61" s="11" t="str">
        <f>CONCATENATE("          ", "6114", " - ", "STATE UNEMPLOYMENT INSURANCE")</f>
        <v xml:space="preserve">          6114 - STATE UNEMPLOYMENT INSURANCE</v>
      </c>
      <c r="C61" s="11"/>
      <c r="D61" s="6">
        <v>21.98</v>
      </c>
      <c r="E61" s="2"/>
      <c r="F61" s="7">
        <f t="shared" si="15"/>
        <v>1.2717199115003282E-4</v>
      </c>
      <c r="G61" s="2"/>
      <c r="H61" s="6">
        <v>32.96</v>
      </c>
      <c r="I61" s="2"/>
      <c r="J61" s="7">
        <f t="shared" si="16"/>
        <v>2.254034009652955E-4</v>
      </c>
      <c r="K61" s="2"/>
      <c r="L61" s="6">
        <f t="shared" si="17"/>
        <v>-10.98</v>
      </c>
      <c r="M61" s="2"/>
      <c r="N61" s="7">
        <f t="shared" si="18"/>
        <v>-0.33313106796116504</v>
      </c>
      <c r="O61" s="11"/>
      <c r="P61" s="6">
        <v>80.599999999999994</v>
      </c>
      <c r="Q61" s="2"/>
      <c r="R61" s="7">
        <f t="shared" si="19"/>
        <v>7.0943114685979072E-5</v>
      </c>
      <c r="S61" s="2"/>
      <c r="T61" s="6">
        <v>96.4</v>
      </c>
      <c r="U61" s="2"/>
      <c r="V61" s="7">
        <f t="shared" si="20"/>
        <v>7.202604174760882E-5</v>
      </c>
      <c r="W61" s="2"/>
      <c r="X61" s="6">
        <f t="shared" si="21"/>
        <v>-15.800000000000011</v>
      </c>
      <c r="Y61" s="2"/>
      <c r="Z61" s="7">
        <f t="shared" si="22"/>
        <v>-0.16390041493775945</v>
      </c>
    </row>
    <row r="62" spans="1:26" s="24" customFormat="1" hidden="1" outlineLevel="2" x14ac:dyDescent="0.25">
      <c r="A62" s="28"/>
      <c r="B62" s="11" t="str">
        <f>CONCATENATE("          ", "6115", " - ", "P.E.R.S.")</f>
        <v xml:space="preserve">          6115 - P.E.R.S.</v>
      </c>
      <c r="C62" s="11"/>
      <c r="D62" s="6">
        <v>176.42</v>
      </c>
      <c r="E62" s="2"/>
      <c r="F62" s="7">
        <f t="shared" si="15"/>
        <v>1.0207316960276975E-3</v>
      </c>
      <c r="G62" s="2"/>
      <c r="H62" s="6">
        <v>196.25</v>
      </c>
      <c r="I62" s="2"/>
      <c r="J62" s="7">
        <f t="shared" si="16"/>
        <v>1.342093975711142E-3</v>
      </c>
      <c r="K62" s="2"/>
      <c r="L62" s="6">
        <f t="shared" si="17"/>
        <v>-19.830000000000013</v>
      </c>
      <c r="M62" s="2"/>
      <c r="N62" s="7">
        <f t="shared" si="18"/>
        <v>-0.10104458598726121</v>
      </c>
      <c r="O62" s="11"/>
      <c r="P62" s="6">
        <v>793.89</v>
      </c>
      <c r="Q62" s="2"/>
      <c r="R62" s="7">
        <f t="shared" si="19"/>
        <v>6.9877207590635147E-4</v>
      </c>
      <c r="S62" s="2"/>
      <c r="T62" s="6">
        <v>759.3</v>
      </c>
      <c r="U62" s="2"/>
      <c r="V62" s="7">
        <f t="shared" si="20"/>
        <v>5.6731715247883166E-4</v>
      </c>
      <c r="W62" s="2"/>
      <c r="X62" s="6">
        <f t="shared" si="21"/>
        <v>34.590000000000032</v>
      </c>
      <c r="Y62" s="2"/>
      <c r="Z62" s="7">
        <f t="shared" si="22"/>
        <v>4.5555116554721498E-2</v>
      </c>
    </row>
    <row r="63" spans="1:26" s="24" customFormat="1" hidden="1" outlineLevel="2" x14ac:dyDescent="0.25">
      <c r="A63" s="28"/>
      <c r="B63" s="11" t="str">
        <f>CONCATENATE("          ", "6117", " - ", "RETIREMENT STAFF HOURLY")</f>
        <v xml:space="preserve">          6117 - RETIREMENT STAFF HOURLY</v>
      </c>
      <c r="C63" s="11"/>
      <c r="D63" s="6">
        <v>155.75</v>
      </c>
      <c r="E63" s="2"/>
      <c r="F63" s="7">
        <f t="shared" si="15"/>
        <v>9.0113910926376765E-4</v>
      </c>
      <c r="G63" s="2"/>
      <c r="H63" s="6">
        <v>146.69999999999999</v>
      </c>
      <c r="I63" s="2"/>
      <c r="J63" s="7">
        <f t="shared" si="16"/>
        <v>1.0032366177672586E-3</v>
      </c>
      <c r="K63" s="2"/>
      <c r="L63" s="6">
        <f t="shared" si="17"/>
        <v>9.0500000000000114</v>
      </c>
      <c r="M63" s="2"/>
      <c r="N63" s="7">
        <f t="shared" si="18"/>
        <v>6.1690524880709009E-2</v>
      </c>
      <c r="O63" s="11"/>
      <c r="P63" s="6">
        <v>779.56</v>
      </c>
      <c r="Q63" s="2"/>
      <c r="R63" s="7">
        <f t="shared" si="19"/>
        <v>6.8615898864270272E-4</v>
      </c>
      <c r="S63" s="2"/>
      <c r="T63" s="6">
        <v>698.75</v>
      </c>
      <c r="U63" s="2"/>
      <c r="V63" s="7">
        <f t="shared" si="20"/>
        <v>5.2207672895375164E-4</v>
      </c>
      <c r="W63" s="2"/>
      <c r="X63" s="6">
        <f t="shared" si="21"/>
        <v>80.809999999999945</v>
      </c>
      <c r="Y63" s="2"/>
      <c r="Z63" s="7">
        <f t="shared" si="22"/>
        <v>0.11564937388193194</v>
      </c>
    </row>
    <row r="64" spans="1:26" s="24" customFormat="1" hidden="1" outlineLevel="2" x14ac:dyDescent="0.25">
      <c r="A64" s="28"/>
      <c r="B64" s="11" t="str">
        <f>CONCATENATE("          ", "6118", " - ", "VACATION")</f>
        <v xml:space="preserve">          6118 - VACATION</v>
      </c>
      <c r="C64" s="11"/>
      <c r="D64" s="6">
        <v>386.7</v>
      </c>
      <c r="E64" s="2"/>
      <c r="F64" s="7">
        <f t="shared" si="15"/>
        <v>2.2373707451190943E-3</v>
      </c>
      <c r="G64" s="2"/>
      <c r="H64" s="6">
        <v>253.74</v>
      </c>
      <c r="I64" s="2"/>
      <c r="J64" s="7">
        <f t="shared" si="16"/>
        <v>1.7352505752710583E-3</v>
      </c>
      <c r="K64" s="2"/>
      <c r="L64" s="6">
        <f t="shared" si="17"/>
        <v>132.95999999999998</v>
      </c>
      <c r="M64" s="2"/>
      <c r="N64" s="7">
        <f t="shared" si="18"/>
        <v>0.52400094585008261</v>
      </c>
      <c r="O64" s="11"/>
      <c r="P64" s="6">
        <v>1160.0999999999999</v>
      </c>
      <c r="Q64" s="2"/>
      <c r="R64" s="7">
        <f t="shared" si="19"/>
        <v>1.0211055502134532E-3</v>
      </c>
      <c r="S64" s="2"/>
      <c r="T64" s="6">
        <v>1291.01</v>
      </c>
      <c r="U64" s="2"/>
      <c r="V64" s="7">
        <f t="shared" si="20"/>
        <v>9.6458859083589686E-4</v>
      </c>
      <c r="W64" s="2"/>
      <c r="X64" s="6">
        <f t="shared" si="21"/>
        <v>-130.91000000000008</v>
      </c>
      <c r="Y64" s="2"/>
      <c r="Z64" s="7">
        <f t="shared" si="22"/>
        <v>-0.10140122849551908</v>
      </c>
    </row>
    <row r="65" spans="1:26" s="24" customFormat="1" hidden="1" outlineLevel="2" x14ac:dyDescent="0.25">
      <c r="A65" s="28"/>
      <c r="B65" s="11" t="str">
        <f>CONCATENATE("          ", "6119", " - ", "SICK LEAVE")</f>
        <v xml:space="preserve">          6119 - SICK LEAVE</v>
      </c>
      <c r="C65" s="11"/>
      <c r="D65" s="6">
        <v>384.85</v>
      </c>
      <c r="E65" s="2"/>
      <c r="F65" s="7">
        <f t="shared" si="15"/>
        <v>2.2266670061005522E-3</v>
      </c>
      <c r="G65" s="2"/>
      <c r="H65" s="6">
        <v>194.37</v>
      </c>
      <c r="I65" s="2"/>
      <c r="J65" s="7">
        <f t="shared" si="16"/>
        <v>1.3292372283259855E-3</v>
      </c>
      <c r="K65" s="2"/>
      <c r="L65" s="6">
        <f t="shared" si="17"/>
        <v>190.48000000000002</v>
      </c>
      <c r="M65" s="2"/>
      <c r="N65" s="7">
        <f t="shared" si="18"/>
        <v>0.979986623450121</v>
      </c>
      <c r="O65" s="11"/>
      <c r="P65" s="6">
        <v>1154.56</v>
      </c>
      <c r="Q65" s="2"/>
      <c r="R65" s="7">
        <f t="shared" si="19"/>
        <v>1.0162293113132009E-3</v>
      </c>
      <c r="S65" s="2"/>
      <c r="T65" s="6">
        <v>1280.4000000000001</v>
      </c>
      <c r="U65" s="2"/>
      <c r="V65" s="7">
        <f t="shared" si="20"/>
        <v>9.5666124329500354E-4</v>
      </c>
      <c r="W65" s="2"/>
      <c r="X65" s="6">
        <f t="shared" si="21"/>
        <v>-125.84000000000015</v>
      </c>
      <c r="Y65" s="2"/>
      <c r="Z65" s="7">
        <f t="shared" si="22"/>
        <v>-9.8281786941580865E-2</v>
      </c>
    </row>
    <row r="66" spans="1:26" s="24" customFormat="1" hidden="1" outlineLevel="2" x14ac:dyDescent="0.25">
      <c r="A66" s="28"/>
      <c r="B66" s="11" t="str">
        <f>CONCATENATE("          ", "6156", " - ", "EMPLOYEE MEALS")</f>
        <v xml:space="preserve">          6156 - EMPLOYEE MEALS</v>
      </c>
      <c r="C66" s="11"/>
      <c r="D66" s="6">
        <v>223.68</v>
      </c>
      <c r="E66" s="2"/>
      <c r="F66" s="7">
        <f t="shared" si="15"/>
        <v>1.2941688344148929E-3</v>
      </c>
      <c r="G66" s="2"/>
      <c r="H66" s="6">
        <v>169.98</v>
      </c>
      <c r="I66" s="2"/>
      <c r="J66" s="7">
        <f t="shared" si="16"/>
        <v>1.1624414470898339E-3</v>
      </c>
      <c r="K66" s="2"/>
      <c r="L66" s="6">
        <f t="shared" si="17"/>
        <v>53.700000000000017</v>
      </c>
      <c r="M66" s="2"/>
      <c r="N66" s="7">
        <f t="shared" si="18"/>
        <v>0.31591951994352291</v>
      </c>
      <c r="O66" s="11"/>
      <c r="P66" s="6">
        <v>880.5</v>
      </c>
      <c r="Q66" s="2"/>
      <c r="R66" s="7">
        <f t="shared" si="19"/>
        <v>7.7500511763032968E-4</v>
      </c>
      <c r="S66" s="2"/>
      <c r="T66" s="6">
        <v>644.17999999999995</v>
      </c>
      <c r="U66" s="2"/>
      <c r="V66" s="7">
        <f t="shared" si="20"/>
        <v>4.8130431092297351E-4</v>
      </c>
      <c r="W66" s="2"/>
      <c r="X66" s="6">
        <f t="shared" si="21"/>
        <v>236.32000000000005</v>
      </c>
      <c r="Y66" s="2"/>
      <c r="Z66" s="7">
        <f t="shared" si="22"/>
        <v>0.36685398491104981</v>
      </c>
    </row>
    <row r="67" spans="1:26" s="29" customFormat="1" outlineLevel="1" collapsed="1" x14ac:dyDescent="0.25">
      <c r="A67" s="27"/>
      <c r="B67" s="14" t="str">
        <f>CONCATENATE("     ","*Payroll                                          ")</f>
        <v xml:space="preserve">     *Payroll                                          </v>
      </c>
      <c r="C67" s="14"/>
      <c r="D67" s="1">
        <f>SUM(OSRRefD22_1x_0)</f>
        <v>8904.4</v>
      </c>
      <c r="E67" s="1"/>
      <c r="F67" s="5">
        <f t="shared" ref="F67:F72" si="23">IF(D$12=0,0,D67/D$12)</f>
        <v>5.151912092795051E-2</v>
      </c>
      <c r="G67" s="1"/>
      <c r="H67" s="1">
        <f>SUM(OSRRefH22_1x_0)</f>
        <v>11582.32</v>
      </c>
      <c r="I67" s="1"/>
      <c r="J67" s="5">
        <f t="shared" ref="J67:J72" si="24">IF(H$12=0,0,H67/H$12)</f>
        <v>7.9207958709598333E-2</v>
      </c>
      <c r="K67" s="1"/>
      <c r="L67" s="1">
        <f t="shared" ref="L67:L72" si="25">+D67-H67</f>
        <v>-2677.92</v>
      </c>
      <c r="M67" s="1"/>
      <c r="N67" s="5">
        <f t="shared" ref="N67:N72" si="26">IF(H67=0,0,L67/H67)</f>
        <v>-0.23120756463299236</v>
      </c>
      <c r="O67" s="14"/>
      <c r="P67" s="1">
        <f>SUM(OSRRefP22_1x_0)</f>
        <v>32163.57</v>
      </c>
      <c r="Q67" s="1"/>
      <c r="R67" s="5">
        <f t="shared" ref="R67:R72" si="27">IF(P$12=0,0,P67/P$12)</f>
        <v>2.8309973141693746E-2</v>
      </c>
      <c r="S67" s="1"/>
      <c r="T67" s="1">
        <f>SUM(OSRRefT22_1x_0)</f>
        <v>39094.380000000005</v>
      </c>
      <c r="U67" s="1"/>
      <c r="V67" s="5">
        <f t="shared" ref="V67:V72" si="28">IF(T$12=0,0,T67/T$12)</f>
        <v>2.9209683049552734E-2</v>
      </c>
      <c r="W67" s="1"/>
      <c r="X67" s="1">
        <f t="shared" ref="X67:X72" si="29">+P67-T67</f>
        <v>-6930.8100000000049</v>
      </c>
      <c r="Y67" s="1"/>
      <c r="Z67" s="5">
        <f t="shared" ref="Z67:Z72" si="30">IF(T67=0,0,X67/T67)</f>
        <v>-0.17728404952323082</v>
      </c>
    </row>
    <row r="68" spans="1:26" s="24" customFormat="1" hidden="1" outlineLevel="2" x14ac:dyDescent="0.25">
      <c r="A68" s="28"/>
      <c r="B68" s="11" t="str">
        <f>CONCATENATE("          ", "6002", " - ", "STAFF SALARIES")</f>
        <v xml:space="preserve">          6002 - STAFF SALARIES</v>
      </c>
      <c r="C68" s="11"/>
      <c r="D68" s="6">
        <v>2395.9899999999998</v>
      </c>
      <c r="E68" s="2"/>
      <c r="F68" s="7">
        <f t="shared" si="23"/>
        <v>1.3862730622182308E-2</v>
      </c>
      <c r="G68" s="2"/>
      <c r="H68" s="6">
        <v>3231.38</v>
      </c>
      <c r="I68" s="2"/>
      <c r="J68" s="7">
        <f t="shared" si="24"/>
        <v>2.2098423598641885E-2</v>
      </c>
      <c r="K68" s="2"/>
      <c r="L68" s="6">
        <f t="shared" si="25"/>
        <v>-835.39000000000033</v>
      </c>
      <c r="M68" s="2"/>
      <c r="N68" s="7">
        <f t="shared" si="26"/>
        <v>-0.25852422184948853</v>
      </c>
      <c r="O68" s="11"/>
      <c r="P68" s="6">
        <v>9357.43</v>
      </c>
      <c r="Q68" s="2"/>
      <c r="R68" s="7">
        <f t="shared" si="27"/>
        <v>8.2362931719109321E-3</v>
      </c>
      <c r="S68" s="2"/>
      <c r="T68" s="6">
        <v>11863.02</v>
      </c>
      <c r="U68" s="2"/>
      <c r="V68" s="7">
        <f t="shared" si="28"/>
        <v>8.8635515951526796E-3</v>
      </c>
      <c r="W68" s="2"/>
      <c r="X68" s="6">
        <f t="shared" si="29"/>
        <v>-2505.59</v>
      </c>
      <c r="Y68" s="2"/>
      <c r="Z68" s="7">
        <f t="shared" si="30"/>
        <v>-0.21121013030408783</v>
      </c>
    </row>
    <row r="69" spans="1:26" s="24" customFormat="1" hidden="1" outlineLevel="2" x14ac:dyDescent="0.25">
      <c r="A69" s="28"/>
      <c r="B69" s="11" t="str">
        <f>CONCATENATE("          ", "6004", " - ", "STAFF HOURLY")</f>
        <v xml:space="preserve">          6004 - STAFF HOURLY</v>
      </c>
      <c r="C69" s="11"/>
      <c r="D69" s="6">
        <v>3871.43</v>
      </c>
      <c r="E69" s="2"/>
      <c r="F69" s="7">
        <f t="shared" si="23"/>
        <v>2.2399338566786695E-2</v>
      </c>
      <c r="G69" s="2"/>
      <c r="H69" s="6"/>
      <c r="I69" s="2"/>
      <c r="J69" s="7">
        <f t="shared" si="24"/>
        <v>0</v>
      </c>
      <c r="K69" s="2"/>
      <c r="L69" s="6">
        <f t="shared" si="25"/>
        <v>3871.43</v>
      </c>
      <c r="M69" s="2"/>
      <c r="N69" s="7">
        <f t="shared" si="26"/>
        <v>0</v>
      </c>
      <c r="O69" s="11"/>
      <c r="P69" s="6">
        <v>14420.64</v>
      </c>
      <c r="Q69" s="2"/>
      <c r="R69" s="7">
        <f t="shared" si="27"/>
        <v>1.2692867461106913E-2</v>
      </c>
      <c r="S69" s="2"/>
      <c r="T69" s="6"/>
      <c r="U69" s="2"/>
      <c r="V69" s="7">
        <f t="shared" si="28"/>
        <v>0</v>
      </c>
      <c r="W69" s="2"/>
      <c r="X69" s="6">
        <f t="shared" si="29"/>
        <v>14420.64</v>
      </c>
      <c r="Y69" s="2"/>
      <c r="Z69" s="7">
        <f t="shared" si="30"/>
        <v>0</v>
      </c>
    </row>
    <row r="70" spans="1:26" s="24" customFormat="1" hidden="1" outlineLevel="2" x14ac:dyDescent="0.25">
      <c r="A70" s="28"/>
      <c r="B70" s="11" t="str">
        <f>CONCATENATE("          ", "6005", " - ", "TEMPORARY WAGES-HOURLY")</f>
        <v xml:space="preserve">          6005 - TEMPORARY WAGES-HOURLY</v>
      </c>
      <c r="C70" s="11"/>
      <c r="D70" s="6"/>
      <c r="E70" s="2"/>
      <c r="F70" s="7">
        <f t="shared" si="23"/>
        <v>0</v>
      </c>
      <c r="G70" s="2"/>
      <c r="H70" s="6">
        <v>4770.38</v>
      </c>
      <c r="I70" s="2"/>
      <c r="J70" s="7">
        <f t="shared" si="24"/>
        <v>3.2623175846384293E-2</v>
      </c>
      <c r="K70" s="2"/>
      <c r="L70" s="6">
        <f t="shared" si="25"/>
        <v>-4770.38</v>
      </c>
      <c r="M70" s="2"/>
      <c r="N70" s="7">
        <f t="shared" si="26"/>
        <v>-1</v>
      </c>
      <c r="O70" s="11"/>
      <c r="P70" s="6"/>
      <c r="Q70" s="2"/>
      <c r="R70" s="7">
        <f t="shared" si="27"/>
        <v>0</v>
      </c>
      <c r="S70" s="2"/>
      <c r="T70" s="6">
        <v>14138.52</v>
      </c>
      <c r="U70" s="2"/>
      <c r="V70" s="7">
        <f t="shared" si="28"/>
        <v>1.0563709873126579E-2</v>
      </c>
      <c r="W70" s="2"/>
      <c r="X70" s="6">
        <f t="shared" si="29"/>
        <v>-14138.52</v>
      </c>
      <c r="Y70" s="2"/>
      <c r="Z70" s="7">
        <f t="shared" si="30"/>
        <v>-1</v>
      </c>
    </row>
    <row r="71" spans="1:26" s="24" customFormat="1" hidden="1" outlineLevel="2" x14ac:dyDescent="0.25">
      <c r="A71" s="28"/>
      <c r="B71" s="11" t="str">
        <f>CONCATENATE("          ", "6006", " - ", "TEMPORARY PART TIME")</f>
        <v xml:space="preserve">          6006 - TEMPORARY PART TIME</v>
      </c>
      <c r="C71" s="11"/>
      <c r="D71" s="6"/>
      <c r="E71" s="2"/>
      <c r="F71" s="7">
        <f t="shared" si="23"/>
        <v>0</v>
      </c>
      <c r="G71" s="2"/>
      <c r="H71" s="6">
        <v>1494</v>
      </c>
      <c r="I71" s="2"/>
      <c r="J71" s="7">
        <f t="shared" si="24"/>
        <v>1.0217010953948769E-2</v>
      </c>
      <c r="K71" s="2"/>
      <c r="L71" s="6">
        <f t="shared" si="25"/>
        <v>-1494</v>
      </c>
      <c r="M71" s="2"/>
      <c r="N71" s="7">
        <f t="shared" si="26"/>
        <v>-1</v>
      </c>
      <c r="O71" s="11"/>
      <c r="P71" s="6"/>
      <c r="Q71" s="2"/>
      <c r="R71" s="7">
        <f t="shared" si="27"/>
        <v>0</v>
      </c>
      <c r="S71" s="2"/>
      <c r="T71" s="6">
        <v>6548.16</v>
      </c>
      <c r="U71" s="2"/>
      <c r="V71" s="7">
        <f t="shared" si="28"/>
        <v>4.8925108457471174E-3</v>
      </c>
      <c r="W71" s="2"/>
      <c r="X71" s="6">
        <f t="shared" si="29"/>
        <v>-6548.16</v>
      </c>
      <c r="Y71" s="2"/>
      <c r="Z71" s="7">
        <f t="shared" si="30"/>
        <v>-1</v>
      </c>
    </row>
    <row r="72" spans="1:26" s="24" customFormat="1" hidden="1" outlineLevel="2" x14ac:dyDescent="0.25">
      <c r="A72" s="28"/>
      <c r="B72" s="11" t="str">
        <f>CONCATENATE("          ", "6007", " - ", "STUDENT HOURLY")</f>
        <v xml:space="preserve">          6007 - STUDENT HOURLY</v>
      </c>
      <c r="C72" s="11"/>
      <c r="D72" s="6">
        <v>2636.98</v>
      </c>
      <c r="E72" s="2"/>
      <c r="F72" s="7">
        <f t="shared" si="23"/>
        <v>1.5257051738981509E-2</v>
      </c>
      <c r="G72" s="2"/>
      <c r="H72" s="6">
        <v>2086.56</v>
      </c>
      <c r="I72" s="2"/>
      <c r="J72" s="7">
        <f t="shared" si="24"/>
        <v>1.4269348310623391E-2</v>
      </c>
      <c r="K72" s="2"/>
      <c r="L72" s="6">
        <f t="shared" si="25"/>
        <v>550.42000000000007</v>
      </c>
      <c r="M72" s="2"/>
      <c r="N72" s="7">
        <f t="shared" si="26"/>
        <v>0.26379303734376203</v>
      </c>
      <c r="O72" s="11"/>
      <c r="P72" s="6">
        <v>8385.5</v>
      </c>
      <c r="Q72" s="2"/>
      <c r="R72" s="7">
        <f t="shared" si="27"/>
        <v>7.3808125086758996E-3</v>
      </c>
      <c r="S72" s="2"/>
      <c r="T72" s="6">
        <v>6544.68</v>
      </c>
      <c r="U72" s="2"/>
      <c r="V72" s="7">
        <f t="shared" si="28"/>
        <v>4.8899107355263541E-3</v>
      </c>
      <c r="W72" s="2"/>
      <c r="X72" s="6">
        <f t="shared" si="29"/>
        <v>1840.8199999999997</v>
      </c>
      <c r="Y72" s="2"/>
      <c r="Z72" s="7">
        <f t="shared" si="30"/>
        <v>0.2812696724667974</v>
      </c>
    </row>
    <row r="73" spans="1:26" s="29" customFormat="1" outlineLevel="1" collapsed="1" x14ac:dyDescent="0.25">
      <c r="A73" s="27"/>
      <c r="B73" s="14" t="str">
        <f>CONCATENATE("     ","Advertising/Promo                                 ")</f>
        <v xml:space="preserve">     Advertising/Promo                                 </v>
      </c>
      <c r="C73" s="14"/>
      <c r="D73" s="1">
        <f>SUM(OSRRefD22_2x_0)</f>
        <v>0</v>
      </c>
      <c r="E73" s="1"/>
      <c r="F73" s="5">
        <f t="shared" ref="F73:F81" si="31">IF(D$12=0,0,D73/D$12)</f>
        <v>0</v>
      </c>
      <c r="G73" s="1"/>
      <c r="H73" s="1">
        <f>SUM(OSRRefH22_2x_0)</f>
        <v>419.39</v>
      </c>
      <c r="I73" s="1"/>
      <c r="J73" s="5">
        <f t="shared" ref="J73:J81" si="32">IF(H$12=0,0,H73/H$12)</f>
        <v>2.8680804712025265E-3</v>
      </c>
      <c r="K73" s="1"/>
      <c r="L73" s="1">
        <f t="shared" ref="L73:L81" si="33">+D73-H73</f>
        <v>-419.39</v>
      </c>
      <c r="M73" s="1"/>
      <c r="N73" s="5">
        <f t="shared" ref="N73:N81" si="34">IF(H73=0,0,L73/H73)</f>
        <v>-1</v>
      </c>
      <c r="O73" s="14"/>
      <c r="P73" s="1">
        <f>SUM(OSRRefP22_2x_0)</f>
        <v>248.88</v>
      </c>
      <c r="Q73" s="1"/>
      <c r="R73" s="5">
        <f t="shared" ref="R73:R81" si="35">IF(P$12=0,0,P73/P$12)</f>
        <v>2.1906107174995623E-4</v>
      </c>
      <c r="S73" s="1"/>
      <c r="T73" s="1">
        <f>SUM(OSRRefT22_2x_0)</f>
        <v>1219.79</v>
      </c>
      <c r="U73" s="1"/>
      <c r="V73" s="5">
        <f t="shared" ref="V73:V81" si="36">IF(T$12=0,0,T73/T$12)</f>
        <v>9.1137599028335843E-4</v>
      </c>
      <c r="W73" s="1"/>
      <c r="X73" s="1">
        <f t="shared" ref="X73:X81" si="37">+P73-T73</f>
        <v>-970.91</v>
      </c>
      <c r="Y73" s="1"/>
      <c r="Z73" s="5">
        <f t="shared" ref="Z73:Z81" si="38">IF(T73=0,0,X73/T73)</f>
        <v>-0.79596487920051817</v>
      </c>
    </row>
    <row r="74" spans="1:26" s="24" customFormat="1" hidden="1" outlineLevel="2" x14ac:dyDescent="0.25">
      <c r="A74" s="28"/>
      <c r="B74" s="11" t="str">
        <f>CONCATENATE("          ", "6362", " - ", "ADVERTISING EXPENSE")</f>
        <v xml:space="preserve">          6362 - ADVERTISING EXPENSE</v>
      </c>
      <c r="C74" s="11"/>
      <c r="D74" s="6"/>
      <c r="E74" s="2"/>
      <c r="F74" s="7">
        <f t="shared" si="31"/>
        <v>0</v>
      </c>
      <c r="G74" s="2"/>
      <c r="H74" s="6">
        <v>419.39</v>
      </c>
      <c r="I74" s="2"/>
      <c r="J74" s="7">
        <f t="shared" si="32"/>
        <v>2.8680804712025265E-3</v>
      </c>
      <c r="K74" s="2"/>
      <c r="L74" s="6">
        <f t="shared" si="33"/>
        <v>-419.39</v>
      </c>
      <c r="M74" s="2"/>
      <c r="N74" s="7">
        <f t="shared" si="34"/>
        <v>-1</v>
      </c>
      <c r="O74" s="11"/>
      <c r="P74" s="6">
        <v>248.88</v>
      </c>
      <c r="Q74" s="2"/>
      <c r="R74" s="7">
        <f t="shared" si="35"/>
        <v>2.1906107174995623E-4</v>
      </c>
      <c r="S74" s="2"/>
      <c r="T74" s="6">
        <v>1219.79</v>
      </c>
      <c r="U74" s="2"/>
      <c r="V74" s="7">
        <f t="shared" si="36"/>
        <v>9.1137599028335843E-4</v>
      </c>
      <c r="W74" s="2"/>
      <c r="X74" s="6">
        <f t="shared" si="37"/>
        <v>-970.91</v>
      </c>
      <c r="Y74" s="2"/>
      <c r="Z74" s="7">
        <f t="shared" si="38"/>
        <v>-0.79596487920051817</v>
      </c>
    </row>
    <row r="75" spans="1:26" s="29" customFormat="1" outlineLevel="1" collapsed="1" x14ac:dyDescent="0.25">
      <c r="A75" s="27"/>
      <c r="B75" s="14" t="str">
        <f>CONCATENATE("     ","Depreciation                                      ")</f>
        <v xml:space="preserve">     Depreciation                                      </v>
      </c>
      <c r="C75" s="14"/>
      <c r="D75" s="1">
        <f>SUM(OSRRefD22_3x_0)</f>
        <v>280.44</v>
      </c>
      <c r="E75" s="1"/>
      <c r="F75" s="5">
        <f t="shared" si="31"/>
        <v>1.6225711191135217E-3</v>
      </c>
      <c r="G75" s="1"/>
      <c r="H75" s="1">
        <f>SUM(OSRRefH22_3x_0)</f>
        <v>280.44</v>
      </c>
      <c r="I75" s="1"/>
      <c r="J75" s="5">
        <f t="shared" si="32"/>
        <v>1.9178437429219499E-3</v>
      </c>
      <c r="K75" s="1"/>
      <c r="L75" s="1">
        <f t="shared" si="33"/>
        <v>0</v>
      </c>
      <c r="M75" s="1"/>
      <c r="N75" s="5">
        <f t="shared" si="34"/>
        <v>0</v>
      </c>
      <c r="O75" s="14"/>
      <c r="P75" s="1">
        <f>SUM(OSRRefP22_3x_0)</f>
        <v>1121.76</v>
      </c>
      <c r="Q75" s="1"/>
      <c r="R75" s="5">
        <f t="shared" si="35"/>
        <v>9.8735916042362137E-4</v>
      </c>
      <c r="S75" s="1"/>
      <c r="T75" s="1">
        <f>SUM(OSRRefT22_3x_0)</f>
        <v>1121.76</v>
      </c>
      <c r="U75" s="1"/>
      <c r="V75" s="5">
        <f t="shared" si="36"/>
        <v>8.3813208081740323E-4</v>
      </c>
      <c r="W75" s="1"/>
      <c r="X75" s="1">
        <f t="shared" si="37"/>
        <v>0</v>
      </c>
      <c r="Y75" s="1"/>
      <c r="Z75" s="5">
        <f t="shared" si="38"/>
        <v>0</v>
      </c>
    </row>
    <row r="76" spans="1:26" s="24" customFormat="1" hidden="1" outlineLevel="2" x14ac:dyDescent="0.25">
      <c r="A76" s="28"/>
      <c r="B76" s="11" t="str">
        <f>CONCATENATE("          ", "6322", " - ", "EQUIPMENT DEPRECIATION EXPENSE")</f>
        <v xml:space="preserve">          6322 - EQUIPMENT DEPRECIATION EXPENSE</v>
      </c>
      <c r="C76" s="11"/>
      <c r="D76" s="6">
        <v>280.44</v>
      </c>
      <c r="E76" s="2"/>
      <c r="F76" s="7">
        <f t="shared" si="31"/>
        <v>1.6225711191135217E-3</v>
      </c>
      <c r="G76" s="2"/>
      <c r="H76" s="6">
        <v>280.44</v>
      </c>
      <c r="I76" s="2"/>
      <c r="J76" s="7">
        <f t="shared" si="32"/>
        <v>1.9178437429219499E-3</v>
      </c>
      <c r="K76" s="2"/>
      <c r="L76" s="6">
        <f t="shared" si="33"/>
        <v>0</v>
      </c>
      <c r="M76" s="2"/>
      <c r="N76" s="7">
        <f t="shared" si="34"/>
        <v>0</v>
      </c>
      <c r="O76" s="11"/>
      <c r="P76" s="6">
        <v>1121.76</v>
      </c>
      <c r="Q76" s="2"/>
      <c r="R76" s="7">
        <f t="shared" si="35"/>
        <v>9.8735916042362137E-4</v>
      </c>
      <c r="S76" s="2"/>
      <c r="T76" s="6">
        <v>1121.76</v>
      </c>
      <c r="U76" s="2"/>
      <c r="V76" s="7">
        <f t="shared" si="36"/>
        <v>8.3813208081740323E-4</v>
      </c>
      <c r="W76" s="2"/>
      <c r="X76" s="6">
        <f t="shared" si="37"/>
        <v>0</v>
      </c>
      <c r="Y76" s="2"/>
      <c r="Z76" s="7">
        <f t="shared" si="38"/>
        <v>0</v>
      </c>
    </row>
    <row r="77" spans="1:26" s="29" customFormat="1" outlineLevel="1" collapsed="1" x14ac:dyDescent="0.25">
      <c r="A77" s="27"/>
      <c r="B77" s="14" t="str">
        <f>CONCATENATE("     ","Discounts and Markdowns                           ")</f>
        <v xml:space="preserve">     Discounts and Markdowns                           </v>
      </c>
      <c r="C77" s="14"/>
      <c r="D77" s="1">
        <f>SUM(OSRRefD22_4x_0)</f>
        <v>0</v>
      </c>
      <c r="E77" s="1"/>
      <c r="F77" s="5">
        <f t="shared" si="31"/>
        <v>0</v>
      </c>
      <c r="G77" s="1"/>
      <c r="H77" s="1">
        <f>SUM(OSRRefH22_4x_0)</f>
        <v>1378.62</v>
      </c>
      <c r="I77" s="1"/>
      <c r="J77" s="5">
        <f t="shared" si="32"/>
        <v>9.4279622766618824E-3</v>
      </c>
      <c r="K77" s="1"/>
      <c r="L77" s="1">
        <f t="shared" si="33"/>
        <v>-1378.62</v>
      </c>
      <c r="M77" s="1"/>
      <c r="N77" s="5">
        <f t="shared" si="34"/>
        <v>-1</v>
      </c>
      <c r="O77" s="14"/>
      <c r="P77" s="1">
        <f>SUM(OSRRefP22_4x_0)</f>
        <v>0</v>
      </c>
      <c r="Q77" s="1"/>
      <c r="R77" s="5">
        <f t="shared" si="35"/>
        <v>0</v>
      </c>
      <c r="S77" s="1"/>
      <c r="T77" s="1">
        <f>SUM(OSRRefT22_4x_0)</f>
        <v>68378.13</v>
      </c>
      <c r="U77" s="1"/>
      <c r="V77" s="5">
        <f t="shared" si="36"/>
        <v>5.1089274336135096E-2</v>
      </c>
      <c r="W77" s="1"/>
      <c r="X77" s="1">
        <f t="shared" si="37"/>
        <v>-68378.13</v>
      </c>
      <c r="Y77" s="1"/>
      <c r="Z77" s="5">
        <f t="shared" si="38"/>
        <v>-1</v>
      </c>
    </row>
    <row r="78" spans="1:26" s="24" customFormat="1" hidden="1" outlineLevel="2" x14ac:dyDescent="0.25">
      <c r="A78" s="28"/>
      <c r="B78" s="11" t="str">
        <f>CONCATENATE("          ", "6382", " - ", "DISCOUNTS/MARK DOWNS")</f>
        <v xml:space="preserve">          6382 - DISCOUNTS/MARK DOWNS</v>
      </c>
      <c r="C78" s="11"/>
      <c r="D78" s="6"/>
      <c r="E78" s="2"/>
      <c r="F78" s="7">
        <f t="shared" si="31"/>
        <v>0</v>
      </c>
      <c r="G78" s="2"/>
      <c r="H78" s="6">
        <v>1378.62</v>
      </c>
      <c r="I78" s="2"/>
      <c r="J78" s="7">
        <f t="shared" si="32"/>
        <v>9.4279622766618824E-3</v>
      </c>
      <c r="K78" s="2"/>
      <c r="L78" s="6">
        <f t="shared" si="33"/>
        <v>-1378.62</v>
      </c>
      <c r="M78" s="2"/>
      <c r="N78" s="7">
        <f t="shared" si="34"/>
        <v>-1</v>
      </c>
      <c r="O78" s="11"/>
      <c r="P78" s="6"/>
      <c r="Q78" s="2"/>
      <c r="R78" s="7">
        <f t="shared" si="35"/>
        <v>0</v>
      </c>
      <c r="S78" s="2"/>
      <c r="T78" s="6">
        <v>68378.13</v>
      </c>
      <c r="U78" s="2"/>
      <c r="V78" s="7">
        <f t="shared" si="36"/>
        <v>5.1089274336135096E-2</v>
      </c>
      <c r="W78" s="2"/>
      <c r="X78" s="6">
        <f t="shared" si="37"/>
        <v>-68378.13</v>
      </c>
      <c r="Y78" s="2"/>
      <c r="Z78" s="7">
        <f t="shared" si="38"/>
        <v>-1</v>
      </c>
    </row>
    <row r="79" spans="1:26" s="29" customFormat="1" outlineLevel="1" collapsed="1" x14ac:dyDescent="0.25">
      <c r="A79" s="27"/>
      <c r="B79" s="14" t="str">
        <f>CONCATENATE("     ","Freight out/Postage                               ")</f>
        <v xml:space="preserve">     Freight out/Postage                               </v>
      </c>
      <c r="C79" s="14"/>
      <c r="D79" s="1">
        <f>SUM(OSRRefD22_5x_0)</f>
        <v>273.20999999999998</v>
      </c>
      <c r="E79" s="1"/>
      <c r="F79" s="5">
        <f t="shared" si="31"/>
        <v>1.5807397498680831E-3</v>
      </c>
      <c r="G79" s="1"/>
      <c r="H79" s="1">
        <f>SUM(OSRRefH22_5x_0)</f>
        <v>5.27</v>
      </c>
      <c r="I79" s="1"/>
      <c r="J79" s="5">
        <f t="shared" si="32"/>
        <v>3.6039924850943786E-5</v>
      </c>
      <c r="K79" s="1"/>
      <c r="L79" s="1">
        <f t="shared" si="33"/>
        <v>267.94</v>
      </c>
      <c r="M79" s="1"/>
      <c r="N79" s="5">
        <f t="shared" si="34"/>
        <v>50.842504743833018</v>
      </c>
      <c r="O79" s="14"/>
      <c r="P79" s="1">
        <f>SUM(OSRRefP22_5x_0)</f>
        <v>550.47</v>
      </c>
      <c r="Q79" s="1"/>
      <c r="R79" s="5">
        <f t="shared" si="35"/>
        <v>4.8451682805447768E-4</v>
      </c>
      <c r="S79" s="1"/>
      <c r="T79" s="1">
        <f>SUM(OSRRefT22_5x_0)</f>
        <v>10.76</v>
      </c>
      <c r="U79" s="1"/>
      <c r="V79" s="5">
        <f t="shared" si="36"/>
        <v>8.0394212573057145E-6</v>
      </c>
      <c r="W79" s="1"/>
      <c r="X79" s="1">
        <f t="shared" si="37"/>
        <v>539.71</v>
      </c>
      <c r="Y79" s="1"/>
      <c r="Z79" s="5">
        <f t="shared" si="38"/>
        <v>50.158921933085509</v>
      </c>
    </row>
    <row r="80" spans="1:26" s="24" customFormat="1" hidden="1" outlineLevel="2" x14ac:dyDescent="0.25">
      <c r="A80" s="28"/>
      <c r="B80" s="11" t="str">
        <f>CONCATENATE("          ", "6305", " - ", "FREIGHT OUT")</f>
        <v xml:space="preserve">          6305 - FREIGHT OUT</v>
      </c>
      <c r="C80" s="11"/>
      <c r="D80" s="6">
        <v>273.20999999999998</v>
      </c>
      <c r="E80" s="2"/>
      <c r="F80" s="7">
        <f t="shared" si="31"/>
        <v>1.5807397498680831E-3</v>
      </c>
      <c r="G80" s="2"/>
      <c r="H80" s="6">
        <v>5.27</v>
      </c>
      <c r="I80" s="2"/>
      <c r="J80" s="7">
        <f t="shared" si="32"/>
        <v>3.6039924850943786E-5</v>
      </c>
      <c r="K80" s="2"/>
      <c r="L80" s="6">
        <f t="shared" si="33"/>
        <v>267.94</v>
      </c>
      <c r="M80" s="2"/>
      <c r="N80" s="7">
        <f t="shared" si="34"/>
        <v>50.842504743833018</v>
      </c>
      <c r="O80" s="11"/>
      <c r="P80" s="6">
        <v>537.87</v>
      </c>
      <c r="Q80" s="2"/>
      <c r="R80" s="7">
        <f t="shared" si="35"/>
        <v>4.7342646521274896E-4</v>
      </c>
      <c r="S80" s="2"/>
      <c r="T80" s="6">
        <v>10.76</v>
      </c>
      <c r="U80" s="2"/>
      <c r="V80" s="7">
        <f t="shared" si="36"/>
        <v>8.0394212573057145E-6</v>
      </c>
      <c r="W80" s="2"/>
      <c r="X80" s="6">
        <f t="shared" si="37"/>
        <v>527.11</v>
      </c>
      <c r="Y80" s="2"/>
      <c r="Z80" s="7">
        <f t="shared" si="38"/>
        <v>48.987918215613384</v>
      </c>
    </row>
    <row r="81" spans="1:26" s="24" customFormat="1" hidden="1" outlineLevel="2" x14ac:dyDescent="0.25">
      <c r="A81" s="28"/>
      <c r="B81" s="11" t="str">
        <f>CONCATENATE("          ", "6307", " - ", "POSTAGE")</f>
        <v xml:space="preserve">          6307 - POSTAGE</v>
      </c>
      <c r="C81" s="11"/>
      <c r="D81" s="6"/>
      <c r="E81" s="2"/>
      <c r="F81" s="7">
        <f t="shared" si="31"/>
        <v>0</v>
      </c>
      <c r="G81" s="2"/>
      <c r="H81" s="6"/>
      <c r="I81" s="2"/>
      <c r="J81" s="7">
        <f t="shared" si="32"/>
        <v>0</v>
      </c>
      <c r="K81" s="2"/>
      <c r="L81" s="6">
        <f t="shared" si="33"/>
        <v>0</v>
      </c>
      <c r="M81" s="2"/>
      <c r="N81" s="7">
        <f t="shared" si="34"/>
        <v>0</v>
      </c>
      <c r="O81" s="11"/>
      <c r="P81" s="6">
        <v>12.6</v>
      </c>
      <c r="Q81" s="2"/>
      <c r="R81" s="7">
        <f t="shared" si="35"/>
        <v>1.1090362841728738E-5</v>
      </c>
      <c r="S81" s="2"/>
      <c r="T81" s="6"/>
      <c r="U81" s="2"/>
      <c r="V81" s="7">
        <f t="shared" si="36"/>
        <v>0</v>
      </c>
      <c r="W81" s="2"/>
      <c r="X81" s="6">
        <f t="shared" si="37"/>
        <v>12.6</v>
      </c>
      <c r="Y81" s="2"/>
      <c r="Z81" s="7">
        <f t="shared" si="38"/>
        <v>0</v>
      </c>
    </row>
    <row r="82" spans="1:26" s="29" customFormat="1" outlineLevel="1" collapsed="1" x14ac:dyDescent="0.25">
      <c r="A82" s="27"/>
      <c r="B82" s="14" t="str">
        <f>CONCATENATE("     ","General                                           ")</f>
        <v xml:space="preserve">     General                                           </v>
      </c>
      <c r="C82" s="14"/>
      <c r="D82" s="1">
        <f>SUM(OSRRefD22_6x_0)</f>
        <v>0</v>
      </c>
      <c r="E82" s="1"/>
      <c r="F82" s="5">
        <f t="shared" ref="F82:F91" si="39">IF(D$12=0,0,D82/D$12)</f>
        <v>0</v>
      </c>
      <c r="G82" s="1"/>
      <c r="H82" s="1">
        <f>SUM(OSRRefH22_6x_0)</f>
        <v>0</v>
      </c>
      <c r="I82" s="1"/>
      <c r="J82" s="5">
        <f t="shared" ref="J82:J91" si="40">IF(H$12=0,0,H82/H$12)</f>
        <v>0</v>
      </c>
      <c r="K82" s="1"/>
      <c r="L82" s="1">
        <f t="shared" ref="L82:L91" si="41">+D82-H82</f>
        <v>0</v>
      </c>
      <c r="M82" s="1"/>
      <c r="N82" s="5">
        <f t="shared" ref="N82:N91" si="42">IF(H82=0,0,L82/H82)</f>
        <v>0</v>
      </c>
      <c r="O82" s="14"/>
      <c r="P82" s="1">
        <f>SUM(OSRRefP22_6x_0)</f>
        <v>-30.15</v>
      </c>
      <c r="Q82" s="1"/>
      <c r="R82" s="5">
        <f t="shared" ref="R82:R91" si="43">IF(P$12=0,0,P82/P$12)</f>
        <v>-2.6537653942708053E-5</v>
      </c>
      <c r="S82" s="1"/>
      <c r="T82" s="1">
        <f>SUM(OSRRefT22_6x_0)</f>
        <v>0</v>
      </c>
      <c r="U82" s="1"/>
      <c r="V82" s="5">
        <f t="shared" ref="V82:V91" si="44">IF(T$12=0,0,T82/T$12)</f>
        <v>0</v>
      </c>
      <c r="W82" s="1"/>
      <c r="X82" s="1">
        <f t="shared" ref="X82:X91" si="45">+P82-T82</f>
        <v>-30.15</v>
      </c>
      <c r="Y82" s="1"/>
      <c r="Z82" s="5">
        <f t="shared" ref="Z82:Z91" si="46">IF(T82=0,0,X82/T82)</f>
        <v>0</v>
      </c>
    </row>
    <row r="83" spans="1:26" s="24" customFormat="1" hidden="1" outlineLevel="2" x14ac:dyDescent="0.25">
      <c r="A83" s="28"/>
      <c r="B83" s="11" t="str">
        <f>CONCATENATE("          ", "6279", " - ", "GENERAL EXPENSE")</f>
        <v xml:space="preserve">          6279 - GENERAL EXPENSE</v>
      </c>
      <c r="C83" s="11"/>
      <c r="D83" s="6"/>
      <c r="E83" s="2"/>
      <c r="F83" s="7">
        <f t="shared" si="39"/>
        <v>0</v>
      </c>
      <c r="G83" s="2"/>
      <c r="H83" s="6"/>
      <c r="I83" s="2"/>
      <c r="J83" s="7">
        <f t="shared" si="40"/>
        <v>0</v>
      </c>
      <c r="K83" s="2"/>
      <c r="L83" s="6">
        <f t="shared" si="41"/>
        <v>0</v>
      </c>
      <c r="M83" s="2"/>
      <c r="N83" s="7">
        <f t="shared" si="42"/>
        <v>0</v>
      </c>
      <c r="O83" s="11"/>
      <c r="P83" s="6">
        <v>-30.15</v>
      </c>
      <c r="Q83" s="2"/>
      <c r="R83" s="7">
        <f t="shared" si="43"/>
        <v>-2.6537653942708053E-5</v>
      </c>
      <c r="S83" s="2"/>
      <c r="T83" s="6"/>
      <c r="U83" s="2"/>
      <c r="V83" s="7">
        <f t="shared" si="44"/>
        <v>0</v>
      </c>
      <c r="W83" s="2"/>
      <c r="X83" s="6">
        <f t="shared" si="45"/>
        <v>-30.15</v>
      </c>
      <c r="Y83" s="2"/>
      <c r="Z83" s="7">
        <f t="shared" si="46"/>
        <v>0</v>
      </c>
    </row>
    <row r="84" spans="1:26" s="29" customFormat="1" outlineLevel="1" collapsed="1" x14ac:dyDescent="0.25">
      <c r="A84" s="27"/>
      <c r="B84" s="14" t="str">
        <f>CONCATENATE("     ","Inventory Adjustment                              ")</f>
        <v xml:space="preserve">     Inventory Adjustment                              </v>
      </c>
      <c r="C84" s="14"/>
      <c r="D84" s="1">
        <f>SUM(OSRRefD22_7x_0)</f>
        <v>1250</v>
      </c>
      <c r="E84" s="1"/>
      <c r="F84" s="5">
        <f t="shared" si="39"/>
        <v>7.2322560936096923E-3</v>
      </c>
      <c r="G84" s="1"/>
      <c r="H84" s="1">
        <f>SUM(OSRRefH22_7x_0)</f>
        <v>0</v>
      </c>
      <c r="I84" s="1"/>
      <c r="J84" s="5">
        <f t="shared" si="40"/>
        <v>0</v>
      </c>
      <c r="K84" s="1"/>
      <c r="L84" s="1">
        <f t="shared" si="41"/>
        <v>1250</v>
      </c>
      <c r="M84" s="1"/>
      <c r="N84" s="5">
        <f t="shared" si="42"/>
        <v>0</v>
      </c>
      <c r="O84" s="14"/>
      <c r="P84" s="1">
        <f>SUM(OSRRefP22_7x_0)</f>
        <v>5000</v>
      </c>
      <c r="Q84" s="1"/>
      <c r="R84" s="5">
        <f t="shared" si="43"/>
        <v>4.4009376356066426E-3</v>
      </c>
      <c r="S84" s="1"/>
      <c r="T84" s="1">
        <f>SUM(OSRRefT22_7x_0)</f>
        <v>0</v>
      </c>
      <c r="U84" s="1"/>
      <c r="V84" s="5">
        <f t="shared" si="44"/>
        <v>0</v>
      </c>
      <c r="W84" s="1"/>
      <c r="X84" s="1">
        <f t="shared" si="45"/>
        <v>5000</v>
      </c>
      <c r="Y84" s="1"/>
      <c r="Z84" s="5">
        <f t="shared" si="46"/>
        <v>0</v>
      </c>
    </row>
    <row r="85" spans="1:26" s="24" customFormat="1" hidden="1" outlineLevel="2" x14ac:dyDescent="0.25">
      <c r="A85" s="28"/>
      <c r="B85" s="11" t="str">
        <f>CONCATENATE("          ", "6408", " - ", "INVENTORY ADJUSTMENT")</f>
        <v xml:space="preserve">          6408 - INVENTORY ADJUSTMENT</v>
      </c>
      <c r="C85" s="11"/>
      <c r="D85" s="6">
        <v>1250</v>
      </c>
      <c r="E85" s="2"/>
      <c r="F85" s="7">
        <f t="shared" si="39"/>
        <v>7.2322560936096923E-3</v>
      </c>
      <c r="G85" s="2"/>
      <c r="H85" s="6"/>
      <c r="I85" s="2"/>
      <c r="J85" s="7">
        <f t="shared" si="40"/>
        <v>0</v>
      </c>
      <c r="K85" s="2"/>
      <c r="L85" s="6">
        <f t="shared" si="41"/>
        <v>1250</v>
      </c>
      <c r="M85" s="2"/>
      <c r="N85" s="7">
        <f t="shared" si="42"/>
        <v>0</v>
      </c>
      <c r="O85" s="11"/>
      <c r="P85" s="6">
        <v>5000</v>
      </c>
      <c r="Q85" s="2"/>
      <c r="R85" s="7">
        <f t="shared" si="43"/>
        <v>4.4009376356066426E-3</v>
      </c>
      <c r="S85" s="2"/>
      <c r="T85" s="6"/>
      <c r="U85" s="2"/>
      <c r="V85" s="7">
        <f t="shared" si="44"/>
        <v>0</v>
      </c>
      <c r="W85" s="2"/>
      <c r="X85" s="6">
        <f t="shared" si="45"/>
        <v>5000</v>
      </c>
      <c r="Y85" s="2"/>
      <c r="Z85" s="7">
        <f t="shared" si="46"/>
        <v>0</v>
      </c>
    </row>
    <row r="86" spans="1:26" s="29" customFormat="1" outlineLevel="1" collapsed="1" x14ac:dyDescent="0.25">
      <c r="A86" s="27"/>
      <c r="B86" s="14" t="str">
        <f>CONCATENATE("     ","Subscriptions &amp; Dues                              ")</f>
        <v xml:space="preserve">     Subscriptions &amp; Dues                              </v>
      </c>
      <c r="C86" s="14"/>
      <c r="D86" s="1">
        <f>SUM(OSRRefD22_8x_0)</f>
        <v>0</v>
      </c>
      <c r="E86" s="1"/>
      <c r="F86" s="5">
        <f t="shared" si="39"/>
        <v>0</v>
      </c>
      <c r="G86" s="1"/>
      <c r="H86" s="1">
        <f>SUM(OSRRefH22_8x_0)</f>
        <v>0</v>
      </c>
      <c r="I86" s="1"/>
      <c r="J86" s="5">
        <f t="shared" si="40"/>
        <v>0</v>
      </c>
      <c r="K86" s="1"/>
      <c r="L86" s="1">
        <f t="shared" si="41"/>
        <v>0</v>
      </c>
      <c r="M86" s="1"/>
      <c r="N86" s="5">
        <f t="shared" si="42"/>
        <v>0</v>
      </c>
      <c r="O86" s="14"/>
      <c r="P86" s="1">
        <f>SUM(OSRRefP22_8x_0)</f>
        <v>0</v>
      </c>
      <c r="Q86" s="1"/>
      <c r="R86" s="5">
        <f t="shared" si="43"/>
        <v>0</v>
      </c>
      <c r="S86" s="1"/>
      <c r="T86" s="1">
        <f>SUM(OSRRefT22_8x_0)</f>
        <v>-5000</v>
      </c>
      <c r="U86" s="1"/>
      <c r="V86" s="5">
        <f t="shared" si="44"/>
        <v>-3.7357905470751462E-3</v>
      </c>
      <c r="W86" s="1"/>
      <c r="X86" s="1">
        <f t="shared" si="45"/>
        <v>5000</v>
      </c>
      <c r="Y86" s="1"/>
      <c r="Z86" s="5">
        <f t="shared" si="46"/>
        <v>-1</v>
      </c>
    </row>
    <row r="87" spans="1:26" s="24" customFormat="1" hidden="1" outlineLevel="2" x14ac:dyDescent="0.25">
      <c r="A87" s="28"/>
      <c r="B87" s="11" t="str">
        <f>CONCATENATE("          ", "6258", " - ", "MEMBERSHIP DUES")</f>
        <v xml:space="preserve">          6258 - MEMBERSHIP DUES</v>
      </c>
      <c r="C87" s="11"/>
      <c r="D87" s="6"/>
      <c r="E87" s="2"/>
      <c r="F87" s="7">
        <f t="shared" si="39"/>
        <v>0</v>
      </c>
      <c r="G87" s="2"/>
      <c r="H87" s="6"/>
      <c r="I87" s="2"/>
      <c r="J87" s="7">
        <f t="shared" si="40"/>
        <v>0</v>
      </c>
      <c r="K87" s="2"/>
      <c r="L87" s="6">
        <f t="shared" si="41"/>
        <v>0</v>
      </c>
      <c r="M87" s="2"/>
      <c r="N87" s="7">
        <f t="shared" si="42"/>
        <v>0</v>
      </c>
      <c r="O87" s="11"/>
      <c r="P87" s="6"/>
      <c r="Q87" s="2"/>
      <c r="R87" s="7">
        <f t="shared" si="43"/>
        <v>0</v>
      </c>
      <c r="S87" s="2"/>
      <c r="T87" s="6">
        <v>-5000</v>
      </c>
      <c r="U87" s="2"/>
      <c r="V87" s="7">
        <f t="shared" si="44"/>
        <v>-3.7357905470751462E-3</v>
      </c>
      <c r="W87" s="2"/>
      <c r="X87" s="6">
        <f t="shared" si="45"/>
        <v>5000</v>
      </c>
      <c r="Y87" s="2"/>
      <c r="Z87" s="7">
        <f t="shared" si="46"/>
        <v>-1</v>
      </c>
    </row>
    <row r="88" spans="1:26" s="29" customFormat="1" outlineLevel="1" collapsed="1" x14ac:dyDescent="0.25">
      <c r="A88" s="27"/>
      <c r="B88" s="14" t="str">
        <f>CONCATENATE("     ","Supplies                                          ")</f>
        <v xml:space="preserve">     Supplies                                          </v>
      </c>
      <c r="C88" s="14"/>
      <c r="D88" s="1">
        <f>SUM(OSRRefD22_9x_0)</f>
        <v>29.59</v>
      </c>
      <c r="E88" s="1"/>
      <c r="F88" s="5">
        <f t="shared" si="39"/>
        <v>1.7120196624792862E-4</v>
      </c>
      <c r="G88" s="1"/>
      <c r="H88" s="1">
        <f>SUM(OSRRefH22_9x_0)</f>
        <v>192.76</v>
      </c>
      <c r="I88" s="1"/>
      <c r="J88" s="5">
        <f t="shared" si="40"/>
        <v>1.3182269287035908E-3</v>
      </c>
      <c r="K88" s="1"/>
      <c r="L88" s="1">
        <f t="shared" si="41"/>
        <v>-163.16999999999999</v>
      </c>
      <c r="M88" s="1"/>
      <c r="N88" s="5">
        <f t="shared" si="42"/>
        <v>-0.84649304835028016</v>
      </c>
      <c r="O88" s="14"/>
      <c r="P88" s="1">
        <f>SUM(OSRRefP22_9x_0)</f>
        <v>1524.5</v>
      </c>
      <c r="Q88" s="1"/>
      <c r="R88" s="5">
        <f t="shared" si="43"/>
        <v>1.3418458850964652E-3</v>
      </c>
      <c r="S88" s="1"/>
      <c r="T88" s="1">
        <f>SUM(OSRRefT22_9x_0)</f>
        <v>1556.9499999999998</v>
      </c>
      <c r="U88" s="1"/>
      <c r="V88" s="5">
        <f t="shared" si="44"/>
        <v>1.1632878184537295E-3</v>
      </c>
      <c r="W88" s="1"/>
      <c r="X88" s="1">
        <f t="shared" si="45"/>
        <v>-32.449999999999818</v>
      </c>
      <c r="Y88" s="1"/>
      <c r="Z88" s="5">
        <f t="shared" si="46"/>
        <v>-2.0842030893734431E-2</v>
      </c>
    </row>
    <row r="89" spans="1:26" s="24" customFormat="1" hidden="1" outlineLevel="2" x14ac:dyDescent="0.25">
      <c r="A89" s="28"/>
      <c r="B89" s="11" t="str">
        <f>CONCATENATE("          ", "6235", " - ", "COVID-19 EXPENSES")</f>
        <v xml:space="preserve">          6235 - COVID-19 EXPENSES</v>
      </c>
      <c r="C89" s="11"/>
      <c r="D89" s="6"/>
      <c r="E89" s="2"/>
      <c r="F89" s="7">
        <f t="shared" si="39"/>
        <v>0</v>
      </c>
      <c r="G89" s="2"/>
      <c r="H89" s="6"/>
      <c r="I89" s="2"/>
      <c r="J89" s="7">
        <f t="shared" si="40"/>
        <v>0</v>
      </c>
      <c r="K89" s="2"/>
      <c r="L89" s="6">
        <f t="shared" si="41"/>
        <v>0</v>
      </c>
      <c r="M89" s="2"/>
      <c r="N89" s="7">
        <f t="shared" si="42"/>
        <v>0</v>
      </c>
      <c r="O89" s="11"/>
      <c r="P89" s="6">
        <v>668.12</v>
      </c>
      <c r="Q89" s="2"/>
      <c r="R89" s="7">
        <f t="shared" si="43"/>
        <v>5.8807089062030201E-4</v>
      </c>
      <c r="S89" s="2"/>
      <c r="T89" s="6"/>
      <c r="U89" s="2"/>
      <c r="V89" s="7">
        <f t="shared" si="44"/>
        <v>0</v>
      </c>
      <c r="W89" s="2"/>
      <c r="X89" s="6">
        <f t="shared" si="45"/>
        <v>668.12</v>
      </c>
      <c r="Y89" s="2"/>
      <c r="Z89" s="7">
        <f t="shared" si="46"/>
        <v>0</v>
      </c>
    </row>
    <row r="90" spans="1:26" s="24" customFormat="1" hidden="1" outlineLevel="2" x14ac:dyDescent="0.25">
      <c r="A90" s="28"/>
      <c r="B90" s="11" t="str">
        <f>CONCATENATE("          ", "6241", " - ", "OFFICE EXPENSE")</f>
        <v xml:space="preserve">          6241 - OFFICE EXPENSE</v>
      </c>
      <c r="C90" s="11"/>
      <c r="D90" s="6">
        <v>29.59</v>
      </c>
      <c r="E90" s="2"/>
      <c r="F90" s="7">
        <f t="shared" si="39"/>
        <v>1.7120196624792862E-4</v>
      </c>
      <c r="G90" s="2"/>
      <c r="H90" s="6">
        <v>192.76</v>
      </c>
      <c r="I90" s="2"/>
      <c r="J90" s="7">
        <f t="shared" si="40"/>
        <v>1.3182269287035908E-3</v>
      </c>
      <c r="K90" s="2"/>
      <c r="L90" s="6">
        <f t="shared" si="41"/>
        <v>-163.16999999999999</v>
      </c>
      <c r="M90" s="2"/>
      <c r="N90" s="7">
        <f t="shared" si="42"/>
        <v>-0.84649304835028016</v>
      </c>
      <c r="O90" s="11"/>
      <c r="P90" s="6">
        <v>856.38</v>
      </c>
      <c r="Q90" s="2"/>
      <c r="R90" s="7">
        <f t="shared" si="43"/>
        <v>7.5377499447616323E-4</v>
      </c>
      <c r="S90" s="2"/>
      <c r="T90" s="6">
        <v>616.29999999999995</v>
      </c>
      <c r="U90" s="2"/>
      <c r="V90" s="7">
        <f t="shared" si="44"/>
        <v>4.604735428324825E-4</v>
      </c>
      <c r="W90" s="2"/>
      <c r="X90" s="6">
        <f t="shared" si="45"/>
        <v>240.08000000000004</v>
      </c>
      <c r="Y90" s="2"/>
      <c r="Z90" s="7">
        <f t="shared" si="46"/>
        <v>0.38955054356644503</v>
      </c>
    </row>
    <row r="91" spans="1:26" s="24" customFormat="1" hidden="1" outlineLevel="2" x14ac:dyDescent="0.25">
      <c r="A91" s="28"/>
      <c r="B91" s="11" t="str">
        <f>CONCATENATE("          ", "6247", " - ", "STORE SUPPLIES")</f>
        <v xml:space="preserve">          6247 - STORE SUPPLIES</v>
      </c>
      <c r="C91" s="11"/>
      <c r="D91" s="6"/>
      <c r="E91" s="2"/>
      <c r="F91" s="7">
        <f t="shared" si="39"/>
        <v>0</v>
      </c>
      <c r="G91" s="2"/>
      <c r="H91" s="6"/>
      <c r="I91" s="2"/>
      <c r="J91" s="7">
        <f t="shared" si="40"/>
        <v>0</v>
      </c>
      <c r="K91" s="2"/>
      <c r="L91" s="6">
        <f t="shared" si="41"/>
        <v>0</v>
      </c>
      <c r="M91" s="2"/>
      <c r="N91" s="7">
        <f t="shared" si="42"/>
        <v>0</v>
      </c>
      <c r="O91" s="11"/>
      <c r="P91" s="6"/>
      <c r="Q91" s="2"/>
      <c r="R91" s="7">
        <f t="shared" si="43"/>
        <v>0</v>
      </c>
      <c r="S91" s="2"/>
      <c r="T91" s="6">
        <v>940.65</v>
      </c>
      <c r="U91" s="2"/>
      <c r="V91" s="7">
        <f t="shared" si="44"/>
        <v>7.0281427562124724E-4</v>
      </c>
      <c r="W91" s="2"/>
      <c r="X91" s="6">
        <f t="shared" si="45"/>
        <v>-940.65</v>
      </c>
      <c r="Y91" s="2"/>
      <c r="Z91" s="7">
        <f t="shared" si="46"/>
        <v>-1</v>
      </c>
    </row>
    <row r="92" spans="1:26" s="29" customFormat="1" outlineLevel="1" collapsed="1" x14ac:dyDescent="0.25">
      <c r="A92" s="27"/>
      <c r="B92" s="14" t="str">
        <f>CONCATENATE("     ","Telephone/Data Lines                              ")</f>
        <v xml:space="preserve">     Telephone/Data Lines                              </v>
      </c>
      <c r="C92" s="14"/>
      <c r="D92" s="1">
        <f>SUM(OSRRefD22_10x_0)</f>
        <v>354.3</v>
      </c>
      <c r="E92" s="1"/>
      <c r="F92" s="5">
        <f t="shared" ref="F92:F95" si="47">IF(D$12=0,0,D92/D$12)</f>
        <v>2.0499106671727314E-3</v>
      </c>
      <c r="G92" s="1"/>
      <c r="H92" s="1">
        <f>SUM(OSRRefH22_10x_0)</f>
        <v>259.5</v>
      </c>
      <c r="I92" s="1"/>
      <c r="J92" s="5">
        <f t="shared" ref="J92:J95" si="48">IF(H$12=0,0,H92/H$12)</f>
        <v>1.7746414608766437E-3</v>
      </c>
      <c r="K92" s="1"/>
      <c r="L92" s="1">
        <f t="shared" ref="L92:L95" si="49">+D92-H92</f>
        <v>94.800000000000011</v>
      </c>
      <c r="M92" s="1"/>
      <c r="N92" s="5">
        <f t="shared" ref="N92:N95" si="50">IF(H92=0,0,L92/H92)</f>
        <v>0.36531791907514455</v>
      </c>
      <c r="O92" s="14"/>
      <c r="P92" s="1">
        <f>SUM(OSRRefP22_10x_0)</f>
        <v>1265.8499999999999</v>
      </c>
      <c r="Q92" s="1"/>
      <c r="R92" s="5">
        <f t="shared" ref="R92:R95" si="51">IF(P$12=0,0,P92/P$12)</f>
        <v>1.1141853812065335E-3</v>
      </c>
      <c r="S92" s="1"/>
      <c r="T92" s="1">
        <f>SUM(OSRRefT22_10x_0)</f>
        <v>1020.8</v>
      </c>
      <c r="U92" s="1"/>
      <c r="V92" s="5">
        <f t="shared" ref="V92:V95" si="52">IF(T$12=0,0,T92/T$12)</f>
        <v>7.6269899809086183E-4</v>
      </c>
      <c r="W92" s="1"/>
      <c r="X92" s="1">
        <f t="shared" ref="X92:X95" si="53">+P92-T92</f>
        <v>245.04999999999995</v>
      </c>
      <c r="Y92" s="1"/>
      <c r="Z92" s="5">
        <f t="shared" ref="Z92:Z95" si="54">IF(T92=0,0,X92/T92)</f>
        <v>0.24005681818181815</v>
      </c>
    </row>
    <row r="93" spans="1:26" s="24" customFormat="1" hidden="1" outlineLevel="2" x14ac:dyDescent="0.25">
      <c r="A93" s="28"/>
      <c r="B93" s="11" t="str">
        <f>CONCATENATE("          ", "6309", " - ", "TELEPHONE")</f>
        <v xml:space="preserve">          6309 - TELEPHONE</v>
      </c>
      <c r="C93" s="11"/>
      <c r="D93" s="6">
        <v>354.3</v>
      </c>
      <c r="E93" s="2"/>
      <c r="F93" s="7">
        <f t="shared" si="47"/>
        <v>2.0499106671727314E-3</v>
      </c>
      <c r="G93" s="2"/>
      <c r="H93" s="6">
        <v>259.5</v>
      </c>
      <c r="I93" s="2"/>
      <c r="J93" s="7">
        <f t="shared" si="48"/>
        <v>1.7746414608766437E-3</v>
      </c>
      <c r="K93" s="2"/>
      <c r="L93" s="6">
        <f t="shared" si="49"/>
        <v>94.800000000000011</v>
      </c>
      <c r="M93" s="2"/>
      <c r="N93" s="7">
        <f t="shared" si="50"/>
        <v>0.36531791907514455</v>
      </c>
      <c r="O93" s="11"/>
      <c r="P93" s="6">
        <v>1265.8499999999999</v>
      </c>
      <c r="Q93" s="2"/>
      <c r="R93" s="7">
        <f t="shared" si="51"/>
        <v>1.1141853812065335E-3</v>
      </c>
      <c r="S93" s="2"/>
      <c r="T93" s="6">
        <v>1020.8</v>
      </c>
      <c r="U93" s="2"/>
      <c r="V93" s="7">
        <f t="shared" si="52"/>
        <v>7.6269899809086183E-4</v>
      </c>
      <c r="W93" s="2"/>
      <c r="X93" s="6">
        <f t="shared" si="53"/>
        <v>245.04999999999995</v>
      </c>
      <c r="Y93" s="2"/>
      <c r="Z93" s="7">
        <f t="shared" si="54"/>
        <v>0.24005681818181815</v>
      </c>
    </row>
    <row r="94" spans="1:26" s="29" customFormat="1" outlineLevel="1" collapsed="1" x14ac:dyDescent="0.25">
      <c r="A94" s="27"/>
      <c r="B94" s="14" t="str">
        <f>CONCATENATE("     ","Training                                          ")</f>
        <v xml:space="preserve">     Training                                          </v>
      </c>
      <c r="C94" s="14"/>
      <c r="D94" s="1">
        <f>SUM(OSRRefD22_11x_0)</f>
        <v>100</v>
      </c>
      <c r="E94" s="1"/>
      <c r="F94" s="5">
        <f t="shared" si="47"/>
        <v>5.7858048748877535E-4</v>
      </c>
      <c r="G94" s="1"/>
      <c r="H94" s="1">
        <f>SUM(OSRRefH22_11x_0)</f>
        <v>40</v>
      </c>
      <c r="I94" s="1"/>
      <c r="J94" s="5">
        <f t="shared" si="48"/>
        <v>2.7354781670545567E-4</v>
      </c>
      <c r="K94" s="1"/>
      <c r="L94" s="1">
        <f t="shared" si="49"/>
        <v>60</v>
      </c>
      <c r="M94" s="1"/>
      <c r="N94" s="5">
        <f t="shared" si="50"/>
        <v>1.5</v>
      </c>
      <c r="O94" s="14"/>
      <c r="P94" s="1">
        <f>SUM(OSRRefP22_11x_0)</f>
        <v>100</v>
      </c>
      <c r="Q94" s="1"/>
      <c r="R94" s="5">
        <f t="shared" si="51"/>
        <v>8.8018752712132841E-5</v>
      </c>
      <c r="S94" s="1"/>
      <c r="T94" s="1">
        <f>SUM(OSRRefT22_11x_0)</f>
        <v>40</v>
      </c>
      <c r="U94" s="1"/>
      <c r="V94" s="5">
        <f t="shared" si="52"/>
        <v>2.988632437660117E-5</v>
      </c>
      <c r="W94" s="1"/>
      <c r="X94" s="1">
        <f t="shared" si="53"/>
        <v>60</v>
      </c>
      <c r="Y94" s="1"/>
      <c r="Z94" s="5">
        <f t="shared" si="54"/>
        <v>1.5</v>
      </c>
    </row>
    <row r="95" spans="1:26" s="24" customFormat="1" hidden="1" outlineLevel="2" x14ac:dyDescent="0.25">
      <c r="A95" s="28"/>
      <c r="B95" s="11" t="str">
        <f>CONCATENATE("          ", "6376", " - ", "TRAINING")</f>
        <v xml:space="preserve">          6376 - TRAINING</v>
      </c>
      <c r="C95" s="11"/>
      <c r="D95" s="6">
        <v>100</v>
      </c>
      <c r="E95" s="2"/>
      <c r="F95" s="7">
        <f t="shared" si="47"/>
        <v>5.7858048748877535E-4</v>
      </c>
      <c r="G95" s="2"/>
      <c r="H95" s="6">
        <v>40</v>
      </c>
      <c r="I95" s="2"/>
      <c r="J95" s="7">
        <f t="shared" si="48"/>
        <v>2.7354781670545567E-4</v>
      </c>
      <c r="K95" s="2"/>
      <c r="L95" s="6">
        <f t="shared" si="49"/>
        <v>60</v>
      </c>
      <c r="M95" s="2"/>
      <c r="N95" s="7">
        <f t="shared" si="50"/>
        <v>1.5</v>
      </c>
      <c r="O95" s="11"/>
      <c r="P95" s="6">
        <v>100</v>
      </c>
      <c r="Q95" s="2"/>
      <c r="R95" s="7">
        <f t="shared" si="51"/>
        <v>8.8018752712132841E-5</v>
      </c>
      <c r="S95" s="2"/>
      <c r="T95" s="6">
        <v>40</v>
      </c>
      <c r="U95" s="2"/>
      <c r="V95" s="7">
        <f t="shared" si="52"/>
        <v>2.988632437660117E-5</v>
      </c>
      <c r="W95" s="2"/>
      <c r="X95" s="6">
        <f t="shared" si="53"/>
        <v>60</v>
      </c>
      <c r="Y95" s="2"/>
      <c r="Z95" s="7">
        <f t="shared" si="54"/>
        <v>1.5</v>
      </c>
    </row>
    <row r="96" spans="1:26" s="57" customFormat="1" x14ac:dyDescent="0.25">
      <c r="A96" s="37"/>
      <c r="B96" s="37"/>
      <c r="C96" s="37"/>
      <c r="D96" s="1"/>
      <c r="E96" s="1"/>
      <c r="F96" s="5"/>
      <c r="G96" s="1"/>
      <c r="H96" s="1"/>
      <c r="I96" s="1"/>
      <c r="J96" s="5"/>
      <c r="K96" s="1"/>
      <c r="L96" s="1"/>
      <c r="M96" s="1"/>
      <c r="N96" s="5"/>
      <c r="O96" s="37"/>
      <c r="P96" s="1"/>
      <c r="Q96" s="1"/>
      <c r="R96" s="5"/>
      <c r="S96" s="1"/>
      <c r="T96" s="1"/>
      <c r="U96" s="1"/>
      <c r="V96" s="5"/>
      <c r="W96" s="1"/>
      <c r="X96" s="1"/>
      <c r="Y96" s="1"/>
      <c r="Z96" s="5"/>
    </row>
    <row r="97" spans="1:26" s="23" customFormat="1" collapsed="1" x14ac:dyDescent="0.25">
      <c r="A97" s="10"/>
      <c r="B97" s="26" t="s">
        <v>0</v>
      </c>
      <c r="C97" s="10"/>
      <c r="D97" s="4">
        <f>SUM(OSRRefD25x_0)</f>
        <v>1355.96</v>
      </c>
      <c r="E97" s="4"/>
      <c r="F97" s="12">
        <f t="shared" ref="F97:F100" si="55">IF(D$12=0,0,D97/D$12)</f>
        <v>7.8453199781527982E-3</v>
      </c>
      <c r="G97" s="4"/>
      <c r="H97" s="4">
        <f>SUM(OSRRefH25x_0)</f>
        <v>4142.82</v>
      </c>
      <c r="I97" s="4"/>
      <c r="J97" s="12">
        <f t="shared" ref="J97:J100" si="56">IF(H$12=0,0,H97/H$12)</f>
        <v>2.8331484150092397E-2</v>
      </c>
      <c r="K97" s="4"/>
      <c r="L97" s="4">
        <f t="shared" ref="L97:L100" si="57">+D97-H97</f>
        <v>-2786.8599999999997</v>
      </c>
      <c r="M97" s="4"/>
      <c r="N97" s="12">
        <f t="shared" ref="N97:N100" si="58">IF(H97=0,0,L97/H97)</f>
        <v>-0.67269637589854248</v>
      </c>
      <c r="O97" s="10"/>
      <c r="P97" s="4">
        <f>SUM(OSRRefP25x_0)</f>
        <v>1123.24</v>
      </c>
      <c r="Q97" s="4"/>
      <c r="R97" s="12">
        <f t="shared" ref="R97:R100" si="59">IF(P$12=0,0,P97/P$12)</f>
        <v>9.8866183796376093E-4</v>
      </c>
      <c r="S97" s="4"/>
      <c r="T97" s="4">
        <f>SUM(OSRRefT25x_0)</f>
        <v>6288.93</v>
      </c>
      <c r="U97" s="4"/>
      <c r="V97" s="12">
        <f t="shared" ref="V97:V100" si="60">IF(T$12=0,0,T97/T$12)</f>
        <v>4.6988250490434596E-3</v>
      </c>
      <c r="W97" s="4"/>
      <c r="X97" s="4">
        <f t="shared" ref="X97:X100" si="61">+P97-T97</f>
        <v>-5165.6900000000005</v>
      </c>
      <c r="Y97" s="4"/>
      <c r="Z97" s="12">
        <f t="shared" ref="Z97:Z100" si="62">IF(T97=0,0,X97/T97)</f>
        <v>-0.82139410042725869</v>
      </c>
    </row>
    <row r="98" spans="1:26" s="24" customFormat="1" hidden="1" outlineLevel="1" x14ac:dyDescent="0.25">
      <c r="A98" s="44"/>
      <c r="B98" s="11" t="str">
        <f>CONCATENATE("          ", "4187", " - ", "NON-TAXABLE SALES-COMPUTER REP")</f>
        <v xml:space="preserve">          4187 - NON-TAXABLE SALES-COMPUTER REP</v>
      </c>
      <c r="C98" s="11"/>
      <c r="D98" s="2">
        <f>--792.83</f>
        <v>792.83</v>
      </c>
      <c r="E98" s="2"/>
      <c r="F98" s="19">
        <f t="shared" si="55"/>
        <v>4.587159678957258E-3</v>
      </c>
      <c r="G98" s="2"/>
      <c r="H98" s="2">
        <f>--4407.89</f>
        <v>4407.8900000000003</v>
      </c>
      <c r="I98" s="2"/>
      <c r="J98" s="19">
        <f t="shared" si="56"/>
        <v>3.014421714444528E-2</v>
      </c>
      <c r="K98" s="2"/>
      <c r="L98" s="2">
        <f t="shared" si="57"/>
        <v>-3615.0600000000004</v>
      </c>
      <c r="M98" s="2"/>
      <c r="N98" s="19">
        <f t="shared" si="58"/>
        <v>-0.82013389626329158</v>
      </c>
      <c r="O98" s="11"/>
      <c r="P98" s="2">
        <f>--937.96</f>
        <v>937.96</v>
      </c>
      <c r="Q98" s="2"/>
      <c r="R98" s="19">
        <f t="shared" si="59"/>
        <v>8.2558069293872129E-4</v>
      </c>
      <c r="S98" s="2"/>
      <c r="T98" s="2">
        <f>--11782.69</f>
        <v>11782.69</v>
      </c>
      <c r="U98" s="2"/>
      <c r="V98" s="19">
        <f t="shared" si="60"/>
        <v>8.8035323842233712E-3</v>
      </c>
      <c r="W98" s="2"/>
      <c r="X98" s="2">
        <f t="shared" si="61"/>
        <v>-10844.73</v>
      </c>
      <c r="Y98" s="2"/>
      <c r="Z98" s="19">
        <f t="shared" si="62"/>
        <v>-0.92039508804865433</v>
      </c>
    </row>
    <row r="99" spans="1:26" s="24" customFormat="1" hidden="1" outlineLevel="1" x14ac:dyDescent="0.25">
      <c r="A99" s="44"/>
      <c r="B99" s="11" t="str">
        <f>CONCATENATE("          ", "4387", " - ", "SALES RETURN NON TAXABLE-COMPU")</f>
        <v xml:space="preserve">          4387 - SALES RETURN NON TAXABLE-COMPU</v>
      </c>
      <c r="C99" s="11"/>
      <c r="D99" s="2">
        <f>0</f>
        <v>0</v>
      </c>
      <c r="E99" s="2"/>
      <c r="F99" s="19">
        <f t="shared" si="55"/>
        <v>0</v>
      </c>
      <c r="G99" s="2"/>
      <c r="H99" s="2">
        <f>-350.05</f>
        <v>-350.05</v>
      </c>
      <c r="I99" s="2"/>
      <c r="J99" s="19">
        <f t="shared" si="56"/>
        <v>-2.393885330943619E-3</v>
      </c>
      <c r="K99" s="2"/>
      <c r="L99" s="2">
        <f t="shared" si="57"/>
        <v>350.05</v>
      </c>
      <c r="M99" s="2"/>
      <c r="N99" s="19">
        <f t="shared" si="58"/>
        <v>-1</v>
      </c>
      <c r="O99" s="11"/>
      <c r="P99" s="2">
        <f>0</f>
        <v>0</v>
      </c>
      <c r="Q99" s="2"/>
      <c r="R99" s="19">
        <f t="shared" si="59"/>
        <v>0</v>
      </c>
      <c r="S99" s="2"/>
      <c r="T99" s="2">
        <f>-6790.75</f>
        <v>-6790.75</v>
      </c>
      <c r="U99" s="2"/>
      <c r="V99" s="19">
        <f t="shared" si="60"/>
        <v>-5.0737639315101097E-3</v>
      </c>
      <c r="W99" s="2"/>
      <c r="X99" s="2">
        <f t="shared" si="61"/>
        <v>6790.75</v>
      </c>
      <c r="Y99" s="2"/>
      <c r="Z99" s="19">
        <f t="shared" si="62"/>
        <v>-1</v>
      </c>
    </row>
    <row r="100" spans="1:26" s="24" customFormat="1" hidden="1" outlineLevel="1" x14ac:dyDescent="0.25">
      <c r="A100" s="44"/>
      <c r="B100" s="11" t="str">
        <f>CONCATENATE("          ", "9150", " - ", "MISC. INCOME")</f>
        <v xml:space="preserve">          9150 - MISC. INCOME</v>
      </c>
      <c r="C100" s="11"/>
      <c r="D100" s="2">
        <f>--563.13</f>
        <v>563.13</v>
      </c>
      <c r="E100" s="2"/>
      <c r="F100" s="19">
        <f t="shared" si="55"/>
        <v>3.2581602991955407E-3</v>
      </c>
      <c r="G100" s="2"/>
      <c r="H100" s="2">
        <f>--84.98</f>
        <v>84.98</v>
      </c>
      <c r="I100" s="2"/>
      <c r="J100" s="19">
        <f t="shared" si="56"/>
        <v>5.8115233659074067E-4</v>
      </c>
      <c r="K100" s="2"/>
      <c r="L100" s="2">
        <f t="shared" si="57"/>
        <v>478.15</v>
      </c>
      <c r="M100" s="2"/>
      <c r="N100" s="19">
        <f t="shared" si="58"/>
        <v>5.6266180277712401</v>
      </c>
      <c r="O100" s="11"/>
      <c r="P100" s="2">
        <f>--185.28</f>
        <v>185.28</v>
      </c>
      <c r="Q100" s="2"/>
      <c r="R100" s="19">
        <f t="shared" si="59"/>
        <v>1.6308114502503973E-4</v>
      </c>
      <c r="S100" s="2"/>
      <c r="T100" s="2">
        <f>--1296.99</f>
        <v>1296.99</v>
      </c>
      <c r="U100" s="2"/>
      <c r="V100" s="19">
        <f t="shared" si="60"/>
        <v>9.690565963301988E-4</v>
      </c>
      <c r="W100" s="2"/>
      <c r="X100" s="2">
        <f t="shared" si="61"/>
        <v>-1111.71</v>
      </c>
      <c r="Y100" s="2"/>
      <c r="Z100" s="19">
        <f t="shared" si="62"/>
        <v>-0.85714616149700462</v>
      </c>
    </row>
    <row r="101" spans="1:26" x14ac:dyDescent="0.25">
      <c r="A101" s="9"/>
      <c r="B101" s="10"/>
      <c r="C101" s="10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O101" s="10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x14ac:dyDescent="0.25">
      <c r="A102" s="10"/>
      <c r="B102" s="25" t="s">
        <v>3</v>
      </c>
      <c r="C102" s="25"/>
      <c r="D102" s="20">
        <f>+D54-D56+D97</f>
        <v>2806.6700000000483</v>
      </c>
      <c r="E102" s="13"/>
      <c r="F102" s="21">
        <f>IF(D$12=0,0,D102/D$12)</f>
        <v>1.623884496820149E-2</v>
      </c>
      <c r="G102" s="13"/>
      <c r="H102" s="20">
        <f>+H54-H56+H97</f>
        <v>8923.0600000000413</v>
      </c>
      <c r="I102" s="13"/>
      <c r="J102" s="21">
        <f>IF(H$12=0,0,H102/H$12)</f>
        <v>6.1022089533294868E-2</v>
      </c>
      <c r="K102" s="15"/>
      <c r="L102" s="20">
        <f>+D102-H102</f>
        <v>-6116.3899999999931</v>
      </c>
      <c r="M102" s="15"/>
      <c r="N102" s="21">
        <f>IF(H102=0,0,L102/H102)</f>
        <v>-0.68545880000806503</v>
      </c>
      <c r="O102" s="26"/>
      <c r="P102" s="20">
        <f>+P54-P56+P97</f>
        <v>2064.979999999794</v>
      </c>
      <c r="Q102" s="13"/>
      <c r="R102" s="21">
        <f>IF(P$12=0,0,P102/P$12)</f>
        <v>1.8175696397548194E-3</v>
      </c>
      <c r="S102" s="13"/>
      <c r="T102" s="20">
        <f>+T54-T56+T97</f>
        <v>24893.87999999959</v>
      </c>
      <c r="U102" s="13"/>
      <c r="V102" s="21">
        <f>IF(T$12=0,0,T102/T$12)</f>
        <v>1.85996643168043E-2</v>
      </c>
      <c r="W102" s="15"/>
      <c r="X102" s="20">
        <f>+P102-T102</f>
        <v>-22828.899999999798</v>
      </c>
      <c r="Y102" s="15"/>
      <c r="Z102" s="21">
        <f>IF(T102=0,0,X102/T102)</f>
        <v>-0.91704868827198383</v>
      </c>
    </row>
    <row r="103" spans="1:26" x14ac:dyDescent="0.25">
      <c r="A103" s="9"/>
      <c r="B103" s="10"/>
      <c r="C103" s="9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x14ac:dyDescent="0.25">
      <c r="A104" s="51"/>
      <c r="B104" s="10" t="s">
        <v>13</v>
      </c>
      <c r="C104" s="10"/>
      <c r="D104" s="4">
        <v>67655.090000000011</v>
      </c>
      <c r="E104" s="4"/>
      <c r="F104" s="12">
        <f>IF(D$12=0,0,D104/D$12)</f>
        <v>0.39143914953296977</v>
      </c>
      <c r="G104" s="4"/>
      <c r="H104" s="4">
        <v>6671.52</v>
      </c>
      <c r="I104" s="4"/>
      <c r="J104" s="12">
        <f>IF(H$12=0,0,H104/H$12)</f>
        <v>4.5624493252669547E-2</v>
      </c>
      <c r="K104" s="4"/>
      <c r="L104" s="4">
        <f>+D104-H104</f>
        <v>60983.570000000007</v>
      </c>
      <c r="M104" s="4"/>
      <c r="N104" s="12">
        <f>IF(H104=0,0,L104/H104)</f>
        <v>9.1408809386766432</v>
      </c>
      <c r="O104" s="10"/>
      <c r="P104" s="4">
        <v>246108.38999999998</v>
      </c>
      <c r="Q104" s="4"/>
      <c r="R104" s="12">
        <f>IF(P$12=0,0,P104/P$12)</f>
        <v>0.21662153519791147</v>
      </c>
      <c r="S104" s="4"/>
      <c r="T104" s="4">
        <v>134727.24</v>
      </c>
      <c r="U104" s="4"/>
      <c r="V104" s="12">
        <f>IF(T$12=0,0,T104/T$12)</f>
        <v>0.1006625499251049</v>
      </c>
      <c r="W104" s="4"/>
      <c r="X104" s="4">
        <f>+P104-T104</f>
        <v>111381.15</v>
      </c>
      <c r="Y104" s="4"/>
      <c r="Z104" s="12">
        <f>IF(T104=0,0,X104/T104)</f>
        <v>0.82671588908078275</v>
      </c>
    </row>
    <row r="105" spans="1:26" x14ac:dyDescent="0.25">
      <c r="A105" s="9"/>
      <c r="B105" s="10"/>
      <c r="C105" s="10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O105" s="10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s="23" customFormat="1" ht="15.75" thickBot="1" x14ac:dyDescent="0.3">
      <c r="A106" s="10"/>
      <c r="B106" s="25" t="s">
        <v>4</v>
      </c>
      <c r="C106" s="25"/>
      <c r="D106" s="30">
        <f>+D102-D104</f>
        <v>-64848.419999999962</v>
      </c>
      <c r="E106" s="13"/>
      <c r="F106" s="33">
        <f>IF(D$12=0,0,D106/D$12)</f>
        <v>-0.37520030456476827</v>
      </c>
      <c r="G106" s="13"/>
      <c r="H106" s="30">
        <f>+H102-H104</f>
        <v>2251.5400000000409</v>
      </c>
      <c r="I106" s="13"/>
      <c r="J106" s="33">
        <f>IF(H$12=0,0,H106/H$12)</f>
        <v>1.5397596280625323E-2</v>
      </c>
      <c r="K106" s="15"/>
      <c r="L106" s="30">
        <f>D106-H106</f>
        <v>-67099.960000000006</v>
      </c>
      <c r="M106" s="15"/>
      <c r="N106" s="33">
        <f>IF(H106=0,0,L106/H106)</f>
        <v>-29.801806763370308</v>
      </c>
      <c r="O106" s="26"/>
      <c r="P106" s="30">
        <f>+P102-P104</f>
        <v>-244043.41000000018</v>
      </c>
      <c r="Q106" s="13"/>
      <c r="R106" s="33">
        <f>IF(P$12=0,0,P106/P$12)</f>
        <v>-0.21480396555815665</v>
      </c>
      <c r="S106" s="13"/>
      <c r="T106" s="30">
        <f>+T102-T104</f>
        <v>-109833.36000000039</v>
      </c>
      <c r="U106" s="13"/>
      <c r="V106" s="33">
        <f>IF(T$12=0,0,T106/T$12)</f>
        <v>-8.2062885608300593E-2</v>
      </c>
      <c r="W106" s="15"/>
      <c r="X106" s="30">
        <f>P106-T106</f>
        <v>-134210.04999999978</v>
      </c>
      <c r="Y106" s="15"/>
      <c r="Z106" s="33">
        <f>IF(T106=0,0,X106/T106)</f>
        <v>1.2219424954312543</v>
      </c>
    </row>
    <row r="107" spans="1:26" ht="15.75" thickTop="1" x14ac:dyDescent="0.25">
      <c r="A107" s="9"/>
      <c r="B107" s="9"/>
      <c r="C107" s="9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x14ac:dyDescent="0.25">
      <c r="A108" s="9"/>
      <c r="B108" s="9"/>
      <c r="C108" s="9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s="23" customFormat="1" ht="15.75" thickBot="1" x14ac:dyDescent="0.3">
      <c r="A109" s="10"/>
      <c r="B109" s="25" t="s">
        <v>5</v>
      </c>
      <c r="C109" s="25"/>
      <c r="D109" s="34">
        <f>SUM(D106:D108)</f>
        <v>-64848.419999999962</v>
      </c>
      <c r="E109" s="13"/>
      <c r="F109" s="35">
        <f>IF(D$12=0,0,D109/D$12)</f>
        <v>-0.37520030456476827</v>
      </c>
      <c r="G109" s="13"/>
      <c r="H109" s="34">
        <f>SUM(H106:H108)</f>
        <v>2251.5400000000409</v>
      </c>
      <c r="I109" s="13"/>
      <c r="J109" s="35">
        <f>IF(H$12=0,0,H109/H$12)</f>
        <v>1.5397596280625323E-2</v>
      </c>
      <c r="K109" s="15"/>
      <c r="L109" s="34">
        <f>+D109-H109</f>
        <v>-67099.960000000006</v>
      </c>
      <c r="M109" s="15"/>
      <c r="N109" s="35">
        <f>IF(H109=0,0,L109/H109)</f>
        <v>-29.801806763370308</v>
      </c>
      <c r="O109" s="26"/>
      <c r="P109" s="34">
        <f>SUM(P106:P108)</f>
        <v>-244043.41000000018</v>
      </c>
      <c r="Q109" s="13"/>
      <c r="R109" s="35">
        <f>IF(P$12=0,0,P109/P$12)</f>
        <v>-0.21480396555815665</v>
      </c>
      <c r="S109" s="13"/>
      <c r="T109" s="34">
        <f>SUM(T106:T108)</f>
        <v>-109833.36000000039</v>
      </c>
      <c r="U109" s="13"/>
      <c r="V109" s="35">
        <f>IF(T$12=0,0,T109/T$12)</f>
        <v>-8.2062885608300593E-2</v>
      </c>
      <c r="W109" s="15"/>
      <c r="X109" s="34">
        <f>+P109-T109</f>
        <v>-134210.04999999978</v>
      </c>
      <c r="Y109" s="15"/>
      <c r="Z109" s="35">
        <f>IF(T109=0,0,X109/T109)</f>
        <v>1.2219424954312543</v>
      </c>
    </row>
    <row r="110" spans="1:26" ht="15.75" thickTop="1" x14ac:dyDescent="0.25">
      <c r="A110" s="9"/>
      <c r="C110" s="9"/>
      <c r="D110" s="18"/>
      <c r="E110" s="18"/>
      <c r="G110" s="18"/>
      <c r="H110" s="18"/>
      <c r="I110" s="18"/>
      <c r="J110" s="43"/>
      <c r="K110" s="18"/>
      <c r="L110" s="18"/>
      <c r="M110" s="18"/>
      <c r="P110" s="18"/>
      <c r="Q110" s="18"/>
      <c r="R110" s="43"/>
      <c r="S110" s="18"/>
      <c r="T110" s="18"/>
      <c r="U110" s="18"/>
      <c r="V110" s="43"/>
      <c r="W110" s="18"/>
      <c r="X110" s="18"/>
    </row>
    <row r="111" spans="1:26" x14ac:dyDescent="0.25">
      <c r="A111" s="9"/>
      <c r="B111" s="56">
        <v>44151.572106284722</v>
      </c>
      <c r="D111" s="18"/>
      <c r="E111" s="18"/>
      <c r="G111" s="18"/>
      <c r="H111" s="18"/>
      <c r="I111" s="18"/>
      <c r="J111" s="43"/>
      <c r="K111" s="18"/>
      <c r="L111" s="18"/>
      <c r="M111" s="18"/>
      <c r="P111" s="18"/>
      <c r="Q111" s="18"/>
      <c r="R111" s="43"/>
      <c r="S111" s="18"/>
      <c r="T111" s="18"/>
      <c r="U111" s="18"/>
      <c r="V111" s="43"/>
      <c r="W111" s="18"/>
      <c r="X111" s="18"/>
    </row>
    <row r="112" spans="1:26" x14ac:dyDescent="0.25">
      <c r="A112" s="9"/>
      <c r="B112" s="62" t="s">
        <v>313</v>
      </c>
      <c r="D112" s="18"/>
      <c r="E112" s="18"/>
      <c r="G112" s="18"/>
      <c r="H112" s="18"/>
      <c r="I112" s="18"/>
      <c r="J112" s="43"/>
      <c r="K112" s="18"/>
      <c r="L112" s="18"/>
      <c r="M112" s="18"/>
      <c r="P112" s="18"/>
      <c r="Q112" s="18"/>
      <c r="R112" s="43"/>
      <c r="S112" s="18"/>
      <c r="T112" s="18"/>
      <c r="U112" s="18"/>
      <c r="V112" s="43"/>
      <c r="W112" s="18"/>
      <c r="X112" s="18"/>
    </row>
    <row r="113" spans="1:24" x14ac:dyDescent="0.25">
      <c r="A113" s="9"/>
      <c r="B113" s="54"/>
      <c r="D113" s="18"/>
      <c r="E113" s="18"/>
      <c r="G113" s="18"/>
      <c r="H113" s="18"/>
      <c r="I113" s="18"/>
      <c r="J113" s="43"/>
      <c r="K113" s="18"/>
      <c r="L113" s="18"/>
      <c r="M113" s="18"/>
      <c r="P113" s="18"/>
      <c r="Q113" s="18"/>
      <c r="R113" s="43"/>
      <c r="S113" s="18"/>
      <c r="T113" s="18"/>
      <c r="U113" s="18"/>
      <c r="V113" s="43"/>
      <c r="W113" s="18"/>
      <c r="X113" s="18"/>
    </row>
    <row r="114" spans="1:24" x14ac:dyDescent="0.25">
      <c r="D114" s="18"/>
      <c r="E114" s="18"/>
      <c r="G114" s="18"/>
      <c r="H114" s="18"/>
      <c r="I114" s="18"/>
      <c r="J114" s="43"/>
      <c r="K114" s="18"/>
      <c r="L114" s="18"/>
      <c r="M114" s="18"/>
      <c r="P114" s="18"/>
      <c r="Q114" s="18"/>
      <c r="R114" s="43"/>
      <c r="S114" s="18"/>
      <c r="T114" s="18"/>
      <c r="U114" s="18"/>
      <c r="V114" s="43"/>
      <c r="W114" s="18"/>
      <c r="X114" s="18"/>
    </row>
  </sheetData>
  <pageMargins left="0.25" right="0.25" top="0.75" bottom="0.75" header="0.3" footer="0.3"/>
  <pageSetup scale="55" fitToWidth="2" orientation="landscape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1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",RIGHT(202104,2),", ",2021)</f>
        <v>Period 04,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44135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","317", " - ", "Computer Store")</f>
        <v>Department 317 - Computer Store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61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50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50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2"/>
      <c r="F10" s="31" t="s">
        <v>14</v>
      </c>
      <c r="G10" s="32"/>
      <c r="H10" s="49" t="s">
        <v>306</v>
      </c>
      <c r="I10" s="32"/>
      <c r="J10" s="31" t="s">
        <v>14</v>
      </c>
      <c r="K10" s="10"/>
      <c r="L10" s="42" t="s">
        <v>11</v>
      </c>
      <c r="M10" s="10"/>
      <c r="N10" s="31" t="s">
        <v>15</v>
      </c>
      <c r="O10" s="10"/>
      <c r="P10" s="59" t="s">
        <v>10</v>
      </c>
      <c r="Q10" s="32"/>
      <c r="R10" s="31" t="s">
        <v>14</v>
      </c>
      <c r="S10" s="32"/>
      <c r="T10" s="49" t="s">
        <v>306</v>
      </c>
      <c r="U10" s="32"/>
      <c r="V10" s="31" t="s">
        <v>14</v>
      </c>
      <c r="W10" s="10"/>
      <c r="X10" s="42" t="s">
        <v>11</v>
      </c>
      <c r="Y10" s="10"/>
      <c r="Z10" s="31" t="s">
        <v>15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172836.80000000005</v>
      </c>
      <c r="E12" s="4"/>
      <c r="F12" s="12"/>
      <c r="G12" s="4"/>
      <c r="H12" s="4">
        <f>SUM(OSRRefH13x_0)</f>
        <v>146226.72000000003</v>
      </c>
      <c r="I12" s="4"/>
      <c r="J12" s="12"/>
      <c r="K12" s="4"/>
      <c r="L12" s="4">
        <f t="shared" ref="L12:L37" si="0">+D12-H12</f>
        <v>26610.080000000016</v>
      </c>
      <c r="M12" s="4"/>
      <c r="N12" s="12">
        <f t="shared" ref="N12:N37" si="1">IF(H12=0,0,L12/H12)</f>
        <v>0.18197823215893791</v>
      </c>
      <c r="O12" s="10"/>
      <c r="P12" s="4">
        <f>SUM(OSRRefP13x_0)</f>
        <v>1136121.5299999998</v>
      </c>
      <c r="Q12" s="4"/>
      <c r="R12" s="12"/>
      <c r="S12" s="4"/>
      <c r="T12" s="4">
        <f>SUM(OSRRefT13x_0)</f>
        <v>1338404.7999999996</v>
      </c>
      <c r="U12" s="4"/>
      <c r="V12" s="12"/>
      <c r="W12" s="4"/>
      <c r="X12" s="4">
        <f t="shared" ref="X12:X37" si="2">+P12-T12</f>
        <v>-202283.26999999979</v>
      </c>
      <c r="Y12" s="4"/>
      <c r="Z12" s="12">
        <f t="shared" ref="Z12:Z37" si="3">IF(T12=0,0,X12/T12)</f>
        <v>-0.15113758557948975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-178.39</f>
        <v>-178.39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-178.39</v>
      </c>
      <c r="M13" s="2"/>
      <c r="N13" s="19">
        <f t="shared" si="1"/>
        <v>0</v>
      </c>
      <c r="O13" s="11"/>
      <c r="P13" s="2">
        <f>-1902.09</f>
        <v>-1902.09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-1902.09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"4081", " - ", "TAXABLE SALES-ELECTRONICS")</f>
        <v xml:space="preserve">          4081 - TAXABLE SALES-ELECTRONICS</v>
      </c>
      <c r="C14" s="11"/>
      <c r="D14" s="2">
        <f>--5014.67</f>
        <v>5014.67</v>
      </c>
      <c r="E14" s="2"/>
      <c r="F14" s="19"/>
      <c r="G14" s="2"/>
      <c r="H14" s="2">
        <f>--24779.49</f>
        <v>24779.49</v>
      </c>
      <c r="I14" s="2"/>
      <c r="J14" s="19"/>
      <c r="K14" s="2"/>
      <c r="L14" s="2">
        <f t="shared" si="0"/>
        <v>-19764.82</v>
      </c>
      <c r="M14" s="2"/>
      <c r="N14" s="19">
        <f t="shared" si="1"/>
        <v>-0.79762819977328014</v>
      </c>
      <c r="O14" s="11"/>
      <c r="P14" s="2">
        <f>--55045.34</f>
        <v>55045.34</v>
      </c>
      <c r="Q14" s="2"/>
      <c r="R14" s="19"/>
      <c r="S14" s="2"/>
      <c r="T14" s="2">
        <f>--213456.81</f>
        <v>213456.81</v>
      </c>
      <c r="U14" s="2"/>
      <c r="V14" s="19"/>
      <c r="W14" s="2"/>
      <c r="X14" s="2">
        <f t="shared" si="2"/>
        <v>-158411.47</v>
      </c>
      <c r="Y14" s="2"/>
      <c r="Z14" s="19">
        <f t="shared" si="3"/>
        <v>-0.7421242264418737</v>
      </c>
    </row>
    <row r="15" spans="1:26" s="24" customFormat="1" hidden="1" outlineLevel="1" x14ac:dyDescent="0.25">
      <c r="A15" s="44"/>
      <c r="B15" s="11" t="str">
        <f>CONCATENATE("          ", "4082", " - ", "TAXABLE SALES-COMPUTER HARDWAR")</f>
        <v xml:space="preserve">          4082 - TAXABLE SALES-COMPUTER HARDWAR</v>
      </c>
      <c r="C15" s="11"/>
      <c r="D15" s="2">
        <f>--152786.78</f>
        <v>152786.78</v>
      </c>
      <c r="E15" s="2"/>
      <c r="F15" s="19"/>
      <c r="G15" s="2"/>
      <c r="H15" s="2">
        <f>--109645.14</f>
        <v>109645.14</v>
      </c>
      <c r="I15" s="2"/>
      <c r="J15" s="19"/>
      <c r="K15" s="2"/>
      <c r="L15" s="2">
        <f t="shared" si="0"/>
        <v>43141.64</v>
      </c>
      <c r="M15" s="2"/>
      <c r="N15" s="19">
        <f t="shared" si="1"/>
        <v>0.39346604874598179</v>
      </c>
      <c r="O15" s="11"/>
      <c r="P15" s="2">
        <f>--892099.99</f>
        <v>892099.99</v>
      </c>
      <c r="Q15" s="2"/>
      <c r="R15" s="19"/>
      <c r="S15" s="2"/>
      <c r="T15" s="2">
        <f>--1148399.63</f>
        <v>1148399.6299999999</v>
      </c>
      <c r="U15" s="2"/>
      <c r="V15" s="19"/>
      <c r="W15" s="2"/>
      <c r="X15" s="2">
        <f t="shared" si="2"/>
        <v>-256299.6399999999</v>
      </c>
      <c r="Y15" s="2"/>
      <c r="Z15" s="19">
        <f t="shared" si="3"/>
        <v>-0.2231798350544574</v>
      </c>
    </row>
    <row r="16" spans="1:26" s="24" customFormat="1" hidden="1" outlineLevel="1" x14ac:dyDescent="0.25">
      <c r="A16" s="44"/>
      <c r="B16" s="11" t="str">
        <f>CONCATENATE("          ", "4083", " - ", "TAXABLE SALES-COMPUTER EQUIPME")</f>
        <v xml:space="preserve">          4083 - TAXABLE SALES-COMPUTER EQUIPME</v>
      </c>
      <c r="C16" s="11"/>
      <c r="D16" s="2">
        <f>--3392.4</f>
        <v>3392.4</v>
      </c>
      <c r="E16" s="2"/>
      <c r="F16" s="19"/>
      <c r="G16" s="2"/>
      <c r="H16" s="2">
        <f>--12650.01</f>
        <v>12650.01</v>
      </c>
      <c r="I16" s="2"/>
      <c r="J16" s="19"/>
      <c r="K16" s="2"/>
      <c r="L16" s="2">
        <f t="shared" si="0"/>
        <v>-9257.61</v>
      </c>
      <c r="M16" s="2"/>
      <c r="N16" s="19">
        <f t="shared" si="1"/>
        <v>-0.73182629895154239</v>
      </c>
      <c r="O16" s="11"/>
      <c r="P16" s="2">
        <f>--72045.1</f>
        <v>72045.100000000006</v>
      </c>
      <c r="Q16" s="2"/>
      <c r="R16" s="19"/>
      <c r="S16" s="2"/>
      <c r="T16" s="2">
        <f>--53606.22</f>
        <v>53606.22</v>
      </c>
      <c r="U16" s="2"/>
      <c r="V16" s="19"/>
      <c r="W16" s="2"/>
      <c r="X16" s="2">
        <f t="shared" si="2"/>
        <v>18438.880000000005</v>
      </c>
      <c r="Y16" s="2"/>
      <c r="Z16" s="19">
        <f t="shared" si="3"/>
        <v>0.34396903941370993</v>
      </c>
    </row>
    <row r="17" spans="1:26" s="24" customFormat="1" hidden="1" outlineLevel="1" x14ac:dyDescent="0.25">
      <c r="A17" s="44"/>
      <c r="B17" s="11" t="str">
        <f>CONCATENATE("          ", "4084", " - ", "TAXABLE SALES-SOFTWARE LICENSE")</f>
        <v xml:space="preserve">          4084 - TAXABLE SALES-SOFTWARE LICENSE</v>
      </c>
      <c r="C17" s="11"/>
      <c r="D17" s="2">
        <f>0</f>
        <v>0</v>
      </c>
      <c r="E17" s="2"/>
      <c r="F17" s="19"/>
      <c r="G17" s="2"/>
      <c r="H17" s="2">
        <f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0</f>
        <v>0</v>
      </c>
      <c r="Q17" s="2"/>
      <c r="R17" s="19"/>
      <c r="S17" s="2"/>
      <c r="T17" s="2">
        <f>--129</f>
        <v>129</v>
      </c>
      <c r="U17" s="2"/>
      <c r="V17" s="19"/>
      <c r="W17" s="2"/>
      <c r="X17" s="2">
        <f t="shared" si="2"/>
        <v>-129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"4085", " - ", "TAXABLE SALES-SOFTWARE")</f>
        <v xml:space="preserve">          4085 - TAXABLE SALES-SOFTWARE</v>
      </c>
      <c r="C18" s="11"/>
      <c r="D18" s="2">
        <f>--139</f>
        <v>139</v>
      </c>
      <c r="E18" s="2"/>
      <c r="F18" s="19"/>
      <c r="G18" s="2"/>
      <c r="H18" s="2">
        <f>--3913.99</f>
        <v>3913.99</v>
      </c>
      <c r="I18" s="2"/>
      <c r="J18" s="19"/>
      <c r="K18" s="2"/>
      <c r="L18" s="2">
        <f t="shared" si="0"/>
        <v>-3774.99</v>
      </c>
      <c r="M18" s="2"/>
      <c r="N18" s="19">
        <f t="shared" si="1"/>
        <v>-0.96448636813073108</v>
      </c>
      <c r="O18" s="11"/>
      <c r="P18" s="2">
        <f>--1120.96</f>
        <v>1120.96</v>
      </c>
      <c r="Q18" s="2"/>
      <c r="R18" s="19"/>
      <c r="S18" s="2"/>
      <c r="T18" s="2">
        <f>--4407.94</f>
        <v>4407.9399999999996</v>
      </c>
      <c r="U18" s="2"/>
      <c r="V18" s="19"/>
      <c r="W18" s="2"/>
      <c r="X18" s="2">
        <f t="shared" si="2"/>
        <v>-3286.9799999999996</v>
      </c>
      <c r="Y18" s="2"/>
      <c r="Z18" s="19">
        <f t="shared" si="3"/>
        <v>-0.74569526808441133</v>
      </c>
    </row>
    <row r="19" spans="1:26" s="24" customFormat="1" hidden="1" outlineLevel="1" x14ac:dyDescent="0.25">
      <c r="A19" s="44"/>
      <c r="B19" s="11" t="str">
        <f>CONCATENATE("          ", "4086", " - ", "TAXABLE SALES-COMPUTER SUPPLIE")</f>
        <v xml:space="preserve">          4086 - TAXABLE SALES-COMPUTER SUPPLIE</v>
      </c>
      <c r="C19" s="11"/>
      <c r="D19" s="2">
        <f>--1385.25</f>
        <v>1385.25</v>
      </c>
      <c r="E19" s="2"/>
      <c r="F19" s="19"/>
      <c r="G19" s="2"/>
      <c r="H19" s="2">
        <f>--6615.09</f>
        <v>6615.09</v>
      </c>
      <c r="I19" s="2"/>
      <c r="J19" s="19"/>
      <c r="K19" s="2"/>
      <c r="L19" s="2">
        <f t="shared" si="0"/>
        <v>-5229.84</v>
      </c>
      <c r="M19" s="2"/>
      <c r="N19" s="19">
        <f t="shared" si="1"/>
        <v>-0.79059241824374271</v>
      </c>
      <c r="O19" s="11"/>
      <c r="P19" s="2">
        <f>--29366.66</f>
        <v>29366.66</v>
      </c>
      <c r="Q19" s="2"/>
      <c r="R19" s="19"/>
      <c r="S19" s="2"/>
      <c r="T19" s="2">
        <f>--26598.3</f>
        <v>26598.3</v>
      </c>
      <c r="U19" s="2"/>
      <c r="V19" s="19"/>
      <c r="W19" s="2"/>
      <c r="X19" s="2">
        <f t="shared" si="2"/>
        <v>2768.3600000000006</v>
      </c>
      <c r="Y19" s="2"/>
      <c r="Z19" s="19">
        <f t="shared" si="3"/>
        <v>0.10408033596132087</v>
      </c>
    </row>
    <row r="20" spans="1:26" s="24" customFormat="1" hidden="1" outlineLevel="1" x14ac:dyDescent="0.25">
      <c r="A20" s="44"/>
      <c r="B20" s="11" t="str">
        <f>CONCATENATE("          ", "4088", " - ", "TAXABLE SALES-MUSIC")</f>
        <v xml:space="preserve">          4088 - TAXABLE SALES-MUSIC</v>
      </c>
      <c r="C20" s="11"/>
      <c r="D20" s="2">
        <f>0</f>
        <v>0</v>
      </c>
      <c r="E20" s="2"/>
      <c r="F20" s="19"/>
      <c r="G20" s="2"/>
      <c r="H20" s="2">
        <f>--281.98</f>
        <v>281.98</v>
      </c>
      <c r="I20" s="2"/>
      <c r="J20" s="19"/>
      <c r="K20" s="2"/>
      <c r="L20" s="2">
        <f t="shared" si="0"/>
        <v>-281.98</v>
      </c>
      <c r="M20" s="2"/>
      <c r="N20" s="19">
        <f t="shared" si="1"/>
        <v>-1</v>
      </c>
      <c r="O20" s="11"/>
      <c r="P20" s="2">
        <f>0</f>
        <v>0</v>
      </c>
      <c r="Q20" s="2"/>
      <c r="R20" s="19"/>
      <c r="S20" s="2"/>
      <c r="T20" s="2">
        <f>--817.94</f>
        <v>817.94</v>
      </c>
      <c r="U20" s="2"/>
      <c r="V20" s="19"/>
      <c r="W20" s="2"/>
      <c r="X20" s="2">
        <f t="shared" si="2"/>
        <v>-817.94</v>
      </c>
      <c r="Y20" s="2"/>
      <c r="Z20" s="19">
        <f t="shared" si="3"/>
        <v>-1</v>
      </c>
    </row>
    <row r="21" spans="1:26" s="24" customFormat="1" hidden="1" outlineLevel="1" x14ac:dyDescent="0.25">
      <c r="A21" s="44"/>
      <c r="B21" s="11" t="str">
        <f>CONCATENATE("          ", "4181", " - ", "NON-TAXABLE SALES-ELECTRONICS")</f>
        <v xml:space="preserve">          4181 - NON-TAXABLE SALES-ELECTRONICS</v>
      </c>
      <c r="C21" s="11"/>
      <c r="D21" s="2">
        <f>--194.97</f>
        <v>194.97</v>
      </c>
      <c r="E21" s="2"/>
      <c r="F21" s="19"/>
      <c r="G21" s="2"/>
      <c r="H21" s="2">
        <f>--7.99</f>
        <v>7.99</v>
      </c>
      <c r="I21" s="2"/>
      <c r="J21" s="19"/>
      <c r="K21" s="2"/>
      <c r="L21" s="2">
        <f t="shared" si="0"/>
        <v>186.98</v>
      </c>
      <c r="M21" s="2"/>
      <c r="N21" s="19">
        <f t="shared" si="1"/>
        <v>23.401752190237794</v>
      </c>
      <c r="O21" s="11"/>
      <c r="P21" s="2">
        <f>--3504.13</f>
        <v>3504.13</v>
      </c>
      <c r="Q21" s="2"/>
      <c r="R21" s="19"/>
      <c r="S21" s="2"/>
      <c r="T21" s="2">
        <f>--1462.51</f>
        <v>1462.51</v>
      </c>
      <c r="U21" s="2"/>
      <c r="V21" s="19"/>
      <c r="W21" s="2"/>
      <c r="X21" s="2">
        <f t="shared" si="2"/>
        <v>2041.6200000000001</v>
      </c>
      <c r="Y21" s="2"/>
      <c r="Z21" s="19">
        <f t="shared" si="3"/>
        <v>1.3959699420858662</v>
      </c>
    </row>
    <row r="22" spans="1:26" s="24" customFormat="1" hidden="1" outlineLevel="1" x14ac:dyDescent="0.25">
      <c r="A22" s="44"/>
      <c r="B22" s="11" t="str">
        <f>CONCATENATE("          ", "4182", " - ", "NON-TAXABLE SALES-COMPUTER HAR")</f>
        <v xml:space="preserve">          4182 - NON-TAXABLE SALES-COMPUTER HAR</v>
      </c>
      <c r="C22" s="11"/>
      <c r="D22" s="2">
        <f>--24570</f>
        <v>24570</v>
      </c>
      <c r="E22" s="2"/>
      <c r="F22" s="19"/>
      <c r="G22" s="2"/>
      <c r="H22" s="2">
        <f>--10758</f>
        <v>10758</v>
      </c>
      <c r="I22" s="2"/>
      <c r="J22" s="19"/>
      <c r="K22" s="2"/>
      <c r="L22" s="2">
        <f t="shared" si="0"/>
        <v>13812</v>
      </c>
      <c r="M22" s="2"/>
      <c r="N22" s="19">
        <f t="shared" si="1"/>
        <v>1.2838817624093697</v>
      </c>
      <c r="O22" s="11"/>
      <c r="P22" s="2">
        <f>--145294.38</f>
        <v>145294.38</v>
      </c>
      <c r="Q22" s="2"/>
      <c r="R22" s="19"/>
      <c r="S22" s="2"/>
      <c r="T22" s="2">
        <f>--56560</f>
        <v>56560</v>
      </c>
      <c r="U22" s="2"/>
      <c r="V22" s="19"/>
      <c r="W22" s="2"/>
      <c r="X22" s="2">
        <f t="shared" si="2"/>
        <v>88734.38</v>
      </c>
      <c r="Y22" s="2"/>
      <c r="Z22" s="19">
        <f t="shared" si="3"/>
        <v>1.5688539603960396</v>
      </c>
    </row>
    <row r="23" spans="1:26" s="24" customFormat="1" hidden="1" outlineLevel="1" x14ac:dyDescent="0.25">
      <c r="A23" s="44"/>
      <c r="B23" s="11" t="str">
        <f>CONCATENATE("          ", "4183", " - ", "NON-TAXABLE SALES-COMPUTER EQU")</f>
        <v xml:space="preserve">          4183 - NON-TAXABLE SALES-COMPUTER EQU</v>
      </c>
      <c r="C23" s="11"/>
      <c r="D23" s="2">
        <f>--1269.91</f>
        <v>1269.9100000000001</v>
      </c>
      <c r="E23" s="2"/>
      <c r="F23" s="19"/>
      <c r="G23" s="2"/>
      <c r="H23" s="2">
        <f>--1033.81</f>
        <v>1033.81</v>
      </c>
      <c r="I23" s="2"/>
      <c r="J23" s="19"/>
      <c r="K23" s="2"/>
      <c r="L23" s="2">
        <f t="shared" si="0"/>
        <v>236.10000000000014</v>
      </c>
      <c r="M23" s="2"/>
      <c r="N23" s="19">
        <f t="shared" si="1"/>
        <v>0.22837852216558183</v>
      </c>
      <c r="O23" s="11"/>
      <c r="P23" s="2">
        <f>--6336.39</f>
        <v>6336.39</v>
      </c>
      <c r="Q23" s="2"/>
      <c r="R23" s="19"/>
      <c r="S23" s="2"/>
      <c r="T23" s="2">
        <f>--3054.92</f>
        <v>3054.92</v>
      </c>
      <c r="U23" s="2"/>
      <c r="V23" s="19"/>
      <c r="W23" s="2"/>
      <c r="X23" s="2">
        <f t="shared" si="2"/>
        <v>3281.4700000000003</v>
      </c>
      <c r="Y23" s="2"/>
      <c r="Z23" s="19">
        <f t="shared" si="3"/>
        <v>1.0741590614484178</v>
      </c>
    </row>
    <row r="24" spans="1:26" s="24" customFormat="1" hidden="1" outlineLevel="1" x14ac:dyDescent="0.25">
      <c r="A24" s="44"/>
      <c r="B24" s="11" t="str">
        <f>CONCATENATE("          ", "4184", " - ", "NON-TAXABLE SALES-SOFTWARE LIC")</f>
        <v xml:space="preserve">          4184 - NON-TAXABLE SALES-SOFTWARE LIC</v>
      </c>
      <c r="C24" s="11"/>
      <c r="D24" s="2">
        <f>0</f>
        <v>0</v>
      </c>
      <c r="E24" s="2"/>
      <c r="F24" s="19"/>
      <c r="G24" s="2"/>
      <c r="H24" s="2">
        <f>0</f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0</f>
        <v>0</v>
      </c>
      <c r="Q24" s="2"/>
      <c r="R24" s="19"/>
      <c r="S24" s="2"/>
      <c r="T24" s="2">
        <f>--1522</f>
        <v>1522</v>
      </c>
      <c r="U24" s="2"/>
      <c r="V24" s="19"/>
      <c r="W24" s="2"/>
      <c r="X24" s="2">
        <f t="shared" si="2"/>
        <v>-1522</v>
      </c>
      <c r="Y24" s="2"/>
      <c r="Z24" s="19">
        <f t="shared" si="3"/>
        <v>-1</v>
      </c>
    </row>
    <row r="25" spans="1:26" s="24" customFormat="1" hidden="1" outlineLevel="1" x14ac:dyDescent="0.25">
      <c r="A25" s="44"/>
      <c r="B25" s="11" t="str">
        <f>CONCATENATE("          ", "4185", " - ", "NON-TAXABLE SALES-SOFTWARE")</f>
        <v xml:space="preserve">          4185 - NON-TAXABLE SALES-SOFTWARE</v>
      </c>
      <c r="C25" s="11"/>
      <c r="D25" s="2">
        <f>--4590.76</f>
        <v>4590.76</v>
      </c>
      <c r="E25" s="2"/>
      <c r="F25" s="19"/>
      <c r="G25" s="2"/>
      <c r="H25" s="2">
        <f>--1389.95</f>
        <v>1389.95</v>
      </c>
      <c r="I25" s="2"/>
      <c r="J25" s="19"/>
      <c r="K25" s="2"/>
      <c r="L25" s="2">
        <f t="shared" si="0"/>
        <v>3200.8100000000004</v>
      </c>
      <c r="M25" s="2"/>
      <c r="N25" s="19">
        <f t="shared" si="1"/>
        <v>2.302823842584266</v>
      </c>
      <c r="O25" s="11"/>
      <c r="P25" s="2">
        <f>--23816.85</f>
        <v>23816.85</v>
      </c>
      <c r="Q25" s="2"/>
      <c r="R25" s="19"/>
      <c r="S25" s="2"/>
      <c r="T25" s="2">
        <f>--8467.89</f>
        <v>8467.89</v>
      </c>
      <c r="U25" s="2"/>
      <c r="V25" s="19"/>
      <c r="W25" s="2"/>
      <c r="X25" s="2">
        <f t="shared" si="2"/>
        <v>15348.96</v>
      </c>
      <c r="Y25" s="2"/>
      <c r="Z25" s="19">
        <f t="shared" si="3"/>
        <v>1.812607390979335</v>
      </c>
    </row>
    <row r="26" spans="1:26" s="24" customFormat="1" hidden="1" outlineLevel="1" x14ac:dyDescent="0.25">
      <c r="A26" s="44"/>
      <c r="B26" s="11" t="str">
        <f>CONCATENATE("          ", "4186", " - ", "NON-TAXABLE SALES-COMPUTER SUP")</f>
        <v xml:space="preserve">          4186 - NON-TAXABLE SALES-COMPUTER SUP</v>
      </c>
      <c r="C26" s="11"/>
      <c r="D26" s="2">
        <f>--855.98</f>
        <v>855.98</v>
      </c>
      <c r="E26" s="2"/>
      <c r="F26" s="19"/>
      <c r="G26" s="2"/>
      <c r="H26" s="2">
        <f>--792.62</f>
        <v>792.62</v>
      </c>
      <c r="I26" s="2"/>
      <c r="J26" s="19"/>
      <c r="K26" s="2"/>
      <c r="L26" s="2">
        <f t="shared" si="0"/>
        <v>63.360000000000014</v>
      </c>
      <c r="M26" s="2"/>
      <c r="N26" s="19">
        <f t="shared" si="1"/>
        <v>7.9937422724634777E-2</v>
      </c>
      <c r="O26" s="11"/>
      <c r="P26" s="2">
        <f>--1729.77</f>
        <v>1729.77</v>
      </c>
      <c r="Q26" s="2"/>
      <c r="R26" s="19"/>
      <c r="S26" s="2"/>
      <c r="T26" s="2">
        <f>--1553.38</f>
        <v>1553.38</v>
      </c>
      <c r="U26" s="2"/>
      <c r="V26" s="19"/>
      <c r="W26" s="2"/>
      <c r="X26" s="2">
        <f t="shared" si="2"/>
        <v>176.38999999999987</v>
      </c>
      <c r="Y26" s="2"/>
      <c r="Z26" s="19">
        <f t="shared" si="3"/>
        <v>0.11355238254644701</v>
      </c>
    </row>
    <row r="27" spans="1:26" s="24" customFormat="1" hidden="1" outlineLevel="1" x14ac:dyDescent="0.25">
      <c r="A27" s="44"/>
      <c r="B27" s="11" t="str">
        <f>CONCATENATE("          ", "4188", " - ", "NON-TAXABLE SALES-MUSIC")</f>
        <v xml:space="preserve">          4188 - NON-TAXABLE SALES-MUSIC</v>
      </c>
      <c r="C27" s="11"/>
      <c r="D27" s="2">
        <f>0</f>
        <v>0</v>
      </c>
      <c r="E27" s="2"/>
      <c r="F27" s="19"/>
      <c r="G27" s="2"/>
      <c r="H27" s="2">
        <f>0</f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0</f>
        <v>0</v>
      </c>
      <c r="Q27" s="2"/>
      <c r="R27" s="19"/>
      <c r="S27" s="2"/>
      <c r="T27" s="2">
        <f>--219.96</f>
        <v>219.96</v>
      </c>
      <c r="U27" s="2"/>
      <c r="V27" s="19"/>
      <c r="W27" s="2"/>
      <c r="X27" s="2">
        <f t="shared" si="2"/>
        <v>-219.96</v>
      </c>
      <c r="Y27" s="2"/>
      <c r="Z27" s="19">
        <f t="shared" si="3"/>
        <v>-1</v>
      </c>
    </row>
    <row r="28" spans="1:26" s="24" customFormat="1" hidden="1" outlineLevel="1" x14ac:dyDescent="0.25">
      <c r="A28" s="44"/>
      <c r="B28" s="11" t="str">
        <f>CONCATENATE("          ", "4281", " - ", "SALES RETURN TAXABLE-ELECTRONI")</f>
        <v xml:space="preserve">          4281 - SALES RETURN TAXABLE-ELECTRONI</v>
      </c>
      <c r="C28" s="11"/>
      <c r="D28" s="2">
        <f>-357.99</f>
        <v>-357.99</v>
      </c>
      <c r="E28" s="2"/>
      <c r="F28" s="19"/>
      <c r="G28" s="2"/>
      <c r="H28" s="2">
        <f>-1281.68</f>
        <v>-1281.68</v>
      </c>
      <c r="I28" s="2"/>
      <c r="J28" s="19"/>
      <c r="K28" s="2"/>
      <c r="L28" s="2">
        <f t="shared" si="0"/>
        <v>923.69</v>
      </c>
      <c r="M28" s="2"/>
      <c r="N28" s="19">
        <f t="shared" si="1"/>
        <v>-0.72068691092940518</v>
      </c>
      <c r="O28" s="11"/>
      <c r="P28" s="2">
        <f>-14632.15</f>
        <v>-14632.15</v>
      </c>
      <c r="Q28" s="2"/>
      <c r="R28" s="19"/>
      <c r="S28" s="2"/>
      <c r="T28" s="2">
        <f>-4556.15</f>
        <v>-4556.1499999999996</v>
      </c>
      <c r="U28" s="2"/>
      <c r="V28" s="19"/>
      <c r="W28" s="2"/>
      <c r="X28" s="2">
        <f t="shared" si="2"/>
        <v>-10076</v>
      </c>
      <c r="Y28" s="2"/>
      <c r="Z28" s="19">
        <f t="shared" si="3"/>
        <v>2.2115163021410624</v>
      </c>
    </row>
    <row r="29" spans="1:26" s="24" customFormat="1" hidden="1" outlineLevel="1" x14ac:dyDescent="0.25">
      <c r="A29" s="44"/>
      <c r="B29" s="11" t="str">
        <f>CONCATENATE("          ", "4282", " - ", "SALES RETURN TAXABLE-COMPUTER")</f>
        <v xml:space="preserve">          4282 - SALES RETURN TAXABLE-COMPUTER</v>
      </c>
      <c r="C29" s="11"/>
      <c r="D29" s="2">
        <f>-20038</f>
        <v>-20038</v>
      </c>
      <c r="E29" s="2"/>
      <c r="F29" s="19"/>
      <c r="G29" s="2"/>
      <c r="H29" s="2">
        <f>-22491.01</f>
        <v>-22491.01</v>
      </c>
      <c r="I29" s="2"/>
      <c r="J29" s="19"/>
      <c r="K29" s="2"/>
      <c r="L29" s="2">
        <f t="shared" si="0"/>
        <v>2453.0099999999984</v>
      </c>
      <c r="M29" s="2"/>
      <c r="N29" s="19">
        <f t="shared" si="1"/>
        <v>-0.10906624469065633</v>
      </c>
      <c r="O29" s="11"/>
      <c r="P29" s="2">
        <f>-68323</f>
        <v>-68323</v>
      </c>
      <c r="Q29" s="2"/>
      <c r="R29" s="19"/>
      <c r="S29" s="2"/>
      <c r="T29" s="2">
        <f>-170137.86</f>
        <v>-170137.86</v>
      </c>
      <c r="U29" s="2"/>
      <c r="V29" s="19"/>
      <c r="W29" s="2"/>
      <c r="X29" s="2">
        <f t="shared" si="2"/>
        <v>101814.85999999999</v>
      </c>
      <c r="Y29" s="2"/>
      <c r="Z29" s="19">
        <f t="shared" si="3"/>
        <v>-0.59842565317325602</v>
      </c>
    </row>
    <row r="30" spans="1:26" s="24" customFormat="1" hidden="1" outlineLevel="1" x14ac:dyDescent="0.25">
      <c r="A30" s="44"/>
      <c r="B30" s="11" t="str">
        <f>CONCATENATE("          ", "4283", " - ", "SALES RETURN TAXABLE-COMPUTER")</f>
        <v xml:space="preserve">          4283 - SALES RETURN TAXABLE-COMPUTER</v>
      </c>
      <c r="C30" s="11"/>
      <c r="D30" s="2">
        <f>-629.58</f>
        <v>-629.58000000000004</v>
      </c>
      <c r="E30" s="2"/>
      <c r="F30" s="19"/>
      <c r="G30" s="2"/>
      <c r="H30" s="2">
        <f>-1247.85</f>
        <v>-1247.8499999999999</v>
      </c>
      <c r="I30" s="2"/>
      <c r="J30" s="19"/>
      <c r="K30" s="2"/>
      <c r="L30" s="2">
        <f t="shared" si="0"/>
        <v>618.26999999999987</v>
      </c>
      <c r="M30" s="2"/>
      <c r="N30" s="19">
        <f t="shared" si="1"/>
        <v>-0.49546820531313851</v>
      </c>
      <c r="O30" s="11"/>
      <c r="P30" s="2">
        <f>-2632.31</f>
        <v>-2632.31</v>
      </c>
      <c r="Q30" s="2"/>
      <c r="R30" s="19"/>
      <c r="S30" s="2"/>
      <c r="T30" s="2">
        <f>-2532.33</f>
        <v>-2532.33</v>
      </c>
      <c r="U30" s="2"/>
      <c r="V30" s="19"/>
      <c r="W30" s="2"/>
      <c r="X30" s="2">
        <f t="shared" si="2"/>
        <v>-99.980000000000018</v>
      </c>
      <c r="Y30" s="2"/>
      <c r="Z30" s="19">
        <f t="shared" si="3"/>
        <v>3.9481426196427805E-2</v>
      </c>
    </row>
    <row r="31" spans="1:26" s="24" customFormat="1" hidden="1" outlineLevel="1" x14ac:dyDescent="0.25">
      <c r="A31" s="44"/>
      <c r="B31" s="11" t="str">
        <f>CONCATENATE("          ", "4284", " - ", "SALES RETURN TAXABLE-SOFTWARE")</f>
        <v xml:space="preserve">          4284 - SALES RETURN TAXABLE-SOFTWARE</v>
      </c>
      <c r="C31" s="11"/>
      <c r="D31" s="2">
        <f t="shared" ref="D31:D32" si="4">0</f>
        <v>0</v>
      </c>
      <c r="E31" s="2"/>
      <c r="F31" s="19"/>
      <c r="G31" s="2"/>
      <c r="H31" s="2">
        <f>0</f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0</f>
        <v>0</v>
      </c>
      <c r="Q31" s="2"/>
      <c r="R31" s="19"/>
      <c r="S31" s="2"/>
      <c r="T31" s="2">
        <f>-129</f>
        <v>-129</v>
      </c>
      <c r="U31" s="2"/>
      <c r="V31" s="19"/>
      <c r="W31" s="2"/>
      <c r="X31" s="2">
        <f t="shared" si="2"/>
        <v>129</v>
      </c>
      <c r="Y31" s="2"/>
      <c r="Z31" s="19">
        <f t="shared" si="3"/>
        <v>-1</v>
      </c>
    </row>
    <row r="32" spans="1:26" s="24" customFormat="1" hidden="1" outlineLevel="1" x14ac:dyDescent="0.25">
      <c r="A32" s="44"/>
      <c r="B32" s="11" t="str">
        <f>CONCATENATE("          ", "4285", " - ", "SALES RETURN TAXABLE-SOFTWARE")</f>
        <v xml:space="preserve">          4285 - SALES RETURN TAXABLE-SOFTWARE</v>
      </c>
      <c r="C32" s="11"/>
      <c r="D32" s="2">
        <f t="shared" si="4"/>
        <v>0</v>
      </c>
      <c r="E32" s="2"/>
      <c r="F32" s="19"/>
      <c r="G32" s="2"/>
      <c r="H32" s="2">
        <f>-248.99</f>
        <v>-248.99</v>
      </c>
      <c r="I32" s="2"/>
      <c r="J32" s="19"/>
      <c r="K32" s="2"/>
      <c r="L32" s="2">
        <f t="shared" si="0"/>
        <v>248.99</v>
      </c>
      <c r="M32" s="2"/>
      <c r="N32" s="19">
        <f t="shared" si="1"/>
        <v>-1</v>
      </c>
      <c r="O32" s="11"/>
      <c r="P32" s="2">
        <f>-552.98</f>
        <v>-552.98</v>
      </c>
      <c r="Q32" s="2"/>
      <c r="R32" s="19"/>
      <c r="S32" s="2"/>
      <c r="T32" s="2">
        <f>-655.98</f>
        <v>-655.98</v>
      </c>
      <c r="U32" s="2"/>
      <c r="V32" s="19"/>
      <c r="W32" s="2"/>
      <c r="X32" s="2">
        <f t="shared" si="2"/>
        <v>103</v>
      </c>
      <c r="Y32" s="2"/>
      <c r="Z32" s="19">
        <f t="shared" si="3"/>
        <v>-0.15701698222506782</v>
      </c>
    </row>
    <row r="33" spans="1:26" s="24" customFormat="1" hidden="1" outlineLevel="1" x14ac:dyDescent="0.25">
      <c r="A33" s="44"/>
      <c r="B33" s="11" t="str">
        <f>CONCATENATE("          ", "4286", " - ", "SALES RETURN TAXABLE-COMPUTER")</f>
        <v xml:space="preserve">          4286 - SALES RETURN TAXABLE-COMPUTER</v>
      </c>
      <c r="C33" s="11"/>
      <c r="D33" s="2">
        <f>-158.96</f>
        <v>-158.96</v>
      </c>
      <c r="E33" s="2"/>
      <c r="F33" s="19"/>
      <c r="G33" s="2"/>
      <c r="H33" s="2">
        <f>-307.86</f>
        <v>-307.86</v>
      </c>
      <c r="I33" s="2"/>
      <c r="J33" s="19"/>
      <c r="K33" s="2"/>
      <c r="L33" s="2">
        <f t="shared" si="0"/>
        <v>148.9</v>
      </c>
      <c r="M33" s="2"/>
      <c r="N33" s="19">
        <f t="shared" si="1"/>
        <v>-0.48366140453452866</v>
      </c>
      <c r="O33" s="11"/>
      <c r="P33" s="2">
        <f>-571.36</f>
        <v>-571.36</v>
      </c>
      <c r="Q33" s="2"/>
      <c r="R33" s="19"/>
      <c r="S33" s="2"/>
      <c r="T33" s="2">
        <f>-2451.6</f>
        <v>-2451.6</v>
      </c>
      <c r="U33" s="2"/>
      <c r="V33" s="19"/>
      <c r="W33" s="2"/>
      <c r="X33" s="2">
        <f t="shared" si="2"/>
        <v>1880.2399999999998</v>
      </c>
      <c r="Y33" s="2"/>
      <c r="Z33" s="19">
        <f t="shared" si="3"/>
        <v>-0.76694403654756071</v>
      </c>
    </row>
    <row r="34" spans="1:26" s="24" customFormat="1" hidden="1" outlineLevel="1" x14ac:dyDescent="0.25">
      <c r="A34" s="44"/>
      <c r="B34" s="11" t="str">
        <f>CONCATENATE("          ", "4288", " - ", "TAXABLE SALES RETURN-MUSIC")</f>
        <v xml:space="preserve">          4288 - TAXABLE SALES RETURN-MUSIC</v>
      </c>
      <c r="C34" s="11"/>
      <c r="D34" s="2">
        <f t="shared" ref="D34:D37" si="5">0</f>
        <v>0</v>
      </c>
      <c r="E34" s="2"/>
      <c r="F34" s="19"/>
      <c r="G34" s="2"/>
      <c r="H34" s="2">
        <f>-3.99</f>
        <v>-3.99</v>
      </c>
      <c r="I34" s="2"/>
      <c r="J34" s="19"/>
      <c r="K34" s="2"/>
      <c r="L34" s="2">
        <f t="shared" si="0"/>
        <v>3.99</v>
      </c>
      <c r="M34" s="2"/>
      <c r="N34" s="19">
        <f t="shared" si="1"/>
        <v>-1</v>
      </c>
      <c r="O34" s="11"/>
      <c r="P34" s="2">
        <f>0</f>
        <v>0</v>
      </c>
      <c r="Q34" s="2"/>
      <c r="R34" s="19"/>
      <c r="S34" s="2"/>
      <c r="T34" s="2">
        <f>-3.99</f>
        <v>-3.99</v>
      </c>
      <c r="U34" s="2"/>
      <c r="V34" s="19"/>
      <c r="W34" s="2"/>
      <c r="X34" s="2">
        <f t="shared" si="2"/>
        <v>3.99</v>
      </c>
      <c r="Y34" s="2"/>
      <c r="Z34" s="19">
        <f t="shared" si="3"/>
        <v>-1</v>
      </c>
    </row>
    <row r="35" spans="1:26" s="24" customFormat="1" hidden="1" outlineLevel="1" x14ac:dyDescent="0.25">
      <c r="A35" s="44"/>
      <c r="B35" s="11" t="str">
        <f>CONCATENATE("          ", "4381", " - ", "SALES RETURN NON TAXABLE-ELECT")</f>
        <v xml:space="preserve">          4381 - SALES RETURN NON TAXABLE-ELECT</v>
      </c>
      <c r="C35" s="11"/>
      <c r="D35" s="2">
        <f t="shared" si="5"/>
        <v>0</v>
      </c>
      <c r="E35" s="2"/>
      <c r="F35" s="19"/>
      <c r="G35" s="2"/>
      <c r="H35" s="2">
        <f>0</f>
        <v>0</v>
      </c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1"/>
      <c r="P35" s="2">
        <f>-5624.15</f>
        <v>-5624.15</v>
      </c>
      <c r="Q35" s="2"/>
      <c r="R35" s="19"/>
      <c r="S35" s="2"/>
      <c r="T35" s="2">
        <f>-1279.84</f>
        <v>-1279.8399999999999</v>
      </c>
      <c r="U35" s="2"/>
      <c r="V35" s="19"/>
      <c r="W35" s="2"/>
      <c r="X35" s="2">
        <f t="shared" si="2"/>
        <v>-4344.3099999999995</v>
      </c>
      <c r="Y35" s="2"/>
      <c r="Z35" s="19">
        <f t="shared" si="3"/>
        <v>3.3944164895611948</v>
      </c>
    </row>
    <row r="36" spans="1:26" s="24" customFormat="1" hidden="1" outlineLevel="1" x14ac:dyDescent="0.25">
      <c r="A36" s="44"/>
      <c r="B36" s="11" t="str">
        <f>CONCATENATE("          ", "4383", " - ", "SALES RETURN NON TAXABLE-COMPU")</f>
        <v xml:space="preserve">          4383 - SALES RETURN NON TAXABLE-COMPU</v>
      </c>
      <c r="C36" s="11"/>
      <c r="D36" s="2">
        <f t="shared" si="5"/>
        <v>0</v>
      </c>
      <c r="E36" s="2"/>
      <c r="F36" s="19"/>
      <c r="G36" s="2"/>
      <c r="H36" s="2">
        <f>-24.99</f>
        <v>-24.99</v>
      </c>
      <c r="I36" s="2"/>
      <c r="J36" s="19"/>
      <c r="K36" s="2"/>
      <c r="L36" s="2">
        <f t="shared" si="0"/>
        <v>24.99</v>
      </c>
      <c r="M36" s="2"/>
      <c r="N36" s="19">
        <f t="shared" si="1"/>
        <v>-1</v>
      </c>
      <c r="O36" s="11"/>
      <c r="P36" s="2">
        <f t="shared" ref="P36:P37" si="6">0</f>
        <v>0</v>
      </c>
      <c r="Q36" s="2"/>
      <c r="R36" s="19"/>
      <c r="S36" s="2"/>
      <c r="T36" s="2">
        <f>-49.98</f>
        <v>-49.98</v>
      </c>
      <c r="U36" s="2"/>
      <c r="V36" s="19"/>
      <c r="W36" s="2"/>
      <c r="X36" s="2">
        <f t="shared" si="2"/>
        <v>49.98</v>
      </c>
      <c r="Y36" s="2"/>
      <c r="Z36" s="19">
        <f t="shared" si="3"/>
        <v>-1</v>
      </c>
    </row>
    <row r="37" spans="1:26" s="24" customFormat="1" hidden="1" outlineLevel="1" x14ac:dyDescent="0.25">
      <c r="A37" s="44"/>
      <c r="B37" s="11" t="str">
        <f>CONCATENATE("          ", "4386", " - ", "SALES RETURN NON TAXABLE-COMPU")</f>
        <v xml:space="preserve">          4386 - SALES RETURN NON TAXABLE-COMPU</v>
      </c>
      <c r="C37" s="11"/>
      <c r="D37" s="2">
        <f t="shared" si="5"/>
        <v>0</v>
      </c>
      <c r="E37" s="2"/>
      <c r="F37" s="19"/>
      <c r="G37" s="2"/>
      <c r="H37" s="2">
        <f>-34.98</f>
        <v>-34.979999999999997</v>
      </c>
      <c r="I37" s="2"/>
      <c r="J37" s="19"/>
      <c r="K37" s="2"/>
      <c r="L37" s="2">
        <f t="shared" si="0"/>
        <v>34.979999999999997</v>
      </c>
      <c r="M37" s="2"/>
      <c r="N37" s="19">
        <f t="shared" si="1"/>
        <v>-1</v>
      </c>
      <c r="O37" s="11"/>
      <c r="P37" s="2">
        <f t="shared" si="6"/>
        <v>0</v>
      </c>
      <c r="Q37" s="2"/>
      <c r="R37" s="19"/>
      <c r="S37" s="2"/>
      <c r="T37" s="2">
        <f>-54.97</f>
        <v>-54.97</v>
      </c>
      <c r="U37" s="2"/>
      <c r="V37" s="19"/>
      <c r="W37" s="2"/>
      <c r="X37" s="2">
        <f t="shared" si="2"/>
        <v>54.97</v>
      </c>
      <c r="Y37" s="2"/>
      <c r="Z37" s="19">
        <f t="shared" si="3"/>
        <v>-1</v>
      </c>
    </row>
    <row r="38" spans="1:26" x14ac:dyDescent="0.25">
      <c r="A38" s="9"/>
      <c r="B38" s="10"/>
      <c r="C38" s="9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s="23" customFormat="1" collapsed="1" x14ac:dyDescent="0.25">
      <c r="A39" s="10"/>
      <c r="B39" s="26" t="s">
        <v>8</v>
      </c>
      <c r="C39" s="10"/>
      <c r="D39" s="4">
        <f>SUM(OSRRefD16x_0)</f>
        <v>156723</v>
      </c>
      <c r="E39" s="4"/>
      <c r="F39" s="12">
        <f t="shared" ref="F39:F52" si="7">IF(D$12=0,0,D39/D$12)</f>
        <v>0.90676869740703347</v>
      </c>
      <c r="G39" s="4"/>
      <c r="H39" s="4">
        <f>SUM(OSRRefH16x_0)</f>
        <v>123920.84999999999</v>
      </c>
      <c r="I39" s="4"/>
      <c r="J39" s="12">
        <f t="shared" ref="J39:J52" si="8">IF(H$12=0,0,H39/H$12)</f>
        <v>0.84745694904460667</v>
      </c>
      <c r="K39" s="4"/>
      <c r="L39" s="4">
        <f t="shared" ref="L39:L52" si="9">+D39-H39</f>
        <v>32802.150000000009</v>
      </c>
      <c r="M39" s="4"/>
      <c r="N39" s="12">
        <f t="shared" ref="N39:N52" si="10">IF(H39=0,0,L39/H39)</f>
        <v>0.26470242901013036</v>
      </c>
      <c r="O39" s="10"/>
      <c r="P39" s="4">
        <f>SUM(OSRRefP16x_0)</f>
        <v>1081275</v>
      </c>
      <c r="Q39" s="4"/>
      <c r="R39" s="12">
        <f t="shared" ref="R39:R52" si="11">IF(P$12=0,0,P39/P$12)</f>
        <v>0.95172476838811437</v>
      </c>
      <c r="S39" s="4"/>
      <c r="T39" s="4">
        <f>SUM(OSRRefT16x_0)</f>
        <v>1200081</v>
      </c>
      <c r="U39" s="4"/>
      <c r="V39" s="12">
        <f t="shared" ref="V39:V52" si="12">IF(T$12=0,0,T39/T$12)</f>
        <v>0.89665025110489771</v>
      </c>
      <c r="W39" s="4"/>
      <c r="X39" s="4">
        <f t="shared" ref="X39:X52" si="13">+P39-T39</f>
        <v>-118806</v>
      </c>
      <c r="Y39" s="4"/>
      <c r="Z39" s="12">
        <f t="shared" ref="Z39:Z52" si="14">IF(T39=0,0,X39/T39)</f>
        <v>-9.8998317613561079E-2</v>
      </c>
    </row>
    <row r="40" spans="1:26" s="24" customFormat="1" hidden="1" outlineLevel="1" x14ac:dyDescent="0.25">
      <c r="A40" s="44"/>
      <c r="B40" s="11" t="str">
        <f>CONCATENATE("          ", "5081", " - ", "PURCHASES @ COST-ELECTRONICS")</f>
        <v xml:space="preserve">          5081 - PURCHASES @ COST-ELECTRONICS</v>
      </c>
      <c r="C40" s="11"/>
      <c r="D40" s="2">
        <v>6249.76</v>
      </c>
      <c r="E40" s="2"/>
      <c r="F40" s="19">
        <f t="shared" si="7"/>
        <v>3.6159891874878489E-2</v>
      </c>
      <c r="G40" s="2"/>
      <c r="H40" s="2">
        <v>18487.53</v>
      </c>
      <c r="I40" s="2"/>
      <c r="J40" s="19">
        <f t="shared" si="8"/>
        <v>0.12643058669441531</v>
      </c>
      <c r="K40" s="2"/>
      <c r="L40" s="2">
        <f t="shared" si="9"/>
        <v>-12237.769999999999</v>
      </c>
      <c r="M40" s="2"/>
      <c r="N40" s="19">
        <f t="shared" si="10"/>
        <v>-0.66194726932153725</v>
      </c>
      <c r="O40" s="11"/>
      <c r="P40" s="2">
        <v>21947.21</v>
      </c>
      <c r="Q40" s="2"/>
      <c r="R40" s="19">
        <f t="shared" si="11"/>
        <v>1.931766049711249E-2</v>
      </c>
      <c r="S40" s="2"/>
      <c r="T40" s="2">
        <v>168173.62</v>
      </c>
      <c r="U40" s="2"/>
      <c r="V40" s="19">
        <f t="shared" si="12"/>
        <v>0.12565228397268155</v>
      </c>
      <c r="W40" s="2"/>
      <c r="X40" s="2">
        <f t="shared" si="13"/>
        <v>-146226.41</v>
      </c>
      <c r="Y40" s="2"/>
      <c r="Z40" s="19">
        <f t="shared" si="14"/>
        <v>-0.86949671416955887</v>
      </c>
    </row>
    <row r="41" spans="1:26" s="24" customFormat="1" hidden="1" outlineLevel="1" x14ac:dyDescent="0.25">
      <c r="A41" s="44"/>
      <c r="B41" s="11" t="str">
        <f>CONCATENATE("          ", "5082", " - ", "PURCHASES @ COST-COMPUTER HARD")</f>
        <v xml:space="preserve">          5082 - PURCHASES @ COST-COMPUTER HARD</v>
      </c>
      <c r="C41" s="11"/>
      <c r="D41" s="2">
        <v>175404.87</v>
      </c>
      <c r="E41" s="2"/>
      <c r="F41" s="19">
        <f t="shared" si="7"/>
        <v>1.0148583519250527</v>
      </c>
      <c r="G41" s="2"/>
      <c r="H41" s="2">
        <v>94594.73</v>
      </c>
      <c r="I41" s="2"/>
      <c r="J41" s="19">
        <f t="shared" si="8"/>
        <v>0.64690454658355179</v>
      </c>
      <c r="K41" s="2"/>
      <c r="L41" s="2">
        <f t="shared" si="9"/>
        <v>80810.14</v>
      </c>
      <c r="M41" s="2"/>
      <c r="N41" s="19">
        <f t="shared" si="10"/>
        <v>0.85427740002006458</v>
      </c>
      <c r="O41" s="11"/>
      <c r="P41" s="2">
        <v>888778.08000000007</v>
      </c>
      <c r="Q41" s="2"/>
      <c r="R41" s="19">
        <f t="shared" si="11"/>
        <v>0.78229138039484225</v>
      </c>
      <c r="S41" s="2"/>
      <c r="T41" s="2">
        <v>895637.7</v>
      </c>
      <c r="U41" s="2"/>
      <c r="V41" s="19">
        <f t="shared" si="12"/>
        <v>0.66918297065282506</v>
      </c>
      <c r="W41" s="2"/>
      <c r="X41" s="2">
        <f t="shared" si="13"/>
        <v>-6859.6199999998789</v>
      </c>
      <c r="Y41" s="2"/>
      <c r="Z41" s="19">
        <f t="shared" si="14"/>
        <v>-7.6589227988056773E-3</v>
      </c>
    </row>
    <row r="42" spans="1:26" s="24" customFormat="1" hidden="1" outlineLevel="1" x14ac:dyDescent="0.25">
      <c r="A42" s="44"/>
      <c r="B42" s="11" t="str">
        <f>CONCATENATE("          ", "5083", " - ", "PURCHASES @ COST-COMPUTER EQUI")</f>
        <v xml:space="preserve">          5083 - PURCHASES @ COST-COMPUTER EQUI</v>
      </c>
      <c r="C42" s="11"/>
      <c r="D42" s="2">
        <v>11838.95</v>
      </c>
      <c r="E42" s="2"/>
      <c r="F42" s="19">
        <f t="shared" si="7"/>
        <v>6.8497854623552373E-2</v>
      </c>
      <c r="G42" s="2"/>
      <c r="H42" s="2">
        <v>14096.28</v>
      </c>
      <c r="I42" s="2"/>
      <c r="J42" s="19">
        <f t="shared" si="8"/>
        <v>9.6400165441719532E-2</v>
      </c>
      <c r="K42" s="2"/>
      <c r="L42" s="2">
        <f t="shared" si="9"/>
        <v>-2257.33</v>
      </c>
      <c r="M42" s="2"/>
      <c r="N42" s="19">
        <f t="shared" si="10"/>
        <v>-0.16013657503965584</v>
      </c>
      <c r="O42" s="11"/>
      <c r="P42" s="2">
        <v>73272.95</v>
      </c>
      <c r="Q42" s="2"/>
      <c r="R42" s="19">
        <f t="shared" si="11"/>
        <v>6.4493936665384735E-2</v>
      </c>
      <c r="S42" s="2"/>
      <c r="T42" s="2">
        <v>41808.689999999995</v>
      </c>
      <c r="U42" s="2"/>
      <c r="V42" s="19">
        <f t="shared" si="12"/>
        <v>3.1237701777519035E-2</v>
      </c>
      <c r="W42" s="2"/>
      <c r="X42" s="2">
        <f t="shared" si="13"/>
        <v>31464.260000000002</v>
      </c>
      <c r="Y42" s="2"/>
      <c r="Z42" s="19">
        <f t="shared" si="14"/>
        <v>0.75257703601811021</v>
      </c>
    </row>
    <row r="43" spans="1:26" s="24" customFormat="1" hidden="1" outlineLevel="1" x14ac:dyDescent="0.25">
      <c r="A43" s="44"/>
      <c r="B43" s="11" t="str">
        <f>CONCATENATE("          ", "5084", " - ", "PURCHASES @ COST-SOFTWARE LICE")</f>
        <v xml:space="preserve">          5084 - PURCHASES @ COST-SOFTWARE LICE</v>
      </c>
      <c r="C43" s="11"/>
      <c r="D43" s="2"/>
      <c r="E43" s="2"/>
      <c r="F43" s="19">
        <f t="shared" si="7"/>
        <v>0</v>
      </c>
      <c r="G43" s="2"/>
      <c r="H43" s="2">
        <v>1206</v>
      </c>
      <c r="I43" s="2"/>
      <c r="J43" s="19">
        <f t="shared" si="8"/>
        <v>8.2474666736694884E-3</v>
      </c>
      <c r="K43" s="2"/>
      <c r="L43" s="2">
        <f t="shared" si="9"/>
        <v>-1206</v>
      </c>
      <c r="M43" s="2"/>
      <c r="N43" s="19">
        <f t="shared" si="10"/>
        <v>-1</v>
      </c>
      <c r="O43" s="11"/>
      <c r="P43" s="2"/>
      <c r="Q43" s="2"/>
      <c r="R43" s="19">
        <f t="shared" si="11"/>
        <v>0</v>
      </c>
      <c r="S43" s="2"/>
      <c r="T43" s="2">
        <v>2728</v>
      </c>
      <c r="U43" s="2"/>
      <c r="V43" s="19">
        <f t="shared" si="12"/>
        <v>2.0382473224841999E-3</v>
      </c>
      <c r="W43" s="2"/>
      <c r="X43" s="2">
        <f t="shared" si="13"/>
        <v>-2728</v>
      </c>
      <c r="Y43" s="2"/>
      <c r="Z43" s="19">
        <f t="shared" si="14"/>
        <v>-1</v>
      </c>
    </row>
    <row r="44" spans="1:26" s="24" customFormat="1" hidden="1" outlineLevel="1" x14ac:dyDescent="0.25">
      <c r="A44" s="44"/>
      <c r="B44" s="11" t="str">
        <f>CONCATENATE("          ", "5085", " - ", "PURCHASES @ COST-SOFTWARE")</f>
        <v xml:space="preserve">          5085 - PURCHASES @ COST-SOFTWARE</v>
      </c>
      <c r="C44" s="11"/>
      <c r="D44" s="2">
        <v>5843.52</v>
      </c>
      <c r="E44" s="2"/>
      <c r="F44" s="19">
        <f t="shared" si="7"/>
        <v>3.380946650250409E-2</v>
      </c>
      <c r="G44" s="2"/>
      <c r="H44" s="2">
        <v>506.04</v>
      </c>
      <c r="I44" s="2"/>
      <c r="J44" s="19">
        <f t="shared" si="8"/>
        <v>3.4606534291407201E-3</v>
      </c>
      <c r="K44" s="2"/>
      <c r="L44" s="2">
        <f t="shared" si="9"/>
        <v>5337.4800000000005</v>
      </c>
      <c r="M44" s="2"/>
      <c r="N44" s="19">
        <f t="shared" si="10"/>
        <v>10.547545648565331</v>
      </c>
      <c r="O44" s="11"/>
      <c r="P44" s="2">
        <v>20681.2</v>
      </c>
      <c r="Q44" s="2"/>
      <c r="R44" s="19">
        <f t="shared" si="11"/>
        <v>1.820333428590162E-2</v>
      </c>
      <c r="S44" s="2"/>
      <c r="T44" s="2">
        <v>6932.04</v>
      </c>
      <c r="U44" s="2"/>
      <c r="V44" s="19">
        <f t="shared" si="12"/>
        <v>5.1793299007893588E-3</v>
      </c>
      <c r="W44" s="2"/>
      <c r="X44" s="2">
        <f t="shared" si="13"/>
        <v>13749.16</v>
      </c>
      <c r="Y44" s="2"/>
      <c r="Z44" s="19">
        <f t="shared" si="14"/>
        <v>1.9834219075481387</v>
      </c>
    </row>
    <row r="45" spans="1:26" s="24" customFormat="1" hidden="1" outlineLevel="1" x14ac:dyDescent="0.25">
      <c r="A45" s="44"/>
      <c r="B45" s="11" t="str">
        <f>CONCATENATE("          ", "5086", " - ", "PURCHASES @ COST-COMPUTER SUPP")</f>
        <v xml:space="preserve">          5086 - PURCHASES @ COST-COMPUTER SUPP</v>
      </c>
      <c r="C45" s="11"/>
      <c r="D45" s="2">
        <v>773.47</v>
      </c>
      <c r="E45" s="2"/>
      <c r="F45" s="19">
        <f t="shared" si="7"/>
        <v>4.4751464965794314E-3</v>
      </c>
      <c r="G45" s="2"/>
      <c r="H45" s="2">
        <v>5888.35</v>
      </c>
      <c r="I45" s="2"/>
      <c r="J45" s="19">
        <f t="shared" si="8"/>
        <v>4.0268632162439255E-2</v>
      </c>
      <c r="K45" s="2"/>
      <c r="L45" s="2">
        <f t="shared" si="9"/>
        <v>-5114.88</v>
      </c>
      <c r="M45" s="2"/>
      <c r="N45" s="19">
        <f t="shared" si="10"/>
        <v>-0.86864401742423591</v>
      </c>
      <c r="O45" s="11"/>
      <c r="P45" s="2">
        <v>22529.439999999999</v>
      </c>
      <c r="Q45" s="2"/>
      <c r="R45" s="19">
        <f t="shared" si="11"/>
        <v>1.9830132081028341E-2</v>
      </c>
      <c r="S45" s="2"/>
      <c r="T45" s="2">
        <v>18368.099999999999</v>
      </c>
      <c r="U45" s="2"/>
      <c r="V45" s="19">
        <f t="shared" si="12"/>
        <v>1.3723874869546198E-2</v>
      </c>
      <c r="W45" s="2"/>
      <c r="X45" s="2">
        <f t="shared" si="13"/>
        <v>4161.34</v>
      </c>
      <c r="Y45" s="2"/>
      <c r="Z45" s="19">
        <f t="shared" si="14"/>
        <v>0.22655255578965711</v>
      </c>
    </row>
    <row r="46" spans="1:26" s="24" customFormat="1" hidden="1" outlineLevel="1" x14ac:dyDescent="0.25">
      <c r="A46" s="44"/>
      <c r="B46" s="11" t="str">
        <f>CONCATENATE("          ", "5088", " - ", "PURCHASES @ COST-MUSIC")</f>
        <v xml:space="preserve">          5088 - PURCHASES @ COST-MUSIC</v>
      </c>
      <c r="C46" s="11"/>
      <c r="D46" s="2"/>
      <c r="E46" s="2"/>
      <c r="F46" s="19">
        <f t="shared" si="7"/>
        <v>0</v>
      </c>
      <c r="G46" s="2"/>
      <c r="H46" s="2"/>
      <c r="I46" s="2"/>
      <c r="J46" s="19">
        <f t="shared" si="8"/>
        <v>0</v>
      </c>
      <c r="K46" s="2"/>
      <c r="L46" s="2">
        <f t="shared" si="9"/>
        <v>0</v>
      </c>
      <c r="M46" s="2"/>
      <c r="N46" s="19">
        <f t="shared" si="10"/>
        <v>0</v>
      </c>
      <c r="O46" s="11"/>
      <c r="P46" s="2"/>
      <c r="Q46" s="2"/>
      <c r="R46" s="19">
        <f t="shared" si="11"/>
        <v>0</v>
      </c>
      <c r="S46" s="2"/>
      <c r="T46" s="2">
        <v>88.75</v>
      </c>
      <c r="U46" s="2"/>
      <c r="V46" s="19">
        <f t="shared" si="12"/>
        <v>6.6310282210583848E-5</v>
      </c>
      <c r="W46" s="2"/>
      <c r="X46" s="2">
        <f t="shared" si="13"/>
        <v>-88.75</v>
      </c>
      <c r="Y46" s="2"/>
      <c r="Z46" s="19">
        <f t="shared" si="14"/>
        <v>-1</v>
      </c>
    </row>
    <row r="47" spans="1:26" s="24" customFormat="1" hidden="1" outlineLevel="1" x14ac:dyDescent="0.25">
      <c r="A47" s="44"/>
      <c r="B47" s="11" t="str">
        <f>CONCATENATE("          ", "5200", " - ", "PURCHASES OFFSET")</f>
        <v xml:space="preserve">          5200 - PURCHASES OFFSET</v>
      </c>
      <c r="C47" s="11"/>
      <c r="D47" s="2">
        <v>-200232.35</v>
      </c>
      <c r="E47" s="2"/>
      <c r="F47" s="19">
        <f t="shared" si="7"/>
        <v>-1.1585053067402309</v>
      </c>
      <c r="G47" s="2"/>
      <c r="H47" s="2">
        <v>-134851</v>
      </c>
      <c r="I47" s="2"/>
      <c r="J47" s="19">
        <f t="shared" si="8"/>
        <v>-0.92220491576368513</v>
      </c>
      <c r="K47" s="2"/>
      <c r="L47" s="2">
        <f t="shared" si="9"/>
        <v>-65381.350000000006</v>
      </c>
      <c r="M47" s="2"/>
      <c r="N47" s="19">
        <f t="shared" si="10"/>
        <v>0.48484141756457133</v>
      </c>
      <c r="O47" s="11"/>
      <c r="P47" s="2">
        <v>-1027552.17</v>
      </c>
      <c r="Q47" s="2"/>
      <c r="R47" s="19">
        <f t="shared" si="11"/>
        <v>-0.90443860350045491</v>
      </c>
      <c r="S47" s="2"/>
      <c r="T47" s="2">
        <v>-1134049</v>
      </c>
      <c r="U47" s="2"/>
      <c r="V47" s="19">
        <f t="shared" si="12"/>
        <v>-0.84731390682400454</v>
      </c>
      <c r="W47" s="2"/>
      <c r="X47" s="2">
        <f t="shared" si="13"/>
        <v>106496.82999999996</v>
      </c>
      <c r="Y47" s="2"/>
      <c r="Z47" s="19">
        <f t="shared" si="14"/>
        <v>-9.3908490726591146E-2</v>
      </c>
    </row>
    <row r="48" spans="1:26" s="24" customFormat="1" hidden="1" outlineLevel="1" x14ac:dyDescent="0.25">
      <c r="A48" s="44"/>
      <c r="B48" s="11" t="str">
        <f>CONCATENATE("          ", "5300", " - ", "COG$ OFFSET")</f>
        <v xml:space="preserve">          5300 - COG$ OFFSET</v>
      </c>
      <c r="C48" s="11"/>
      <c r="D48" s="2">
        <v>156723</v>
      </c>
      <c r="E48" s="2"/>
      <c r="F48" s="19">
        <f t="shared" si="7"/>
        <v>0.90676869740703347</v>
      </c>
      <c r="G48" s="2"/>
      <c r="H48" s="2">
        <v>123920</v>
      </c>
      <c r="I48" s="2"/>
      <c r="J48" s="19">
        <f t="shared" si="8"/>
        <v>0.84745113615350176</v>
      </c>
      <c r="K48" s="2"/>
      <c r="L48" s="2">
        <f t="shared" si="9"/>
        <v>32803</v>
      </c>
      <c r="M48" s="2"/>
      <c r="N48" s="19">
        <f t="shared" si="10"/>
        <v>0.26471110393802455</v>
      </c>
      <c r="O48" s="11"/>
      <c r="P48" s="2">
        <v>1081275</v>
      </c>
      <c r="Q48" s="2"/>
      <c r="R48" s="19">
        <f t="shared" si="11"/>
        <v>0.95172476838811437</v>
      </c>
      <c r="S48" s="2"/>
      <c r="T48" s="2">
        <v>1200079</v>
      </c>
      <c r="U48" s="2"/>
      <c r="V48" s="19">
        <f t="shared" si="12"/>
        <v>0.89664875678867884</v>
      </c>
      <c r="W48" s="2"/>
      <c r="X48" s="2">
        <f t="shared" si="13"/>
        <v>-118804</v>
      </c>
      <c r="Y48" s="2"/>
      <c r="Z48" s="19">
        <f t="shared" si="14"/>
        <v>-9.8996816042943844E-2</v>
      </c>
    </row>
    <row r="49" spans="1:26" s="24" customFormat="1" hidden="1" outlineLevel="1" x14ac:dyDescent="0.25">
      <c r="A49" s="44"/>
      <c r="B49" s="11" t="str">
        <f>CONCATENATE("          ", "5581", " - ", "FREIGHT-IN-ELECTRONICS")</f>
        <v xml:space="preserve">          5581 - FREIGHT-IN-ELECTRONICS</v>
      </c>
      <c r="C49" s="11"/>
      <c r="D49" s="2"/>
      <c r="E49" s="2"/>
      <c r="F49" s="19">
        <f t="shared" si="7"/>
        <v>0</v>
      </c>
      <c r="G49" s="2"/>
      <c r="H49" s="2">
        <v>12.8</v>
      </c>
      <c r="I49" s="2"/>
      <c r="J49" s="19">
        <f t="shared" si="8"/>
        <v>8.7535301345745823E-5</v>
      </c>
      <c r="K49" s="2"/>
      <c r="L49" s="2">
        <f t="shared" si="9"/>
        <v>-12.8</v>
      </c>
      <c r="M49" s="2"/>
      <c r="N49" s="19">
        <f t="shared" si="10"/>
        <v>-1</v>
      </c>
      <c r="O49" s="11"/>
      <c r="P49" s="2"/>
      <c r="Q49" s="2"/>
      <c r="R49" s="19">
        <f t="shared" si="11"/>
        <v>0</v>
      </c>
      <c r="S49" s="2"/>
      <c r="T49" s="2">
        <v>105.75</v>
      </c>
      <c r="U49" s="2"/>
      <c r="V49" s="19">
        <f t="shared" si="12"/>
        <v>7.9011970070639342E-5</v>
      </c>
      <c r="W49" s="2"/>
      <c r="X49" s="2">
        <f t="shared" si="13"/>
        <v>-105.75</v>
      </c>
      <c r="Y49" s="2"/>
      <c r="Z49" s="19">
        <f t="shared" si="14"/>
        <v>-1</v>
      </c>
    </row>
    <row r="50" spans="1:26" s="24" customFormat="1" hidden="1" outlineLevel="1" x14ac:dyDescent="0.25">
      <c r="A50" s="44"/>
      <c r="B50" s="11" t="str">
        <f>CONCATENATE("          ", "5582", " - ", "FREIGHT-IN-COMPUTER HARDWARE")</f>
        <v xml:space="preserve">          5582 - FREIGHT-IN-COMPUTER HARDWARE</v>
      </c>
      <c r="C50" s="11"/>
      <c r="D50" s="2">
        <v>70</v>
      </c>
      <c r="E50" s="2"/>
      <c r="F50" s="19">
        <f t="shared" si="7"/>
        <v>4.0500634124214274E-4</v>
      </c>
      <c r="G50" s="2"/>
      <c r="H50" s="2"/>
      <c r="I50" s="2"/>
      <c r="J50" s="19">
        <f t="shared" si="8"/>
        <v>0</v>
      </c>
      <c r="K50" s="2"/>
      <c r="L50" s="2">
        <f t="shared" si="9"/>
        <v>70</v>
      </c>
      <c r="M50" s="2"/>
      <c r="N50" s="19">
        <f t="shared" si="10"/>
        <v>0</v>
      </c>
      <c r="O50" s="11"/>
      <c r="P50" s="2">
        <v>94</v>
      </c>
      <c r="Q50" s="2"/>
      <c r="R50" s="19">
        <f t="shared" si="11"/>
        <v>8.2737627549404874E-5</v>
      </c>
      <c r="S50" s="2"/>
      <c r="T50" s="2">
        <v>4.84</v>
      </c>
      <c r="U50" s="2"/>
      <c r="V50" s="19">
        <f t="shared" si="12"/>
        <v>3.6162452495687415E-6</v>
      </c>
      <c r="W50" s="2"/>
      <c r="X50" s="2">
        <f t="shared" si="13"/>
        <v>89.16</v>
      </c>
      <c r="Y50" s="2"/>
      <c r="Z50" s="19">
        <f t="shared" si="14"/>
        <v>18.421487603305785</v>
      </c>
    </row>
    <row r="51" spans="1:26" s="24" customFormat="1" hidden="1" outlineLevel="1" x14ac:dyDescent="0.25">
      <c r="A51" s="44"/>
      <c r="B51" s="11" t="str">
        <f>CONCATENATE("          ", "5583", " - ", "FREIGHT-IN-COMPUTER EQUIPMENT")</f>
        <v xml:space="preserve">          5583 - FREIGHT-IN-COMPUTER EQUIPMENT</v>
      </c>
      <c r="C51" s="11"/>
      <c r="D51" s="2">
        <v>51.78</v>
      </c>
      <c r="E51" s="2"/>
      <c r="F51" s="19">
        <f t="shared" si="7"/>
        <v>2.9958897642168791E-4</v>
      </c>
      <c r="G51" s="2"/>
      <c r="H51" s="2"/>
      <c r="I51" s="2"/>
      <c r="J51" s="19">
        <f t="shared" si="8"/>
        <v>0</v>
      </c>
      <c r="K51" s="2"/>
      <c r="L51" s="2">
        <f t="shared" si="9"/>
        <v>51.78</v>
      </c>
      <c r="M51" s="2"/>
      <c r="N51" s="19">
        <f t="shared" si="10"/>
        <v>0</v>
      </c>
      <c r="O51" s="11"/>
      <c r="P51" s="2">
        <v>225.17</v>
      </c>
      <c r="Q51" s="2"/>
      <c r="R51" s="19">
        <f t="shared" si="11"/>
        <v>1.9819182548190951E-4</v>
      </c>
      <c r="S51" s="2"/>
      <c r="T51" s="2">
        <v>41</v>
      </c>
      <c r="U51" s="2"/>
      <c r="V51" s="19">
        <f t="shared" si="12"/>
        <v>3.0633482486016197E-5</v>
      </c>
      <c r="W51" s="2"/>
      <c r="X51" s="2">
        <f t="shared" si="13"/>
        <v>184.17</v>
      </c>
      <c r="Y51" s="2"/>
      <c r="Z51" s="19">
        <f t="shared" si="14"/>
        <v>4.4919512195121944</v>
      </c>
    </row>
    <row r="52" spans="1:26" s="24" customFormat="1" hidden="1" outlineLevel="1" x14ac:dyDescent="0.25">
      <c r="A52" s="44"/>
      <c r="B52" s="11" t="str">
        <f>CONCATENATE("          ", "5586", " - ", "FREIGHT-IN-COMPUTER SUPPLIES")</f>
        <v xml:space="preserve">          5586 - FREIGHT-IN-COMPUTER SUPPLIES</v>
      </c>
      <c r="C52" s="11"/>
      <c r="D52" s="2"/>
      <c r="E52" s="2"/>
      <c r="F52" s="19">
        <f t="shared" si="7"/>
        <v>0</v>
      </c>
      <c r="G52" s="2"/>
      <c r="H52" s="2">
        <v>60.12</v>
      </c>
      <c r="I52" s="2"/>
      <c r="J52" s="19">
        <f t="shared" si="8"/>
        <v>4.1114236850829986E-4</v>
      </c>
      <c r="K52" s="2"/>
      <c r="L52" s="2">
        <f t="shared" si="9"/>
        <v>-60.12</v>
      </c>
      <c r="M52" s="2"/>
      <c r="N52" s="19">
        <f t="shared" si="10"/>
        <v>-1</v>
      </c>
      <c r="O52" s="11"/>
      <c r="P52" s="2">
        <v>24.12</v>
      </c>
      <c r="Q52" s="2"/>
      <c r="R52" s="19">
        <f t="shared" si="11"/>
        <v>2.1230123154166442E-5</v>
      </c>
      <c r="S52" s="2"/>
      <c r="T52" s="2">
        <v>162.51</v>
      </c>
      <c r="U52" s="2"/>
      <c r="V52" s="19">
        <f t="shared" si="12"/>
        <v>1.214206643610364E-4</v>
      </c>
      <c r="W52" s="2"/>
      <c r="X52" s="2">
        <f t="shared" si="13"/>
        <v>-138.38999999999999</v>
      </c>
      <c r="Y52" s="2"/>
      <c r="Z52" s="19">
        <f t="shared" si="14"/>
        <v>-0.85157836440834411</v>
      </c>
    </row>
    <row r="53" spans="1:26" x14ac:dyDescent="0.25">
      <c r="A53" s="9"/>
      <c r="B53" s="10"/>
      <c r="C53" s="10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O53" s="10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s="23" customFormat="1" x14ac:dyDescent="0.25">
      <c r="A54" s="10"/>
      <c r="B54" s="25" t="s">
        <v>6</v>
      </c>
      <c r="C54" s="25"/>
      <c r="D54" s="20">
        <f>D12-D39</f>
        <v>16113.800000000047</v>
      </c>
      <c r="E54" s="13"/>
      <c r="F54" s="21">
        <f>IF(D$12=0,0,D54/D$12)</f>
        <v>9.3231302592966553E-2</v>
      </c>
      <c r="G54" s="13"/>
      <c r="H54" s="20">
        <f>H12-H39</f>
        <v>22305.870000000039</v>
      </c>
      <c r="I54" s="13"/>
      <c r="J54" s="21">
        <f>IF(H$12=0,0,H54/H$12)</f>
        <v>0.15254305095539333</v>
      </c>
      <c r="K54" s="15"/>
      <c r="L54" s="20">
        <f>+D54-H54</f>
        <v>-6192.0699999999924</v>
      </c>
      <c r="M54" s="15"/>
      <c r="N54" s="21">
        <f>IF(H54=0,0,L54/H54)</f>
        <v>-0.27759822862771016</v>
      </c>
      <c r="O54" s="26"/>
      <c r="P54" s="20">
        <f>P12-P39</f>
        <v>54846.529999999795</v>
      </c>
      <c r="Q54" s="13"/>
      <c r="R54" s="21">
        <f>IF(P$12=0,0,P54/P$12)</f>
        <v>4.8275231611885572E-2</v>
      </c>
      <c r="S54" s="13"/>
      <c r="T54" s="20">
        <f>T12-T39</f>
        <v>138323.79999999958</v>
      </c>
      <c r="U54" s="13"/>
      <c r="V54" s="21">
        <f>IF(T$12=0,0,T54/T$12)</f>
        <v>0.1033497488951023</v>
      </c>
      <c r="W54" s="15"/>
      <c r="X54" s="20">
        <f>+P54-T54</f>
        <v>-83477.269999999786</v>
      </c>
      <c r="Y54" s="15"/>
      <c r="Z54" s="21">
        <f>IF(T54=0,0,X54/T54)</f>
        <v>-0.60349173461110839</v>
      </c>
    </row>
    <row r="55" spans="1:26" x14ac:dyDescent="0.25">
      <c r="A55" s="9"/>
      <c r="B55" s="10"/>
      <c r="C55" s="9"/>
      <c r="D55" s="1"/>
      <c r="E55" s="1"/>
      <c r="F55" s="5"/>
      <c r="G55" s="1"/>
      <c r="H55" s="1"/>
      <c r="I55" s="1"/>
      <c r="J55" s="5"/>
      <c r="K55" s="1"/>
      <c r="L55" s="1"/>
      <c r="M55" s="1"/>
      <c r="N55" s="5"/>
      <c r="O55" s="37"/>
      <c r="P55" s="1"/>
      <c r="Q55" s="1"/>
      <c r="R55" s="5"/>
      <c r="S55" s="1"/>
      <c r="T55" s="1"/>
      <c r="U55" s="1"/>
      <c r="V55" s="5"/>
      <c r="W55" s="1"/>
      <c r="X55" s="1"/>
      <c r="Y55" s="1"/>
      <c r="Z55" s="5"/>
    </row>
    <row r="56" spans="1:26" s="23" customFormat="1" x14ac:dyDescent="0.25">
      <c r="A56" s="10"/>
      <c r="B56" s="26" t="s">
        <v>9</v>
      </c>
      <c r="C56" s="10"/>
      <c r="D56" s="22">
        <f>SUM(OSRRefD22x_0)</f>
        <v>14663.089999999998</v>
      </c>
      <c r="E56" s="22"/>
      <c r="F56" s="36">
        <f t="shared" ref="F56:F66" si="15">IF(D$12=0,0,D56/D$12)</f>
        <v>8.4837777602917872E-2</v>
      </c>
      <c r="G56" s="22"/>
      <c r="H56" s="22">
        <f>SUM(OSRRefH22x_0)</f>
        <v>17525.629999999997</v>
      </c>
      <c r="I56" s="22"/>
      <c r="J56" s="36">
        <f t="shared" ref="J56:J66" si="16">IF(H$12=0,0,H56/H$12)</f>
        <v>0.11985244557219087</v>
      </c>
      <c r="K56" s="4"/>
      <c r="L56" s="22">
        <f t="shared" ref="L56:L66" si="17">+D56-H56</f>
        <v>-2862.5399999999991</v>
      </c>
      <c r="M56" s="4"/>
      <c r="N56" s="36">
        <f t="shared" ref="N56:N66" si="18">IF(H56=0,0,L56/H56)</f>
        <v>-0.16333449924482027</v>
      </c>
      <c r="O56" s="10"/>
      <c r="P56" s="22">
        <f>SUM(OSRRefP22x_0)</f>
        <v>53904.79</v>
      </c>
      <c r="Q56" s="22"/>
      <c r="R56" s="36">
        <f t="shared" ref="R56:R66" si="19">IF(P$12=0,0,P56/P$12)</f>
        <v>4.7446323810094518E-2</v>
      </c>
      <c r="S56" s="22"/>
      <c r="T56" s="22">
        <f>SUM(OSRRefT22x_0)</f>
        <v>119718.84999999999</v>
      </c>
      <c r="U56" s="22"/>
      <c r="V56" s="36">
        <f t="shared" ref="V56:V66" si="20">IF(T$12=0,0,T56/T$12)</f>
        <v>8.9448909627341464E-2</v>
      </c>
      <c r="W56" s="4"/>
      <c r="X56" s="22">
        <f t="shared" ref="X56:X66" si="21">+P56-T56</f>
        <v>-65814.06</v>
      </c>
      <c r="Y56" s="4"/>
      <c r="Z56" s="36">
        <f t="shared" ref="Z56:Z66" si="22">IF(T56=0,0,X56/T56)</f>
        <v>-0.54973849147398257</v>
      </c>
    </row>
    <row r="57" spans="1:26" s="29" customFormat="1" outlineLevel="1" collapsed="1" x14ac:dyDescent="0.25">
      <c r="A57" s="27"/>
      <c r="B57" s="14" t="str">
        <f>CONCATENATE("     ","*Benefits                                         ")</f>
        <v xml:space="preserve">     *Benefits                                         </v>
      </c>
      <c r="C57" s="14"/>
      <c r="D57" s="1">
        <f>SUM(OSRRefD22_0x_0)</f>
        <v>3471.1499999999996</v>
      </c>
      <c r="E57" s="1"/>
      <c r="F57" s="5">
        <f t="shared" si="15"/>
        <v>2.0083396591466626E-2</v>
      </c>
      <c r="G57" s="1"/>
      <c r="H57" s="1">
        <f>SUM(OSRRefH22_0x_0)</f>
        <v>3367.3299999999995</v>
      </c>
      <c r="I57" s="1"/>
      <c r="J57" s="5">
        <f t="shared" si="16"/>
        <v>2.3028144240669551E-2</v>
      </c>
      <c r="K57" s="1"/>
      <c r="L57" s="1">
        <f t="shared" si="17"/>
        <v>103.82000000000016</v>
      </c>
      <c r="M57" s="1"/>
      <c r="N57" s="5">
        <f t="shared" si="18"/>
        <v>3.0831549031428516E-2</v>
      </c>
      <c r="O57" s="14"/>
      <c r="P57" s="1">
        <f>SUM(OSRRefP22_0x_0)</f>
        <v>11959.910000000002</v>
      </c>
      <c r="Q57" s="1"/>
      <c r="R57" s="5">
        <f t="shared" si="19"/>
        <v>1.0526963607493649E-2</v>
      </c>
      <c r="S57" s="1"/>
      <c r="T57" s="1">
        <f>SUM(OSRRefT22_0x_0)</f>
        <v>12276.279999999999</v>
      </c>
      <c r="U57" s="1"/>
      <c r="V57" s="5">
        <f t="shared" si="20"/>
        <v>9.1723221554495336E-3</v>
      </c>
      <c r="W57" s="1"/>
      <c r="X57" s="1">
        <f t="shared" si="21"/>
        <v>-316.36999999999716</v>
      </c>
      <c r="Y57" s="1"/>
      <c r="Z57" s="5">
        <f t="shared" si="22"/>
        <v>-2.5770836116478055E-2</v>
      </c>
    </row>
    <row r="58" spans="1:26" s="24" customFormat="1" hidden="1" outlineLevel="2" x14ac:dyDescent="0.25">
      <c r="A58" s="28"/>
      <c r="B58" s="11" t="str">
        <f>CONCATENATE("          ", "6111", " - ", "F.I.C.A.")</f>
        <v xml:space="preserve">          6111 - F.I.C.A.</v>
      </c>
      <c r="C58" s="11"/>
      <c r="D58" s="6">
        <v>929.65</v>
      </c>
      <c r="E58" s="2"/>
      <c r="F58" s="7">
        <f t="shared" si="15"/>
        <v>5.3787735019394005E-3</v>
      </c>
      <c r="G58" s="2"/>
      <c r="H58" s="6">
        <v>1360.46</v>
      </c>
      <c r="I58" s="2"/>
      <c r="J58" s="7">
        <f t="shared" si="16"/>
        <v>9.3037715678776067E-3</v>
      </c>
      <c r="K58" s="2"/>
      <c r="L58" s="6">
        <f t="shared" si="17"/>
        <v>-430.81000000000006</v>
      </c>
      <c r="M58" s="2"/>
      <c r="N58" s="7">
        <f t="shared" si="18"/>
        <v>-0.31666495156050162</v>
      </c>
      <c r="O58" s="11"/>
      <c r="P58" s="6">
        <v>2499.0100000000002</v>
      </c>
      <c r="Q58" s="2"/>
      <c r="R58" s="7">
        <f t="shared" si="19"/>
        <v>2.199597432151471E-3</v>
      </c>
      <c r="S58" s="2"/>
      <c r="T58" s="6">
        <v>3135.16</v>
      </c>
      <c r="U58" s="2"/>
      <c r="V58" s="7">
        <f t="shared" si="20"/>
        <v>2.342460218313623E-3</v>
      </c>
      <c r="W58" s="2"/>
      <c r="X58" s="6">
        <f t="shared" si="21"/>
        <v>-636.14999999999964</v>
      </c>
      <c r="Y58" s="2"/>
      <c r="Z58" s="7">
        <f t="shared" si="22"/>
        <v>-0.20290830452034336</v>
      </c>
    </row>
    <row r="59" spans="1:26" s="24" customFormat="1" hidden="1" outlineLevel="2" x14ac:dyDescent="0.25">
      <c r="A59" s="28"/>
      <c r="B59" s="11" t="str">
        <f>CONCATENATE("          ", "6112", " - ", "COMPENSATION INSURANCE")</f>
        <v xml:space="preserve">          6112 - COMPENSATION INSURANCE</v>
      </c>
      <c r="C59" s="11"/>
      <c r="D59" s="6">
        <v>156.43</v>
      </c>
      <c r="E59" s="2"/>
      <c r="F59" s="7">
        <f t="shared" si="15"/>
        <v>9.0507345657869136E-4</v>
      </c>
      <c r="G59" s="2"/>
      <c r="H59" s="6">
        <v>47.99</v>
      </c>
      <c r="I59" s="2"/>
      <c r="J59" s="7">
        <f t="shared" si="16"/>
        <v>3.2818899309237047E-4</v>
      </c>
      <c r="K59" s="2"/>
      <c r="L59" s="6">
        <f t="shared" si="17"/>
        <v>108.44</v>
      </c>
      <c r="M59" s="2"/>
      <c r="N59" s="7">
        <f t="shared" si="18"/>
        <v>2.2596374244634299</v>
      </c>
      <c r="O59" s="11"/>
      <c r="P59" s="6">
        <v>468.93</v>
      </c>
      <c r="Q59" s="2"/>
      <c r="R59" s="7">
        <f t="shared" si="19"/>
        <v>4.1274633709300457E-4</v>
      </c>
      <c r="S59" s="2"/>
      <c r="T59" s="6">
        <v>511.56</v>
      </c>
      <c r="U59" s="2"/>
      <c r="V59" s="7">
        <f t="shared" si="20"/>
        <v>3.8221620245235236E-4</v>
      </c>
      <c r="W59" s="2"/>
      <c r="X59" s="6">
        <f t="shared" si="21"/>
        <v>-42.629999999999995</v>
      </c>
      <c r="Y59" s="2"/>
      <c r="Z59" s="7">
        <f t="shared" si="22"/>
        <v>-8.3333333333333329E-2</v>
      </c>
    </row>
    <row r="60" spans="1:26" s="24" customFormat="1" hidden="1" outlineLevel="2" x14ac:dyDescent="0.25">
      <c r="A60" s="28"/>
      <c r="B60" s="11" t="str">
        <f>CONCATENATE("          ", "6113", " - ", "GROUP INSURANCE")</f>
        <v xml:space="preserve">          6113 - GROUP INSURANCE</v>
      </c>
      <c r="C60" s="11"/>
      <c r="D60" s="6">
        <v>1035.69</v>
      </c>
      <c r="E60" s="2"/>
      <c r="F60" s="7">
        <f t="shared" si="15"/>
        <v>5.992300250872498E-3</v>
      </c>
      <c r="G60" s="2"/>
      <c r="H60" s="6">
        <v>964.88</v>
      </c>
      <c r="I60" s="2"/>
      <c r="J60" s="7">
        <f t="shared" si="16"/>
        <v>6.5985204345690024E-3</v>
      </c>
      <c r="K60" s="2"/>
      <c r="L60" s="6">
        <f t="shared" si="17"/>
        <v>70.810000000000059</v>
      </c>
      <c r="M60" s="2"/>
      <c r="N60" s="7">
        <f t="shared" si="18"/>
        <v>7.3387364231821642E-2</v>
      </c>
      <c r="O60" s="11"/>
      <c r="P60" s="6">
        <v>4142.76</v>
      </c>
      <c r="Q60" s="2"/>
      <c r="R60" s="7">
        <f t="shared" si="19"/>
        <v>3.6464056798571551E-3</v>
      </c>
      <c r="S60" s="2"/>
      <c r="T60" s="6">
        <v>3859.52</v>
      </c>
      <c r="U60" s="2"/>
      <c r="V60" s="7">
        <f t="shared" si="20"/>
        <v>2.8836716664494937E-3</v>
      </c>
      <c r="W60" s="2"/>
      <c r="X60" s="6">
        <f t="shared" si="21"/>
        <v>283.24000000000024</v>
      </c>
      <c r="Y60" s="2"/>
      <c r="Z60" s="7">
        <f t="shared" si="22"/>
        <v>7.3387364231821642E-2</v>
      </c>
    </row>
    <row r="61" spans="1:26" s="24" customFormat="1" hidden="1" outlineLevel="2" x14ac:dyDescent="0.25">
      <c r="A61" s="28"/>
      <c r="B61" s="11" t="str">
        <f>CONCATENATE("          ", "6114", " - ", "STATE UNEMPLOYMENT INSURANCE")</f>
        <v xml:space="preserve">          6114 - STATE UNEMPLOYMENT INSURANCE</v>
      </c>
      <c r="C61" s="11"/>
      <c r="D61" s="6">
        <v>21.98</v>
      </c>
      <c r="E61" s="2"/>
      <c r="F61" s="7">
        <f t="shared" si="15"/>
        <v>1.2717199115003282E-4</v>
      </c>
      <c r="G61" s="2"/>
      <c r="H61" s="6">
        <v>32.96</v>
      </c>
      <c r="I61" s="2"/>
      <c r="J61" s="7">
        <f t="shared" si="16"/>
        <v>2.254034009652955E-4</v>
      </c>
      <c r="K61" s="2"/>
      <c r="L61" s="6">
        <f t="shared" si="17"/>
        <v>-10.98</v>
      </c>
      <c r="M61" s="2"/>
      <c r="N61" s="7">
        <f t="shared" si="18"/>
        <v>-0.33313106796116504</v>
      </c>
      <c r="O61" s="11"/>
      <c r="P61" s="6">
        <v>80.599999999999994</v>
      </c>
      <c r="Q61" s="2"/>
      <c r="R61" s="7">
        <f t="shared" si="19"/>
        <v>7.0943114685979072E-5</v>
      </c>
      <c r="S61" s="2"/>
      <c r="T61" s="6">
        <v>96.4</v>
      </c>
      <c r="U61" s="2"/>
      <c r="V61" s="7">
        <f t="shared" si="20"/>
        <v>7.202604174760882E-5</v>
      </c>
      <c r="W61" s="2"/>
      <c r="X61" s="6">
        <f t="shared" si="21"/>
        <v>-15.800000000000011</v>
      </c>
      <c r="Y61" s="2"/>
      <c r="Z61" s="7">
        <f t="shared" si="22"/>
        <v>-0.16390041493775945</v>
      </c>
    </row>
    <row r="62" spans="1:26" s="24" customFormat="1" hidden="1" outlineLevel="2" x14ac:dyDescent="0.25">
      <c r="A62" s="28"/>
      <c r="B62" s="11" t="str">
        <f>CONCATENATE("          ", "6115", " - ", "P.E.R.S.")</f>
        <v xml:space="preserve">          6115 - P.E.R.S.</v>
      </c>
      <c r="C62" s="11"/>
      <c r="D62" s="6">
        <v>176.42</v>
      </c>
      <c r="E62" s="2"/>
      <c r="F62" s="7">
        <f t="shared" si="15"/>
        <v>1.0207316960276975E-3</v>
      </c>
      <c r="G62" s="2"/>
      <c r="H62" s="6">
        <v>196.25</v>
      </c>
      <c r="I62" s="2"/>
      <c r="J62" s="7">
        <f t="shared" si="16"/>
        <v>1.342093975711142E-3</v>
      </c>
      <c r="K62" s="2"/>
      <c r="L62" s="6">
        <f t="shared" si="17"/>
        <v>-19.830000000000013</v>
      </c>
      <c r="M62" s="2"/>
      <c r="N62" s="7">
        <f t="shared" si="18"/>
        <v>-0.10104458598726121</v>
      </c>
      <c r="O62" s="11"/>
      <c r="P62" s="6">
        <v>793.89</v>
      </c>
      <c r="Q62" s="2"/>
      <c r="R62" s="7">
        <f t="shared" si="19"/>
        <v>6.9877207590635147E-4</v>
      </c>
      <c r="S62" s="2"/>
      <c r="T62" s="6">
        <v>759.3</v>
      </c>
      <c r="U62" s="2"/>
      <c r="V62" s="7">
        <f t="shared" si="20"/>
        <v>5.6731715247883166E-4</v>
      </c>
      <c r="W62" s="2"/>
      <c r="X62" s="6">
        <f t="shared" si="21"/>
        <v>34.590000000000032</v>
      </c>
      <c r="Y62" s="2"/>
      <c r="Z62" s="7">
        <f t="shared" si="22"/>
        <v>4.5555116554721498E-2</v>
      </c>
    </row>
    <row r="63" spans="1:26" s="24" customFormat="1" hidden="1" outlineLevel="2" x14ac:dyDescent="0.25">
      <c r="A63" s="28"/>
      <c r="B63" s="11" t="str">
        <f>CONCATENATE("          ", "6117", " - ", "RETIREMENT STAFF HOURLY")</f>
        <v xml:space="preserve">          6117 - RETIREMENT STAFF HOURLY</v>
      </c>
      <c r="C63" s="11"/>
      <c r="D63" s="6">
        <v>155.75</v>
      </c>
      <c r="E63" s="2"/>
      <c r="F63" s="7">
        <f t="shared" si="15"/>
        <v>9.0113910926376765E-4</v>
      </c>
      <c r="G63" s="2"/>
      <c r="H63" s="6">
        <v>146.69999999999999</v>
      </c>
      <c r="I63" s="2"/>
      <c r="J63" s="7">
        <f t="shared" si="16"/>
        <v>1.0032366177672586E-3</v>
      </c>
      <c r="K63" s="2"/>
      <c r="L63" s="6">
        <f t="shared" si="17"/>
        <v>9.0500000000000114</v>
      </c>
      <c r="M63" s="2"/>
      <c r="N63" s="7">
        <f t="shared" si="18"/>
        <v>6.1690524880709009E-2</v>
      </c>
      <c r="O63" s="11"/>
      <c r="P63" s="6">
        <v>779.56</v>
      </c>
      <c r="Q63" s="2"/>
      <c r="R63" s="7">
        <f t="shared" si="19"/>
        <v>6.8615898864270272E-4</v>
      </c>
      <c r="S63" s="2"/>
      <c r="T63" s="6">
        <v>698.75</v>
      </c>
      <c r="U63" s="2"/>
      <c r="V63" s="7">
        <f t="shared" si="20"/>
        <v>5.2207672895375164E-4</v>
      </c>
      <c r="W63" s="2"/>
      <c r="X63" s="6">
        <f t="shared" si="21"/>
        <v>80.809999999999945</v>
      </c>
      <c r="Y63" s="2"/>
      <c r="Z63" s="7">
        <f t="shared" si="22"/>
        <v>0.11564937388193194</v>
      </c>
    </row>
    <row r="64" spans="1:26" s="24" customFormat="1" hidden="1" outlineLevel="2" x14ac:dyDescent="0.25">
      <c r="A64" s="28"/>
      <c r="B64" s="11" t="str">
        <f>CONCATENATE("          ", "6118", " - ", "VACATION")</f>
        <v xml:space="preserve">          6118 - VACATION</v>
      </c>
      <c r="C64" s="11"/>
      <c r="D64" s="6">
        <v>386.7</v>
      </c>
      <c r="E64" s="2"/>
      <c r="F64" s="7">
        <f t="shared" si="15"/>
        <v>2.2373707451190943E-3</v>
      </c>
      <c r="G64" s="2"/>
      <c r="H64" s="6">
        <v>253.74</v>
      </c>
      <c r="I64" s="2"/>
      <c r="J64" s="7">
        <f t="shared" si="16"/>
        <v>1.7352505752710583E-3</v>
      </c>
      <c r="K64" s="2"/>
      <c r="L64" s="6">
        <f t="shared" si="17"/>
        <v>132.95999999999998</v>
      </c>
      <c r="M64" s="2"/>
      <c r="N64" s="7">
        <f t="shared" si="18"/>
        <v>0.52400094585008261</v>
      </c>
      <c r="O64" s="11"/>
      <c r="P64" s="6">
        <v>1160.0999999999999</v>
      </c>
      <c r="Q64" s="2"/>
      <c r="R64" s="7">
        <f t="shared" si="19"/>
        <v>1.0211055502134532E-3</v>
      </c>
      <c r="S64" s="2"/>
      <c r="T64" s="6">
        <v>1291.01</v>
      </c>
      <c r="U64" s="2"/>
      <c r="V64" s="7">
        <f t="shared" si="20"/>
        <v>9.6458859083589686E-4</v>
      </c>
      <c r="W64" s="2"/>
      <c r="X64" s="6">
        <f t="shared" si="21"/>
        <v>-130.91000000000008</v>
      </c>
      <c r="Y64" s="2"/>
      <c r="Z64" s="7">
        <f t="shared" si="22"/>
        <v>-0.10140122849551908</v>
      </c>
    </row>
    <row r="65" spans="1:26" s="24" customFormat="1" hidden="1" outlineLevel="2" x14ac:dyDescent="0.25">
      <c r="A65" s="28"/>
      <c r="B65" s="11" t="str">
        <f>CONCATENATE("          ", "6119", " - ", "SICK LEAVE")</f>
        <v xml:space="preserve">          6119 - SICK LEAVE</v>
      </c>
      <c r="C65" s="11"/>
      <c r="D65" s="6">
        <v>384.85</v>
      </c>
      <c r="E65" s="2"/>
      <c r="F65" s="7">
        <f t="shared" si="15"/>
        <v>2.2266670061005522E-3</v>
      </c>
      <c r="G65" s="2"/>
      <c r="H65" s="6">
        <v>194.37</v>
      </c>
      <c r="I65" s="2"/>
      <c r="J65" s="7">
        <f t="shared" si="16"/>
        <v>1.3292372283259855E-3</v>
      </c>
      <c r="K65" s="2"/>
      <c r="L65" s="6">
        <f t="shared" si="17"/>
        <v>190.48000000000002</v>
      </c>
      <c r="M65" s="2"/>
      <c r="N65" s="7">
        <f t="shared" si="18"/>
        <v>0.979986623450121</v>
      </c>
      <c r="O65" s="11"/>
      <c r="P65" s="6">
        <v>1154.56</v>
      </c>
      <c r="Q65" s="2"/>
      <c r="R65" s="7">
        <f t="shared" si="19"/>
        <v>1.0162293113132009E-3</v>
      </c>
      <c r="S65" s="2"/>
      <c r="T65" s="6">
        <v>1280.4000000000001</v>
      </c>
      <c r="U65" s="2"/>
      <c r="V65" s="7">
        <f t="shared" si="20"/>
        <v>9.5666124329500354E-4</v>
      </c>
      <c r="W65" s="2"/>
      <c r="X65" s="6">
        <f t="shared" si="21"/>
        <v>-125.84000000000015</v>
      </c>
      <c r="Y65" s="2"/>
      <c r="Z65" s="7">
        <f t="shared" si="22"/>
        <v>-9.8281786941580865E-2</v>
      </c>
    </row>
    <row r="66" spans="1:26" s="24" customFormat="1" hidden="1" outlineLevel="2" x14ac:dyDescent="0.25">
      <c r="A66" s="28"/>
      <c r="B66" s="11" t="str">
        <f>CONCATENATE("          ", "6156", " - ", "EMPLOYEE MEALS")</f>
        <v xml:space="preserve">          6156 - EMPLOYEE MEALS</v>
      </c>
      <c r="C66" s="11"/>
      <c r="D66" s="6">
        <v>223.68</v>
      </c>
      <c r="E66" s="2"/>
      <c r="F66" s="7">
        <f t="shared" si="15"/>
        <v>1.2941688344148929E-3</v>
      </c>
      <c r="G66" s="2"/>
      <c r="H66" s="6">
        <v>169.98</v>
      </c>
      <c r="I66" s="2"/>
      <c r="J66" s="7">
        <f t="shared" si="16"/>
        <v>1.1624414470898339E-3</v>
      </c>
      <c r="K66" s="2"/>
      <c r="L66" s="6">
        <f t="shared" si="17"/>
        <v>53.700000000000017</v>
      </c>
      <c r="M66" s="2"/>
      <c r="N66" s="7">
        <f t="shared" si="18"/>
        <v>0.31591951994352291</v>
      </c>
      <c r="O66" s="11"/>
      <c r="P66" s="6">
        <v>880.5</v>
      </c>
      <c r="Q66" s="2"/>
      <c r="R66" s="7">
        <f t="shared" si="19"/>
        <v>7.7500511763032968E-4</v>
      </c>
      <c r="S66" s="2"/>
      <c r="T66" s="6">
        <v>644.17999999999995</v>
      </c>
      <c r="U66" s="2"/>
      <c r="V66" s="7">
        <f t="shared" si="20"/>
        <v>4.8130431092297351E-4</v>
      </c>
      <c r="W66" s="2"/>
      <c r="X66" s="6">
        <f t="shared" si="21"/>
        <v>236.32000000000005</v>
      </c>
      <c r="Y66" s="2"/>
      <c r="Z66" s="7">
        <f t="shared" si="22"/>
        <v>0.36685398491104981</v>
      </c>
    </row>
    <row r="67" spans="1:26" s="29" customFormat="1" outlineLevel="1" collapsed="1" x14ac:dyDescent="0.25">
      <c r="A67" s="27"/>
      <c r="B67" s="14" t="str">
        <f>CONCATENATE("     ","*Payroll                                          ")</f>
        <v xml:space="preserve">     *Payroll                                          </v>
      </c>
      <c r="C67" s="14"/>
      <c r="D67" s="1">
        <f>SUM(OSRRefD22_1x_0)</f>
        <v>8904.4</v>
      </c>
      <c r="E67" s="1"/>
      <c r="F67" s="5">
        <f t="shared" ref="F67:F72" si="23">IF(D$12=0,0,D67/D$12)</f>
        <v>5.151912092795051E-2</v>
      </c>
      <c r="G67" s="1"/>
      <c r="H67" s="1">
        <f>SUM(OSRRefH22_1x_0)</f>
        <v>11582.32</v>
      </c>
      <c r="I67" s="1"/>
      <c r="J67" s="5">
        <f t="shared" ref="J67:J72" si="24">IF(H$12=0,0,H67/H$12)</f>
        <v>7.9207958709598333E-2</v>
      </c>
      <c r="K67" s="1"/>
      <c r="L67" s="1">
        <f t="shared" ref="L67:L72" si="25">+D67-H67</f>
        <v>-2677.92</v>
      </c>
      <c r="M67" s="1"/>
      <c r="N67" s="5">
        <f t="shared" ref="N67:N72" si="26">IF(H67=0,0,L67/H67)</f>
        <v>-0.23120756463299236</v>
      </c>
      <c r="O67" s="14"/>
      <c r="P67" s="1">
        <f>SUM(OSRRefP22_1x_0)</f>
        <v>32163.57</v>
      </c>
      <c r="Q67" s="1"/>
      <c r="R67" s="5">
        <f t="shared" ref="R67:R72" si="27">IF(P$12=0,0,P67/P$12)</f>
        <v>2.8309973141693746E-2</v>
      </c>
      <c r="S67" s="1"/>
      <c r="T67" s="1">
        <f>SUM(OSRRefT22_1x_0)</f>
        <v>39094.380000000005</v>
      </c>
      <c r="U67" s="1"/>
      <c r="V67" s="5">
        <f t="shared" ref="V67:V72" si="28">IF(T$12=0,0,T67/T$12)</f>
        <v>2.9209683049552734E-2</v>
      </c>
      <c r="W67" s="1"/>
      <c r="X67" s="1">
        <f t="shared" ref="X67:X72" si="29">+P67-T67</f>
        <v>-6930.8100000000049</v>
      </c>
      <c r="Y67" s="1"/>
      <c r="Z67" s="5">
        <f t="shared" ref="Z67:Z72" si="30">IF(T67=0,0,X67/T67)</f>
        <v>-0.17728404952323082</v>
      </c>
    </row>
    <row r="68" spans="1:26" s="24" customFormat="1" hidden="1" outlineLevel="2" x14ac:dyDescent="0.25">
      <c r="A68" s="28"/>
      <c r="B68" s="11" t="str">
        <f>CONCATENATE("          ", "6002", " - ", "STAFF SALARIES")</f>
        <v xml:space="preserve">          6002 - STAFF SALARIES</v>
      </c>
      <c r="C68" s="11"/>
      <c r="D68" s="6">
        <v>2395.9899999999998</v>
      </c>
      <c r="E68" s="2"/>
      <c r="F68" s="7">
        <f t="shared" si="23"/>
        <v>1.3862730622182308E-2</v>
      </c>
      <c r="G68" s="2"/>
      <c r="H68" s="6">
        <v>3231.38</v>
      </c>
      <c r="I68" s="2"/>
      <c r="J68" s="7">
        <f t="shared" si="24"/>
        <v>2.2098423598641885E-2</v>
      </c>
      <c r="K68" s="2"/>
      <c r="L68" s="6">
        <f t="shared" si="25"/>
        <v>-835.39000000000033</v>
      </c>
      <c r="M68" s="2"/>
      <c r="N68" s="7">
        <f t="shared" si="26"/>
        <v>-0.25852422184948853</v>
      </c>
      <c r="O68" s="11"/>
      <c r="P68" s="6">
        <v>9357.43</v>
      </c>
      <c r="Q68" s="2"/>
      <c r="R68" s="7">
        <f t="shared" si="27"/>
        <v>8.2362931719109321E-3</v>
      </c>
      <c r="S68" s="2"/>
      <c r="T68" s="6">
        <v>11863.02</v>
      </c>
      <c r="U68" s="2"/>
      <c r="V68" s="7">
        <f t="shared" si="28"/>
        <v>8.8635515951526796E-3</v>
      </c>
      <c r="W68" s="2"/>
      <c r="X68" s="6">
        <f t="shared" si="29"/>
        <v>-2505.59</v>
      </c>
      <c r="Y68" s="2"/>
      <c r="Z68" s="7">
        <f t="shared" si="30"/>
        <v>-0.21121013030408783</v>
      </c>
    </row>
    <row r="69" spans="1:26" s="24" customFormat="1" hidden="1" outlineLevel="2" x14ac:dyDescent="0.25">
      <c r="A69" s="28"/>
      <c r="B69" s="11" t="str">
        <f>CONCATENATE("          ", "6004", " - ", "STAFF HOURLY")</f>
        <v xml:space="preserve">          6004 - STAFF HOURLY</v>
      </c>
      <c r="C69" s="11"/>
      <c r="D69" s="6">
        <v>3871.43</v>
      </c>
      <c r="E69" s="2"/>
      <c r="F69" s="7">
        <f t="shared" si="23"/>
        <v>2.2399338566786695E-2</v>
      </c>
      <c r="G69" s="2"/>
      <c r="H69" s="6"/>
      <c r="I69" s="2"/>
      <c r="J69" s="7">
        <f t="shared" si="24"/>
        <v>0</v>
      </c>
      <c r="K69" s="2"/>
      <c r="L69" s="6">
        <f t="shared" si="25"/>
        <v>3871.43</v>
      </c>
      <c r="M69" s="2"/>
      <c r="N69" s="7">
        <f t="shared" si="26"/>
        <v>0</v>
      </c>
      <c r="O69" s="11"/>
      <c r="P69" s="6">
        <v>14420.64</v>
      </c>
      <c r="Q69" s="2"/>
      <c r="R69" s="7">
        <f t="shared" si="27"/>
        <v>1.2692867461106913E-2</v>
      </c>
      <c r="S69" s="2"/>
      <c r="T69" s="6"/>
      <c r="U69" s="2"/>
      <c r="V69" s="7">
        <f t="shared" si="28"/>
        <v>0</v>
      </c>
      <c r="W69" s="2"/>
      <c r="X69" s="6">
        <f t="shared" si="29"/>
        <v>14420.64</v>
      </c>
      <c r="Y69" s="2"/>
      <c r="Z69" s="7">
        <f t="shared" si="30"/>
        <v>0</v>
      </c>
    </row>
    <row r="70" spans="1:26" s="24" customFormat="1" hidden="1" outlineLevel="2" x14ac:dyDescent="0.25">
      <c r="A70" s="28"/>
      <c r="B70" s="11" t="str">
        <f>CONCATENATE("          ", "6005", " - ", "TEMPORARY WAGES-HOURLY")</f>
        <v xml:space="preserve">          6005 - TEMPORARY WAGES-HOURLY</v>
      </c>
      <c r="C70" s="11"/>
      <c r="D70" s="6"/>
      <c r="E70" s="2"/>
      <c r="F70" s="7">
        <f t="shared" si="23"/>
        <v>0</v>
      </c>
      <c r="G70" s="2"/>
      <c r="H70" s="6">
        <v>4770.38</v>
      </c>
      <c r="I70" s="2"/>
      <c r="J70" s="7">
        <f t="shared" si="24"/>
        <v>3.2623175846384293E-2</v>
      </c>
      <c r="K70" s="2"/>
      <c r="L70" s="6">
        <f t="shared" si="25"/>
        <v>-4770.38</v>
      </c>
      <c r="M70" s="2"/>
      <c r="N70" s="7">
        <f t="shared" si="26"/>
        <v>-1</v>
      </c>
      <c r="O70" s="11"/>
      <c r="P70" s="6"/>
      <c r="Q70" s="2"/>
      <c r="R70" s="7">
        <f t="shared" si="27"/>
        <v>0</v>
      </c>
      <c r="S70" s="2"/>
      <c r="T70" s="6">
        <v>14138.52</v>
      </c>
      <c r="U70" s="2"/>
      <c r="V70" s="7">
        <f t="shared" si="28"/>
        <v>1.0563709873126579E-2</v>
      </c>
      <c r="W70" s="2"/>
      <c r="X70" s="6">
        <f t="shared" si="29"/>
        <v>-14138.52</v>
      </c>
      <c r="Y70" s="2"/>
      <c r="Z70" s="7">
        <f t="shared" si="30"/>
        <v>-1</v>
      </c>
    </row>
    <row r="71" spans="1:26" s="24" customFormat="1" hidden="1" outlineLevel="2" x14ac:dyDescent="0.25">
      <c r="A71" s="28"/>
      <c r="B71" s="11" t="str">
        <f>CONCATENATE("          ", "6006", " - ", "TEMPORARY PART TIME")</f>
        <v xml:space="preserve">          6006 - TEMPORARY PART TIME</v>
      </c>
      <c r="C71" s="11"/>
      <c r="D71" s="6"/>
      <c r="E71" s="2"/>
      <c r="F71" s="7">
        <f t="shared" si="23"/>
        <v>0</v>
      </c>
      <c r="G71" s="2"/>
      <c r="H71" s="6">
        <v>1494</v>
      </c>
      <c r="I71" s="2"/>
      <c r="J71" s="7">
        <f t="shared" si="24"/>
        <v>1.0217010953948769E-2</v>
      </c>
      <c r="K71" s="2"/>
      <c r="L71" s="6">
        <f t="shared" si="25"/>
        <v>-1494</v>
      </c>
      <c r="M71" s="2"/>
      <c r="N71" s="7">
        <f t="shared" si="26"/>
        <v>-1</v>
      </c>
      <c r="O71" s="11"/>
      <c r="P71" s="6"/>
      <c r="Q71" s="2"/>
      <c r="R71" s="7">
        <f t="shared" si="27"/>
        <v>0</v>
      </c>
      <c r="S71" s="2"/>
      <c r="T71" s="6">
        <v>6548.16</v>
      </c>
      <c r="U71" s="2"/>
      <c r="V71" s="7">
        <f t="shared" si="28"/>
        <v>4.8925108457471174E-3</v>
      </c>
      <c r="W71" s="2"/>
      <c r="X71" s="6">
        <f t="shared" si="29"/>
        <v>-6548.16</v>
      </c>
      <c r="Y71" s="2"/>
      <c r="Z71" s="7">
        <f t="shared" si="30"/>
        <v>-1</v>
      </c>
    </row>
    <row r="72" spans="1:26" s="24" customFormat="1" hidden="1" outlineLevel="2" x14ac:dyDescent="0.25">
      <c r="A72" s="28"/>
      <c r="B72" s="11" t="str">
        <f>CONCATENATE("          ", "6007", " - ", "STUDENT HOURLY")</f>
        <v xml:space="preserve">          6007 - STUDENT HOURLY</v>
      </c>
      <c r="C72" s="11"/>
      <c r="D72" s="6">
        <v>2636.98</v>
      </c>
      <c r="E72" s="2"/>
      <c r="F72" s="7">
        <f t="shared" si="23"/>
        <v>1.5257051738981509E-2</v>
      </c>
      <c r="G72" s="2"/>
      <c r="H72" s="6">
        <v>2086.56</v>
      </c>
      <c r="I72" s="2"/>
      <c r="J72" s="7">
        <f t="shared" si="24"/>
        <v>1.4269348310623391E-2</v>
      </c>
      <c r="K72" s="2"/>
      <c r="L72" s="6">
        <f t="shared" si="25"/>
        <v>550.42000000000007</v>
      </c>
      <c r="M72" s="2"/>
      <c r="N72" s="7">
        <f t="shared" si="26"/>
        <v>0.26379303734376203</v>
      </c>
      <c r="O72" s="11"/>
      <c r="P72" s="6">
        <v>8385.5</v>
      </c>
      <c r="Q72" s="2"/>
      <c r="R72" s="7">
        <f t="shared" si="27"/>
        <v>7.3808125086758996E-3</v>
      </c>
      <c r="S72" s="2"/>
      <c r="T72" s="6">
        <v>6544.68</v>
      </c>
      <c r="U72" s="2"/>
      <c r="V72" s="7">
        <f t="shared" si="28"/>
        <v>4.8899107355263541E-3</v>
      </c>
      <c r="W72" s="2"/>
      <c r="X72" s="6">
        <f t="shared" si="29"/>
        <v>1840.8199999999997</v>
      </c>
      <c r="Y72" s="2"/>
      <c r="Z72" s="7">
        <f t="shared" si="30"/>
        <v>0.2812696724667974</v>
      </c>
    </row>
    <row r="73" spans="1:26" s="29" customFormat="1" outlineLevel="1" collapsed="1" x14ac:dyDescent="0.25">
      <c r="A73" s="27"/>
      <c r="B73" s="14" t="str">
        <f>CONCATENATE("     ","Advertising/Promo                                 ")</f>
        <v xml:space="preserve">     Advertising/Promo                                 </v>
      </c>
      <c r="C73" s="14"/>
      <c r="D73" s="1">
        <f>SUM(OSRRefD22_2x_0)</f>
        <v>0</v>
      </c>
      <c r="E73" s="1"/>
      <c r="F73" s="5">
        <f t="shared" ref="F73:F81" si="31">IF(D$12=0,0,D73/D$12)</f>
        <v>0</v>
      </c>
      <c r="G73" s="1"/>
      <c r="H73" s="1">
        <f>SUM(OSRRefH22_2x_0)</f>
        <v>419.39</v>
      </c>
      <c r="I73" s="1"/>
      <c r="J73" s="5">
        <f t="shared" ref="J73:J81" si="32">IF(H$12=0,0,H73/H$12)</f>
        <v>2.8680804712025265E-3</v>
      </c>
      <c r="K73" s="1"/>
      <c r="L73" s="1">
        <f t="shared" ref="L73:L81" si="33">+D73-H73</f>
        <v>-419.39</v>
      </c>
      <c r="M73" s="1"/>
      <c r="N73" s="5">
        <f t="shared" ref="N73:N81" si="34">IF(H73=0,0,L73/H73)</f>
        <v>-1</v>
      </c>
      <c r="O73" s="14"/>
      <c r="P73" s="1">
        <f>SUM(OSRRefP22_2x_0)</f>
        <v>248.88</v>
      </c>
      <c r="Q73" s="1"/>
      <c r="R73" s="5">
        <f t="shared" ref="R73:R81" si="35">IF(P$12=0,0,P73/P$12)</f>
        <v>2.1906107174995623E-4</v>
      </c>
      <c r="S73" s="1"/>
      <c r="T73" s="1">
        <f>SUM(OSRRefT22_2x_0)</f>
        <v>1219.79</v>
      </c>
      <c r="U73" s="1"/>
      <c r="V73" s="5">
        <f t="shared" ref="V73:V81" si="36">IF(T$12=0,0,T73/T$12)</f>
        <v>9.1137599028335843E-4</v>
      </c>
      <c r="W73" s="1"/>
      <c r="X73" s="1">
        <f t="shared" ref="X73:X81" si="37">+P73-T73</f>
        <v>-970.91</v>
      </c>
      <c r="Y73" s="1"/>
      <c r="Z73" s="5">
        <f t="shared" ref="Z73:Z81" si="38">IF(T73=0,0,X73/T73)</f>
        <v>-0.79596487920051817</v>
      </c>
    </row>
    <row r="74" spans="1:26" s="24" customFormat="1" hidden="1" outlineLevel="2" x14ac:dyDescent="0.25">
      <c r="A74" s="28"/>
      <c r="B74" s="11" t="str">
        <f>CONCATENATE("          ", "6362", " - ", "ADVERTISING EXPENSE")</f>
        <v xml:space="preserve">          6362 - ADVERTISING EXPENSE</v>
      </c>
      <c r="C74" s="11"/>
      <c r="D74" s="6"/>
      <c r="E74" s="2"/>
      <c r="F74" s="7">
        <f t="shared" si="31"/>
        <v>0</v>
      </c>
      <c r="G74" s="2"/>
      <c r="H74" s="6">
        <v>419.39</v>
      </c>
      <c r="I74" s="2"/>
      <c r="J74" s="7">
        <f t="shared" si="32"/>
        <v>2.8680804712025265E-3</v>
      </c>
      <c r="K74" s="2"/>
      <c r="L74" s="6">
        <f t="shared" si="33"/>
        <v>-419.39</v>
      </c>
      <c r="M74" s="2"/>
      <c r="N74" s="7">
        <f t="shared" si="34"/>
        <v>-1</v>
      </c>
      <c r="O74" s="11"/>
      <c r="P74" s="6">
        <v>248.88</v>
      </c>
      <c r="Q74" s="2"/>
      <c r="R74" s="7">
        <f t="shared" si="35"/>
        <v>2.1906107174995623E-4</v>
      </c>
      <c r="S74" s="2"/>
      <c r="T74" s="6">
        <v>1219.79</v>
      </c>
      <c r="U74" s="2"/>
      <c r="V74" s="7">
        <f t="shared" si="36"/>
        <v>9.1137599028335843E-4</v>
      </c>
      <c r="W74" s="2"/>
      <c r="X74" s="6">
        <f t="shared" si="37"/>
        <v>-970.91</v>
      </c>
      <c r="Y74" s="2"/>
      <c r="Z74" s="7">
        <f t="shared" si="38"/>
        <v>-0.79596487920051817</v>
      </c>
    </row>
    <row r="75" spans="1:26" s="29" customFormat="1" outlineLevel="1" collapsed="1" x14ac:dyDescent="0.25">
      <c r="A75" s="27"/>
      <c r="B75" s="14" t="str">
        <f>CONCATENATE("     ","Depreciation                                      ")</f>
        <v xml:space="preserve">     Depreciation                                      </v>
      </c>
      <c r="C75" s="14"/>
      <c r="D75" s="1">
        <f>SUM(OSRRefD22_3x_0)</f>
        <v>280.44</v>
      </c>
      <c r="E75" s="1"/>
      <c r="F75" s="5">
        <f t="shared" si="31"/>
        <v>1.6225711191135217E-3</v>
      </c>
      <c r="G75" s="1"/>
      <c r="H75" s="1">
        <f>SUM(OSRRefH22_3x_0)</f>
        <v>280.44</v>
      </c>
      <c r="I75" s="1"/>
      <c r="J75" s="5">
        <f t="shared" si="32"/>
        <v>1.9178437429219499E-3</v>
      </c>
      <c r="K75" s="1"/>
      <c r="L75" s="1">
        <f t="shared" si="33"/>
        <v>0</v>
      </c>
      <c r="M75" s="1"/>
      <c r="N75" s="5">
        <f t="shared" si="34"/>
        <v>0</v>
      </c>
      <c r="O75" s="14"/>
      <c r="P75" s="1">
        <f>SUM(OSRRefP22_3x_0)</f>
        <v>1121.76</v>
      </c>
      <c r="Q75" s="1"/>
      <c r="R75" s="5">
        <f t="shared" si="35"/>
        <v>9.8735916042362137E-4</v>
      </c>
      <c r="S75" s="1"/>
      <c r="T75" s="1">
        <f>SUM(OSRRefT22_3x_0)</f>
        <v>1121.76</v>
      </c>
      <c r="U75" s="1"/>
      <c r="V75" s="5">
        <f t="shared" si="36"/>
        <v>8.3813208081740323E-4</v>
      </c>
      <c r="W75" s="1"/>
      <c r="X75" s="1">
        <f t="shared" si="37"/>
        <v>0</v>
      </c>
      <c r="Y75" s="1"/>
      <c r="Z75" s="5">
        <f t="shared" si="38"/>
        <v>0</v>
      </c>
    </row>
    <row r="76" spans="1:26" s="24" customFormat="1" hidden="1" outlineLevel="2" x14ac:dyDescent="0.25">
      <c r="A76" s="28"/>
      <c r="B76" s="11" t="str">
        <f>CONCATENATE("          ", "6322", " - ", "EQUIPMENT DEPRECIATION EXPENSE")</f>
        <v xml:space="preserve">          6322 - EQUIPMENT DEPRECIATION EXPENSE</v>
      </c>
      <c r="C76" s="11"/>
      <c r="D76" s="6">
        <v>280.44</v>
      </c>
      <c r="E76" s="2"/>
      <c r="F76" s="7">
        <f t="shared" si="31"/>
        <v>1.6225711191135217E-3</v>
      </c>
      <c r="G76" s="2"/>
      <c r="H76" s="6">
        <v>280.44</v>
      </c>
      <c r="I76" s="2"/>
      <c r="J76" s="7">
        <f t="shared" si="32"/>
        <v>1.9178437429219499E-3</v>
      </c>
      <c r="K76" s="2"/>
      <c r="L76" s="6">
        <f t="shared" si="33"/>
        <v>0</v>
      </c>
      <c r="M76" s="2"/>
      <c r="N76" s="7">
        <f t="shared" si="34"/>
        <v>0</v>
      </c>
      <c r="O76" s="11"/>
      <c r="P76" s="6">
        <v>1121.76</v>
      </c>
      <c r="Q76" s="2"/>
      <c r="R76" s="7">
        <f t="shared" si="35"/>
        <v>9.8735916042362137E-4</v>
      </c>
      <c r="S76" s="2"/>
      <c r="T76" s="6">
        <v>1121.76</v>
      </c>
      <c r="U76" s="2"/>
      <c r="V76" s="7">
        <f t="shared" si="36"/>
        <v>8.3813208081740323E-4</v>
      </c>
      <c r="W76" s="2"/>
      <c r="X76" s="6">
        <f t="shared" si="37"/>
        <v>0</v>
      </c>
      <c r="Y76" s="2"/>
      <c r="Z76" s="7">
        <f t="shared" si="38"/>
        <v>0</v>
      </c>
    </row>
    <row r="77" spans="1:26" s="29" customFormat="1" outlineLevel="1" collapsed="1" x14ac:dyDescent="0.25">
      <c r="A77" s="27"/>
      <c r="B77" s="14" t="str">
        <f>CONCATENATE("     ","Discounts and Markdowns                           ")</f>
        <v xml:space="preserve">     Discounts and Markdowns                           </v>
      </c>
      <c r="C77" s="14"/>
      <c r="D77" s="1">
        <f>SUM(OSRRefD22_4x_0)</f>
        <v>0</v>
      </c>
      <c r="E77" s="1"/>
      <c r="F77" s="5">
        <f t="shared" si="31"/>
        <v>0</v>
      </c>
      <c r="G77" s="1"/>
      <c r="H77" s="1">
        <f>SUM(OSRRefH22_4x_0)</f>
        <v>1378.62</v>
      </c>
      <c r="I77" s="1"/>
      <c r="J77" s="5">
        <f t="shared" si="32"/>
        <v>9.4279622766618824E-3</v>
      </c>
      <c r="K77" s="1"/>
      <c r="L77" s="1">
        <f t="shared" si="33"/>
        <v>-1378.62</v>
      </c>
      <c r="M77" s="1"/>
      <c r="N77" s="5">
        <f t="shared" si="34"/>
        <v>-1</v>
      </c>
      <c r="O77" s="14"/>
      <c r="P77" s="1">
        <f>SUM(OSRRefP22_4x_0)</f>
        <v>0</v>
      </c>
      <c r="Q77" s="1"/>
      <c r="R77" s="5">
        <f t="shared" si="35"/>
        <v>0</v>
      </c>
      <c r="S77" s="1"/>
      <c r="T77" s="1">
        <f>SUM(OSRRefT22_4x_0)</f>
        <v>68378.13</v>
      </c>
      <c r="U77" s="1"/>
      <c r="V77" s="5">
        <f t="shared" si="36"/>
        <v>5.1089274336135096E-2</v>
      </c>
      <c r="W77" s="1"/>
      <c r="X77" s="1">
        <f t="shared" si="37"/>
        <v>-68378.13</v>
      </c>
      <c r="Y77" s="1"/>
      <c r="Z77" s="5">
        <f t="shared" si="38"/>
        <v>-1</v>
      </c>
    </row>
    <row r="78" spans="1:26" s="24" customFormat="1" hidden="1" outlineLevel="2" x14ac:dyDescent="0.25">
      <c r="A78" s="28"/>
      <c r="B78" s="11" t="str">
        <f>CONCATENATE("          ", "6382", " - ", "DISCOUNTS/MARK DOWNS")</f>
        <v xml:space="preserve">          6382 - DISCOUNTS/MARK DOWNS</v>
      </c>
      <c r="C78" s="11"/>
      <c r="D78" s="6"/>
      <c r="E78" s="2"/>
      <c r="F78" s="7">
        <f t="shared" si="31"/>
        <v>0</v>
      </c>
      <c r="G78" s="2"/>
      <c r="H78" s="6">
        <v>1378.62</v>
      </c>
      <c r="I78" s="2"/>
      <c r="J78" s="7">
        <f t="shared" si="32"/>
        <v>9.4279622766618824E-3</v>
      </c>
      <c r="K78" s="2"/>
      <c r="L78" s="6">
        <f t="shared" si="33"/>
        <v>-1378.62</v>
      </c>
      <c r="M78" s="2"/>
      <c r="N78" s="7">
        <f t="shared" si="34"/>
        <v>-1</v>
      </c>
      <c r="O78" s="11"/>
      <c r="P78" s="6"/>
      <c r="Q78" s="2"/>
      <c r="R78" s="7">
        <f t="shared" si="35"/>
        <v>0</v>
      </c>
      <c r="S78" s="2"/>
      <c r="T78" s="6">
        <v>68378.13</v>
      </c>
      <c r="U78" s="2"/>
      <c r="V78" s="7">
        <f t="shared" si="36"/>
        <v>5.1089274336135096E-2</v>
      </c>
      <c r="W78" s="2"/>
      <c r="X78" s="6">
        <f t="shared" si="37"/>
        <v>-68378.13</v>
      </c>
      <c r="Y78" s="2"/>
      <c r="Z78" s="7">
        <f t="shared" si="38"/>
        <v>-1</v>
      </c>
    </row>
    <row r="79" spans="1:26" s="29" customFormat="1" outlineLevel="1" collapsed="1" x14ac:dyDescent="0.25">
      <c r="A79" s="27"/>
      <c r="B79" s="14" t="str">
        <f>CONCATENATE("     ","Freight out/Postage                               ")</f>
        <v xml:space="preserve">     Freight out/Postage                               </v>
      </c>
      <c r="C79" s="14"/>
      <c r="D79" s="1">
        <f>SUM(OSRRefD22_5x_0)</f>
        <v>273.20999999999998</v>
      </c>
      <c r="E79" s="1"/>
      <c r="F79" s="5">
        <f t="shared" si="31"/>
        <v>1.5807397498680831E-3</v>
      </c>
      <c r="G79" s="1"/>
      <c r="H79" s="1">
        <f>SUM(OSRRefH22_5x_0)</f>
        <v>5.27</v>
      </c>
      <c r="I79" s="1"/>
      <c r="J79" s="5">
        <f t="shared" si="32"/>
        <v>3.6039924850943786E-5</v>
      </c>
      <c r="K79" s="1"/>
      <c r="L79" s="1">
        <f t="shared" si="33"/>
        <v>267.94</v>
      </c>
      <c r="M79" s="1"/>
      <c r="N79" s="5">
        <f t="shared" si="34"/>
        <v>50.842504743833018</v>
      </c>
      <c r="O79" s="14"/>
      <c r="P79" s="1">
        <f>SUM(OSRRefP22_5x_0)</f>
        <v>550.47</v>
      </c>
      <c r="Q79" s="1"/>
      <c r="R79" s="5">
        <f t="shared" si="35"/>
        <v>4.8451682805447768E-4</v>
      </c>
      <c r="S79" s="1"/>
      <c r="T79" s="1">
        <f>SUM(OSRRefT22_5x_0)</f>
        <v>10.76</v>
      </c>
      <c r="U79" s="1"/>
      <c r="V79" s="5">
        <f t="shared" si="36"/>
        <v>8.0394212573057145E-6</v>
      </c>
      <c r="W79" s="1"/>
      <c r="X79" s="1">
        <f t="shared" si="37"/>
        <v>539.71</v>
      </c>
      <c r="Y79" s="1"/>
      <c r="Z79" s="5">
        <f t="shared" si="38"/>
        <v>50.158921933085509</v>
      </c>
    </row>
    <row r="80" spans="1:26" s="24" customFormat="1" hidden="1" outlineLevel="2" x14ac:dyDescent="0.25">
      <c r="A80" s="28"/>
      <c r="B80" s="11" t="str">
        <f>CONCATENATE("          ", "6305", " - ", "FREIGHT OUT")</f>
        <v xml:space="preserve">          6305 - FREIGHT OUT</v>
      </c>
      <c r="C80" s="11"/>
      <c r="D80" s="6">
        <v>273.20999999999998</v>
      </c>
      <c r="E80" s="2"/>
      <c r="F80" s="7">
        <f t="shared" si="31"/>
        <v>1.5807397498680831E-3</v>
      </c>
      <c r="G80" s="2"/>
      <c r="H80" s="6">
        <v>5.27</v>
      </c>
      <c r="I80" s="2"/>
      <c r="J80" s="7">
        <f t="shared" si="32"/>
        <v>3.6039924850943786E-5</v>
      </c>
      <c r="K80" s="2"/>
      <c r="L80" s="6">
        <f t="shared" si="33"/>
        <v>267.94</v>
      </c>
      <c r="M80" s="2"/>
      <c r="N80" s="7">
        <f t="shared" si="34"/>
        <v>50.842504743833018</v>
      </c>
      <c r="O80" s="11"/>
      <c r="P80" s="6">
        <v>537.87</v>
      </c>
      <c r="Q80" s="2"/>
      <c r="R80" s="7">
        <f t="shared" si="35"/>
        <v>4.7342646521274896E-4</v>
      </c>
      <c r="S80" s="2"/>
      <c r="T80" s="6">
        <v>10.76</v>
      </c>
      <c r="U80" s="2"/>
      <c r="V80" s="7">
        <f t="shared" si="36"/>
        <v>8.0394212573057145E-6</v>
      </c>
      <c r="W80" s="2"/>
      <c r="X80" s="6">
        <f t="shared" si="37"/>
        <v>527.11</v>
      </c>
      <c r="Y80" s="2"/>
      <c r="Z80" s="7">
        <f t="shared" si="38"/>
        <v>48.987918215613384</v>
      </c>
    </row>
    <row r="81" spans="1:26" s="24" customFormat="1" hidden="1" outlineLevel="2" x14ac:dyDescent="0.25">
      <c r="A81" s="28"/>
      <c r="B81" s="11" t="str">
        <f>CONCATENATE("          ", "6307", " - ", "POSTAGE")</f>
        <v xml:space="preserve">          6307 - POSTAGE</v>
      </c>
      <c r="C81" s="11"/>
      <c r="D81" s="6"/>
      <c r="E81" s="2"/>
      <c r="F81" s="7">
        <f t="shared" si="31"/>
        <v>0</v>
      </c>
      <c r="G81" s="2"/>
      <c r="H81" s="6"/>
      <c r="I81" s="2"/>
      <c r="J81" s="7">
        <f t="shared" si="32"/>
        <v>0</v>
      </c>
      <c r="K81" s="2"/>
      <c r="L81" s="6">
        <f t="shared" si="33"/>
        <v>0</v>
      </c>
      <c r="M81" s="2"/>
      <c r="N81" s="7">
        <f t="shared" si="34"/>
        <v>0</v>
      </c>
      <c r="O81" s="11"/>
      <c r="P81" s="6">
        <v>12.6</v>
      </c>
      <c r="Q81" s="2"/>
      <c r="R81" s="7">
        <f t="shared" si="35"/>
        <v>1.1090362841728738E-5</v>
      </c>
      <c r="S81" s="2"/>
      <c r="T81" s="6"/>
      <c r="U81" s="2"/>
      <c r="V81" s="7">
        <f t="shared" si="36"/>
        <v>0</v>
      </c>
      <c r="W81" s="2"/>
      <c r="X81" s="6">
        <f t="shared" si="37"/>
        <v>12.6</v>
      </c>
      <c r="Y81" s="2"/>
      <c r="Z81" s="7">
        <f t="shared" si="38"/>
        <v>0</v>
      </c>
    </row>
    <row r="82" spans="1:26" s="29" customFormat="1" outlineLevel="1" collapsed="1" x14ac:dyDescent="0.25">
      <c r="A82" s="27"/>
      <c r="B82" s="14" t="str">
        <f>CONCATENATE("     ","General                                           ")</f>
        <v xml:space="preserve">     General                                           </v>
      </c>
      <c r="C82" s="14"/>
      <c r="D82" s="1">
        <f>SUM(OSRRefD22_6x_0)</f>
        <v>0</v>
      </c>
      <c r="E82" s="1"/>
      <c r="F82" s="5">
        <f t="shared" ref="F82:F91" si="39">IF(D$12=0,0,D82/D$12)</f>
        <v>0</v>
      </c>
      <c r="G82" s="1"/>
      <c r="H82" s="1">
        <f>SUM(OSRRefH22_6x_0)</f>
        <v>0</v>
      </c>
      <c r="I82" s="1"/>
      <c r="J82" s="5">
        <f t="shared" ref="J82:J91" si="40">IF(H$12=0,0,H82/H$12)</f>
        <v>0</v>
      </c>
      <c r="K82" s="1"/>
      <c r="L82" s="1">
        <f t="shared" ref="L82:L91" si="41">+D82-H82</f>
        <v>0</v>
      </c>
      <c r="M82" s="1"/>
      <c r="N82" s="5">
        <f t="shared" ref="N82:N91" si="42">IF(H82=0,0,L82/H82)</f>
        <v>0</v>
      </c>
      <c r="O82" s="14"/>
      <c r="P82" s="1">
        <f>SUM(OSRRefP22_6x_0)</f>
        <v>-30.15</v>
      </c>
      <c r="Q82" s="1"/>
      <c r="R82" s="5">
        <f t="shared" ref="R82:R91" si="43">IF(P$12=0,0,P82/P$12)</f>
        <v>-2.6537653942708053E-5</v>
      </c>
      <c r="S82" s="1"/>
      <c r="T82" s="1">
        <f>SUM(OSRRefT22_6x_0)</f>
        <v>0</v>
      </c>
      <c r="U82" s="1"/>
      <c r="V82" s="5">
        <f t="shared" ref="V82:V91" si="44">IF(T$12=0,0,T82/T$12)</f>
        <v>0</v>
      </c>
      <c r="W82" s="1"/>
      <c r="X82" s="1">
        <f t="shared" ref="X82:X91" si="45">+P82-T82</f>
        <v>-30.15</v>
      </c>
      <c r="Y82" s="1"/>
      <c r="Z82" s="5">
        <f t="shared" ref="Z82:Z91" si="46">IF(T82=0,0,X82/T82)</f>
        <v>0</v>
      </c>
    </row>
    <row r="83" spans="1:26" s="24" customFormat="1" hidden="1" outlineLevel="2" x14ac:dyDescent="0.25">
      <c r="A83" s="28"/>
      <c r="B83" s="11" t="str">
        <f>CONCATENATE("          ", "6279", " - ", "GENERAL EXPENSE")</f>
        <v xml:space="preserve">          6279 - GENERAL EXPENSE</v>
      </c>
      <c r="C83" s="11"/>
      <c r="D83" s="6"/>
      <c r="E83" s="2"/>
      <c r="F83" s="7">
        <f t="shared" si="39"/>
        <v>0</v>
      </c>
      <c r="G83" s="2"/>
      <c r="H83" s="6"/>
      <c r="I83" s="2"/>
      <c r="J83" s="7">
        <f t="shared" si="40"/>
        <v>0</v>
      </c>
      <c r="K83" s="2"/>
      <c r="L83" s="6">
        <f t="shared" si="41"/>
        <v>0</v>
      </c>
      <c r="M83" s="2"/>
      <c r="N83" s="7">
        <f t="shared" si="42"/>
        <v>0</v>
      </c>
      <c r="O83" s="11"/>
      <c r="P83" s="6">
        <v>-30.15</v>
      </c>
      <c r="Q83" s="2"/>
      <c r="R83" s="7">
        <f t="shared" si="43"/>
        <v>-2.6537653942708053E-5</v>
      </c>
      <c r="S83" s="2"/>
      <c r="T83" s="6"/>
      <c r="U83" s="2"/>
      <c r="V83" s="7">
        <f t="shared" si="44"/>
        <v>0</v>
      </c>
      <c r="W83" s="2"/>
      <c r="X83" s="6">
        <f t="shared" si="45"/>
        <v>-30.15</v>
      </c>
      <c r="Y83" s="2"/>
      <c r="Z83" s="7">
        <f t="shared" si="46"/>
        <v>0</v>
      </c>
    </row>
    <row r="84" spans="1:26" s="29" customFormat="1" outlineLevel="1" collapsed="1" x14ac:dyDescent="0.25">
      <c r="A84" s="27"/>
      <c r="B84" s="14" t="str">
        <f>CONCATENATE("     ","Inventory Adjustment                              ")</f>
        <v xml:space="preserve">     Inventory Adjustment                              </v>
      </c>
      <c r="C84" s="14"/>
      <c r="D84" s="1">
        <f>SUM(OSRRefD22_7x_0)</f>
        <v>1250</v>
      </c>
      <c r="E84" s="1"/>
      <c r="F84" s="5">
        <f t="shared" si="39"/>
        <v>7.2322560936096923E-3</v>
      </c>
      <c r="G84" s="1"/>
      <c r="H84" s="1">
        <f>SUM(OSRRefH22_7x_0)</f>
        <v>0</v>
      </c>
      <c r="I84" s="1"/>
      <c r="J84" s="5">
        <f t="shared" si="40"/>
        <v>0</v>
      </c>
      <c r="K84" s="1"/>
      <c r="L84" s="1">
        <f t="shared" si="41"/>
        <v>1250</v>
      </c>
      <c r="M84" s="1"/>
      <c r="N84" s="5">
        <f t="shared" si="42"/>
        <v>0</v>
      </c>
      <c r="O84" s="14"/>
      <c r="P84" s="1">
        <f>SUM(OSRRefP22_7x_0)</f>
        <v>5000</v>
      </c>
      <c r="Q84" s="1"/>
      <c r="R84" s="5">
        <f t="shared" si="43"/>
        <v>4.4009376356066426E-3</v>
      </c>
      <c r="S84" s="1"/>
      <c r="T84" s="1">
        <f>SUM(OSRRefT22_7x_0)</f>
        <v>0</v>
      </c>
      <c r="U84" s="1"/>
      <c r="V84" s="5">
        <f t="shared" si="44"/>
        <v>0</v>
      </c>
      <c r="W84" s="1"/>
      <c r="X84" s="1">
        <f t="shared" si="45"/>
        <v>5000</v>
      </c>
      <c r="Y84" s="1"/>
      <c r="Z84" s="5">
        <f t="shared" si="46"/>
        <v>0</v>
      </c>
    </row>
    <row r="85" spans="1:26" s="24" customFormat="1" hidden="1" outlineLevel="2" x14ac:dyDescent="0.25">
      <c r="A85" s="28"/>
      <c r="B85" s="11" t="str">
        <f>CONCATENATE("          ", "6408", " - ", "INVENTORY ADJUSTMENT")</f>
        <v xml:space="preserve">          6408 - INVENTORY ADJUSTMENT</v>
      </c>
      <c r="C85" s="11"/>
      <c r="D85" s="6">
        <v>1250</v>
      </c>
      <c r="E85" s="2"/>
      <c r="F85" s="7">
        <f t="shared" si="39"/>
        <v>7.2322560936096923E-3</v>
      </c>
      <c r="G85" s="2"/>
      <c r="H85" s="6"/>
      <c r="I85" s="2"/>
      <c r="J85" s="7">
        <f t="shared" si="40"/>
        <v>0</v>
      </c>
      <c r="K85" s="2"/>
      <c r="L85" s="6">
        <f t="shared" si="41"/>
        <v>1250</v>
      </c>
      <c r="M85" s="2"/>
      <c r="N85" s="7">
        <f t="shared" si="42"/>
        <v>0</v>
      </c>
      <c r="O85" s="11"/>
      <c r="P85" s="6">
        <v>5000</v>
      </c>
      <c r="Q85" s="2"/>
      <c r="R85" s="7">
        <f t="shared" si="43"/>
        <v>4.4009376356066426E-3</v>
      </c>
      <c r="S85" s="2"/>
      <c r="T85" s="6"/>
      <c r="U85" s="2"/>
      <c r="V85" s="7">
        <f t="shared" si="44"/>
        <v>0</v>
      </c>
      <c r="W85" s="2"/>
      <c r="X85" s="6">
        <f t="shared" si="45"/>
        <v>5000</v>
      </c>
      <c r="Y85" s="2"/>
      <c r="Z85" s="7">
        <f t="shared" si="46"/>
        <v>0</v>
      </c>
    </row>
    <row r="86" spans="1:26" s="29" customFormat="1" outlineLevel="1" collapsed="1" x14ac:dyDescent="0.25">
      <c r="A86" s="27"/>
      <c r="B86" s="14" t="str">
        <f>CONCATENATE("     ","Subscriptions &amp; Dues                              ")</f>
        <v xml:space="preserve">     Subscriptions &amp; Dues                              </v>
      </c>
      <c r="C86" s="14"/>
      <c r="D86" s="1">
        <f>SUM(OSRRefD22_8x_0)</f>
        <v>0</v>
      </c>
      <c r="E86" s="1"/>
      <c r="F86" s="5">
        <f t="shared" si="39"/>
        <v>0</v>
      </c>
      <c r="G86" s="1"/>
      <c r="H86" s="1">
        <f>SUM(OSRRefH22_8x_0)</f>
        <v>0</v>
      </c>
      <c r="I86" s="1"/>
      <c r="J86" s="5">
        <f t="shared" si="40"/>
        <v>0</v>
      </c>
      <c r="K86" s="1"/>
      <c r="L86" s="1">
        <f t="shared" si="41"/>
        <v>0</v>
      </c>
      <c r="M86" s="1"/>
      <c r="N86" s="5">
        <f t="shared" si="42"/>
        <v>0</v>
      </c>
      <c r="O86" s="14"/>
      <c r="P86" s="1">
        <f>SUM(OSRRefP22_8x_0)</f>
        <v>0</v>
      </c>
      <c r="Q86" s="1"/>
      <c r="R86" s="5">
        <f t="shared" si="43"/>
        <v>0</v>
      </c>
      <c r="S86" s="1"/>
      <c r="T86" s="1">
        <f>SUM(OSRRefT22_8x_0)</f>
        <v>-5000</v>
      </c>
      <c r="U86" s="1"/>
      <c r="V86" s="5">
        <f t="shared" si="44"/>
        <v>-3.7357905470751462E-3</v>
      </c>
      <c r="W86" s="1"/>
      <c r="X86" s="1">
        <f t="shared" si="45"/>
        <v>5000</v>
      </c>
      <c r="Y86" s="1"/>
      <c r="Z86" s="5">
        <f t="shared" si="46"/>
        <v>-1</v>
      </c>
    </row>
    <row r="87" spans="1:26" s="24" customFormat="1" hidden="1" outlineLevel="2" x14ac:dyDescent="0.25">
      <c r="A87" s="28"/>
      <c r="B87" s="11" t="str">
        <f>CONCATENATE("          ", "6258", " - ", "MEMBERSHIP DUES")</f>
        <v xml:space="preserve">          6258 - MEMBERSHIP DUES</v>
      </c>
      <c r="C87" s="11"/>
      <c r="D87" s="6"/>
      <c r="E87" s="2"/>
      <c r="F87" s="7">
        <f t="shared" si="39"/>
        <v>0</v>
      </c>
      <c r="G87" s="2"/>
      <c r="H87" s="6"/>
      <c r="I87" s="2"/>
      <c r="J87" s="7">
        <f t="shared" si="40"/>
        <v>0</v>
      </c>
      <c r="K87" s="2"/>
      <c r="L87" s="6">
        <f t="shared" si="41"/>
        <v>0</v>
      </c>
      <c r="M87" s="2"/>
      <c r="N87" s="7">
        <f t="shared" si="42"/>
        <v>0</v>
      </c>
      <c r="O87" s="11"/>
      <c r="P87" s="6"/>
      <c r="Q87" s="2"/>
      <c r="R87" s="7">
        <f t="shared" si="43"/>
        <v>0</v>
      </c>
      <c r="S87" s="2"/>
      <c r="T87" s="6">
        <v>-5000</v>
      </c>
      <c r="U87" s="2"/>
      <c r="V87" s="7">
        <f t="shared" si="44"/>
        <v>-3.7357905470751462E-3</v>
      </c>
      <c r="W87" s="2"/>
      <c r="X87" s="6">
        <f t="shared" si="45"/>
        <v>5000</v>
      </c>
      <c r="Y87" s="2"/>
      <c r="Z87" s="7">
        <f t="shared" si="46"/>
        <v>-1</v>
      </c>
    </row>
    <row r="88" spans="1:26" s="29" customFormat="1" outlineLevel="1" collapsed="1" x14ac:dyDescent="0.25">
      <c r="A88" s="27"/>
      <c r="B88" s="14" t="str">
        <f>CONCATENATE("     ","Supplies                                          ")</f>
        <v xml:space="preserve">     Supplies                                          </v>
      </c>
      <c r="C88" s="14"/>
      <c r="D88" s="1">
        <f>SUM(OSRRefD22_9x_0)</f>
        <v>29.59</v>
      </c>
      <c r="E88" s="1"/>
      <c r="F88" s="5">
        <f t="shared" si="39"/>
        <v>1.7120196624792862E-4</v>
      </c>
      <c r="G88" s="1"/>
      <c r="H88" s="1">
        <f>SUM(OSRRefH22_9x_0)</f>
        <v>192.76</v>
      </c>
      <c r="I88" s="1"/>
      <c r="J88" s="5">
        <f t="shared" si="40"/>
        <v>1.3182269287035908E-3</v>
      </c>
      <c r="K88" s="1"/>
      <c r="L88" s="1">
        <f t="shared" si="41"/>
        <v>-163.16999999999999</v>
      </c>
      <c r="M88" s="1"/>
      <c r="N88" s="5">
        <f t="shared" si="42"/>
        <v>-0.84649304835028016</v>
      </c>
      <c r="O88" s="14"/>
      <c r="P88" s="1">
        <f>SUM(OSRRefP22_9x_0)</f>
        <v>1524.5</v>
      </c>
      <c r="Q88" s="1"/>
      <c r="R88" s="5">
        <f t="shared" si="43"/>
        <v>1.3418458850964652E-3</v>
      </c>
      <c r="S88" s="1"/>
      <c r="T88" s="1">
        <f>SUM(OSRRefT22_9x_0)</f>
        <v>1556.9499999999998</v>
      </c>
      <c r="U88" s="1"/>
      <c r="V88" s="5">
        <f t="shared" si="44"/>
        <v>1.1632878184537295E-3</v>
      </c>
      <c r="W88" s="1"/>
      <c r="X88" s="1">
        <f t="shared" si="45"/>
        <v>-32.449999999999818</v>
      </c>
      <c r="Y88" s="1"/>
      <c r="Z88" s="5">
        <f t="shared" si="46"/>
        <v>-2.0842030893734431E-2</v>
      </c>
    </row>
    <row r="89" spans="1:26" s="24" customFormat="1" hidden="1" outlineLevel="2" x14ac:dyDescent="0.25">
      <c r="A89" s="28"/>
      <c r="B89" s="11" t="str">
        <f>CONCATENATE("          ", "6235", " - ", "COVID-19 EXPENSES")</f>
        <v xml:space="preserve">          6235 - COVID-19 EXPENSES</v>
      </c>
      <c r="C89" s="11"/>
      <c r="D89" s="6"/>
      <c r="E89" s="2"/>
      <c r="F89" s="7">
        <f t="shared" si="39"/>
        <v>0</v>
      </c>
      <c r="G89" s="2"/>
      <c r="H89" s="6"/>
      <c r="I89" s="2"/>
      <c r="J89" s="7">
        <f t="shared" si="40"/>
        <v>0</v>
      </c>
      <c r="K89" s="2"/>
      <c r="L89" s="6">
        <f t="shared" si="41"/>
        <v>0</v>
      </c>
      <c r="M89" s="2"/>
      <c r="N89" s="7">
        <f t="shared" si="42"/>
        <v>0</v>
      </c>
      <c r="O89" s="11"/>
      <c r="P89" s="6">
        <v>668.12</v>
      </c>
      <c r="Q89" s="2"/>
      <c r="R89" s="7">
        <f t="shared" si="43"/>
        <v>5.8807089062030201E-4</v>
      </c>
      <c r="S89" s="2"/>
      <c r="T89" s="6"/>
      <c r="U89" s="2"/>
      <c r="V89" s="7">
        <f t="shared" si="44"/>
        <v>0</v>
      </c>
      <c r="W89" s="2"/>
      <c r="X89" s="6">
        <f t="shared" si="45"/>
        <v>668.12</v>
      </c>
      <c r="Y89" s="2"/>
      <c r="Z89" s="7">
        <f t="shared" si="46"/>
        <v>0</v>
      </c>
    </row>
    <row r="90" spans="1:26" s="24" customFormat="1" hidden="1" outlineLevel="2" x14ac:dyDescent="0.25">
      <c r="A90" s="28"/>
      <c r="B90" s="11" t="str">
        <f>CONCATENATE("          ", "6241", " - ", "OFFICE EXPENSE")</f>
        <v xml:space="preserve">          6241 - OFFICE EXPENSE</v>
      </c>
      <c r="C90" s="11"/>
      <c r="D90" s="6">
        <v>29.59</v>
      </c>
      <c r="E90" s="2"/>
      <c r="F90" s="7">
        <f t="shared" si="39"/>
        <v>1.7120196624792862E-4</v>
      </c>
      <c r="G90" s="2"/>
      <c r="H90" s="6">
        <v>192.76</v>
      </c>
      <c r="I90" s="2"/>
      <c r="J90" s="7">
        <f t="shared" si="40"/>
        <v>1.3182269287035908E-3</v>
      </c>
      <c r="K90" s="2"/>
      <c r="L90" s="6">
        <f t="shared" si="41"/>
        <v>-163.16999999999999</v>
      </c>
      <c r="M90" s="2"/>
      <c r="N90" s="7">
        <f t="shared" si="42"/>
        <v>-0.84649304835028016</v>
      </c>
      <c r="O90" s="11"/>
      <c r="P90" s="6">
        <v>856.38</v>
      </c>
      <c r="Q90" s="2"/>
      <c r="R90" s="7">
        <f t="shared" si="43"/>
        <v>7.5377499447616323E-4</v>
      </c>
      <c r="S90" s="2"/>
      <c r="T90" s="6">
        <v>616.29999999999995</v>
      </c>
      <c r="U90" s="2"/>
      <c r="V90" s="7">
        <f t="shared" si="44"/>
        <v>4.604735428324825E-4</v>
      </c>
      <c r="W90" s="2"/>
      <c r="X90" s="6">
        <f t="shared" si="45"/>
        <v>240.08000000000004</v>
      </c>
      <c r="Y90" s="2"/>
      <c r="Z90" s="7">
        <f t="shared" si="46"/>
        <v>0.38955054356644503</v>
      </c>
    </row>
    <row r="91" spans="1:26" s="24" customFormat="1" hidden="1" outlineLevel="2" x14ac:dyDescent="0.25">
      <c r="A91" s="28"/>
      <c r="B91" s="11" t="str">
        <f>CONCATENATE("          ", "6247", " - ", "STORE SUPPLIES")</f>
        <v xml:space="preserve">          6247 - STORE SUPPLIES</v>
      </c>
      <c r="C91" s="11"/>
      <c r="D91" s="6"/>
      <c r="E91" s="2"/>
      <c r="F91" s="7">
        <f t="shared" si="39"/>
        <v>0</v>
      </c>
      <c r="G91" s="2"/>
      <c r="H91" s="6"/>
      <c r="I91" s="2"/>
      <c r="J91" s="7">
        <f t="shared" si="40"/>
        <v>0</v>
      </c>
      <c r="K91" s="2"/>
      <c r="L91" s="6">
        <f t="shared" si="41"/>
        <v>0</v>
      </c>
      <c r="M91" s="2"/>
      <c r="N91" s="7">
        <f t="shared" si="42"/>
        <v>0</v>
      </c>
      <c r="O91" s="11"/>
      <c r="P91" s="6"/>
      <c r="Q91" s="2"/>
      <c r="R91" s="7">
        <f t="shared" si="43"/>
        <v>0</v>
      </c>
      <c r="S91" s="2"/>
      <c r="T91" s="6">
        <v>940.65</v>
      </c>
      <c r="U91" s="2"/>
      <c r="V91" s="7">
        <f t="shared" si="44"/>
        <v>7.0281427562124724E-4</v>
      </c>
      <c r="W91" s="2"/>
      <c r="X91" s="6">
        <f t="shared" si="45"/>
        <v>-940.65</v>
      </c>
      <c r="Y91" s="2"/>
      <c r="Z91" s="7">
        <f t="shared" si="46"/>
        <v>-1</v>
      </c>
    </row>
    <row r="92" spans="1:26" s="29" customFormat="1" outlineLevel="1" collapsed="1" x14ac:dyDescent="0.25">
      <c r="A92" s="27"/>
      <c r="B92" s="14" t="str">
        <f>CONCATENATE("     ","Telephone/Data Lines                              ")</f>
        <v xml:space="preserve">     Telephone/Data Lines                              </v>
      </c>
      <c r="C92" s="14"/>
      <c r="D92" s="1">
        <f>SUM(OSRRefD22_10x_0)</f>
        <v>354.3</v>
      </c>
      <c r="E92" s="1"/>
      <c r="F92" s="5">
        <f t="shared" ref="F92:F95" si="47">IF(D$12=0,0,D92/D$12)</f>
        <v>2.0499106671727314E-3</v>
      </c>
      <c r="G92" s="1"/>
      <c r="H92" s="1">
        <f>SUM(OSRRefH22_10x_0)</f>
        <v>259.5</v>
      </c>
      <c r="I92" s="1"/>
      <c r="J92" s="5">
        <f t="shared" ref="J92:J95" si="48">IF(H$12=0,0,H92/H$12)</f>
        <v>1.7746414608766437E-3</v>
      </c>
      <c r="K92" s="1"/>
      <c r="L92" s="1">
        <f t="shared" ref="L92:L95" si="49">+D92-H92</f>
        <v>94.800000000000011</v>
      </c>
      <c r="M92" s="1"/>
      <c r="N92" s="5">
        <f t="shared" ref="N92:N95" si="50">IF(H92=0,0,L92/H92)</f>
        <v>0.36531791907514455</v>
      </c>
      <c r="O92" s="14"/>
      <c r="P92" s="1">
        <f>SUM(OSRRefP22_10x_0)</f>
        <v>1265.8499999999999</v>
      </c>
      <c r="Q92" s="1"/>
      <c r="R92" s="5">
        <f t="shared" ref="R92:R95" si="51">IF(P$12=0,0,P92/P$12)</f>
        <v>1.1141853812065335E-3</v>
      </c>
      <c r="S92" s="1"/>
      <c r="T92" s="1">
        <f>SUM(OSRRefT22_10x_0)</f>
        <v>1020.8</v>
      </c>
      <c r="U92" s="1"/>
      <c r="V92" s="5">
        <f t="shared" ref="V92:V95" si="52">IF(T$12=0,0,T92/T$12)</f>
        <v>7.6269899809086183E-4</v>
      </c>
      <c r="W92" s="1"/>
      <c r="X92" s="1">
        <f t="shared" ref="X92:X95" si="53">+P92-T92</f>
        <v>245.04999999999995</v>
      </c>
      <c r="Y92" s="1"/>
      <c r="Z92" s="5">
        <f t="shared" ref="Z92:Z95" si="54">IF(T92=0,0,X92/T92)</f>
        <v>0.24005681818181815</v>
      </c>
    </row>
    <row r="93" spans="1:26" s="24" customFormat="1" hidden="1" outlineLevel="2" x14ac:dyDescent="0.25">
      <c r="A93" s="28"/>
      <c r="B93" s="11" t="str">
        <f>CONCATENATE("          ", "6309", " - ", "TELEPHONE")</f>
        <v xml:space="preserve">          6309 - TELEPHONE</v>
      </c>
      <c r="C93" s="11"/>
      <c r="D93" s="6">
        <v>354.3</v>
      </c>
      <c r="E93" s="2"/>
      <c r="F93" s="7">
        <f t="shared" si="47"/>
        <v>2.0499106671727314E-3</v>
      </c>
      <c r="G93" s="2"/>
      <c r="H93" s="6">
        <v>259.5</v>
      </c>
      <c r="I93" s="2"/>
      <c r="J93" s="7">
        <f t="shared" si="48"/>
        <v>1.7746414608766437E-3</v>
      </c>
      <c r="K93" s="2"/>
      <c r="L93" s="6">
        <f t="shared" si="49"/>
        <v>94.800000000000011</v>
      </c>
      <c r="M93" s="2"/>
      <c r="N93" s="7">
        <f t="shared" si="50"/>
        <v>0.36531791907514455</v>
      </c>
      <c r="O93" s="11"/>
      <c r="P93" s="6">
        <v>1265.8499999999999</v>
      </c>
      <c r="Q93" s="2"/>
      <c r="R93" s="7">
        <f t="shared" si="51"/>
        <v>1.1141853812065335E-3</v>
      </c>
      <c r="S93" s="2"/>
      <c r="T93" s="6">
        <v>1020.8</v>
      </c>
      <c r="U93" s="2"/>
      <c r="V93" s="7">
        <f t="shared" si="52"/>
        <v>7.6269899809086183E-4</v>
      </c>
      <c r="W93" s="2"/>
      <c r="X93" s="6">
        <f t="shared" si="53"/>
        <v>245.04999999999995</v>
      </c>
      <c r="Y93" s="2"/>
      <c r="Z93" s="7">
        <f t="shared" si="54"/>
        <v>0.24005681818181815</v>
      </c>
    </row>
    <row r="94" spans="1:26" s="29" customFormat="1" outlineLevel="1" collapsed="1" x14ac:dyDescent="0.25">
      <c r="A94" s="27"/>
      <c r="B94" s="14" t="str">
        <f>CONCATENATE("     ","Training                                          ")</f>
        <v xml:space="preserve">     Training                                          </v>
      </c>
      <c r="C94" s="14"/>
      <c r="D94" s="1">
        <f>SUM(OSRRefD22_11x_0)</f>
        <v>100</v>
      </c>
      <c r="E94" s="1"/>
      <c r="F94" s="5">
        <f t="shared" si="47"/>
        <v>5.7858048748877535E-4</v>
      </c>
      <c r="G94" s="1"/>
      <c r="H94" s="1">
        <f>SUM(OSRRefH22_11x_0)</f>
        <v>40</v>
      </c>
      <c r="I94" s="1"/>
      <c r="J94" s="5">
        <f t="shared" si="48"/>
        <v>2.7354781670545567E-4</v>
      </c>
      <c r="K94" s="1"/>
      <c r="L94" s="1">
        <f t="shared" si="49"/>
        <v>60</v>
      </c>
      <c r="M94" s="1"/>
      <c r="N94" s="5">
        <f t="shared" si="50"/>
        <v>1.5</v>
      </c>
      <c r="O94" s="14"/>
      <c r="P94" s="1">
        <f>SUM(OSRRefP22_11x_0)</f>
        <v>100</v>
      </c>
      <c r="Q94" s="1"/>
      <c r="R94" s="5">
        <f t="shared" si="51"/>
        <v>8.8018752712132841E-5</v>
      </c>
      <c r="S94" s="1"/>
      <c r="T94" s="1">
        <f>SUM(OSRRefT22_11x_0)</f>
        <v>40</v>
      </c>
      <c r="U94" s="1"/>
      <c r="V94" s="5">
        <f t="shared" si="52"/>
        <v>2.988632437660117E-5</v>
      </c>
      <c r="W94" s="1"/>
      <c r="X94" s="1">
        <f t="shared" si="53"/>
        <v>60</v>
      </c>
      <c r="Y94" s="1"/>
      <c r="Z94" s="5">
        <f t="shared" si="54"/>
        <v>1.5</v>
      </c>
    </row>
    <row r="95" spans="1:26" s="24" customFormat="1" hidden="1" outlineLevel="2" x14ac:dyDescent="0.25">
      <c r="A95" s="28"/>
      <c r="B95" s="11" t="str">
        <f>CONCATENATE("          ", "6376", " - ", "TRAINING")</f>
        <v xml:space="preserve">          6376 - TRAINING</v>
      </c>
      <c r="C95" s="11"/>
      <c r="D95" s="6">
        <v>100</v>
      </c>
      <c r="E95" s="2"/>
      <c r="F95" s="7">
        <f t="shared" si="47"/>
        <v>5.7858048748877535E-4</v>
      </c>
      <c r="G95" s="2"/>
      <c r="H95" s="6">
        <v>40</v>
      </c>
      <c r="I95" s="2"/>
      <c r="J95" s="7">
        <f t="shared" si="48"/>
        <v>2.7354781670545567E-4</v>
      </c>
      <c r="K95" s="2"/>
      <c r="L95" s="6">
        <f t="shared" si="49"/>
        <v>60</v>
      </c>
      <c r="M95" s="2"/>
      <c r="N95" s="7">
        <f t="shared" si="50"/>
        <v>1.5</v>
      </c>
      <c r="O95" s="11"/>
      <c r="P95" s="6">
        <v>100</v>
      </c>
      <c r="Q95" s="2"/>
      <c r="R95" s="7">
        <f t="shared" si="51"/>
        <v>8.8018752712132841E-5</v>
      </c>
      <c r="S95" s="2"/>
      <c r="T95" s="6">
        <v>40</v>
      </c>
      <c r="U95" s="2"/>
      <c r="V95" s="7">
        <f t="shared" si="52"/>
        <v>2.988632437660117E-5</v>
      </c>
      <c r="W95" s="2"/>
      <c r="X95" s="6">
        <f t="shared" si="53"/>
        <v>60</v>
      </c>
      <c r="Y95" s="2"/>
      <c r="Z95" s="7">
        <f t="shared" si="54"/>
        <v>1.5</v>
      </c>
    </row>
    <row r="96" spans="1:26" s="57" customFormat="1" x14ac:dyDescent="0.25">
      <c r="A96" s="37"/>
      <c r="B96" s="37"/>
      <c r="C96" s="37"/>
      <c r="D96" s="1"/>
      <c r="E96" s="1"/>
      <c r="F96" s="5"/>
      <c r="G96" s="1"/>
      <c r="H96" s="1"/>
      <c r="I96" s="1"/>
      <c r="J96" s="5"/>
      <c r="K96" s="1"/>
      <c r="L96" s="1"/>
      <c r="M96" s="1"/>
      <c r="N96" s="5"/>
      <c r="O96" s="37"/>
      <c r="P96" s="1"/>
      <c r="Q96" s="1"/>
      <c r="R96" s="5"/>
      <c r="S96" s="1"/>
      <c r="T96" s="1"/>
      <c r="U96" s="1"/>
      <c r="V96" s="5"/>
      <c r="W96" s="1"/>
      <c r="X96" s="1"/>
      <c r="Y96" s="1"/>
      <c r="Z96" s="5"/>
    </row>
    <row r="97" spans="1:26" s="23" customFormat="1" collapsed="1" x14ac:dyDescent="0.25">
      <c r="A97" s="10"/>
      <c r="B97" s="26" t="s">
        <v>0</v>
      </c>
      <c r="C97" s="10"/>
      <c r="D97" s="4">
        <f>SUM(OSRRefD25x_0)</f>
        <v>1355.96</v>
      </c>
      <c r="E97" s="4"/>
      <c r="F97" s="12">
        <f t="shared" ref="F97:F100" si="55">IF(D$12=0,0,D97/D$12)</f>
        <v>7.8453199781527982E-3</v>
      </c>
      <c r="G97" s="4"/>
      <c r="H97" s="4">
        <f>SUM(OSRRefH25x_0)</f>
        <v>4142.82</v>
      </c>
      <c r="I97" s="4"/>
      <c r="J97" s="12">
        <f t="shared" ref="J97:J100" si="56">IF(H$12=0,0,H97/H$12)</f>
        <v>2.8331484150092397E-2</v>
      </c>
      <c r="K97" s="4"/>
      <c r="L97" s="4">
        <f t="shared" ref="L97:L100" si="57">+D97-H97</f>
        <v>-2786.8599999999997</v>
      </c>
      <c r="M97" s="4"/>
      <c r="N97" s="12">
        <f t="shared" ref="N97:N100" si="58">IF(H97=0,0,L97/H97)</f>
        <v>-0.67269637589854248</v>
      </c>
      <c r="O97" s="10"/>
      <c r="P97" s="4">
        <f>SUM(OSRRefP25x_0)</f>
        <v>1123.24</v>
      </c>
      <c r="Q97" s="4"/>
      <c r="R97" s="12">
        <f t="shared" ref="R97:R100" si="59">IF(P$12=0,0,P97/P$12)</f>
        <v>9.8866183796376093E-4</v>
      </c>
      <c r="S97" s="4"/>
      <c r="T97" s="4">
        <f>SUM(OSRRefT25x_0)</f>
        <v>6288.93</v>
      </c>
      <c r="U97" s="4"/>
      <c r="V97" s="12">
        <f t="shared" ref="V97:V100" si="60">IF(T$12=0,0,T97/T$12)</f>
        <v>4.6988250490434596E-3</v>
      </c>
      <c r="W97" s="4"/>
      <c r="X97" s="4">
        <f t="shared" ref="X97:X100" si="61">+P97-T97</f>
        <v>-5165.6900000000005</v>
      </c>
      <c r="Y97" s="4"/>
      <c r="Z97" s="12">
        <f t="shared" ref="Z97:Z100" si="62">IF(T97=0,0,X97/T97)</f>
        <v>-0.82139410042725869</v>
      </c>
    </row>
    <row r="98" spans="1:26" s="24" customFormat="1" hidden="1" outlineLevel="1" x14ac:dyDescent="0.25">
      <c r="A98" s="44"/>
      <c r="B98" s="11" t="str">
        <f>CONCATENATE("          ", "4187", " - ", "NON-TAXABLE SALES-COMPUTER REP")</f>
        <v xml:space="preserve">          4187 - NON-TAXABLE SALES-COMPUTER REP</v>
      </c>
      <c r="C98" s="11"/>
      <c r="D98" s="2">
        <f>--792.83</f>
        <v>792.83</v>
      </c>
      <c r="E98" s="2"/>
      <c r="F98" s="19">
        <f t="shared" si="55"/>
        <v>4.587159678957258E-3</v>
      </c>
      <c r="G98" s="2"/>
      <c r="H98" s="2">
        <f>--4407.89</f>
        <v>4407.8900000000003</v>
      </c>
      <c r="I98" s="2"/>
      <c r="J98" s="19">
        <f t="shared" si="56"/>
        <v>3.014421714444528E-2</v>
      </c>
      <c r="K98" s="2"/>
      <c r="L98" s="2">
        <f t="shared" si="57"/>
        <v>-3615.0600000000004</v>
      </c>
      <c r="M98" s="2"/>
      <c r="N98" s="19">
        <f t="shared" si="58"/>
        <v>-0.82013389626329158</v>
      </c>
      <c r="O98" s="11"/>
      <c r="P98" s="2">
        <f>--937.96</f>
        <v>937.96</v>
      </c>
      <c r="Q98" s="2"/>
      <c r="R98" s="19">
        <f t="shared" si="59"/>
        <v>8.2558069293872129E-4</v>
      </c>
      <c r="S98" s="2"/>
      <c r="T98" s="2">
        <f>--11782.69</f>
        <v>11782.69</v>
      </c>
      <c r="U98" s="2"/>
      <c r="V98" s="19">
        <f t="shared" si="60"/>
        <v>8.8035323842233712E-3</v>
      </c>
      <c r="W98" s="2"/>
      <c r="X98" s="2">
        <f t="shared" si="61"/>
        <v>-10844.73</v>
      </c>
      <c r="Y98" s="2"/>
      <c r="Z98" s="19">
        <f t="shared" si="62"/>
        <v>-0.92039508804865433</v>
      </c>
    </row>
    <row r="99" spans="1:26" s="24" customFormat="1" hidden="1" outlineLevel="1" x14ac:dyDescent="0.25">
      <c r="A99" s="44"/>
      <c r="B99" s="11" t="str">
        <f>CONCATENATE("          ", "4387", " - ", "SALES RETURN NON TAXABLE-COMPU")</f>
        <v xml:space="preserve">          4387 - SALES RETURN NON TAXABLE-COMPU</v>
      </c>
      <c r="C99" s="11"/>
      <c r="D99" s="2">
        <f>0</f>
        <v>0</v>
      </c>
      <c r="E99" s="2"/>
      <c r="F99" s="19">
        <f t="shared" si="55"/>
        <v>0</v>
      </c>
      <c r="G99" s="2"/>
      <c r="H99" s="2">
        <f>-350.05</f>
        <v>-350.05</v>
      </c>
      <c r="I99" s="2"/>
      <c r="J99" s="19">
        <f t="shared" si="56"/>
        <v>-2.393885330943619E-3</v>
      </c>
      <c r="K99" s="2"/>
      <c r="L99" s="2">
        <f t="shared" si="57"/>
        <v>350.05</v>
      </c>
      <c r="M99" s="2"/>
      <c r="N99" s="19">
        <f t="shared" si="58"/>
        <v>-1</v>
      </c>
      <c r="O99" s="11"/>
      <c r="P99" s="2">
        <f>0</f>
        <v>0</v>
      </c>
      <c r="Q99" s="2"/>
      <c r="R99" s="19">
        <f t="shared" si="59"/>
        <v>0</v>
      </c>
      <c r="S99" s="2"/>
      <c r="T99" s="2">
        <f>-6790.75</f>
        <v>-6790.75</v>
      </c>
      <c r="U99" s="2"/>
      <c r="V99" s="19">
        <f t="shared" si="60"/>
        <v>-5.0737639315101097E-3</v>
      </c>
      <c r="W99" s="2"/>
      <c r="X99" s="2">
        <f t="shared" si="61"/>
        <v>6790.75</v>
      </c>
      <c r="Y99" s="2"/>
      <c r="Z99" s="19">
        <f t="shared" si="62"/>
        <v>-1</v>
      </c>
    </row>
    <row r="100" spans="1:26" s="24" customFormat="1" hidden="1" outlineLevel="1" x14ac:dyDescent="0.25">
      <c r="A100" s="44"/>
      <c r="B100" s="11" t="str">
        <f>CONCATENATE("          ", "9150", " - ", "MISC. INCOME")</f>
        <v xml:space="preserve">          9150 - MISC. INCOME</v>
      </c>
      <c r="C100" s="11"/>
      <c r="D100" s="2">
        <f>--563.13</f>
        <v>563.13</v>
      </c>
      <c r="E100" s="2"/>
      <c r="F100" s="19">
        <f t="shared" si="55"/>
        <v>3.2581602991955407E-3</v>
      </c>
      <c r="G100" s="2"/>
      <c r="H100" s="2">
        <f>--84.98</f>
        <v>84.98</v>
      </c>
      <c r="I100" s="2"/>
      <c r="J100" s="19">
        <f t="shared" si="56"/>
        <v>5.8115233659074067E-4</v>
      </c>
      <c r="K100" s="2"/>
      <c r="L100" s="2">
        <f t="shared" si="57"/>
        <v>478.15</v>
      </c>
      <c r="M100" s="2"/>
      <c r="N100" s="19">
        <f t="shared" si="58"/>
        <v>5.6266180277712401</v>
      </c>
      <c r="O100" s="11"/>
      <c r="P100" s="2">
        <f>--185.28</f>
        <v>185.28</v>
      </c>
      <c r="Q100" s="2"/>
      <c r="R100" s="19">
        <f t="shared" si="59"/>
        <v>1.6308114502503973E-4</v>
      </c>
      <c r="S100" s="2"/>
      <c r="T100" s="2">
        <f>--1296.99</f>
        <v>1296.99</v>
      </c>
      <c r="U100" s="2"/>
      <c r="V100" s="19">
        <f t="shared" si="60"/>
        <v>9.690565963301988E-4</v>
      </c>
      <c r="W100" s="2"/>
      <c r="X100" s="2">
        <f t="shared" si="61"/>
        <v>-1111.71</v>
      </c>
      <c r="Y100" s="2"/>
      <c r="Z100" s="19">
        <f t="shared" si="62"/>
        <v>-0.85714616149700462</v>
      </c>
    </row>
    <row r="101" spans="1:26" x14ac:dyDescent="0.25">
      <c r="A101" s="9"/>
      <c r="B101" s="10"/>
      <c r="C101" s="10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O101" s="10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x14ac:dyDescent="0.25">
      <c r="A102" s="10"/>
      <c r="B102" s="25" t="s">
        <v>3</v>
      </c>
      <c r="C102" s="25"/>
      <c r="D102" s="20">
        <f>+D54-D56+D97</f>
        <v>2806.6700000000483</v>
      </c>
      <c r="E102" s="13"/>
      <c r="F102" s="21">
        <f>IF(D$12=0,0,D102/D$12)</f>
        <v>1.623884496820149E-2</v>
      </c>
      <c r="G102" s="13"/>
      <c r="H102" s="20">
        <f>+H54-H56+H97</f>
        <v>8923.0600000000413</v>
      </c>
      <c r="I102" s="13"/>
      <c r="J102" s="21">
        <f>IF(H$12=0,0,H102/H$12)</f>
        <v>6.1022089533294868E-2</v>
      </c>
      <c r="K102" s="15"/>
      <c r="L102" s="20">
        <f>+D102-H102</f>
        <v>-6116.3899999999931</v>
      </c>
      <c r="M102" s="15"/>
      <c r="N102" s="21">
        <f>IF(H102=0,0,L102/H102)</f>
        <v>-0.68545880000806503</v>
      </c>
      <c r="O102" s="26"/>
      <c r="P102" s="20">
        <f>+P54-P56+P97</f>
        <v>2064.979999999794</v>
      </c>
      <c r="Q102" s="13"/>
      <c r="R102" s="21">
        <f>IF(P$12=0,0,P102/P$12)</f>
        <v>1.8175696397548194E-3</v>
      </c>
      <c r="S102" s="13"/>
      <c r="T102" s="20">
        <f>+T54-T56+T97</f>
        <v>24893.87999999959</v>
      </c>
      <c r="U102" s="13"/>
      <c r="V102" s="21">
        <f>IF(T$12=0,0,T102/T$12)</f>
        <v>1.85996643168043E-2</v>
      </c>
      <c r="W102" s="15"/>
      <c r="X102" s="20">
        <f>+P102-T102</f>
        <v>-22828.899999999798</v>
      </c>
      <c r="Y102" s="15"/>
      <c r="Z102" s="21">
        <f>IF(T102=0,0,X102/T102)</f>
        <v>-0.91704868827198383</v>
      </c>
    </row>
    <row r="103" spans="1:26" x14ac:dyDescent="0.25">
      <c r="A103" s="9"/>
      <c r="B103" s="10"/>
      <c r="C103" s="9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x14ac:dyDescent="0.25">
      <c r="A104" s="51"/>
      <c r="B104" s="10" t="s">
        <v>13</v>
      </c>
      <c r="C104" s="10"/>
      <c r="D104" s="4">
        <v>67655.090000000011</v>
      </c>
      <c r="E104" s="4"/>
      <c r="F104" s="12">
        <f>IF(D$12=0,0,D104/D$12)</f>
        <v>0.39143914953296977</v>
      </c>
      <c r="G104" s="4"/>
      <c r="H104" s="4">
        <v>6671.52</v>
      </c>
      <c r="I104" s="4"/>
      <c r="J104" s="12">
        <f>IF(H$12=0,0,H104/H$12)</f>
        <v>4.5624493252669547E-2</v>
      </c>
      <c r="K104" s="4"/>
      <c r="L104" s="4">
        <f>+D104-H104</f>
        <v>60983.570000000007</v>
      </c>
      <c r="M104" s="4"/>
      <c r="N104" s="12">
        <f>IF(H104=0,0,L104/H104)</f>
        <v>9.1408809386766432</v>
      </c>
      <c r="O104" s="10"/>
      <c r="P104" s="4">
        <v>246108.38999999998</v>
      </c>
      <c r="Q104" s="4"/>
      <c r="R104" s="12">
        <f>IF(P$12=0,0,P104/P$12)</f>
        <v>0.21662153519791147</v>
      </c>
      <c r="S104" s="4"/>
      <c r="T104" s="4">
        <v>134727.24</v>
      </c>
      <c r="U104" s="4"/>
      <c r="V104" s="12">
        <f>IF(T$12=0,0,T104/T$12)</f>
        <v>0.1006625499251049</v>
      </c>
      <c r="W104" s="4"/>
      <c r="X104" s="4">
        <f>+P104-T104</f>
        <v>111381.15</v>
      </c>
      <c r="Y104" s="4"/>
      <c r="Z104" s="12">
        <f>IF(T104=0,0,X104/T104)</f>
        <v>0.82671588908078275</v>
      </c>
    </row>
    <row r="105" spans="1:26" x14ac:dyDescent="0.25">
      <c r="A105" s="9"/>
      <c r="B105" s="10"/>
      <c r="C105" s="10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O105" s="10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s="23" customFormat="1" ht="15.75" thickBot="1" x14ac:dyDescent="0.3">
      <c r="A106" s="10"/>
      <c r="B106" s="25" t="s">
        <v>4</v>
      </c>
      <c r="C106" s="25"/>
      <c r="D106" s="30">
        <f>+D102-D104</f>
        <v>-64848.419999999962</v>
      </c>
      <c r="E106" s="13"/>
      <c r="F106" s="33">
        <f>IF(D$12=0,0,D106/D$12)</f>
        <v>-0.37520030456476827</v>
      </c>
      <c r="G106" s="13"/>
      <c r="H106" s="30">
        <f>+H102-H104</f>
        <v>2251.5400000000409</v>
      </c>
      <c r="I106" s="13"/>
      <c r="J106" s="33">
        <f>IF(H$12=0,0,H106/H$12)</f>
        <v>1.5397596280625323E-2</v>
      </c>
      <c r="K106" s="15"/>
      <c r="L106" s="30">
        <f>D106-H106</f>
        <v>-67099.960000000006</v>
      </c>
      <c r="M106" s="15"/>
      <c r="N106" s="33">
        <f>IF(H106=0,0,L106/H106)</f>
        <v>-29.801806763370308</v>
      </c>
      <c r="O106" s="26"/>
      <c r="P106" s="30">
        <f>+P102-P104</f>
        <v>-244043.41000000018</v>
      </c>
      <c r="Q106" s="13"/>
      <c r="R106" s="33">
        <f>IF(P$12=0,0,P106/P$12)</f>
        <v>-0.21480396555815665</v>
      </c>
      <c r="S106" s="13"/>
      <c r="T106" s="30">
        <f>+T102-T104</f>
        <v>-109833.36000000039</v>
      </c>
      <c r="U106" s="13"/>
      <c r="V106" s="33">
        <f>IF(T$12=0,0,T106/T$12)</f>
        <v>-8.2062885608300593E-2</v>
      </c>
      <c r="W106" s="15"/>
      <c r="X106" s="30">
        <f>P106-T106</f>
        <v>-134210.04999999978</v>
      </c>
      <c r="Y106" s="15"/>
      <c r="Z106" s="33">
        <f>IF(T106=0,0,X106/T106)</f>
        <v>1.2219424954312543</v>
      </c>
    </row>
    <row r="107" spans="1:26" ht="15.75" thickTop="1" x14ac:dyDescent="0.25">
      <c r="A107" s="9"/>
      <c r="B107" s="9"/>
      <c r="C107" s="9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x14ac:dyDescent="0.25">
      <c r="A108" s="9"/>
      <c r="B108" s="9"/>
      <c r="C108" s="9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s="23" customFormat="1" ht="15.75" thickBot="1" x14ac:dyDescent="0.3">
      <c r="A109" s="10"/>
      <c r="B109" s="25" t="s">
        <v>5</v>
      </c>
      <c r="C109" s="25"/>
      <c r="D109" s="34">
        <f>SUM(D106:D108)</f>
        <v>-64848.419999999962</v>
      </c>
      <c r="E109" s="13"/>
      <c r="F109" s="35">
        <f>IF(D$12=0,0,D109/D$12)</f>
        <v>-0.37520030456476827</v>
      </c>
      <c r="G109" s="13"/>
      <c r="H109" s="34">
        <f>SUM(H106:H108)</f>
        <v>2251.5400000000409</v>
      </c>
      <c r="I109" s="13"/>
      <c r="J109" s="35">
        <f>IF(H$12=0,0,H109/H$12)</f>
        <v>1.5397596280625323E-2</v>
      </c>
      <c r="K109" s="15"/>
      <c r="L109" s="34">
        <f>+D109-H109</f>
        <v>-67099.960000000006</v>
      </c>
      <c r="M109" s="15"/>
      <c r="N109" s="35">
        <f>IF(H109=0,0,L109/H109)</f>
        <v>-29.801806763370308</v>
      </c>
      <c r="O109" s="26"/>
      <c r="P109" s="34">
        <f>SUM(P106:P108)</f>
        <v>-244043.41000000018</v>
      </c>
      <c r="Q109" s="13"/>
      <c r="R109" s="35">
        <f>IF(P$12=0,0,P109/P$12)</f>
        <v>-0.21480396555815665</v>
      </c>
      <c r="S109" s="13"/>
      <c r="T109" s="34">
        <f>SUM(T106:T108)</f>
        <v>-109833.36000000039</v>
      </c>
      <c r="U109" s="13"/>
      <c r="V109" s="35">
        <f>IF(T$12=0,0,T109/T$12)</f>
        <v>-8.2062885608300593E-2</v>
      </c>
      <c r="W109" s="15"/>
      <c r="X109" s="34">
        <f>+P109-T109</f>
        <v>-134210.04999999978</v>
      </c>
      <c r="Y109" s="15"/>
      <c r="Z109" s="35">
        <f>IF(T109=0,0,X109/T109)</f>
        <v>1.2219424954312543</v>
      </c>
    </row>
    <row r="110" spans="1:26" ht="15.75" thickTop="1" x14ac:dyDescent="0.25">
      <c r="A110" s="9"/>
      <c r="C110" s="9"/>
      <c r="D110" s="18"/>
      <c r="E110" s="18"/>
      <c r="G110" s="18"/>
      <c r="H110" s="18"/>
      <c r="I110" s="18"/>
      <c r="J110" s="43"/>
      <c r="K110" s="18"/>
      <c r="L110" s="18"/>
      <c r="M110" s="18"/>
      <c r="P110" s="18"/>
      <c r="Q110" s="18"/>
      <c r="R110" s="43"/>
      <c r="S110" s="18"/>
      <c r="T110" s="18"/>
      <c r="U110" s="18"/>
      <c r="V110" s="43"/>
      <c r="W110" s="18"/>
      <c r="X110" s="18"/>
    </row>
    <row r="111" spans="1:26" x14ac:dyDescent="0.25">
      <c r="A111" s="9"/>
      <c r="B111" s="56">
        <v>44151.572493553242</v>
      </c>
      <c r="D111" s="18"/>
      <c r="E111" s="18"/>
      <c r="G111" s="18"/>
      <c r="H111" s="18"/>
      <c r="I111" s="18"/>
      <c r="J111" s="43"/>
      <c r="K111" s="18"/>
      <c r="L111" s="18"/>
      <c r="M111" s="18"/>
      <c r="P111" s="18"/>
      <c r="Q111" s="18"/>
      <c r="R111" s="43"/>
      <c r="S111" s="18"/>
      <c r="T111" s="18"/>
      <c r="U111" s="18"/>
      <c r="V111" s="43"/>
      <c r="W111" s="18"/>
      <c r="X111" s="18"/>
    </row>
    <row r="112" spans="1:26" x14ac:dyDescent="0.25">
      <c r="A112" s="9"/>
      <c r="B112" s="62" t="s">
        <v>313</v>
      </c>
      <c r="D112" s="18"/>
      <c r="E112" s="18"/>
      <c r="G112" s="18"/>
      <c r="H112" s="18"/>
      <c r="I112" s="18"/>
      <c r="J112" s="43"/>
      <c r="K112" s="18"/>
      <c r="L112" s="18"/>
      <c r="M112" s="18"/>
      <c r="P112" s="18"/>
      <c r="Q112" s="18"/>
      <c r="R112" s="43"/>
      <c r="S112" s="18"/>
      <c r="T112" s="18"/>
      <c r="U112" s="18"/>
      <c r="V112" s="43"/>
      <c r="W112" s="18"/>
      <c r="X112" s="18"/>
    </row>
    <row r="113" spans="1:24" x14ac:dyDescent="0.25">
      <c r="A113" s="9"/>
      <c r="B113" s="54"/>
      <c r="D113" s="18"/>
      <c r="E113" s="18"/>
      <c r="G113" s="18"/>
      <c r="H113" s="18"/>
      <c r="I113" s="18"/>
      <c r="J113" s="43"/>
      <c r="K113" s="18"/>
      <c r="L113" s="18"/>
      <c r="M113" s="18"/>
      <c r="P113" s="18"/>
      <c r="Q113" s="18"/>
      <c r="R113" s="43"/>
      <c r="S113" s="18"/>
      <c r="T113" s="18"/>
      <c r="U113" s="18"/>
      <c r="V113" s="43"/>
      <c r="W113" s="18"/>
      <c r="X113" s="18"/>
    </row>
    <row r="114" spans="1:24" x14ac:dyDescent="0.25">
      <c r="D114" s="18"/>
      <c r="E114" s="18"/>
      <c r="G114" s="18"/>
      <c r="H114" s="18"/>
      <c r="I114" s="18"/>
      <c r="J114" s="43"/>
      <c r="K114" s="18"/>
      <c r="L114" s="18"/>
      <c r="M114" s="18"/>
      <c r="P114" s="18"/>
      <c r="Q114" s="18"/>
      <c r="R114" s="43"/>
      <c r="S114" s="18"/>
      <c r="T114" s="18"/>
      <c r="U114" s="18"/>
      <c r="V114" s="43"/>
      <c r="W114" s="18"/>
      <c r="X114" s="18"/>
    </row>
  </sheetData>
  <pageMargins left="0.25" right="0.25" top="0.75" bottom="0.75" header="0.3" footer="0.3"/>
  <pageSetup scale="55" fitToWidth="2" orientation="landscape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12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",RIGHT(202104,2),", ",2021)</f>
        <v>Period 04,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44135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305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61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50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50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2"/>
      <c r="F10" s="31" t="s">
        <v>14</v>
      </c>
      <c r="G10" s="32"/>
      <c r="H10" s="49" t="s">
        <v>306</v>
      </c>
      <c r="I10" s="32"/>
      <c r="J10" s="31" t="s">
        <v>14</v>
      </c>
      <c r="K10" s="10"/>
      <c r="L10" s="42" t="s">
        <v>11</v>
      </c>
      <c r="M10" s="10"/>
      <c r="N10" s="31" t="s">
        <v>15</v>
      </c>
      <c r="O10" s="10"/>
      <c r="P10" s="59" t="s">
        <v>10</v>
      </c>
      <c r="Q10" s="32"/>
      <c r="R10" s="31" t="s">
        <v>14</v>
      </c>
      <c r="S10" s="32"/>
      <c r="T10" s="49" t="s">
        <v>306</v>
      </c>
      <c r="U10" s="32"/>
      <c r="V10" s="31" t="s">
        <v>14</v>
      </c>
      <c r="W10" s="10"/>
      <c r="X10" s="42" t="s">
        <v>11</v>
      </c>
      <c r="Y10" s="10"/>
      <c r="Z10" s="31" t="s">
        <v>15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529586.6</v>
      </c>
      <c r="I12" s="4"/>
      <c r="J12" s="12"/>
      <c r="K12" s="4"/>
      <c r="L12" s="4">
        <f t="shared" ref="L12:L20" si="0">+D12-H12</f>
        <v>-529586.6</v>
      </c>
      <c r="M12" s="4"/>
      <c r="N12" s="12">
        <f t="shared" ref="N12:N20" si="1">IF(H12=0,0,L12/H12)</f>
        <v>-1</v>
      </c>
      <c r="O12" s="10"/>
      <c r="P12" s="4">
        <f>SUM(OSRRefP13x_0)</f>
        <v>2586.4700000000003</v>
      </c>
      <c r="Q12" s="4"/>
      <c r="R12" s="12"/>
      <c r="S12" s="4"/>
      <c r="T12" s="4">
        <f>SUM(OSRRefT13x_0)</f>
        <v>1118072.44</v>
      </c>
      <c r="U12" s="4"/>
      <c r="V12" s="12"/>
      <c r="W12" s="4"/>
      <c r="X12" s="4">
        <f t="shared" ref="X12:X20" si="2">+P12-T12</f>
        <v>-1115485.97</v>
      </c>
      <c r="Y12" s="4"/>
      <c r="Z12" s="12">
        <f t="shared" ref="Z12:Z20" si="3">IF(T12=0,0,X12/T12)</f>
        <v>-0.99768667046296211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 t="shared" ref="D13:D20" si="4">0</f>
        <v>0</v>
      </c>
      <c r="E13" s="2"/>
      <c r="F13" s="19"/>
      <c r="G13" s="2"/>
      <c r="H13" s="2">
        <f>--59158.53</f>
        <v>59158.53</v>
      </c>
      <c r="I13" s="2"/>
      <c r="J13" s="19"/>
      <c r="K13" s="2"/>
      <c r="L13" s="2">
        <f t="shared" si="0"/>
        <v>-59158.53</v>
      </c>
      <c r="M13" s="2"/>
      <c r="N13" s="19">
        <f t="shared" si="1"/>
        <v>-1</v>
      </c>
      <c r="O13" s="11"/>
      <c r="P13" s="2">
        <f>--444.59</f>
        <v>444.59</v>
      </c>
      <c r="Q13" s="2"/>
      <c r="R13" s="19"/>
      <c r="S13" s="2"/>
      <c r="T13" s="2">
        <f>--131814.87</f>
        <v>131814.87</v>
      </c>
      <c r="U13" s="2"/>
      <c r="V13" s="19"/>
      <c r="W13" s="2"/>
      <c r="X13" s="2">
        <f t="shared" si="2"/>
        <v>-131370.28</v>
      </c>
      <c r="Y13" s="2"/>
      <c r="Z13" s="19">
        <f t="shared" si="3"/>
        <v>-0.99662716353625358</v>
      </c>
    </row>
    <row r="14" spans="1:26" s="24" customFormat="1" hidden="1" outlineLevel="1" x14ac:dyDescent="0.25">
      <c r="A14" s="44"/>
      <c r="B14" s="11" t="str">
        <f>CONCATENATE("          ", "4034", " - ", "TAXABLE SALES-SODA")</f>
        <v xml:space="preserve">          4034 - TAXABLE SALES-SODA</v>
      </c>
      <c r="C14" s="11"/>
      <c r="D14" s="2">
        <f t="shared" si="4"/>
        <v>0</v>
      </c>
      <c r="E14" s="2"/>
      <c r="F14" s="19"/>
      <c r="G14" s="2"/>
      <c r="H14" s="2">
        <f>--531.75</f>
        <v>531.75</v>
      </c>
      <c r="I14" s="2"/>
      <c r="J14" s="19"/>
      <c r="K14" s="2"/>
      <c r="L14" s="2">
        <f t="shared" si="0"/>
        <v>-531.75</v>
      </c>
      <c r="M14" s="2"/>
      <c r="N14" s="19">
        <f t="shared" si="1"/>
        <v>-1</v>
      </c>
      <c r="O14" s="11"/>
      <c r="P14" s="2">
        <f t="shared" ref="P14:P15" si="5">0</f>
        <v>0</v>
      </c>
      <c r="Q14" s="2"/>
      <c r="R14" s="19"/>
      <c r="S14" s="2"/>
      <c r="T14" s="2">
        <f>--1682.08</f>
        <v>1682.08</v>
      </c>
      <c r="U14" s="2"/>
      <c r="V14" s="19"/>
      <c r="W14" s="2"/>
      <c r="X14" s="2">
        <f t="shared" si="2"/>
        <v>-1682.08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"4051", " - ", "TAXABLE SALES-FOOD")</f>
        <v xml:space="preserve">          4051 - TAXABLE SALES-FOOD</v>
      </c>
      <c r="C15" s="11"/>
      <c r="D15" s="2">
        <f t="shared" si="4"/>
        <v>0</v>
      </c>
      <c r="E15" s="2"/>
      <c r="F15" s="19"/>
      <c r="G15" s="2"/>
      <c r="H15" s="2">
        <f>--35500.4</f>
        <v>35500.400000000001</v>
      </c>
      <c r="I15" s="2"/>
      <c r="J15" s="19"/>
      <c r="K15" s="2"/>
      <c r="L15" s="2">
        <f t="shared" si="0"/>
        <v>-35500.400000000001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--74419.27</f>
        <v>74419.27</v>
      </c>
      <c r="U15" s="2"/>
      <c r="V15" s="19"/>
      <c r="W15" s="2"/>
      <c r="X15" s="2">
        <f t="shared" si="2"/>
        <v>-74419.27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"4132", " - ", "NON-TAXABLE SALES-JUICE")</f>
        <v xml:space="preserve">          4132 - NON-TAXABLE SALES-JUICE</v>
      </c>
      <c r="C16" s="11"/>
      <c r="D16" s="2">
        <f t="shared" si="4"/>
        <v>0</v>
      </c>
      <c r="E16" s="2"/>
      <c r="F16" s="19"/>
      <c r="G16" s="2"/>
      <c r="H16" s="2">
        <f>--239161.66</f>
        <v>239161.66</v>
      </c>
      <c r="I16" s="2"/>
      <c r="J16" s="19"/>
      <c r="K16" s="2"/>
      <c r="L16" s="2">
        <f t="shared" si="0"/>
        <v>-239161.66</v>
      </c>
      <c r="M16" s="2"/>
      <c r="N16" s="19">
        <f t="shared" si="1"/>
        <v>-1</v>
      </c>
      <c r="O16" s="11"/>
      <c r="P16" s="2">
        <f>--2031.88</f>
        <v>2031.88</v>
      </c>
      <c r="Q16" s="2"/>
      <c r="R16" s="19"/>
      <c r="S16" s="2"/>
      <c r="T16" s="2">
        <f>--515103.65</f>
        <v>515103.65</v>
      </c>
      <c r="U16" s="2"/>
      <c r="V16" s="19"/>
      <c r="W16" s="2"/>
      <c r="X16" s="2">
        <f t="shared" si="2"/>
        <v>-513071.77</v>
      </c>
      <c r="Y16" s="2"/>
      <c r="Z16" s="19">
        <f t="shared" si="3"/>
        <v>-0.99605539584120595</v>
      </c>
    </row>
    <row r="17" spans="1:26" s="24" customFormat="1" hidden="1" outlineLevel="1" x14ac:dyDescent="0.25">
      <c r="A17" s="44"/>
      <c r="B17" s="11" t="str">
        <f>CONCATENATE("          ", "4134", " - ", "NON-TAXABLE SALES-SODA")</f>
        <v xml:space="preserve">          4134 - NON-TAXABLE SALES-SODA</v>
      </c>
      <c r="C17" s="11"/>
      <c r="D17" s="2">
        <f t="shared" si="4"/>
        <v>0</v>
      </c>
      <c r="E17" s="2"/>
      <c r="F17" s="19"/>
      <c r="G17" s="2"/>
      <c r="H17" s="2">
        <f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 t="shared" ref="P17:P19" si="6">0</f>
        <v>0</v>
      </c>
      <c r="Q17" s="2"/>
      <c r="R17" s="19"/>
      <c r="S17" s="2"/>
      <c r="T17" s="2">
        <f>--0.39</f>
        <v>0.39</v>
      </c>
      <c r="U17" s="2"/>
      <c r="V17" s="19"/>
      <c r="W17" s="2"/>
      <c r="X17" s="2">
        <f t="shared" si="2"/>
        <v>-0.39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"4137", " - ", "NON-TAXABLE SALES-WATER")</f>
        <v xml:space="preserve">          4137 - NON-TAXABLE SALES-WATER</v>
      </c>
      <c r="C18" s="11"/>
      <c r="D18" s="2">
        <f t="shared" si="4"/>
        <v>0</v>
      </c>
      <c r="E18" s="2"/>
      <c r="F18" s="19"/>
      <c r="G18" s="2"/>
      <c r="H18" s="2">
        <f>--227.76</f>
        <v>227.76</v>
      </c>
      <c r="I18" s="2"/>
      <c r="J18" s="19"/>
      <c r="K18" s="2"/>
      <c r="L18" s="2">
        <f t="shared" si="0"/>
        <v>-227.76</v>
      </c>
      <c r="M18" s="2"/>
      <c r="N18" s="19">
        <f t="shared" si="1"/>
        <v>-1</v>
      </c>
      <c r="O18" s="11"/>
      <c r="P18" s="2">
        <f t="shared" si="6"/>
        <v>0</v>
      </c>
      <c r="Q18" s="2"/>
      <c r="R18" s="19"/>
      <c r="S18" s="2"/>
      <c r="T18" s="2">
        <f>--848.85</f>
        <v>848.85</v>
      </c>
      <c r="U18" s="2"/>
      <c r="V18" s="19"/>
      <c r="W18" s="2"/>
      <c r="X18" s="2">
        <f t="shared" si="2"/>
        <v>-848.85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"4151", " - ", "NON-TAXABLE SALES-FOOD")</f>
        <v xml:space="preserve">          4151 - NON-TAXABLE SALES-FOOD</v>
      </c>
      <c r="C19" s="11"/>
      <c r="D19" s="2">
        <f t="shared" si="4"/>
        <v>0</v>
      </c>
      <c r="E19" s="2"/>
      <c r="F19" s="19"/>
      <c r="G19" s="2"/>
      <c r="H19" s="2">
        <f>--192132.5</f>
        <v>192132.5</v>
      </c>
      <c r="I19" s="2"/>
      <c r="J19" s="19"/>
      <c r="K19" s="2"/>
      <c r="L19" s="2">
        <f t="shared" si="0"/>
        <v>-192132.5</v>
      </c>
      <c r="M19" s="2"/>
      <c r="N19" s="19">
        <f t="shared" si="1"/>
        <v>-1</v>
      </c>
      <c r="O19" s="11"/>
      <c r="P19" s="2">
        <f t="shared" si="6"/>
        <v>0</v>
      </c>
      <c r="Q19" s="2"/>
      <c r="R19" s="19"/>
      <c r="S19" s="2"/>
      <c r="T19" s="2">
        <f>--388922.83</f>
        <v>388922.83</v>
      </c>
      <c r="U19" s="2"/>
      <c r="V19" s="19"/>
      <c r="W19" s="2"/>
      <c r="X19" s="2">
        <f t="shared" si="2"/>
        <v>-388922.83</v>
      </c>
      <c r="Y19" s="2"/>
      <c r="Z19" s="19">
        <f t="shared" si="3"/>
        <v>-1</v>
      </c>
    </row>
    <row r="20" spans="1:26" s="24" customFormat="1" hidden="1" outlineLevel="1" x14ac:dyDescent="0.25">
      <c r="A20" s="44"/>
      <c r="B20" s="11" t="str">
        <f>CONCATENATE("          ", "4153", " - ", "NON-TAXABLE SALES-FOOD")</f>
        <v xml:space="preserve">          4153 - NON-TAXABLE SALES-FOOD</v>
      </c>
      <c r="C20" s="11"/>
      <c r="D20" s="2">
        <f t="shared" si="4"/>
        <v>0</v>
      </c>
      <c r="E20" s="2"/>
      <c r="F20" s="19"/>
      <c r="G20" s="2"/>
      <c r="H20" s="2">
        <f>--2874</f>
        <v>2874</v>
      </c>
      <c r="I20" s="2"/>
      <c r="J20" s="19"/>
      <c r="K20" s="2"/>
      <c r="L20" s="2">
        <f t="shared" si="0"/>
        <v>-2874</v>
      </c>
      <c r="M20" s="2"/>
      <c r="N20" s="19">
        <f t="shared" si="1"/>
        <v>-1</v>
      </c>
      <c r="O20" s="11"/>
      <c r="P20" s="2">
        <f>--110</f>
        <v>110</v>
      </c>
      <c r="Q20" s="2"/>
      <c r="R20" s="19"/>
      <c r="S20" s="2"/>
      <c r="T20" s="2">
        <f>--5280.5</f>
        <v>5280.5</v>
      </c>
      <c r="U20" s="2"/>
      <c r="V20" s="19"/>
      <c r="W20" s="2"/>
      <c r="X20" s="2">
        <f t="shared" si="2"/>
        <v>-5170.5</v>
      </c>
      <c r="Y20" s="2"/>
      <c r="Z20" s="19">
        <f t="shared" si="3"/>
        <v>-0.97916863933339648</v>
      </c>
    </row>
    <row r="21" spans="1:26" x14ac:dyDescent="0.25">
      <c r="A21" s="9"/>
      <c r="B21" s="10"/>
      <c r="C21" s="9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collapsed="1" x14ac:dyDescent="0.25">
      <c r="A22" s="10"/>
      <c r="B22" s="26" t="s">
        <v>8</v>
      </c>
      <c r="C22" s="10"/>
      <c r="D22" s="4">
        <f>SUM(OSRRefD16x_0)</f>
        <v>11058.83</v>
      </c>
      <c r="E22" s="4"/>
      <c r="F22" s="12">
        <f t="shared" ref="F22:F24" si="7">IF(D$12=0,0,D22/D$12)</f>
        <v>0</v>
      </c>
      <c r="G22" s="4"/>
      <c r="H22" s="4">
        <f>SUM(OSRRefH16x_0)</f>
        <v>259501.11</v>
      </c>
      <c r="I22" s="4"/>
      <c r="J22" s="12">
        <f t="shared" ref="J22:J24" si="8">IF(H$12=0,0,H22/H$12)</f>
        <v>0.4900069412632419</v>
      </c>
      <c r="K22" s="4"/>
      <c r="L22" s="4">
        <f t="shared" ref="L22:L24" si="9">+D22-H22</f>
        <v>-248442.28</v>
      </c>
      <c r="M22" s="4"/>
      <c r="N22" s="12">
        <f t="shared" ref="N22:N24" si="10">IF(H22=0,0,L22/H22)</f>
        <v>-0.95738426706537016</v>
      </c>
      <c r="O22" s="10"/>
      <c r="P22" s="4">
        <f>SUM(OSRRefP16x_0)</f>
        <v>8842.34</v>
      </c>
      <c r="Q22" s="4"/>
      <c r="R22" s="12">
        <f t="shared" ref="R22:R24" si="11">IF(P$12=0,0,P22/P$12)</f>
        <v>3.4186903385695557</v>
      </c>
      <c r="S22" s="4"/>
      <c r="T22" s="4">
        <f>SUM(OSRRefT16x_0)</f>
        <v>533538.60000000009</v>
      </c>
      <c r="U22" s="4"/>
      <c r="V22" s="12">
        <f t="shared" ref="V22:V24" si="12">IF(T$12=0,0,T22/T$12)</f>
        <v>0.4771950196715341</v>
      </c>
      <c r="W22" s="4"/>
      <c r="X22" s="4">
        <f t="shared" ref="X22:X24" si="13">+P22-T22</f>
        <v>-524696.26000000013</v>
      </c>
      <c r="Y22" s="4"/>
      <c r="Z22" s="12">
        <f t="shared" ref="Z22:Z24" si="14">IF(T22=0,0,X22/T22)</f>
        <v>-0.98342699103682474</v>
      </c>
    </row>
    <row r="23" spans="1:26" s="24" customFormat="1" hidden="1" outlineLevel="1" x14ac:dyDescent="0.25">
      <c r="A23" s="44"/>
      <c r="B23" s="11" t="str">
        <f>CONCATENATE("          ", "5053", " - ", "PURCHASES @ COST-FOOD")</f>
        <v xml:space="preserve">          5053 - PURCHASES @ COST-FOOD</v>
      </c>
      <c r="C23" s="11"/>
      <c r="D23" s="2">
        <v>-570.16999999999996</v>
      </c>
      <c r="E23" s="2"/>
      <c r="F23" s="19">
        <f t="shared" si="7"/>
        <v>0</v>
      </c>
      <c r="G23" s="2"/>
      <c r="H23" s="2">
        <v>244395.69999999998</v>
      </c>
      <c r="I23" s="2"/>
      <c r="J23" s="19">
        <f t="shared" si="8"/>
        <v>0.46148391972153374</v>
      </c>
      <c r="K23" s="2"/>
      <c r="L23" s="2">
        <f t="shared" si="9"/>
        <v>-244965.87</v>
      </c>
      <c r="M23" s="2"/>
      <c r="N23" s="19">
        <f t="shared" si="10"/>
        <v>-1.002332978853556</v>
      </c>
      <c r="O23" s="11"/>
      <c r="P23" s="2">
        <v>-2855.57</v>
      </c>
      <c r="Q23" s="2"/>
      <c r="R23" s="19">
        <f t="shared" si="11"/>
        <v>-1.1040414155199945</v>
      </c>
      <c r="S23" s="2"/>
      <c r="T23" s="2">
        <v>577184.57000000007</v>
      </c>
      <c r="U23" s="2"/>
      <c r="V23" s="19">
        <f t="shared" si="12"/>
        <v>0.51623181946958652</v>
      </c>
      <c r="W23" s="2"/>
      <c r="X23" s="2">
        <f t="shared" si="13"/>
        <v>-580040.14</v>
      </c>
      <c r="Y23" s="2"/>
      <c r="Z23" s="19">
        <f t="shared" si="14"/>
        <v>-1.0049474122289859</v>
      </c>
    </row>
    <row r="24" spans="1:26" s="24" customFormat="1" hidden="1" outlineLevel="1" x14ac:dyDescent="0.25">
      <c r="A24" s="44"/>
      <c r="B24" s="11" t="str">
        <f>CONCATENATE("          ", "5059", " - ", "PURCHASES @ COST-FOOD")</f>
        <v xml:space="preserve">          5059 - PURCHASES @ COST-FOOD</v>
      </c>
      <c r="C24" s="11"/>
      <c r="D24" s="2">
        <v>11629</v>
      </c>
      <c r="E24" s="2"/>
      <c r="F24" s="19">
        <f t="shared" si="7"/>
        <v>0</v>
      </c>
      <c r="G24" s="2"/>
      <c r="H24" s="2">
        <v>15105.409999999998</v>
      </c>
      <c r="I24" s="2"/>
      <c r="J24" s="19">
        <f t="shared" si="8"/>
        <v>2.8523021541708191E-2</v>
      </c>
      <c r="K24" s="2"/>
      <c r="L24" s="2">
        <f t="shared" si="9"/>
        <v>-3476.409999999998</v>
      </c>
      <c r="M24" s="2"/>
      <c r="N24" s="19">
        <f t="shared" si="10"/>
        <v>-0.23014337247383543</v>
      </c>
      <c r="O24" s="11"/>
      <c r="P24" s="2">
        <v>11697.91</v>
      </c>
      <c r="Q24" s="2"/>
      <c r="R24" s="19">
        <f t="shared" si="11"/>
        <v>4.5227317540895502</v>
      </c>
      <c r="S24" s="2"/>
      <c r="T24" s="2">
        <v>-43645.97</v>
      </c>
      <c r="U24" s="2"/>
      <c r="V24" s="19">
        <f t="shared" si="12"/>
        <v>-3.9036799798052441E-2</v>
      </c>
      <c r="W24" s="2"/>
      <c r="X24" s="2">
        <f t="shared" si="13"/>
        <v>55343.880000000005</v>
      </c>
      <c r="Y24" s="2"/>
      <c r="Z24" s="19">
        <f t="shared" si="14"/>
        <v>-1.2680181010984519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25">
      <c r="A26" s="10"/>
      <c r="B26" s="25" t="s">
        <v>6</v>
      </c>
      <c r="C26" s="25"/>
      <c r="D26" s="20">
        <f>D12-D22</f>
        <v>-11058.83</v>
      </c>
      <c r="E26" s="13"/>
      <c r="F26" s="21">
        <f>IF(D$12=0,0,D26/D$12)</f>
        <v>0</v>
      </c>
      <c r="G26" s="13"/>
      <c r="H26" s="20">
        <f>H12-H22</f>
        <v>270085.49</v>
      </c>
      <c r="I26" s="13"/>
      <c r="J26" s="21">
        <f>IF(H$12=0,0,H26/H$12)</f>
        <v>0.50999305873675804</v>
      </c>
      <c r="K26" s="15"/>
      <c r="L26" s="20">
        <f>+D26-H26</f>
        <v>-281144.32000000001</v>
      </c>
      <c r="M26" s="15"/>
      <c r="N26" s="21">
        <f>IF(H26=0,0,L26/H26)</f>
        <v>-1.0409456650188798</v>
      </c>
      <c r="O26" s="26"/>
      <c r="P26" s="20">
        <f>P12-P22</f>
        <v>-6255.87</v>
      </c>
      <c r="Q26" s="13"/>
      <c r="R26" s="21">
        <f>IF(P$12=0,0,P26/P$12)</f>
        <v>-2.4186903385695557</v>
      </c>
      <c r="S26" s="13"/>
      <c r="T26" s="20">
        <f>T12-T22</f>
        <v>584533.83999999985</v>
      </c>
      <c r="U26" s="13"/>
      <c r="V26" s="21">
        <f>IF(T$12=0,0,T26/T$12)</f>
        <v>0.5228049803284659</v>
      </c>
      <c r="W26" s="15"/>
      <c r="X26" s="20">
        <f>+P26-T26</f>
        <v>-590789.70999999985</v>
      </c>
      <c r="Y26" s="15"/>
      <c r="Z26" s="21">
        <f>IF(T26=0,0,X26/T26)</f>
        <v>-1.0107023230682419</v>
      </c>
    </row>
    <row r="27" spans="1:26" x14ac:dyDescent="0.25">
      <c r="A27" s="9"/>
      <c r="B27" s="10"/>
      <c r="C27" s="9"/>
      <c r="D27" s="1"/>
      <c r="E27" s="1"/>
      <c r="F27" s="5"/>
      <c r="G27" s="1"/>
      <c r="H27" s="1"/>
      <c r="I27" s="1"/>
      <c r="J27" s="5"/>
      <c r="K27" s="1"/>
      <c r="L27" s="1"/>
      <c r="M27" s="1"/>
      <c r="N27" s="5"/>
      <c r="O27" s="37"/>
      <c r="P27" s="1"/>
      <c r="Q27" s="1"/>
      <c r="R27" s="5"/>
      <c r="S27" s="1"/>
      <c r="T27" s="1"/>
      <c r="U27" s="1"/>
      <c r="V27" s="5"/>
      <c r="W27" s="1"/>
      <c r="X27" s="1"/>
      <c r="Y27" s="1"/>
      <c r="Z27" s="5"/>
    </row>
    <row r="28" spans="1:26" s="23" customFormat="1" x14ac:dyDescent="0.25">
      <c r="A28" s="10"/>
      <c r="B28" s="26" t="s">
        <v>9</v>
      </c>
      <c r="C28" s="10"/>
      <c r="D28" s="22">
        <f>SUM(OSRRefD22x_0)</f>
        <v>28394.239999999998</v>
      </c>
      <c r="E28" s="22"/>
      <c r="F28" s="36">
        <f t="shared" ref="F28:F37" si="15">IF(D$12=0,0,D28/D$12)</f>
        <v>0</v>
      </c>
      <c r="G28" s="22"/>
      <c r="H28" s="22">
        <f>SUM(OSRRefH22x_0)</f>
        <v>139552.00999999998</v>
      </c>
      <c r="I28" s="22"/>
      <c r="J28" s="36">
        <f t="shared" ref="J28:J37" si="16">IF(H$12=0,0,H28/H$12)</f>
        <v>0.26351121799531935</v>
      </c>
      <c r="K28" s="4"/>
      <c r="L28" s="22">
        <f t="shared" ref="L28:L37" si="17">+D28-H28</f>
        <v>-111157.76999999999</v>
      </c>
      <c r="M28" s="4"/>
      <c r="N28" s="36">
        <f t="shared" ref="N28:N37" si="18">IF(H28=0,0,L28/H28)</f>
        <v>-0.79653291987696917</v>
      </c>
      <c r="O28" s="10"/>
      <c r="P28" s="22">
        <f>SUM(OSRRefP22x_0)</f>
        <v>125834.98000000001</v>
      </c>
      <c r="Q28" s="22"/>
      <c r="R28" s="36">
        <f t="shared" ref="R28:R37" si="19">IF(P$12=0,0,P28/P$12)</f>
        <v>48.65124281356443</v>
      </c>
      <c r="S28" s="22"/>
      <c r="T28" s="22">
        <f>SUM(OSRRefT22x_0)</f>
        <v>437176.1399999999</v>
      </c>
      <c r="U28" s="22"/>
      <c r="V28" s="36">
        <f t="shared" ref="V28:V37" si="20">IF(T$12=0,0,T28/T$12)</f>
        <v>0.39100877935959133</v>
      </c>
      <c r="W28" s="4"/>
      <c r="X28" s="22">
        <f t="shared" ref="X28:X37" si="21">+P28-T28</f>
        <v>-311341.15999999992</v>
      </c>
      <c r="Y28" s="4"/>
      <c r="Z28" s="36">
        <f t="shared" ref="Z28:Z37" si="22">IF(T28=0,0,X28/T28)</f>
        <v>-0.71216411764832355</v>
      </c>
    </row>
    <row r="29" spans="1:26" s="29" customFormat="1" outlineLevel="1" collapsed="1" x14ac:dyDescent="0.25">
      <c r="A29" s="27"/>
      <c r="B29" s="14" t="str">
        <f>CONCATENATE("     ","*Benefits                                         ")</f>
        <v xml:space="preserve">     *Benefits                                         </v>
      </c>
      <c r="C29" s="14"/>
      <c r="D29" s="1">
        <f>SUM(OSRRefD22_0x_0)</f>
        <v>6403.2999999999993</v>
      </c>
      <c r="E29" s="1"/>
      <c r="F29" s="5">
        <f t="shared" si="15"/>
        <v>0</v>
      </c>
      <c r="G29" s="1"/>
      <c r="H29" s="1">
        <f>SUM(OSRRefH22_0x_0)</f>
        <v>16641.18</v>
      </c>
      <c r="I29" s="1"/>
      <c r="J29" s="5">
        <f t="shared" si="16"/>
        <v>3.1422962741126763E-2</v>
      </c>
      <c r="K29" s="1"/>
      <c r="L29" s="1">
        <f t="shared" si="17"/>
        <v>-10237.880000000001</v>
      </c>
      <c r="M29" s="1"/>
      <c r="N29" s="5">
        <f t="shared" si="18"/>
        <v>-0.6152135846135911</v>
      </c>
      <c r="O29" s="14"/>
      <c r="P29" s="1">
        <f>SUM(OSRRefP22_0x_0)</f>
        <v>27366.87</v>
      </c>
      <c r="Q29" s="1"/>
      <c r="R29" s="5">
        <f t="shared" si="19"/>
        <v>10.580779981983165</v>
      </c>
      <c r="S29" s="1"/>
      <c r="T29" s="1">
        <f>SUM(OSRRefT22_0x_0)</f>
        <v>58576.37</v>
      </c>
      <c r="U29" s="1"/>
      <c r="V29" s="5">
        <f t="shared" si="20"/>
        <v>5.2390496272316671E-2</v>
      </c>
      <c r="W29" s="1"/>
      <c r="X29" s="1">
        <f t="shared" si="21"/>
        <v>-31209.500000000004</v>
      </c>
      <c r="Y29" s="1"/>
      <c r="Z29" s="5">
        <f t="shared" si="22"/>
        <v>-0.53280017180989536</v>
      </c>
    </row>
    <row r="30" spans="1:26" s="24" customFormat="1" hidden="1" outlineLevel="2" x14ac:dyDescent="0.25">
      <c r="A30" s="28"/>
      <c r="B30" s="11" t="str">
        <f>CONCATENATE("          ", "6111", " - ", "F.I.C.A.")</f>
        <v xml:space="preserve">          6111 - F.I.C.A.</v>
      </c>
      <c r="C30" s="11"/>
      <c r="D30" s="6">
        <v>1222.23</v>
      </c>
      <c r="E30" s="2"/>
      <c r="F30" s="7">
        <f t="shared" si="15"/>
        <v>0</v>
      </c>
      <c r="G30" s="2"/>
      <c r="H30" s="6">
        <v>4094.42</v>
      </c>
      <c r="I30" s="2"/>
      <c r="J30" s="7">
        <f t="shared" si="16"/>
        <v>7.7313512086597362E-3</v>
      </c>
      <c r="K30" s="2"/>
      <c r="L30" s="6">
        <f t="shared" si="17"/>
        <v>-2872.19</v>
      </c>
      <c r="M30" s="2"/>
      <c r="N30" s="7">
        <f t="shared" si="18"/>
        <v>-0.70148885556440232</v>
      </c>
      <c r="O30" s="11"/>
      <c r="P30" s="6">
        <v>3571.72</v>
      </c>
      <c r="Q30" s="2"/>
      <c r="R30" s="7">
        <f t="shared" si="19"/>
        <v>1.3809245806059995</v>
      </c>
      <c r="S30" s="2"/>
      <c r="T30" s="6">
        <v>10841.96</v>
      </c>
      <c r="U30" s="2"/>
      <c r="V30" s="7">
        <f t="shared" si="20"/>
        <v>9.6970103296705884E-3</v>
      </c>
      <c r="W30" s="2"/>
      <c r="X30" s="6">
        <f t="shared" si="21"/>
        <v>-7270.24</v>
      </c>
      <c r="Y30" s="2"/>
      <c r="Z30" s="7">
        <f t="shared" si="22"/>
        <v>-0.67056510077513665</v>
      </c>
    </row>
    <row r="31" spans="1:26" s="24" customFormat="1" hidden="1" outlineLevel="2" x14ac:dyDescent="0.25">
      <c r="A31" s="28"/>
      <c r="B31" s="11" t="str">
        <f>CONCATENATE("          ", "6112", " - ", "COMPENSATION INSURANCE")</f>
        <v xml:space="preserve">          6112 - COMPENSATION INSURANCE</v>
      </c>
      <c r="C31" s="11"/>
      <c r="D31" s="6">
        <v>163.46</v>
      </c>
      <c r="E31" s="2"/>
      <c r="F31" s="7">
        <f t="shared" si="15"/>
        <v>0</v>
      </c>
      <c r="G31" s="2"/>
      <c r="H31" s="6">
        <v>207.49</v>
      </c>
      <c r="I31" s="2"/>
      <c r="J31" s="7">
        <f t="shared" si="16"/>
        <v>3.9179616704803337E-4</v>
      </c>
      <c r="K31" s="2"/>
      <c r="L31" s="6">
        <f t="shared" si="17"/>
        <v>-44.03</v>
      </c>
      <c r="M31" s="2"/>
      <c r="N31" s="7">
        <f t="shared" si="18"/>
        <v>-0.21220299773483059</v>
      </c>
      <c r="O31" s="11"/>
      <c r="P31" s="6">
        <v>660.16</v>
      </c>
      <c r="Q31" s="2"/>
      <c r="R31" s="7">
        <f t="shared" si="19"/>
        <v>0.25523590066770535</v>
      </c>
      <c r="S31" s="2"/>
      <c r="T31" s="6">
        <v>2867.76</v>
      </c>
      <c r="U31" s="2"/>
      <c r="V31" s="7">
        <f t="shared" si="20"/>
        <v>2.5649143091300958E-3</v>
      </c>
      <c r="W31" s="2"/>
      <c r="X31" s="6">
        <f t="shared" si="21"/>
        <v>-2207.6000000000004</v>
      </c>
      <c r="Y31" s="2"/>
      <c r="Z31" s="7">
        <f t="shared" si="22"/>
        <v>-0.76979942533545354</v>
      </c>
    </row>
    <row r="32" spans="1:26" s="24" customFormat="1" hidden="1" outlineLevel="2" x14ac:dyDescent="0.25">
      <c r="A32" s="28"/>
      <c r="B32" s="11" t="str">
        <f>CONCATENATE("          ", "6113", " - ", "GROUP INSURANCE")</f>
        <v xml:space="preserve">          6113 - GROUP INSURANCE</v>
      </c>
      <c r="C32" s="11"/>
      <c r="D32" s="6">
        <v>2704.94</v>
      </c>
      <c r="E32" s="2"/>
      <c r="F32" s="7">
        <f t="shared" si="15"/>
        <v>0</v>
      </c>
      <c r="G32" s="2"/>
      <c r="H32" s="6">
        <v>6378.17</v>
      </c>
      <c r="I32" s="2"/>
      <c r="J32" s="7">
        <f t="shared" si="16"/>
        <v>1.2043677086995781E-2</v>
      </c>
      <c r="K32" s="2"/>
      <c r="L32" s="6">
        <f t="shared" si="17"/>
        <v>-3673.23</v>
      </c>
      <c r="M32" s="2"/>
      <c r="N32" s="7">
        <f t="shared" si="18"/>
        <v>-0.57590656881205737</v>
      </c>
      <c r="O32" s="11"/>
      <c r="P32" s="6">
        <v>12735.39</v>
      </c>
      <c r="Q32" s="2"/>
      <c r="R32" s="7">
        <f t="shared" si="19"/>
        <v>4.9238498803388397</v>
      </c>
      <c r="S32" s="2"/>
      <c r="T32" s="6">
        <v>25980.329999999998</v>
      </c>
      <c r="U32" s="2"/>
      <c r="V32" s="7">
        <f t="shared" si="20"/>
        <v>2.3236714429701887E-2</v>
      </c>
      <c r="W32" s="2"/>
      <c r="X32" s="6">
        <f t="shared" si="21"/>
        <v>-13244.939999999999</v>
      </c>
      <c r="Y32" s="2"/>
      <c r="Z32" s="7">
        <f t="shared" si="22"/>
        <v>-0.50980645742375097</v>
      </c>
    </row>
    <row r="33" spans="1:26" s="24" customFormat="1" hidden="1" outlineLevel="2" x14ac:dyDescent="0.25">
      <c r="A33" s="28"/>
      <c r="B33" s="11" t="str">
        <f>CONCATENATE("          ", "6114", " - ", "STATE UNEMPLOYMENT INSURANCE")</f>
        <v xml:space="preserve">          6114 - STATE UNEMPLOYMENT INSURANCE</v>
      </c>
      <c r="C33" s="11"/>
      <c r="D33" s="6">
        <v>22.98</v>
      </c>
      <c r="E33" s="2"/>
      <c r="F33" s="7">
        <f t="shared" si="15"/>
        <v>0</v>
      </c>
      <c r="G33" s="2"/>
      <c r="H33" s="6">
        <v>204.24</v>
      </c>
      <c r="I33" s="2"/>
      <c r="J33" s="7">
        <f t="shared" si="16"/>
        <v>3.8565930482380032E-4</v>
      </c>
      <c r="K33" s="2"/>
      <c r="L33" s="6">
        <f t="shared" si="17"/>
        <v>-181.26000000000002</v>
      </c>
      <c r="M33" s="2"/>
      <c r="N33" s="7">
        <f t="shared" si="18"/>
        <v>-0.88748531139835496</v>
      </c>
      <c r="O33" s="11"/>
      <c r="P33" s="6">
        <v>92.8</v>
      </c>
      <c r="Q33" s="2"/>
      <c r="R33" s="7">
        <f t="shared" si="19"/>
        <v>3.5879016574713797E-2</v>
      </c>
      <c r="S33" s="2"/>
      <c r="T33" s="6">
        <v>530.89</v>
      </c>
      <c r="U33" s="2"/>
      <c r="V33" s="7">
        <f t="shared" si="20"/>
        <v>4.7482612128423452E-4</v>
      </c>
      <c r="W33" s="2"/>
      <c r="X33" s="6">
        <f t="shared" si="21"/>
        <v>-438.09</v>
      </c>
      <c r="Y33" s="2"/>
      <c r="Z33" s="7">
        <f t="shared" si="22"/>
        <v>-0.82519919380662654</v>
      </c>
    </row>
    <row r="34" spans="1:26" s="24" customFormat="1" hidden="1" outlineLevel="2" x14ac:dyDescent="0.25">
      <c r="A34" s="28"/>
      <c r="B34" s="11" t="str">
        <f>CONCATENATE("          ", "6115", " - ", "P.E.R.S.")</f>
        <v xml:space="preserve">          6115 - P.E.R.S.</v>
      </c>
      <c r="C34" s="11"/>
      <c r="D34" s="6">
        <v>561.37</v>
      </c>
      <c r="E34" s="2"/>
      <c r="F34" s="7">
        <f t="shared" si="15"/>
        <v>0</v>
      </c>
      <c r="G34" s="2"/>
      <c r="H34" s="6">
        <v>2296.2800000000002</v>
      </c>
      <c r="I34" s="2"/>
      <c r="J34" s="7">
        <f t="shared" si="16"/>
        <v>4.3359858425420887E-3</v>
      </c>
      <c r="K34" s="2"/>
      <c r="L34" s="6">
        <f t="shared" si="17"/>
        <v>-1734.9100000000003</v>
      </c>
      <c r="M34" s="2"/>
      <c r="N34" s="7">
        <f t="shared" si="18"/>
        <v>-0.75553068441130877</v>
      </c>
      <c r="O34" s="11"/>
      <c r="P34" s="6">
        <v>4294.96</v>
      </c>
      <c r="Q34" s="2"/>
      <c r="R34" s="7">
        <f t="shared" si="19"/>
        <v>1.6605489334884995</v>
      </c>
      <c r="S34" s="2"/>
      <c r="T34" s="6">
        <v>6789.98</v>
      </c>
      <c r="U34" s="2"/>
      <c r="V34" s="7">
        <f t="shared" si="20"/>
        <v>6.0729338789533172E-3</v>
      </c>
      <c r="W34" s="2"/>
      <c r="X34" s="6">
        <f t="shared" si="21"/>
        <v>-2495.0199999999995</v>
      </c>
      <c r="Y34" s="2"/>
      <c r="Z34" s="7">
        <f t="shared" si="22"/>
        <v>-0.36745616334657827</v>
      </c>
    </row>
    <row r="35" spans="1:26" s="24" customFormat="1" hidden="1" outlineLevel="2" x14ac:dyDescent="0.25">
      <c r="A35" s="28"/>
      <c r="B35" s="11" t="str">
        <f>CONCATENATE("          ", "6118", " - ", "VACATION")</f>
        <v xml:space="preserve">          6118 - VACATION</v>
      </c>
      <c r="C35" s="11"/>
      <c r="D35" s="6">
        <v>970.17</v>
      </c>
      <c r="E35" s="2"/>
      <c r="F35" s="7">
        <f t="shared" si="15"/>
        <v>0</v>
      </c>
      <c r="G35" s="2"/>
      <c r="H35" s="6">
        <v>1585.47</v>
      </c>
      <c r="I35" s="2"/>
      <c r="J35" s="7">
        <f t="shared" si="16"/>
        <v>2.9937879848168365E-3</v>
      </c>
      <c r="K35" s="2"/>
      <c r="L35" s="6">
        <f t="shared" si="17"/>
        <v>-615.30000000000007</v>
      </c>
      <c r="M35" s="2"/>
      <c r="N35" s="7">
        <f t="shared" si="18"/>
        <v>-0.38808681337395223</v>
      </c>
      <c r="O35" s="11"/>
      <c r="P35" s="6">
        <v>3062.61</v>
      </c>
      <c r="Q35" s="2"/>
      <c r="R35" s="7">
        <f t="shared" si="19"/>
        <v>1.1840887387056489</v>
      </c>
      <c r="S35" s="2"/>
      <c r="T35" s="6">
        <v>5065.3</v>
      </c>
      <c r="U35" s="2"/>
      <c r="V35" s="7">
        <f t="shared" si="20"/>
        <v>4.5303862422366838E-3</v>
      </c>
      <c r="W35" s="2"/>
      <c r="X35" s="6">
        <f t="shared" si="21"/>
        <v>-2002.69</v>
      </c>
      <c r="Y35" s="2"/>
      <c r="Z35" s="7">
        <f t="shared" si="22"/>
        <v>-0.39537441020275205</v>
      </c>
    </row>
    <row r="36" spans="1:26" s="24" customFormat="1" hidden="1" outlineLevel="2" x14ac:dyDescent="0.25">
      <c r="A36" s="28"/>
      <c r="B36" s="11" t="str">
        <f>CONCATENATE("          ", "6119", " - ", "SICK LEAVE")</f>
        <v xml:space="preserve">          6119 - SICK LEAVE</v>
      </c>
      <c r="C36" s="11"/>
      <c r="D36" s="6">
        <v>672.96</v>
      </c>
      <c r="E36" s="2"/>
      <c r="F36" s="7">
        <f t="shared" si="15"/>
        <v>0</v>
      </c>
      <c r="G36" s="2"/>
      <c r="H36" s="6">
        <v>1182.18</v>
      </c>
      <c r="I36" s="2"/>
      <c r="J36" s="7">
        <f t="shared" si="16"/>
        <v>2.2322694720750113E-3</v>
      </c>
      <c r="K36" s="2"/>
      <c r="L36" s="6">
        <f t="shared" si="17"/>
        <v>-509.22</v>
      </c>
      <c r="M36" s="2"/>
      <c r="N36" s="7">
        <f t="shared" si="18"/>
        <v>-0.43074658681419076</v>
      </c>
      <c r="O36" s="11"/>
      <c r="P36" s="6">
        <v>2222.86</v>
      </c>
      <c r="Q36" s="2"/>
      <c r="R36" s="7">
        <f t="shared" si="19"/>
        <v>0.8594184351645292</v>
      </c>
      <c r="S36" s="2"/>
      <c r="T36" s="6">
        <v>3950.96</v>
      </c>
      <c r="U36" s="2"/>
      <c r="V36" s="7">
        <f t="shared" si="20"/>
        <v>3.533724523251821E-3</v>
      </c>
      <c r="W36" s="2"/>
      <c r="X36" s="6">
        <f t="shared" si="21"/>
        <v>-1728.1</v>
      </c>
      <c r="Y36" s="2"/>
      <c r="Z36" s="7">
        <f t="shared" si="22"/>
        <v>-0.43738736914572657</v>
      </c>
    </row>
    <row r="37" spans="1:26" s="24" customFormat="1" hidden="1" outlineLevel="2" x14ac:dyDescent="0.25">
      <c r="A37" s="28"/>
      <c r="B37" s="11" t="str">
        <f>CONCATENATE("          ", "6156", " - ", "EMPLOYEE MEALS")</f>
        <v xml:space="preserve">          6156 - EMPLOYEE MEALS</v>
      </c>
      <c r="C37" s="11"/>
      <c r="D37" s="6">
        <v>85.19</v>
      </c>
      <c r="E37" s="2"/>
      <c r="F37" s="7">
        <f t="shared" si="15"/>
        <v>0</v>
      </c>
      <c r="G37" s="2"/>
      <c r="H37" s="6">
        <v>692.93</v>
      </c>
      <c r="I37" s="2"/>
      <c r="J37" s="7">
        <f t="shared" si="16"/>
        <v>1.3084356741654716E-3</v>
      </c>
      <c r="K37" s="2"/>
      <c r="L37" s="6">
        <f t="shared" si="17"/>
        <v>-607.74</v>
      </c>
      <c r="M37" s="2"/>
      <c r="N37" s="7">
        <f t="shared" si="18"/>
        <v>-0.87705828871603198</v>
      </c>
      <c r="O37" s="11"/>
      <c r="P37" s="6">
        <v>726.37</v>
      </c>
      <c r="Q37" s="2"/>
      <c r="R37" s="7">
        <f t="shared" si="19"/>
        <v>0.28083449643722908</v>
      </c>
      <c r="S37" s="2"/>
      <c r="T37" s="6">
        <v>2549.19</v>
      </c>
      <c r="U37" s="2"/>
      <c r="V37" s="7">
        <f t="shared" si="20"/>
        <v>2.2799864380880367E-3</v>
      </c>
      <c r="W37" s="2"/>
      <c r="X37" s="6">
        <f t="shared" si="21"/>
        <v>-1822.8200000000002</v>
      </c>
      <c r="Y37" s="2"/>
      <c r="Z37" s="7">
        <f t="shared" si="22"/>
        <v>-0.71505850878122079</v>
      </c>
    </row>
    <row r="38" spans="1:26" s="29" customFormat="1" outlineLevel="1" collapsed="1" x14ac:dyDescent="0.25">
      <c r="A38" s="27"/>
      <c r="B38" s="14" t="str">
        <f>CONCATENATE("     ","*Payroll                                          ")</f>
        <v xml:space="preserve">     *Payroll                                          </v>
      </c>
      <c r="C38" s="14"/>
      <c r="D38" s="1">
        <f>SUM(OSRRefD22_1x_0)</f>
        <v>5318.8899999999994</v>
      </c>
      <c r="E38" s="1"/>
      <c r="F38" s="5">
        <f t="shared" ref="F38:F44" si="23">IF(D$12=0,0,D38/D$12)</f>
        <v>0</v>
      </c>
      <c r="G38" s="1"/>
      <c r="H38" s="1">
        <f>SUM(OSRRefH22_1x_0)</f>
        <v>79026.5</v>
      </c>
      <c r="I38" s="1"/>
      <c r="J38" s="5">
        <f t="shared" ref="J38:J44" si="24">IF(H$12=0,0,H38/H$12)</f>
        <v>0.14922299771180011</v>
      </c>
      <c r="K38" s="1"/>
      <c r="L38" s="1">
        <f t="shared" ref="L38:L44" si="25">+D38-H38</f>
        <v>-73707.61</v>
      </c>
      <c r="M38" s="1"/>
      <c r="N38" s="5">
        <f t="shared" ref="N38:N44" si="26">IF(H38=0,0,L38/H38)</f>
        <v>-0.93269485552314735</v>
      </c>
      <c r="O38" s="14"/>
      <c r="P38" s="1">
        <f>SUM(OSRRefP22_1x_0)</f>
        <v>37791.380000000005</v>
      </c>
      <c r="Q38" s="1"/>
      <c r="R38" s="5">
        <f t="shared" ref="R38:R44" si="27">IF(P$12=0,0,P38/P$12)</f>
        <v>14.611180489238228</v>
      </c>
      <c r="S38" s="1"/>
      <c r="T38" s="1">
        <f>SUM(OSRRefT22_1x_0)</f>
        <v>220271.55000000002</v>
      </c>
      <c r="U38" s="1"/>
      <c r="V38" s="5">
        <f t="shared" ref="V38:V44" si="28">IF(T$12=0,0,T38/T$12)</f>
        <v>0.19701008818355278</v>
      </c>
      <c r="W38" s="1"/>
      <c r="X38" s="1">
        <f t="shared" ref="X38:X44" si="29">+P38-T38</f>
        <v>-182480.17</v>
      </c>
      <c r="Y38" s="1"/>
      <c r="Z38" s="5">
        <f t="shared" ref="Z38:Z44" si="30">IF(T38=0,0,X38/T38)</f>
        <v>-0.82843276855317904</v>
      </c>
    </row>
    <row r="39" spans="1:26" s="24" customFormat="1" hidden="1" outlineLevel="2" x14ac:dyDescent="0.25">
      <c r="A39" s="28"/>
      <c r="B39" s="11" t="str">
        <f>CONCATENATE("          ", "6002", " - ", "STAFF SALARIES")</f>
        <v xml:space="preserve">          6002 - STAFF SALARIES</v>
      </c>
      <c r="C39" s="11"/>
      <c r="D39" s="6">
        <v>5319.03</v>
      </c>
      <c r="E39" s="2"/>
      <c r="F39" s="7">
        <f t="shared" si="23"/>
        <v>0</v>
      </c>
      <c r="G39" s="2"/>
      <c r="H39" s="6">
        <v>19893.990000000002</v>
      </c>
      <c r="I39" s="2"/>
      <c r="J39" s="7">
        <f t="shared" si="24"/>
        <v>3.7565130990852118E-2</v>
      </c>
      <c r="K39" s="2"/>
      <c r="L39" s="6">
        <f t="shared" si="25"/>
        <v>-14574.960000000003</v>
      </c>
      <c r="M39" s="2"/>
      <c r="N39" s="7">
        <f t="shared" si="26"/>
        <v>-0.73263131227069089</v>
      </c>
      <c r="O39" s="11"/>
      <c r="P39" s="6">
        <v>35659.420000000006</v>
      </c>
      <c r="Q39" s="2"/>
      <c r="R39" s="7">
        <f t="shared" si="27"/>
        <v>13.786906478714233</v>
      </c>
      <c r="S39" s="2"/>
      <c r="T39" s="6">
        <v>71066.680000000008</v>
      </c>
      <c r="U39" s="2"/>
      <c r="V39" s="7">
        <f t="shared" si="28"/>
        <v>6.3561784959121265E-2</v>
      </c>
      <c r="W39" s="2"/>
      <c r="X39" s="6">
        <f t="shared" si="29"/>
        <v>-35407.26</v>
      </c>
      <c r="Y39" s="2"/>
      <c r="Z39" s="7">
        <f t="shared" si="30"/>
        <v>-0.49822589151484209</v>
      </c>
    </row>
    <row r="40" spans="1:26" s="24" customFormat="1" hidden="1" outlineLevel="2" x14ac:dyDescent="0.25">
      <c r="A40" s="28"/>
      <c r="B40" s="11" t="str">
        <f>CONCATENATE("          ", "6004", " - ", "STAFF HOURLY")</f>
        <v xml:space="preserve">          6004 - STAFF HOURLY</v>
      </c>
      <c r="C40" s="11"/>
      <c r="D40" s="6"/>
      <c r="E40" s="2"/>
      <c r="F40" s="7">
        <f t="shared" si="23"/>
        <v>0</v>
      </c>
      <c r="G40" s="2"/>
      <c r="H40" s="6"/>
      <c r="I40" s="2"/>
      <c r="J40" s="7">
        <f t="shared" si="24"/>
        <v>0</v>
      </c>
      <c r="K40" s="2"/>
      <c r="L40" s="6">
        <f t="shared" si="25"/>
        <v>0</v>
      </c>
      <c r="M40" s="2"/>
      <c r="N40" s="7">
        <f t="shared" si="26"/>
        <v>0</v>
      </c>
      <c r="O40" s="11"/>
      <c r="P40" s="6"/>
      <c r="Q40" s="2"/>
      <c r="R40" s="7">
        <f t="shared" si="27"/>
        <v>0</v>
      </c>
      <c r="S40" s="2"/>
      <c r="T40" s="6">
        <v>254.64</v>
      </c>
      <c r="U40" s="2"/>
      <c r="V40" s="7">
        <f t="shared" si="28"/>
        <v>2.2774910720453856E-4</v>
      </c>
      <c r="W40" s="2"/>
      <c r="X40" s="6">
        <f t="shared" si="29"/>
        <v>-254.64</v>
      </c>
      <c r="Y40" s="2"/>
      <c r="Z40" s="7">
        <f t="shared" si="30"/>
        <v>-1</v>
      </c>
    </row>
    <row r="41" spans="1:26" s="24" customFormat="1" hidden="1" outlineLevel="2" x14ac:dyDescent="0.25">
      <c r="A41" s="28"/>
      <c r="B41" s="11" t="str">
        <f>CONCATENATE("          ", "6005", " - ", "TEMPORARY WAGES-HOURLY")</f>
        <v xml:space="preserve">          6005 - TEMPORARY WAGES-HOURLY</v>
      </c>
      <c r="C41" s="11"/>
      <c r="D41" s="6">
        <v>347.86</v>
      </c>
      <c r="E41" s="2"/>
      <c r="F41" s="7">
        <f t="shared" si="23"/>
        <v>0</v>
      </c>
      <c r="G41" s="2"/>
      <c r="H41" s="6">
        <v>10771.75</v>
      </c>
      <c r="I41" s="2"/>
      <c r="J41" s="7">
        <f t="shared" si="24"/>
        <v>2.0339921742732917E-2</v>
      </c>
      <c r="K41" s="2"/>
      <c r="L41" s="6">
        <f t="shared" si="25"/>
        <v>-10423.89</v>
      </c>
      <c r="M41" s="2"/>
      <c r="N41" s="7">
        <f t="shared" si="26"/>
        <v>-0.96770626871214049</v>
      </c>
      <c r="O41" s="11"/>
      <c r="P41" s="6">
        <v>2131.96</v>
      </c>
      <c r="Q41" s="2"/>
      <c r="R41" s="7">
        <f t="shared" si="27"/>
        <v>0.82427401052399596</v>
      </c>
      <c r="S41" s="2"/>
      <c r="T41" s="6">
        <v>27163.06</v>
      </c>
      <c r="U41" s="2"/>
      <c r="V41" s="7">
        <f t="shared" si="28"/>
        <v>2.4294543920606794E-2</v>
      </c>
      <c r="W41" s="2"/>
      <c r="X41" s="6">
        <f t="shared" si="29"/>
        <v>-25031.100000000002</v>
      </c>
      <c r="Y41" s="2"/>
      <c r="Z41" s="7">
        <f t="shared" si="30"/>
        <v>-0.92151252473027712</v>
      </c>
    </row>
    <row r="42" spans="1:26" s="24" customFormat="1" hidden="1" outlineLevel="2" x14ac:dyDescent="0.25">
      <c r="A42" s="28"/>
      <c r="B42" s="11" t="str">
        <f>CONCATENATE("          ", "6006", " - ", "TEMPORARY PART TIME")</f>
        <v xml:space="preserve">          6006 - TEMPORARY PART TIME</v>
      </c>
      <c r="C42" s="11"/>
      <c r="D42" s="6"/>
      <c r="E42" s="2"/>
      <c r="F42" s="7">
        <f t="shared" si="23"/>
        <v>0</v>
      </c>
      <c r="G42" s="2"/>
      <c r="H42" s="6">
        <v>3345.47</v>
      </c>
      <c r="I42" s="2"/>
      <c r="J42" s="7">
        <f t="shared" si="24"/>
        <v>6.3171349124014845E-3</v>
      </c>
      <c r="K42" s="2"/>
      <c r="L42" s="6">
        <f t="shared" si="25"/>
        <v>-3345.47</v>
      </c>
      <c r="M42" s="2"/>
      <c r="N42" s="7">
        <f t="shared" si="26"/>
        <v>-1</v>
      </c>
      <c r="O42" s="11"/>
      <c r="P42" s="6"/>
      <c r="Q42" s="2"/>
      <c r="R42" s="7">
        <f t="shared" si="27"/>
        <v>0</v>
      </c>
      <c r="S42" s="2"/>
      <c r="T42" s="6">
        <v>6689.07</v>
      </c>
      <c r="U42" s="2"/>
      <c r="V42" s="7">
        <f t="shared" si="28"/>
        <v>5.982680335095282E-3</v>
      </c>
      <c r="W42" s="2"/>
      <c r="X42" s="6">
        <f t="shared" si="29"/>
        <v>-6689.07</v>
      </c>
      <c r="Y42" s="2"/>
      <c r="Z42" s="7">
        <f t="shared" si="30"/>
        <v>-1</v>
      </c>
    </row>
    <row r="43" spans="1:26" s="24" customFormat="1" hidden="1" outlineLevel="2" x14ac:dyDescent="0.25">
      <c r="A43" s="28"/>
      <c r="B43" s="11" t="str">
        <f>CONCATENATE("          ", "6007", " - ", "STUDENT HOURLY")</f>
        <v xml:space="preserve">          6007 - STUDENT HOURLY</v>
      </c>
      <c r="C43" s="11"/>
      <c r="D43" s="6">
        <v>-348</v>
      </c>
      <c r="E43" s="2"/>
      <c r="F43" s="7">
        <f t="shared" si="23"/>
        <v>0</v>
      </c>
      <c r="G43" s="2"/>
      <c r="H43" s="6">
        <v>43455.29</v>
      </c>
      <c r="I43" s="2"/>
      <c r="J43" s="7">
        <f t="shared" si="24"/>
        <v>8.205511619818176E-2</v>
      </c>
      <c r="K43" s="2"/>
      <c r="L43" s="6">
        <f t="shared" si="25"/>
        <v>-43803.29</v>
      </c>
      <c r="M43" s="2"/>
      <c r="N43" s="7">
        <f t="shared" si="26"/>
        <v>-1.0080082309886782</v>
      </c>
      <c r="O43" s="11"/>
      <c r="P43" s="6">
        <v>0</v>
      </c>
      <c r="Q43" s="2"/>
      <c r="R43" s="7">
        <f t="shared" si="27"/>
        <v>0</v>
      </c>
      <c r="S43" s="2"/>
      <c r="T43" s="6">
        <v>108250.31</v>
      </c>
      <c r="U43" s="2"/>
      <c r="V43" s="7">
        <f t="shared" si="28"/>
        <v>9.6818690924892134E-2</v>
      </c>
      <c r="W43" s="2"/>
      <c r="X43" s="6">
        <f t="shared" si="29"/>
        <v>-108250.31</v>
      </c>
      <c r="Y43" s="2"/>
      <c r="Z43" s="7">
        <f t="shared" si="30"/>
        <v>-1</v>
      </c>
    </row>
    <row r="44" spans="1:26" s="24" customFormat="1" hidden="1" outlineLevel="2" x14ac:dyDescent="0.25">
      <c r="A44" s="28"/>
      <c r="B44" s="11" t="str">
        <f>CONCATENATE("          ", "6008", " - ", "STUDENT HOURLY-FICA EXEMPT")</f>
        <v xml:space="preserve">          6008 - STUDENT HOURLY-FICA EXEMPT</v>
      </c>
      <c r="C44" s="11"/>
      <c r="D44" s="6"/>
      <c r="E44" s="2"/>
      <c r="F44" s="7">
        <f t="shared" si="23"/>
        <v>0</v>
      </c>
      <c r="G44" s="2"/>
      <c r="H44" s="6">
        <v>1560</v>
      </c>
      <c r="I44" s="2"/>
      <c r="J44" s="7">
        <f t="shared" si="24"/>
        <v>2.9456938676318471E-3</v>
      </c>
      <c r="K44" s="2"/>
      <c r="L44" s="6">
        <f t="shared" si="25"/>
        <v>-1560</v>
      </c>
      <c r="M44" s="2"/>
      <c r="N44" s="7">
        <f t="shared" si="26"/>
        <v>-1</v>
      </c>
      <c r="O44" s="11"/>
      <c r="P44" s="6"/>
      <c r="Q44" s="2"/>
      <c r="R44" s="7">
        <f t="shared" si="27"/>
        <v>0</v>
      </c>
      <c r="S44" s="2"/>
      <c r="T44" s="6">
        <v>6847.79</v>
      </c>
      <c r="U44" s="2"/>
      <c r="V44" s="7">
        <f t="shared" si="28"/>
        <v>6.1246389366327644E-3</v>
      </c>
      <c r="W44" s="2"/>
      <c r="X44" s="6">
        <f t="shared" si="29"/>
        <v>-6847.79</v>
      </c>
      <c r="Y44" s="2"/>
      <c r="Z44" s="7">
        <f t="shared" si="30"/>
        <v>-1</v>
      </c>
    </row>
    <row r="45" spans="1:26" s="29" customFormat="1" outlineLevel="1" collapsed="1" x14ac:dyDescent="0.25">
      <c r="A45" s="27"/>
      <c r="B45" s="14" t="str">
        <f>CONCATENATE("     ","Advertising/Promo                                 ")</f>
        <v xml:space="preserve">     Advertising/Promo                                 </v>
      </c>
      <c r="C45" s="14"/>
      <c r="D45" s="1">
        <f>SUM(OSRRefD22_2x_0)</f>
        <v>0</v>
      </c>
      <c r="E45" s="1"/>
      <c r="F45" s="5">
        <f t="shared" ref="F45:F53" si="31">IF(D$12=0,0,D45/D$12)</f>
        <v>0</v>
      </c>
      <c r="G45" s="1"/>
      <c r="H45" s="1">
        <f>SUM(OSRRefH22_2x_0)</f>
        <v>434.42</v>
      </c>
      <c r="I45" s="1"/>
      <c r="J45" s="5">
        <f t="shared" ref="J45:J53" si="32">IF(H$12=0,0,H45/H$12)</f>
        <v>8.203002115234789E-4</v>
      </c>
      <c r="K45" s="1"/>
      <c r="L45" s="1">
        <f t="shared" ref="L45:L53" si="33">+D45-H45</f>
        <v>-434.42</v>
      </c>
      <c r="M45" s="1"/>
      <c r="N45" s="5">
        <f t="shared" ref="N45:N53" si="34">IF(H45=0,0,L45/H45)</f>
        <v>-1</v>
      </c>
      <c r="O45" s="14"/>
      <c r="P45" s="1">
        <f>SUM(OSRRefP22_2x_0)</f>
        <v>0</v>
      </c>
      <c r="Q45" s="1"/>
      <c r="R45" s="5">
        <f t="shared" ref="R45:R53" si="35">IF(P$12=0,0,P45/P$12)</f>
        <v>0</v>
      </c>
      <c r="S45" s="1"/>
      <c r="T45" s="1">
        <f>SUM(OSRRefT22_2x_0)</f>
        <v>1052.94</v>
      </c>
      <c r="U45" s="1"/>
      <c r="V45" s="5">
        <f t="shared" ref="V45:V53" si="36">IF(T$12=0,0,T45/T$12)</f>
        <v>9.4174577811791886E-4</v>
      </c>
      <c r="W45" s="1"/>
      <c r="X45" s="1">
        <f t="shared" ref="X45:X53" si="37">+P45-T45</f>
        <v>-1052.94</v>
      </c>
      <c r="Y45" s="1"/>
      <c r="Z45" s="5">
        <f t="shared" ref="Z45:Z53" si="38">IF(T45=0,0,X45/T45)</f>
        <v>-1</v>
      </c>
    </row>
    <row r="46" spans="1:26" s="24" customFormat="1" hidden="1" outlineLevel="2" x14ac:dyDescent="0.25">
      <c r="A46" s="28"/>
      <c r="B46" s="11" t="str">
        <f>CONCATENATE("          ", "6362", " - ", "ADVERTISING EXPENSE")</f>
        <v xml:space="preserve">          6362 - ADVERTISING EXPENSE</v>
      </c>
      <c r="C46" s="11"/>
      <c r="D46" s="6"/>
      <c r="E46" s="2"/>
      <c r="F46" s="7">
        <f t="shared" si="31"/>
        <v>0</v>
      </c>
      <c r="G46" s="2"/>
      <c r="H46" s="6">
        <v>434.42</v>
      </c>
      <c r="I46" s="2"/>
      <c r="J46" s="7">
        <f t="shared" si="32"/>
        <v>8.203002115234789E-4</v>
      </c>
      <c r="K46" s="2"/>
      <c r="L46" s="6">
        <f t="shared" si="33"/>
        <v>-434.42</v>
      </c>
      <c r="M46" s="2"/>
      <c r="N46" s="7">
        <f t="shared" si="34"/>
        <v>-1</v>
      </c>
      <c r="O46" s="11"/>
      <c r="P46" s="6"/>
      <c r="Q46" s="2"/>
      <c r="R46" s="7">
        <f t="shared" si="35"/>
        <v>0</v>
      </c>
      <c r="S46" s="2"/>
      <c r="T46" s="6">
        <v>1052.94</v>
      </c>
      <c r="U46" s="2"/>
      <c r="V46" s="7">
        <f t="shared" si="36"/>
        <v>9.4174577811791886E-4</v>
      </c>
      <c r="W46" s="2"/>
      <c r="X46" s="6">
        <f t="shared" si="37"/>
        <v>-1052.94</v>
      </c>
      <c r="Y46" s="2"/>
      <c r="Z46" s="7">
        <f t="shared" si="38"/>
        <v>-1</v>
      </c>
    </row>
    <row r="47" spans="1:26" s="29" customFormat="1" outlineLevel="1" collapsed="1" x14ac:dyDescent="0.25">
      <c r="A47" s="27"/>
      <c r="B47" s="14" t="str">
        <f>CONCATENATE("     ","Bad Debts/Over/Short                              ")</f>
        <v xml:space="preserve">     Bad Debts/Over/Short                              </v>
      </c>
      <c r="C47" s="14"/>
      <c r="D47" s="1">
        <f>SUM(OSRRefD22_3x_0)</f>
        <v>0</v>
      </c>
      <c r="E47" s="1"/>
      <c r="F47" s="5">
        <f t="shared" si="31"/>
        <v>0</v>
      </c>
      <c r="G47" s="1"/>
      <c r="H47" s="1">
        <f>SUM(OSRRefH22_3x_0)</f>
        <v>-54.11</v>
      </c>
      <c r="I47" s="1"/>
      <c r="J47" s="5">
        <f t="shared" si="32"/>
        <v>-1.0217403537023029E-4</v>
      </c>
      <c r="K47" s="1"/>
      <c r="L47" s="1">
        <f t="shared" si="33"/>
        <v>54.11</v>
      </c>
      <c r="M47" s="1"/>
      <c r="N47" s="5">
        <f t="shared" si="34"/>
        <v>-1</v>
      </c>
      <c r="O47" s="14"/>
      <c r="P47" s="1">
        <f>SUM(OSRRefP22_3x_0)</f>
        <v>3.31</v>
      </c>
      <c r="Q47" s="1"/>
      <c r="R47" s="5">
        <f t="shared" si="35"/>
        <v>1.2797364748092959E-3</v>
      </c>
      <c r="S47" s="1"/>
      <c r="T47" s="1">
        <f>SUM(OSRRefT22_3x_0)</f>
        <v>-190.95</v>
      </c>
      <c r="U47" s="1"/>
      <c r="V47" s="5">
        <f t="shared" si="36"/>
        <v>-1.7078499851047219E-4</v>
      </c>
      <c r="W47" s="1"/>
      <c r="X47" s="1">
        <f t="shared" si="37"/>
        <v>194.26</v>
      </c>
      <c r="Y47" s="1"/>
      <c r="Z47" s="5">
        <f t="shared" si="38"/>
        <v>-1.0173343807279394</v>
      </c>
    </row>
    <row r="48" spans="1:26" s="24" customFormat="1" hidden="1" outlineLevel="2" x14ac:dyDescent="0.25">
      <c r="A48" s="28"/>
      <c r="B48" s="11" t="str">
        <f>CONCATENATE("          ", "6272", " - ", "CASH (OVER/SHORT)")</f>
        <v xml:space="preserve">          6272 - CASH (OVER/SHORT)</v>
      </c>
      <c r="C48" s="11"/>
      <c r="D48" s="6"/>
      <c r="E48" s="2"/>
      <c r="F48" s="7">
        <f t="shared" si="31"/>
        <v>0</v>
      </c>
      <c r="G48" s="2"/>
      <c r="H48" s="6">
        <v>-54.11</v>
      </c>
      <c r="I48" s="2"/>
      <c r="J48" s="7">
        <f t="shared" si="32"/>
        <v>-1.0217403537023029E-4</v>
      </c>
      <c r="K48" s="2"/>
      <c r="L48" s="6">
        <f t="shared" si="33"/>
        <v>54.11</v>
      </c>
      <c r="M48" s="2"/>
      <c r="N48" s="7">
        <f t="shared" si="34"/>
        <v>-1</v>
      </c>
      <c r="O48" s="11"/>
      <c r="P48" s="6">
        <v>3.31</v>
      </c>
      <c r="Q48" s="2"/>
      <c r="R48" s="7">
        <f t="shared" si="35"/>
        <v>1.2797364748092959E-3</v>
      </c>
      <c r="S48" s="2"/>
      <c r="T48" s="6">
        <v>-190.95</v>
      </c>
      <c r="U48" s="2"/>
      <c r="V48" s="7">
        <f t="shared" si="36"/>
        <v>-1.7078499851047219E-4</v>
      </c>
      <c r="W48" s="2"/>
      <c r="X48" s="6">
        <f t="shared" si="37"/>
        <v>194.26</v>
      </c>
      <c r="Y48" s="2"/>
      <c r="Z48" s="7">
        <f t="shared" si="38"/>
        <v>-1.0173343807279394</v>
      </c>
    </row>
    <row r="49" spans="1:26" s="29" customFormat="1" outlineLevel="1" collapsed="1" x14ac:dyDescent="0.25">
      <c r="A49" s="27"/>
      <c r="B49" s="14" t="str">
        <f>CONCATENATE("     ","Bank/card Fees                                    ")</f>
        <v xml:space="preserve">     Bank/card Fees                                    </v>
      </c>
      <c r="C49" s="14"/>
      <c r="D49" s="1">
        <f>SUM(OSRRefD22_4x_0)</f>
        <v>204.06</v>
      </c>
      <c r="E49" s="1"/>
      <c r="F49" s="5">
        <f t="shared" si="31"/>
        <v>0</v>
      </c>
      <c r="G49" s="1"/>
      <c r="H49" s="1">
        <f>SUM(OSRRefH22_4x_0)</f>
        <v>17899.3</v>
      </c>
      <c r="I49" s="1"/>
      <c r="J49" s="5">
        <f t="shared" si="32"/>
        <v>3.3798627080065848E-2</v>
      </c>
      <c r="K49" s="1"/>
      <c r="L49" s="1">
        <f t="shared" si="33"/>
        <v>-17695.239999999998</v>
      </c>
      <c r="M49" s="1"/>
      <c r="N49" s="5">
        <f t="shared" si="34"/>
        <v>-0.98859955417250944</v>
      </c>
      <c r="O49" s="14"/>
      <c r="P49" s="1">
        <f>SUM(OSRRefP22_4x_0)</f>
        <v>434.24</v>
      </c>
      <c r="Q49" s="1"/>
      <c r="R49" s="5">
        <f t="shared" si="35"/>
        <v>0.1678890534202987</v>
      </c>
      <c r="S49" s="1"/>
      <c r="T49" s="1">
        <f>SUM(OSRRefT22_4x_0)</f>
        <v>37759.35</v>
      </c>
      <c r="U49" s="1"/>
      <c r="V49" s="5">
        <f t="shared" si="36"/>
        <v>3.3771827879059427E-2</v>
      </c>
      <c r="W49" s="1"/>
      <c r="X49" s="1">
        <f t="shared" si="37"/>
        <v>-37325.11</v>
      </c>
      <c r="Y49" s="1"/>
      <c r="Z49" s="5">
        <f t="shared" si="38"/>
        <v>-0.98849980203578725</v>
      </c>
    </row>
    <row r="50" spans="1:26" s="24" customFormat="1" hidden="1" outlineLevel="2" x14ac:dyDescent="0.25">
      <c r="A50" s="28"/>
      <c r="B50" s="11" t="str">
        <f>CONCATENATE("          ", "6381", " - ", "BANK/CREDIT CARD FEES")</f>
        <v xml:space="preserve">          6381 - BANK/CREDIT CARD FEES</v>
      </c>
      <c r="C50" s="11"/>
      <c r="D50" s="6">
        <v>204.06</v>
      </c>
      <c r="E50" s="2"/>
      <c r="F50" s="7">
        <f t="shared" si="31"/>
        <v>0</v>
      </c>
      <c r="G50" s="2"/>
      <c r="H50" s="6">
        <v>17899.3</v>
      </c>
      <c r="I50" s="2"/>
      <c r="J50" s="7">
        <f t="shared" si="32"/>
        <v>3.3798627080065848E-2</v>
      </c>
      <c r="K50" s="2"/>
      <c r="L50" s="6">
        <f t="shared" si="33"/>
        <v>-17695.239999999998</v>
      </c>
      <c r="M50" s="2"/>
      <c r="N50" s="7">
        <f t="shared" si="34"/>
        <v>-0.98859955417250944</v>
      </c>
      <c r="O50" s="11"/>
      <c r="P50" s="6">
        <v>434.24</v>
      </c>
      <c r="Q50" s="2"/>
      <c r="R50" s="7">
        <f t="shared" si="35"/>
        <v>0.1678890534202987</v>
      </c>
      <c r="S50" s="2"/>
      <c r="T50" s="6">
        <v>37759.35</v>
      </c>
      <c r="U50" s="2"/>
      <c r="V50" s="7">
        <f t="shared" si="36"/>
        <v>3.3771827879059427E-2</v>
      </c>
      <c r="W50" s="2"/>
      <c r="X50" s="6">
        <f t="shared" si="37"/>
        <v>-37325.11</v>
      </c>
      <c r="Y50" s="2"/>
      <c r="Z50" s="7">
        <f t="shared" si="38"/>
        <v>-0.98849980203578725</v>
      </c>
    </row>
    <row r="51" spans="1:26" s="29" customFormat="1" outlineLevel="1" collapsed="1" x14ac:dyDescent="0.25">
      <c r="A51" s="27"/>
      <c r="B51" s="14" t="str">
        <f>CONCATENATE("     ","Depreciation                                      ")</f>
        <v xml:space="preserve">     Depreciation                                      </v>
      </c>
      <c r="C51" s="14"/>
      <c r="D51" s="1">
        <f>SUM(OSRRefD22_5x_0)</f>
        <v>9263.4500000000007</v>
      </c>
      <c r="E51" s="1"/>
      <c r="F51" s="5">
        <f t="shared" si="31"/>
        <v>0</v>
      </c>
      <c r="G51" s="1"/>
      <c r="H51" s="1">
        <f>SUM(OSRRefH22_5x_0)</f>
        <v>8403.48</v>
      </c>
      <c r="I51" s="1"/>
      <c r="J51" s="5">
        <f t="shared" si="32"/>
        <v>1.5867999681260816E-2</v>
      </c>
      <c r="K51" s="1"/>
      <c r="L51" s="1">
        <f t="shared" si="33"/>
        <v>859.97000000000116</v>
      </c>
      <c r="M51" s="1"/>
      <c r="N51" s="5">
        <f t="shared" si="34"/>
        <v>0.10233498503001152</v>
      </c>
      <c r="O51" s="14"/>
      <c r="P51" s="1">
        <f>SUM(OSRRefP22_5x_0)</f>
        <v>36789.64</v>
      </c>
      <c r="Q51" s="1"/>
      <c r="R51" s="5">
        <f t="shared" si="35"/>
        <v>14.223880423898207</v>
      </c>
      <c r="S51" s="1"/>
      <c r="T51" s="1">
        <f>SUM(OSRRefT22_5x_0)</f>
        <v>33613.919999999998</v>
      </c>
      <c r="U51" s="1"/>
      <c r="V51" s="5">
        <f t="shared" si="36"/>
        <v>3.0064170081859812E-2</v>
      </c>
      <c r="W51" s="1"/>
      <c r="X51" s="1">
        <f t="shared" si="37"/>
        <v>3175.7200000000012</v>
      </c>
      <c r="Y51" s="1"/>
      <c r="Z51" s="5">
        <f t="shared" si="38"/>
        <v>9.4476335994135796E-2</v>
      </c>
    </row>
    <row r="52" spans="1:26" s="24" customFormat="1" hidden="1" outlineLevel="2" x14ac:dyDescent="0.25">
      <c r="A52" s="28"/>
      <c r="B52" s="11" t="str">
        <f>CONCATENATE("          ", "6321", " - ", "BUILDING DEPRECIATION")</f>
        <v xml:space="preserve">          6321 - BUILDING DEPRECIATION</v>
      </c>
      <c r="C52" s="11"/>
      <c r="D52" s="6">
        <v>5080.51</v>
      </c>
      <c r="E52" s="2"/>
      <c r="F52" s="7">
        <f t="shared" si="31"/>
        <v>0</v>
      </c>
      <c r="G52" s="2"/>
      <c r="H52" s="6">
        <v>5080.51</v>
      </c>
      <c r="I52" s="2"/>
      <c r="J52" s="7">
        <f t="shared" si="32"/>
        <v>9.5933507381040246E-3</v>
      </c>
      <c r="K52" s="2"/>
      <c r="L52" s="6">
        <f t="shared" si="33"/>
        <v>0</v>
      </c>
      <c r="M52" s="2"/>
      <c r="N52" s="7">
        <f t="shared" si="34"/>
        <v>0</v>
      </c>
      <c r="O52" s="11"/>
      <c r="P52" s="6">
        <v>20322.04</v>
      </c>
      <c r="Q52" s="2"/>
      <c r="R52" s="7">
        <f t="shared" si="35"/>
        <v>7.8570561421551375</v>
      </c>
      <c r="S52" s="2"/>
      <c r="T52" s="6">
        <v>20322.04</v>
      </c>
      <c r="U52" s="2"/>
      <c r="V52" s="7">
        <f t="shared" si="36"/>
        <v>1.8175960047812287E-2</v>
      </c>
      <c r="W52" s="2"/>
      <c r="X52" s="6">
        <f t="shared" si="37"/>
        <v>0</v>
      </c>
      <c r="Y52" s="2"/>
      <c r="Z52" s="7">
        <f t="shared" si="38"/>
        <v>0</v>
      </c>
    </row>
    <row r="53" spans="1:26" s="24" customFormat="1" hidden="1" outlineLevel="2" x14ac:dyDescent="0.25">
      <c r="A53" s="28"/>
      <c r="B53" s="11" t="str">
        <f>CONCATENATE("          ", "6322", " - ", "EQUIPMENT DEPRECIATION EXPENSE")</f>
        <v xml:space="preserve">          6322 - EQUIPMENT DEPRECIATION EXPENSE</v>
      </c>
      <c r="C53" s="11"/>
      <c r="D53" s="6">
        <v>4182.9399999999996</v>
      </c>
      <c r="E53" s="2"/>
      <c r="F53" s="7">
        <f t="shared" si="31"/>
        <v>0</v>
      </c>
      <c r="G53" s="2"/>
      <c r="H53" s="6">
        <v>3322.97</v>
      </c>
      <c r="I53" s="2"/>
      <c r="J53" s="7">
        <f t="shared" si="32"/>
        <v>6.2746489431567938E-3</v>
      </c>
      <c r="K53" s="2"/>
      <c r="L53" s="6">
        <f t="shared" si="33"/>
        <v>859.9699999999998</v>
      </c>
      <c r="M53" s="2"/>
      <c r="N53" s="7">
        <f t="shared" si="34"/>
        <v>0.25879559550642944</v>
      </c>
      <c r="O53" s="11"/>
      <c r="P53" s="6">
        <v>16467.599999999999</v>
      </c>
      <c r="Q53" s="2"/>
      <c r="R53" s="7">
        <f t="shared" si="35"/>
        <v>6.3668242817430691</v>
      </c>
      <c r="S53" s="2"/>
      <c r="T53" s="6">
        <v>13291.88</v>
      </c>
      <c r="U53" s="2"/>
      <c r="V53" s="7">
        <f t="shared" si="36"/>
        <v>1.1888210034047525E-2</v>
      </c>
      <c r="W53" s="2"/>
      <c r="X53" s="6">
        <f t="shared" si="37"/>
        <v>3175.7199999999993</v>
      </c>
      <c r="Y53" s="2"/>
      <c r="Z53" s="7">
        <f t="shared" si="38"/>
        <v>0.23892180790076345</v>
      </c>
    </row>
    <row r="54" spans="1:26" s="29" customFormat="1" outlineLevel="1" collapsed="1" x14ac:dyDescent="0.25">
      <c r="A54" s="27"/>
      <c r="B54" s="14" t="str">
        <f>CONCATENATE("     ","Discounts and Markdowns                           ")</f>
        <v xml:space="preserve">     Discounts and Markdowns                           </v>
      </c>
      <c r="C54" s="14"/>
      <c r="D54" s="1">
        <f>SUM(OSRRefD22_6x_0)</f>
        <v>0</v>
      </c>
      <c r="E54" s="1"/>
      <c r="F54" s="5">
        <f t="shared" ref="F54:F73" si="39">IF(D$12=0,0,D54/D$12)</f>
        <v>0</v>
      </c>
      <c r="G54" s="1"/>
      <c r="H54" s="1">
        <f>SUM(OSRRefH22_6x_0)</f>
        <v>17.260000000000002</v>
      </c>
      <c r="I54" s="1"/>
      <c r="J54" s="5">
        <f t="shared" ref="J54:J73" si="40">IF(H$12=0,0,H54/H$12)</f>
        <v>3.2591459073926721E-5</v>
      </c>
      <c r="K54" s="1"/>
      <c r="L54" s="1">
        <f t="shared" ref="L54:L73" si="41">+D54-H54</f>
        <v>-17.260000000000002</v>
      </c>
      <c r="M54" s="1"/>
      <c r="N54" s="5">
        <f t="shared" ref="N54:N73" si="42">IF(H54=0,0,L54/H54)</f>
        <v>-1</v>
      </c>
      <c r="O54" s="14"/>
      <c r="P54" s="1">
        <f>SUM(OSRRefP22_6x_0)</f>
        <v>0</v>
      </c>
      <c r="Q54" s="1"/>
      <c r="R54" s="5">
        <f t="shared" ref="R54:R73" si="43">IF(P$12=0,0,P54/P$12)</f>
        <v>0</v>
      </c>
      <c r="S54" s="1"/>
      <c r="T54" s="1">
        <f>SUM(OSRRefT22_6x_0)</f>
        <v>49.16</v>
      </c>
      <c r="U54" s="1"/>
      <c r="V54" s="5">
        <f t="shared" ref="V54:V73" si="44">IF(T$12=0,0,T54/T$12)</f>
        <v>4.3968528550797656E-5</v>
      </c>
      <c r="W54" s="1"/>
      <c r="X54" s="1">
        <f t="shared" ref="X54:X73" si="45">+P54-T54</f>
        <v>-49.16</v>
      </c>
      <c r="Y54" s="1"/>
      <c r="Z54" s="5">
        <f t="shared" ref="Z54:Z73" si="46">IF(T54=0,0,X54/T54)</f>
        <v>-1</v>
      </c>
    </row>
    <row r="55" spans="1:26" s="24" customFormat="1" hidden="1" outlineLevel="2" x14ac:dyDescent="0.25">
      <c r="A55" s="28"/>
      <c r="B55" s="11" t="str">
        <f>CONCATENATE("          ", "6382", " - ", "DISCOUNTS/MARK DOWNS")</f>
        <v xml:space="preserve">          6382 - DISCOUNTS/MARK DOWNS</v>
      </c>
      <c r="C55" s="11"/>
      <c r="D55" s="6"/>
      <c r="E55" s="2"/>
      <c r="F55" s="7">
        <f t="shared" si="39"/>
        <v>0</v>
      </c>
      <c r="G55" s="2"/>
      <c r="H55" s="6">
        <v>17.260000000000002</v>
      </c>
      <c r="I55" s="2"/>
      <c r="J55" s="7">
        <f t="shared" si="40"/>
        <v>3.2591459073926721E-5</v>
      </c>
      <c r="K55" s="2"/>
      <c r="L55" s="6">
        <f t="shared" si="41"/>
        <v>-17.260000000000002</v>
      </c>
      <c r="M55" s="2"/>
      <c r="N55" s="7">
        <f t="shared" si="42"/>
        <v>-1</v>
      </c>
      <c r="O55" s="11"/>
      <c r="P55" s="6"/>
      <c r="Q55" s="2"/>
      <c r="R55" s="7">
        <f t="shared" si="43"/>
        <v>0</v>
      </c>
      <c r="S55" s="2"/>
      <c r="T55" s="6">
        <v>49.16</v>
      </c>
      <c r="U55" s="2"/>
      <c r="V55" s="7">
        <f t="shared" si="44"/>
        <v>4.3968528550797656E-5</v>
      </c>
      <c r="W55" s="2"/>
      <c r="X55" s="6">
        <f t="shared" si="45"/>
        <v>-49.16</v>
      </c>
      <c r="Y55" s="2"/>
      <c r="Z55" s="7">
        <f t="shared" si="46"/>
        <v>-1</v>
      </c>
    </row>
    <row r="56" spans="1:26" s="29" customFormat="1" outlineLevel="1" collapsed="1" x14ac:dyDescent="0.25">
      <c r="A56" s="27"/>
      <c r="B56" s="14" t="str">
        <f>CONCATENATE("     ","Employees' Appreciation                           ")</f>
        <v xml:space="preserve">     Employees' Appreciation                           </v>
      </c>
      <c r="C56" s="14"/>
      <c r="D56" s="1">
        <f>SUM(OSRRefD22_7x_0)</f>
        <v>0</v>
      </c>
      <c r="E56" s="1"/>
      <c r="F56" s="5">
        <f t="shared" si="39"/>
        <v>0</v>
      </c>
      <c r="G56" s="1"/>
      <c r="H56" s="1">
        <f>SUM(OSRRefH22_7x_0)</f>
        <v>33.28</v>
      </c>
      <c r="I56" s="1"/>
      <c r="J56" s="5">
        <f t="shared" si="40"/>
        <v>6.2841469176146085E-5</v>
      </c>
      <c r="K56" s="1"/>
      <c r="L56" s="1">
        <f t="shared" si="41"/>
        <v>-33.28</v>
      </c>
      <c r="M56" s="1"/>
      <c r="N56" s="5">
        <f t="shared" si="42"/>
        <v>-1</v>
      </c>
      <c r="O56" s="14"/>
      <c r="P56" s="1">
        <f>SUM(OSRRefP22_7x_0)</f>
        <v>0</v>
      </c>
      <c r="Q56" s="1"/>
      <c r="R56" s="5">
        <f t="shared" si="43"/>
        <v>0</v>
      </c>
      <c r="S56" s="1"/>
      <c r="T56" s="1">
        <f>SUM(OSRRefT22_7x_0)</f>
        <v>33.28</v>
      </c>
      <c r="U56" s="1"/>
      <c r="V56" s="5">
        <f t="shared" si="44"/>
        <v>2.9765513225601019E-5</v>
      </c>
      <c r="W56" s="1"/>
      <c r="X56" s="1">
        <f t="shared" si="45"/>
        <v>-33.28</v>
      </c>
      <c r="Y56" s="1"/>
      <c r="Z56" s="5">
        <f t="shared" si="46"/>
        <v>-1</v>
      </c>
    </row>
    <row r="57" spans="1:26" s="24" customFormat="1" hidden="1" outlineLevel="2" x14ac:dyDescent="0.25">
      <c r="A57" s="28"/>
      <c r="B57" s="11" t="str">
        <f>CONCATENATE("          ", "6277", " - ", "EMPLOYEE APPRECIATION")</f>
        <v xml:space="preserve">          6277 - EMPLOYEE APPRECIATION</v>
      </c>
      <c r="C57" s="11"/>
      <c r="D57" s="6"/>
      <c r="E57" s="2"/>
      <c r="F57" s="7">
        <f t="shared" si="39"/>
        <v>0</v>
      </c>
      <c r="G57" s="2"/>
      <c r="H57" s="6">
        <v>33.28</v>
      </c>
      <c r="I57" s="2"/>
      <c r="J57" s="7">
        <f t="shared" si="40"/>
        <v>6.2841469176146085E-5</v>
      </c>
      <c r="K57" s="2"/>
      <c r="L57" s="6">
        <f t="shared" si="41"/>
        <v>-33.28</v>
      </c>
      <c r="M57" s="2"/>
      <c r="N57" s="7">
        <f t="shared" si="42"/>
        <v>-1</v>
      </c>
      <c r="O57" s="11"/>
      <c r="P57" s="6"/>
      <c r="Q57" s="2"/>
      <c r="R57" s="7">
        <f t="shared" si="43"/>
        <v>0</v>
      </c>
      <c r="S57" s="2"/>
      <c r="T57" s="6">
        <v>33.28</v>
      </c>
      <c r="U57" s="2"/>
      <c r="V57" s="7">
        <f t="shared" si="44"/>
        <v>2.9765513225601019E-5</v>
      </c>
      <c r="W57" s="2"/>
      <c r="X57" s="6">
        <f t="shared" si="45"/>
        <v>-33.28</v>
      </c>
      <c r="Y57" s="2"/>
      <c r="Z57" s="7">
        <f t="shared" si="46"/>
        <v>-1</v>
      </c>
    </row>
    <row r="58" spans="1:26" s="29" customFormat="1" outlineLevel="1" collapsed="1" x14ac:dyDescent="0.25">
      <c r="A58" s="27"/>
      <c r="B58" s="14" t="str">
        <f>CONCATENATE("     ","Equipment Rental                                  ")</f>
        <v xml:space="preserve">     Equipment Rental                                  </v>
      </c>
      <c r="C58" s="14"/>
      <c r="D58" s="1">
        <f>SUM(OSRRefD22_8x_0)</f>
        <v>0</v>
      </c>
      <c r="E58" s="1"/>
      <c r="F58" s="5">
        <f t="shared" si="39"/>
        <v>0</v>
      </c>
      <c r="G58" s="1"/>
      <c r="H58" s="1">
        <f>SUM(OSRRefH22_8x_0)</f>
        <v>123.73</v>
      </c>
      <c r="I58" s="1"/>
      <c r="J58" s="5">
        <f t="shared" si="40"/>
        <v>2.3363506553980031E-4</v>
      </c>
      <c r="K58" s="1"/>
      <c r="L58" s="1">
        <f t="shared" si="41"/>
        <v>-123.73</v>
      </c>
      <c r="M58" s="1"/>
      <c r="N58" s="5">
        <f t="shared" si="42"/>
        <v>-1</v>
      </c>
      <c r="O58" s="14"/>
      <c r="P58" s="1">
        <f>SUM(OSRRefP22_8x_0)</f>
        <v>0</v>
      </c>
      <c r="Q58" s="1"/>
      <c r="R58" s="5">
        <f t="shared" si="43"/>
        <v>0</v>
      </c>
      <c r="S58" s="1"/>
      <c r="T58" s="1">
        <f>SUM(OSRRefT22_8x_0)</f>
        <v>472.94</v>
      </c>
      <c r="U58" s="1"/>
      <c r="V58" s="5">
        <f t="shared" si="44"/>
        <v>4.229958481044395E-4</v>
      </c>
      <c r="W58" s="1"/>
      <c r="X58" s="1">
        <f t="shared" si="45"/>
        <v>-472.94</v>
      </c>
      <c r="Y58" s="1"/>
      <c r="Z58" s="5">
        <f t="shared" si="46"/>
        <v>-1</v>
      </c>
    </row>
    <row r="59" spans="1:26" s="24" customFormat="1" hidden="1" outlineLevel="2" x14ac:dyDescent="0.25">
      <c r="A59" s="28"/>
      <c r="B59" s="11" t="str">
        <f>CONCATENATE("          ", "6351", " - ", "EQUIPMENT RENTAL")</f>
        <v xml:space="preserve">          6351 - EQUIPMENT RENTAL</v>
      </c>
      <c r="C59" s="11"/>
      <c r="D59" s="6"/>
      <c r="E59" s="2"/>
      <c r="F59" s="7">
        <f t="shared" si="39"/>
        <v>0</v>
      </c>
      <c r="G59" s="2"/>
      <c r="H59" s="6">
        <v>123.73</v>
      </c>
      <c r="I59" s="2"/>
      <c r="J59" s="7">
        <f t="shared" si="40"/>
        <v>2.3363506553980031E-4</v>
      </c>
      <c r="K59" s="2"/>
      <c r="L59" s="6">
        <f t="shared" si="41"/>
        <v>-123.73</v>
      </c>
      <c r="M59" s="2"/>
      <c r="N59" s="7">
        <f t="shared" si="42"/>
        <v>-1</v>
      </c>
      <c r="O59" s="11"/>
      <c r="P59" s="6"/>
      <c r="Q59" s="2"/>
      <c r="R59" s="7">
        <f t="shared" si="43"/>
        <v>0</v>
      </c>
      <c r="S59" s="2"/>
      <c r="T59" s="6">
        <v>472.94</v>
      </c>
      <c r="U59" s="2"/>
      <c r="V59" s="7">
        <f t="shared" si="44"/>
        <v>4.229958481044395E-4</v>
      </c>
      <c r="W59" s="2"/>
      <c r="X59" s="6">
        <f t="shared" si="45"/>
        <v>-472.94</v>
      </c>
      <c r="Y59" s="2"/>
      <c r="Z59" s="7">
        <f t="shared" si="46"/>
        <v>-1</v>
      </c>
    </row>
    <row r="60" spans="1:26" s="29" customFormat="1" outlineLevel="1" collapsed="1" x14ac:dyDescent="0.25">
      <c r="A60" s="27"/>
      <c r="B60" s="14" t="str">
        <f>CONCATENATE("     ","Freight out/Postage                               ")</f>
        <v xml:space="preserve">     Freight out/Postage                               </v>
      </c>
      <c r="C60" s="14"/>
      <c r="D60" s="1">
        <f>SUM(OSRRefD22_9x_0)</f>
        <v>85.43</v>
      </c>
      <c r="E60" s="1"/>
      <c r="F60" s="5">
        <f t="shared" si="39"/>
        <v>0</v>
      </c>
      <c r="G60" s="1"/>
      <c r="H60" s="1">
        <f>SUM(OSRRefH22_9x_0)</f>
        <v>25.76</v>
      </c>
      <c r="I60" s="1"/>
      <c r="J60" s="5">
        <f t="shared" si="40"/>
        <v>4.8641714121920761E-5</v>
      </c>
      <c r="K60" s="1"/>
      <c r="L60" s="1">
        <f t="shared" si="41"/>
        <v>59.67</v>
      </c>
      <c r="M60" s="1"/>
      <c r="N60" s="5">
        <f t="shared" si="42"/>
        <v>2.3163819875776395</v>
      </c>
      <c r="O60" s="14"/>
      <c r="P60" s="1">
        <f>SUM(OSRRefP22_9x_0)</f>
        <v>95.43</v>
      </c>
      <c r="Q60" s="1"/>
      <c r="R60" s="5">
        <f t="shared" si="43"/>
        <v>3.6895846462553207E-2</v>
      </c>
      <c r="S60" s="1"/>
      <c r="T60" s="1">
        <f>SUM(OSRRefT22_9x_0)</f>
        <v>171.28</v>
      </c>
      <c r="U60" s="1"/>
      <c r="V60" s="5">
        <f t="shared" si="44"/>
        <v>1.5319222071156677E-4</v>
      </c>
      <c r="W60" s="1"/>
      <c r="X60" s="1">
        <f t="shared" si="45"/>
        <v>-75.849999999999994</v>
      </c>
      <c r="Y60" s="1"/>
      <c r="Z60" s="5">
        <f t="shared" si="46"/>
        <v>-0.44284212984586641</v>
      </c>
    </row>
    <row r="61" spans="1:26" s="24" customFormat="1" hidden="1" outlineLevel="2" x14ac:dyDescent="0.25">
      <c r="A61" s="28"/>
      <c r="B61" s="11" t="str">
        <f>CONCATENATE("          ", "6305", " - ", "FREIGHT OUT")</f>
        <v xml:space="preserve">          6305 - FREIGHT OUT</v>
      </c>
      <c r="C61" s="11"/>
      <c r="D61" s="6">
        <v>85.43</v>
      </c>
      <c r="E61" s="2"/>
      <c r="F61" s="7">
        <f t="shared" si="39"/>
        <v>0</v>
      </c>
      <c r="G61" s="2"/>
      <c r="H61" s="6">
        <v>25.76</v>
      </c>
      <c r="I61" s="2"/>
      <c r="J61" s="7">
        <f t="shared" si="40"/>
        <v>4.8641714121920761E-5</v>
      </c>
      <c r="K61" s="2"/>
      <c r="L61" s="6">
        <f t="shared" si="41"/>
        <v>59.67</v>
      </c>
      <c r="M61" s="2"/>
      <c r="N61" s="7">
        <f t="shared" si="42"/>
        <v>2.3163819875776395</v>
      </c>
      <c r="O61" s="11"/>
      <c r="P61" s="6">
        <v>95.43</v>
      </c>
      <c r="Q61" s="2"/>
      <c r="R61" s="7">
        <f t="shared" si="43"/>
        <v>3.6895846462553207E-2</v>
      </c>
      <c r="S61" s="2"/>
      <c r="T61" s="6">
        <v>171.28</v>
      </c>
      <c r="U61" s="2"/>
      <c r="V61" s="7">
        <f t="shared" si="44"/>
        <v>1.5319222071156677E-4</v>
      </c>
      <c r="W61" s="2"/>
      <c r="X61" s="6">
        <f t="shared" si="45"/>
        <v>-75.849999999999994</v>
      </c>
      <c r="Y61" s="2"/>
      <c r="Z61" s="7">
        <f t="shared" si="46"/>
        <v>-0.44284212984586641</v>
      </c>
    </row>
    <row r="62" spans="1:26" s="29" customFormat="1" outlineLevel="1" collapsed="1" x14ac:dyDescent="0.25">
      <c r="A62" s="27"/>
      <c r="B62" s="14" t="str">
        <f>CONCATENATE("     ","General                                           ")</f>
        <v xml:space="preserve">     General                                           </v>
      </c>
      <c r="C62" s="14"/>
      <c r="D62" s="1">
        <f>SUM(OSRRefD22_10x_0)</f>
        <v>0</v>
      </c>
      <c r="E62" s="1"/>
      <c r="F62" s="5">
        <f t="shared" si="39"/>
        <v>0</v>
      </c>
      <c r="G62" s="1"/>
      <c r="H62" s="1">
        <f>SUM(OSRRefH22_10x_0)</f>
        <v>649.34</v>
      </c>
      <c r="I62" s="1"/>
      <c r="J62" s="5">
        <f t="shared" si="40"/>
        <v>1.2261261897487589E-3</v>
      </c>
      <c r="K62" s="1"/>
      <c r="L62" s="1">
        <f t="shared" si="41"/>
        <v>-649.34</v>
      </c>
      <c r="M62" s="1"/>
      <c r="N62" s="5">
        <f t="shared" si="42"/>
        <v>-1</v>
      </c>
      <c r="O62" s="14"/>
      <c r="P62" s="1">
        <f>SUM(OSRRefP22_10x_0)</f>
        <v>1509.1</v>
      </c>
      <c r="Q62" s="1"/>
      <c r="R62" s="5">
        <f t="shared" si="43"/>
        <v>0.58345930940625634</v>
      </c>
      <c r="S62" s="1"/>
      <c r="T62" s="1">
        <f>SUM(OSRRefT22_10x_0)</f>
        <v>5413.86</v>
      </c>
      <c r="U62" s="1"/>
      <c r="V62" s="5">
        <f t="shared" si="44"/>
        <v>4.8421370622461638E-3</v>
      </c>
      <c r="W62" s="1"/>
      <c r="X62" s="1">
        <f t="shared" si="45"/>
        <v>-3904.7599999999998</v>
      </c>
      <c r="Y62" s="1"/>
      <c r="Z62" s="5">
        <f t="shared" si="46"/>
        <v>-0.72125248898198324</v>
      </c>
    </row>
    <row r="63" spans="1:26" s="24" customFormat="1" hidden="1" outlineLevel="2" x14ac:dyDescent="0.25">
      <c r="A63" s="28"/>
      <c r="B63" s="11" t="str">
        <f>CONCATENATE("          ", "6279", " - ", "GENERAL EXPENSE")</f>
        <v xml:space="preserve">          6279 - GENERAL EXPENSE</v>
      </c>
      <c r="C63" s="11"/>
      <c r="D63" s="6"/>
      <c r="E63" s="2"/>
      <c r="F63" s="7">
        <f t="shared" si="39"/>
        <v>0</v>
      </c>
      <c r="G63" s="2"/>
      <c r="H63" s="6">
        <v>649.34</v>
      </c>
      <c r="I63" s="2"/>
      <c r="J63" s="7">
        <f t="shared" si="40"/>
        <v>1.2261261897487589E-3</v>
      </c>
      <c r="K63" s="2"/>
      <c r="L63" s="6">
        <f t="shared" si="41"/>
        <v>-649.34</v>
      </c>
      <c r="M63" s="2"/>
      <c r="N63" s="7">
        <f t="shared" si="42"/>
        <v>-1</v>
      </c>
      <c r="O63" s="11"/>
      <c r="P63" s="6">
        <v>1509.1</v>
      </c>
      <c r="Q63" s="2"/>
      <c r="R63" s="7">
        <f t="shared" si="43"/>
        <v>0.58345930940625634</v>
      </c>
      <c r="S63" s="2"/>
      <c r="T63" s="6">
        <v>5413.86</v>
      </c>
      <c r="U63" s="2"/>
      <c r="V63" s="7">
        <f t="shared" si="44"/>
        <v>4.8421370622461638E-3</v>
      </c>
      <c r="W63" s="2"/>
      <c r="X63" s="6">
        <f t="shared" si="45"/>
        <v>-3904.7599999999998</v>
      </c>
      <c r="Y63" s="2"/>
      <c r="Z63" s="7">
        <f t="shared" si="46"/>
        <v>-0.72125248898198324</v>
      </c>
    </row>
    <row r="64" spans="1:26" s="29" customFormat="1" outlineLevel="1" collapsed="1" x14ac:dyDescent="0.25">
      <c r="A64" s="27"/>
      <c r="B64" s="14" t="str">
        <f>CONCATENATE("     ","Insurance                                         ")</f>
        <v xml:space="preserve">     Insurance                                         </v>
      </c>
      <c r="C64" s="14"/>
      <c r="D64" s="1">
        <f>SUM(OSRRefD22_11x_0)</f>
        <v>243.54</v>
      </c>
      <c r="E64" s="1"/>
      <c r="F64" s="5">
        <f t="shared" si="39"/>
        <v>0</v>
      </c>
      <c r="G64" s="1"/>
      <c r="H64" s="1">
        <f>SUM(OSRRefH22_11x_0)</f>
        <v>243.54</v>
      </c>
      <c r="I64" s="1"/>
      <c r="J64" s="5">
        <f t="shared" si="40"/>
        <v>4.5986813110452567E-4</v>
      </c>
      <c r="K64" s="1"/>
      <c r="L64" s="1">
        <f t="shared" si="41"/>
        <v>0</v>
      </c>
      <c r="M64" s="1"/>
      <c r="N64" s="5">
        <f t="shared" si="42"/>
        <v>0</v>
      </c>
      <c r="O64" s="14"/>
      <c r="P64" s="1">
        <f>SUM(OSRRefP22_11x_0)</f>
        <v>974.16</v>
      </c>
      <c r="Q64" s="1"/>
      <c r="R64" s="5">
        <f t="shared" si="43"/>
        <v>0.37663688347438784</v>
      </c>
      <c r="S64" s="1"/>
      <c r="T64" s="1">
        <f>SUM(OSRRefT22_11x_0)</f>
        <v>974.16</v>
      </c>
      <c r="U64" s="1"/>
      <c r="V64" s="5">
        <f t="shared" si="44"/>
        <v>8.7128522727919131E-4</v>
      </c>
      <c r="W64" s="1"/>
      <c r="X64" s="1">
        <f t="shared" si="45"/>
        <v>0</v>
      </c>
      <c r="Y64" s="1"/>
      <c r="Z64" s="5">
        <f t="shared" si="46"/>
        <v>0</v>
      </c>
    </row>
    <row r="65" spans="1:26" s="24" customFormat="1" hidden="1" outlineLevel="2" x14ac:dyDescent="0.25">
      <c r="A65" s="28"/>
      <c r="B65" s="11" t="str">
        <f>CONCATENATE("          ", "6314", " - ", "LIABILITY INSURANCE")</f>
        <v xml:space="preserve">          6314 - LIABILITY INSURANCE</v>
      </c>
      <c r="C65" s="11"/>
      <c r="D65" s="6">
        <v>243.54</v>
      </c>
      <c r="E65" s="2"/>
      <c r="F65" s="7">
        <f t="shared" si="39"/>
        <v>0</v>
      </c>
      <c r="G65" s="2"/>
      <c r="H65" s="6">
        <v>243.54</v>
      </c>
      <c r="I65" s="2"/>
      <c r="J65" s="7">
        <f t="shared" si="40"/>
        <v>4.5986813110452567E-4</v>
      </c>
      <c r="K65" s="2"/>
      <c r="L65" s="6">
        <f t="shared" si="41"/>
        <v>0</v>
      </c>
      <c r="M65" s="2"/>
      <c r="N65" s="7">
        <f t="shared" si="42"/>
        <v>0</v>
      </c>
      <c r="O65" s="11"/>
      <c r="P65" s="6">
        <v>974.16</v>
      </c>
      <c r="Q65" s="2"/>
      <c r="R65" s="7">
        <f t="shared" si="43"/>
        <v>0.37663688347438784</v>
      </c>
      <c r="S65" s="2"/>
      <c r="T65" s="6">
        <v>974.16</v>
      </c>
      <c r="U65" s="2"/>
      <c r="V65" s="7">
        <f t="shared" si="44"/>
        <v>8.7128522727919131E-4</v>
      </c>
      <c r="W65" s="2"/>
      <c r="X65" s="6">
        <f t="shared" si="45"/>
        <v>0</v>
      </c>
      <c r="Y65" s="2"/>
      <c r="Z65" s="7">
        <f t="shared" si="46"/>
        <v>0</v>
      </c>
    </row>
    <row r="66" spans="1:26" s="29" customFormat="1" outlineLevel="1" collapsed="1" x14ac:dyDescent="0.25">
      <c r="A66" s="27"/>
      <c r="B66" s="14" t="str">
        <f>CONCATENATE("     ","Interest                                          ")</f>
        <v xml:space="preserve">     Interest                                          </v>
      </c>
      <c r="C66" s="14"/>
      <c r="D66" s="1">
        <f>SUM(OSRRefD22_12x_0)</f>
        <v>3781.85</v>
      </c>
      <c r="E66" s="1"/>
      <c r="F66" s="5">
        <f t="shared" si="39"/>
        <v>0</v>
      </c>
      <c r="G66" s="1"/>
      <c r="H66" s="1">
        <f>SUM(OSRRefH22_12x_0)</f>
        <v>4163.95</v>
      </c>
      <c r="I66" s="1"/>
      <c r="J66" s="5">
        <f t="shared" si="40"/>
        <v>7.8626422949523277E-3</v>
      </c>
      <c r="K66" s="1"/>
      <c r="L66" s="1">
        <f t="shared" si="41"/>
        <v>-382.09999999999991</v>
      </c>
      <c r="M66" s="1"/>
      <c r="N66" s="5">
        <f t="shared" si="42"/>
        <v>-9.1763830017171172E-2</v>
      </c>
      <c r="O66" s="14"/>
      <c r="P66" s="1">
        <f>SUM(OSRRefP22_12x_0)</f>
        <v>15913.849999999999</v>
      </c>
      <c r="Q66" s="1"/>
      <c r="R66" s="5">
        <f t="shared" si="43"/>
        <v>6.1527293956628135</v>
      </c>
      <c r="S66" s="1"/>
      <c r="T66" s="1">
        <f>SUM(OSRRefT22_12x_0)</f>
        <v>16493.95</v>
      </c>
      <c r="U66" s="1"/>
      <c r="V66" s="5">
        <f t="shared" si="44"/>
        <v>1.475213001404453E-2</v>
      </c>
      <c r="W66" s="1"/>
      <c r="X66" s="1">
        <f t="shared" si="45"/>
        <v>-580.10000000000218</v>
      </c>
      <c r="Y66" s="1"/>
      <c r="Z66" s="5">
        <f t="shared" si="46"/>
        <v>-3.5170471597161516E-2</v>
      </c>
    </row>
    <row r="67" spans="1:26" s="24" customFormat="1" hidden="1" outlineLevel="2" x14ac:dyDescent="0.25">
      <c r="A67" s="28"/>
      <c r="B67" s="11" t="str">
        <f>CONCATENATE("          ", "6401", " - ", "INTEREST EXPENSE")</f>
        <v xml:space="preserve">          6401 - INTEREST EXPENSE</v>
      </c>
      <c r="C67" s="11"/>
      <c r="D67" s="6">
        <v>3781.85</v>
      </c>
      <c r="E67" s="2"/>
      <c r="F67" s="7">
        <f t="shared" si="39"/>
        <v>0</v>
      </c>
      <c r="G67" s="2"/>
      <c r="H67" s="6">
        <v>4163.95</v>
      </c>
      <c r="I67" s="2"/>
      <c r="J67" s="7">
        <f t="shared" si="40"/>
        <v>7.8626422949523277E-3</v>
      </c>
      <c r="K67" s="2"/>
      <c r="L67" s="6">
        <f t="shared" si="41"/>
        <v>-382.09999999999991</v>
      </c>
      <c r="M67" s="2"/>
      <c r="N67" s="7">
        <f t="shared" si="42"/>
        <v>-9.1763830017171172E-2</v>
      </c>
      <c r="O67" s="11"/>
      <c r="P67" s="6">
        <v>15913.849999999999</v>
      </c>
      <c r="Q67" s="2"/>
      <c r="R67" s="7">
        <f t="shared" si="43"/>
        <v>6.1527293956628135</v>
      </c>
      <c r="S67" s="2"/>
      <c r="T67" s="6">
        <v>16493.95</v>
      </c>
      <c r="U67" s="2"/>
      <c r="V67" s="7">
        <f t="shared" si="44"/>
        <v>1.475213001404453E-2</v>
      </c>
      <c r="W67" s="2"/>
      <c r="X67" s="6">
        <f t="shared" si="45"/>
        <v>-580.10000000000218</v>
      </c>
      <c r="Y67" s="2"/>
      <c r="Z67" s="7">
        <f t="shared" si="46"/>
        <v>-3.5170471597161516E-2</v>
      </c>
    </row>
    <row r="68" spans="1:26" s="29" customFormat="1" outlineLevel="1" collapsed="1" x14ac:dyDescent="0.25">
      <c r="A68" s="27"/>
      <c r="B68" s="14" t="str">
        <f>CONCATENATE("     ","Rent                                              ")</f>
        <v xml:space="preserve">     Rent                                              </v>
      </c>
      <c r="C68" s="14"/>
      <c r="D68" s="1">
        <f>SUM(OSRRefD22_13x_0)</f>
        <v>0</v>
      </c>
      <c r="E68" s="1"/>
      <c r="F68" s="5">
        <f t="shared" si="39"/>
        <v>0</v>
      </c>
      <c r="G68" s="1"/>
      <c r="H68" s="1">
        <f>SUM(OSRRefH22_13x_0)</f>
        <v>1150</v>
      </c>
      <c r="I68" s="1"/>
      <c r="J68" s="5">
        <f t="shared" si="40"/>
        <v>2.1715050947286054E-3</v>
      </c>
      <c r="K68" s="1"/>
      <c r="L68" s="1">
        <f t="shared" si="41"/>
        <v>-1150</v>
      </c>
      <c r="M68" s="1"/>
      <c r="N68" s="5">
        <f t="shared" si="42"/>
        <v>-1</v>
      </c>
      <c r="O68" s="14"/>
      <c r="P68" s="1">
        <f>SUM(OSRRefP22_13x_0)</f>
        <v>0</v>
      </c>
      <c r="Q68" s="1"/>
      <c r="R68" s="5">
        <f t="shared" si="43"/>
        <v>0</v>
      </c>
      <c r="S68" s="1"/>
      <c r="T68" s="1">
        <f>SUM(OSRRefT22_13x_0)</f>
        <v>4600</v>
      </c>
      <c r="U68" s="1"/>
      <c r="V68" s="5">
        <f t="shared" si="44"/>
        <v>4.1142235828655251E-3</v>
      </c>
      <c r="W68" s="1"/>
      <c r="X68" s="1">
        <f t="shared" si="45"/>
        <v>-4600</v>
      </c>
      <c r="Y68" s="1"/>
      <c r="Z68" s="5">
        <f t="shared" si="46"/>
        <v>-1</v>
      </c>
    </row>
    <row r="69" spans="1:26" s="24" customFormat="1" hidden="1" outlineLevel="2" x14ac:dyDescent="0.25">
      <c r="A69" s="28"/>
      <c r="B69" s="11" t="str">
        <f>CONCATENATE("          ", "6273", " - ", "RENT")</f>
        <v xml:space="preserve">          6273 - RENT</v>
      </c>
      <c r="C69" s="11"/>
      <c r="D69" s="6"/>
      <c r="E69" s="2"/>
      <c r="F69" s="7">
        <f t="shared" si="39"/>
        <v>0</v>
      </c>
      <c r="G69" s="2"/>
      <c r="H69" s="6">
        <v>1150</v>
      </c>
      <c r="I69" s="2"/>
      <c r="J69" s="7">
        <f t="shared" si="40"/>
        <v>2.1715050947286054E-3</v>
      </c>
      <c r="K69" s="2"/>
      <c r="L69" s="6">
        <f t="shared" si="41"/>
        <v>-1150</v>
      </c>
      <c r="M69" s="2"/>
      <c r="N69" s="7">
        <f t="shared" si="42"/>
        <v>-1</v>
      </c>
      <c r="O69" s="11"/>
      <c r="P69" s="6"/>
      <c r="Q69" s="2"/>
      <c r="R69" s="7">
        <f t="shared" si="43"/>
        <v>0</v>
      </c>
      <c r="S69" s="2"/>
      <c r="T69" s="6">
        <v>4600</v>
      </c>
      <c r="U69" s="2"/>
      <c r="V69" s="7">
        <f t="shared" si="44"/>
        <v>4.1142235828655251E-3</v>
      </c>
      <c r="W69" s="2"/>
      <c r="X69" s="6">
        <f t="shared" si="45"/>
        <v>-4600</v>
      </c>
      <c r="Y69" s="2"/>
      <c r="Z69" s="7">
        <f t="shared" si="46"/>
        <v>-1</v>
      </c>
    </row>
    <row r="70" spans="1:26" s="29" customFormat="1" outlineLevel="1" collapsed="1" x14ac:dyDescent="0.25">
      <c r="A70" s="27"/>
      <c r="B70" s="14" t="str">
        <f>CONCATENATE("     ","Repair and Maintenance                            ")</f>
        <v xml:space="preserve">     Repair and Maintenance                            </v>
      </c>
      <c r="C70" s="14"/>
      <c r="D70" s="1">
        <f>SUM(OSRRefD22_14x_0)</f>
        <v>22.02</v>
      </c>
      <c r="E70" s="1"/>
      <c r="F70" s="5">
        <f t="shared" si="39"/>
        <v>0</v>
      </c>
      <c r="G70" s="1"/>
      <c r="H70" s="1">
        <f>SUM(OSRRefH22_14x_0)</f>
        <v>1341.77</v>
      </c>
      <c r="I70" s="1"/>
      <c r="J70" s="5">
        <f t="shared" si="40"/>
        <v>2.5336177312643487E-3</v>
      </c>
      <c r="K70" s="1"/>
      <c r="L70" s="1">
        <f t="shared" si="41"/>
        <v>-1319.75</v>
      </c>
      <c r="M70" s="1"/>
      <c r="N70" s="5">
        <f t="shared" si="42"/>
        <v>-0.98358884160474602</v>
      </c>
      <c r="O70" s="14"/>
      <c r="P70" s="1">
        <f>SUM(OSRRefP22_14x_0)</f>
        <v>1108.73</v>
      </c>
      <c r="Q70" s="1"/>
      <c r="R70" s="5">
        <f t="shared" si="43"/>
        <v>0.42866532378106065</v>
      </c>
      <c r="S70" s="1"/>
      <c r="T70" s="1">
        <f>SUM(OSRRefT22_14x_0)</f>
        <v>9797.7999999999993</v>
      </c>
      <c r="U70" s="1"/>
      <c r="V70" s="5">
        <f t="shared" si="44"/>
        <v>8.7631173522173568E-3</v>
      </c>
      <c r="W70" s="1"/>
      <c r="X70" s="1">
        <f t="shared" si="45"/>
        <v>-8689.07</v>
      </c>
      <c r="Y70" s="1"/>
      <c r="Z70" s="5">
        <f t="shared" si="46"/>
        <v>-0.88683888219804452</v>
      </c>
    </row>
    <row r="71" spans="1:26" s="24" customFormat="1" hidden="1" outlineLevel="2" x14ac:dyDescent="0.25">
      <c r="A71" s="28"/>
      <c r="B71" s="11" t="str">
        <f>CONCATENATE("          ", "6371", " - ", "COMPUTER SOFTWARE MAINTENANCE")</f>
        <v xml:space="preserve">          6371 - COMPUTER SOFTWARE MAINTENANCE</v>
      </c>
      <c r="C71" s="11"/>
      <c r="D71" s="6"/>
      <c r="E71" s="2"/>
      <c r="F71" s="7">
        <f t="shared" si="39"/>
        <v>0</v>
      </c>
      <c r="G71" s="2"/>
      <c r="H71" s="6"/>
      <c r="I71" s="2"/>
      <c r="J71" s="7">
        <f t="shared" si="40"/>
        <v>0</v>
      </c>
      <c r="K71" s="2"/>
      <c r="L71" s="6">
        <f t="shared" si="41"/>
        <v>0</v>
      </c>
      <c r="M71" s="2"/>
      <c r="N71" s="7">
        <f t="shared" si="42"/>
        <v>0</v>
      </c>
      <c r="O71" s="11"/>
      <c r="P71" s="6"/>
      <c r="Q71" s="2"/>
      <c r="R71" s="7">
        <f t="shared" si="43"/>
        <v>0</v>
      </c>
      <c r="S71" s="2"/>
      <c r="T71" s="6">
        <v>1311.93</v>
      </c>
      <c r="U71" s="2"/>
      <c r="V71" s="7">
        <f t="shared" si="44"/>
        <v>1.1733855097975584E-3</v>
      </c>
      <c r="W71" s="2"/>
      <c r="X71" s="6">
        <f t="shared" si="45"/>
        <v>-1311.93</v>
      </c>
      <c r="Y71" s="2"/>
      <c r="Z71" s="7">
        <f t="shared" si="46"/>
        <v>-1</v>
      </c>
    </row>
    <row r="72" spans="1:26" s="24" customFormat="1" hidden="1" outlineLevel="2" x14ac:dyDescent="0.25">
      <c r="A72" s="28"/>
      <c r="B72" s="11" t="str">
        <f>CONCATENATE("          ", "6373", " - ", "MAINTENANCE CONTRACTS")</f>
        <v xml:space="preserve">          6373 - MAINTENANCE CONTRACTS</v>
      </c>
      <c r="C72" s="11"/>
      <c r="D72" s="6"/>
      <c r="E72" s="2"/>
      <c r="F72" s="7">
        <f t="shared" si="39"/>
        <v>0</v>
      </c>
      <c r="G72" s="2"/>
      <c r="H72" s="6">
        <v>285.32</v>
      </c>
      <c r="I72" s="2"/>
      <c r="J72" s="7">
        <f t="shared" si="40"/>
        <v>5.3875985532866584E-4</v>
      </c>
      <c r="K72" s="2"/>
      <c r="L72" s="6">
        <f t="shared" si="41"/>
        <v>-285.32</v>
      </c>
      <c r="M72" s="2"/>
      <c r="N72" s="7">
        <f t="shared" si="42"/>
        <v>-1</v>
      </c>
      <c r="O72" s="11"/>
      <c r="P72" s="6">
        <v>655.15</v>
      </c>
      <c r="Q72" s="2"/>
      <c r="R72" s="7">
        <f t="shared" si="43"/>
        <v>0.25329889772547137</v>
      </c>
      <c r="S72" s="2"/>
      <c r="T72" s="6">
        <v>285.32</v>
      </c>
      <c r="U72" s="2"/>
      <c r="V72" s="7">
        <f t="shared" si="44"/>
        <v>2.5518918970938949E-4</v>
      </c>
      <c r="W72" s="2"/>
      <c r="X72" s="6">
        <f t="shared" si="45"/>
        <v>369.83</v>
      </c>
      <c r="Y72" s="2"/>
      <c r="Z72" s="7">
        <f t="shared" si="46"/>
        <v>1.2961937473713725</v>
      </c>
    </row>
    <row r="73" spans="1:26" s="24" customFormat="1" hidden="1" outlineLevel="2" x14ac:dyDescent="0.25">
      <c r="A73" s="28"/>
      <c r="B73" s="11" t="str">
        <f>CONCATENATE("          ", "6375", " - ", "OUTSIDE REPAIRS &amp; MAINTENANCE")</f>
        <v xml:space="preserve">          6375 - OUTSIDE REPAIRS &amp; MAINTENANCE</v>
      </c>
      <c r="C73" s="11"/>
      <c r="D73" s="6">
        <v>22.02</v>
      </c>
      <c r="E73" s="2"/>
      <c r="F73" s="7">
        <f t="shared" si="39"/>
        <v>0</v>
      </c>
      <c r="G73" s="2"/>
      <c r="H73" s="6">
        <v>1056.45</v>
      </c>
      <c r="I73" s="2"/>
      <c r="J73" s="7">
        <f t="shared" si="40"/>
        <v>1.994857875935683E-3</v>
      </c>
      <c r="K73" s="2"/>
      <c r="L73" s="6">
        <f t="shared" si="41"/>
        <v>-1034.43</v>
      </c>
      <c r="M73" s="2"/>
      <c r="N73" s="7">
        <f t="shared" si="42"/>
        <v>-0.97915660939940363</v>
      </c>
      <c r="O73" s="11"/>
      <c r="P73" s="6">
        <v>453.58</v>
      </c>
      <c r="Q73" s="2"/>
      <c r="R73" s="7">
        <f t="shared" si="43"/>
        <v>0.17536642605558925</v>
      </c>
      <c r="S73" s="2"/>
      <c r="T73" s="6">
        <v>8200.5499999999993</v>
      </c>
      <c r="U73" s="2"/>
      <c r="V73" s="7">
        <f t="shared" si="44"/>
        <v>7.3345426527104095E-3</v>
      </c>
      <c r="W73" s="2"/>
      <c r="X73" s="6">
        <f t="shared" si="45"/>
        <v>-7746.9699999999993</v>
      </c>
      <c r="Y73" s="2"/>
      <c r="Z73" s="7">
        <f t="shared" si="46"/>
        <v>-0.9446890757327252</v>
      </c>
    </row>
    <row r="74" spans="1:26" s="29" customFormat="1" outlineLevel="1" collapsed="1" x14ac:dyDescent="0.25">
      <c r="A74" s="27"/>
      <c r="B74" s="14" t="str">
        <f>CONCATENATE("     ","Royalty &amp; Commissions                             ")</f>
        <v xml:space="preserve">     Royalty &amp; Commissions                             </v>
      </c>
      <c r="C74" s="14"/>
      <c r="D74" s="1">
        <f>SUM(OSRRefD22_15x_0)</f>
        <v>185.7</v>
      </c>
      <c r="E74" s="1"/>
      <c r="F74" s="5">
        <f t="shared" ref="F74:F80" si="47">IF(D$12=0,0,D74/D$12)</f>
        <v>0</v>
      </c>
      <c r="G74" s="1"/>
      <c r="H74" s="1">
        <f>SUM(OSRRefH22_15x_0)</f>
        <v>0</v>
      </c>
      <c r="I74" s="1"/>
      <c r="J74" s="5">
        <f t="shared" ref="J74:J80" si="48">IF(H$12=0,0,H74/H$12)</f>
        <v>0</v>
      </c>
      <c r="K74" s="1"/>
      <c r="L74" s="1">
        <f t="shared" ref="L74:L80" si="49">+D74-H74</f>
        <v>185.7</v>
      </c>
      <c r="M74" s="1"/>
      <c r="N74" s="5">
        <f t="shared" ref="N74:N80" si="50">IF(H74=0,0,L74/H74)</f>
        <v>0</v>
      </c>
      <c r="O74" s="14"/>
      <c r="P74" s="1">
        <f>SUM(OSRRefP22_15x_0)</f>
        <v>185.7</v>
      </c>
      <c r="Q74" s="1"/>
      <c r="R74" s="5">
        <f t="shared" ref="R74:R80" si="51">IF(P$12=0,0,P74/P$12)</f>
        <v>7.1796695882805517E-2</v>
      </c>
      <c r="S74" s="1"/>
      <c r="T74" s="1">
        <f>SUM(OSRRefT22_15x_0)</f>
        <v>5673.45</v>
      </c>
      <c r="U74" s="1"/>
      <c r="V74" s="5">
        <f t="shared" ref="V74:V80" si="52">IF(T$12=0,0,T74/T$12)</f>
        <v>5.0743134317844376E-3</v>
      </c>
      <c r="W74" s="1"/>
      <c r="X74" s="1">
        <f t="shared" ref="X74:X80" si="53">+P74-T74</f>
        <v>-5487.75</v>
      </c>
      <c r="Y74" s="1"/>
      <c r="Z74" s="5">
        <f t="shared" ref="Z74:Z80" si="54">IF(T74=0,0,X74/T74)</f>
        <v>-0.96726859318404146</v>
      </c>
    </row>
    <row r="75" spans="1:26" s="24" customFormat="1" hidden="1" outlineLevel="2" x14ac:dyDescent="0.25">
      <c r="A75" s="28"/>
      <c r="B75" s="11" t="str">
        <f>CONCATENATE("          ", "6254", " - ", "ROYALTY &amp; COMMISSIONS")</f>
        <v xml:space="preserve">          6254 - ROYALTY &amp; COMMISSIONS</v>
      </c>
      <c r="C75" s="11"/>
      <c r="D75" s="6">
        <v>185.7</v>
      </c>
      <c r="E75" s="2"/>
      <c r="F75" s="7">
        <f t="shared" si="47"/>
        <v>0</v>
      </c>
      <c r="G75" s="2"/>
      <c r="H75" s="6"/>
      <c r="I75" s="2"/>
      <c r="J75" s="7">
        <f t="shared" si="48"/>
        <v>0</v>
      </c>
      <c r="K75" s="2"/>
      <c r="L75" s="6">
        <f t="shared" si="49"/>
        <v>185.7</v>
      </c>
      <c r="M75" s="2"/>
      <c r="N75" s="7">
        <f t="shared" si="50"/>
        <v>0</v>
      </c>
      <c r="O75" s="11"/>
      <c r="P75" s="6">
        <v>185.7</v>
      </c>
      <c r="Q75" s="2"/>
      <c r="R75" s="7">
        <f t="shared" si="51"/>
        <v>7.1796695882805517E-2</v>
      </c>
      <c r="S75" s="2"/>
      <c r="T75" s="6">
        <v>5673.45</v>
      </c>
      <c r="U75" s="2"/>
      <c r="V75" s="7">
        <f t="shared" si="52"/>
        <v>5.0743134317844376E-3</v>
      </c>
      <c r="W75" s="2"/>
      <c r="X75" s="6">
        <f t="shared" si="53"/>
        <v>-5487.75</v>
      </c>
      <c r="Y75" s="2"/>
      <c r="Z75" s="7">
        <f t="shared" si="54"/>
        <v>-0.96726859318404146</v>
      </c>
    </row>
    <row r="76" spans="1:26" s="29" customFormat="1" outlineLevel="1" collapsed="1" x14ac:dyDescent="0.25">
      <c r="A76" s="27"/>
      <c r="B76" s="14" t="str">
        <f>CONCATENATE("     ","Services                                          ")</f>
        <v xml:space="preserve">     Services                                          </v>
      </c>
      <c r="C76" s="14"/>
      <c r="D76" s="1">
        <f>SUM(OSRRefD22_16x_0)</f>
        <v>558</v>
      </c>
      <c r="E76" s="1"/>
      <c r="F76" s="5">
        <f t="shared" si="47"/>
        <v>0</v>
      </c>
      <c r="G76" s="1"/>
      <c r="H76" s="1">
        <f>SUM(OSRRefH22_16x_0)</f>
        <v>1599.68</v>
      </c>
      <c r="I76" s="1"/>
      <c r="J76" s="5">
        <f t="shared" si="48"/>
        <v>3.0206202347264829E-3</v>
      </c>
      <c r="K76" s="1"/>
      <c r="L76" s="1">
        <f t="shared" si="49"/>
        <v>-1041.68</v>
      </c>
      <c r="M76" s="1"/>
      <c r="N76" s="5">
        <f t="shared" si="50"/>
        <v>-0.65118023604720943</v>
      </c>
      <c r="O76" s="14"/>
      <c r="P76" s="1">
        <f>SUM(OSRRefP22_16x_0)</f>
        <v>-974.76</v>
      </c>
      <c r="Q76" s="1"/>
      <c r="R76" s="5">
        <f t="shared" si="51"/>
        <v>-0.3768688598746554</v>
      </c>
      <c r="S76" s="1"/>
      <c r="T76" s="1">
        <f>SUM(OSRRefT22_16x_0)</f>
        <v>6561.45</v>
      </c>
      <c r="U76" s="1"/>
      <c r="V76" s="5">
        <f t="shared" si="52"/>
        <v>5.8685374625636957E-3</v>
      </c>
      <c r="W76" s="1"/>
      <c r="X76" s="1">
        <f t="shared" si="53"/>
        <v>-7536.21</v>
      </c>
      <c r="Y76" s="1"/>
      <c r="Z76" s="5">
        <f t="shared" si="54"/>
        <v>-1.1485586265231009</v>
      </c>
    </row>
    <row r="77" spans="1:26" s="24" customFormat="1" hidden="1" outlineLevel="2" x14ac:dyDescent="0.25">
      <c r="A77" s="28"/>
      <c r="B77" s="11" t="str">
        <f>CONCATENATE("          ", "6282", " - ", "JANITORIAL/EXTERMINATOR EXPENS")</f>
        <v xml:space="preserve">          6282 - JANITORIAL/EXTERMINATOR EXPENS</v>
      </c>
      <c r="C77" s="11"/>
      <c r="D77" s="6">
        <v>558</v>
      </c>
      <c r="E77" s="2"/>
      <c r="F77" s="7">
        <f t="shared" si="47"/>
        <v>0</v>
      </c>
      <c r="G77" s="2"/>
      <c r="H77" s="6">
        <v>444.74</v>
      </c>
      <c r="I77" s="2"/>
      <c r="J77" s="7">
        <f t="shared" si="48"/>
        <v>8.397871094170435E-4</v>
      </c>
      <c r="K77" s="2"/>
      <c r="L77" s="6">
        <f t="shared" si="49"/>
        <v>113.25999999999999</v>
      </c>
      <c r="M77" s="2"/>
      <c r="N77" s="7">
        <f t="shared" si="50"/>
        <v>0.25466564734451586</v>
      </c>
      <c r="O77" s="11"/>
      <c r="P77" s="6">
        <v>-170.16</v>
      </c>
      <c r="Q77" s="2"/>
      <c r="R77" s="7">
        <f t="shared" si="51"/>
        <v>-6.5788507115876069E-2</v>
      </c>
      <c r="S77" s="2"/>
      <c r="T77" s="6">
        <v>2579.4</v>
      </c>
      <c r="U77" s="2"/>
      <c r="V77" s="7">
        <f t="shared" si="52"/>
        <v>2.3070061542702905E-3</v>
      </c>
      <c r="W77" s="2"/>
      <c r="X77" s="6">
        <f t="shared" si="53"/>
        <v>-2749.56</v>
      </c>
      <c r="Y77" s="2"/>
      <c r="Z77" s="7">
        <f t="shared" si="54"/>
        <v>-1.0659688299604559</v>
      </c>
    </row>
    <row r="78" spans="1:26" s="24" customFormat="1" hidden="1" outlineLevel="2" x14ac:dyDescent="0.25">
      <c r="A78" s="28"/>
      <c r="B78" s="11" t="str">
        <f>CONCATENATE("          ", "6284", " - ", "TRASH REMOVAL EXPENSE")</f>
        <v xml:space="preserve">          6284 - TRASH REMOVAL EXPENSE</v>
      </c>
      <c r="C78" s="11"/>
      <c r="D78" s="6"/>
      <c r="E78" s="2"/>
      <c r="F78" s="7">
        <f t="shared" si="47"/>
        <v>0</v>
      </c>
      <c r="G78" s="2"/>
      <c r="H78" s="6">
        <v>237</v>
      </c>
      <c r="I78" s="2"/>
      <c r="J78" s="7">
        <f t="shared" si="48"/>
        <v>4.4751887604406909E-4</v>
      </c>
      <c r="K78" s="2"/>
      <c r="L78" s="6">
        <f t="shared" si="49"/>
        <v>-237</v>
      </c>
      <c r="M78" s="2"/>
      <c r="N78" s="7">
        <f t="shared" si="50"/>
        <v>-1</v>
      </c>
      <c r="O78" s="11"/>
      <c r="P78" s="6"/>
      <c r="Q78" s="2"/>
      <c r="R78" s="7">
        <f t="shared" si="51"/>
        <v>0</v>
      </c>
      <c r="S78" s="2"/>
      <c r="T78" s="6">
        <v>711</v>
      </c>
      <c r="U78" s="2"/>
      <c r="V78" s="7">
        <f t="shared" si="52"/>
        <v>6.35915862482041E-4</v>
      </c>
      <c r="W78" s="2"/>
      <c r="X78" s="6">
        <f t="shared" si="53"/>
        <v>-711</v>
      </c>
      <c r="Y78" s="2"/>
      <c r="Z78" s="7">
        <f t="shared" si="54"/>
        <v>-1</v>
      </c>
    </row>
    <row r="79" spans="1:26" s="24" customFormat="1" hidden="1" outlineLevel="2" x14ac:dyDescent="0.25">
      <c r="A79" s="28"/>
      <c r="B79" s="11" t="str">
        <f>CONCATENATE("          ", "6285", " - ", "JANITORIAL SERVICES")</f>
        <v xml:space="preserve">          6285 - JANITORIAL SERVICES</v>
      </c>
      <c r="C79" s="11"/>
      <c r="D79" s="6"/>
      <c r="E79" s="2"/>
      <c r="F79" s="7">
        <f t="shared" si="47"/>
        <v>0</v>
      </c>
      <c r="G79" s="2"/>
      <c r="H79" s="6">
        <v>125.23</v>
      </c>
      <c r="I79" s="2"/>
      <c r="J79" s="7">
        <f t="shared" si="48"/>
        <v>2.3646746348944631E-4</v>
      </c>
      <c r="K79" s="2"/>
      <c r="L79" s="6">
        <f t="shared" si="49"/>
        <v>-125.23</v>
      </c>
      <c r="M79" s="2"/>
      <c r="N79" s="7">
        <f t="shared" si="50"/>
        <v>-1</v>
      </c>
      <c r="O79" s="11"/>
      <c r="P79" s="6">
        <v>-804.6</v>
      </c>
      <c r="Q79" s="2"/>
      <c r="R79" s="7">
        <f t="shared" si="51"/>
        <v>-0.31108035275877932</v>
      </c>
      <c r="S79" s="2"/>
      <c r="T79" s="6">
        <v>298.31</v>
      </c>
      <c r="U79" s="2"/>
      <c r="V79" s="7">
        <f t="shared" si="52"/>
        <v>2.6680739934882932E-4</v>
      </c>
      <c r="W79" s="2"/>
      <c r="X79" s="6">
        <f t="shared" si="53"/>
        <v>-1102.9100000000001</v>
      </c>
      <c r="Y79" s="2"/>
      <c r="Z79" s="7">
        <f t="shared" si="54"/>
        <v>-3.6971941939593043</v>
      </c>
    </row>
    <row r="80" spans="1:26" s="24" customFormat="1" hidden="1" outlineLevel="2" x14ac:dyDescent="0.25">
      <c r="A80" s="28"/>
      <c r="B80" s="11" t="str">
        <f>CONCATENATE("          ", "6286", " - ", "LAUNDRY EXPENSE")</f>
        <v xml:space="preserve">          6286 - LAUNDRY EXPENSE</v>
      </c>
      <c r="C80" s="11"/>
      <c r="D80" s="6"/>
      <c r="E80" s="2"/>
      <c r="F80" s="7">
        <f t="shared" si="47"/>
        <v>0</v>
      </c>
      <c r="G80" s="2"/>
      <c r="H80" s="6">
        <v>792.71</v>
      </c>
      <c r="I80" s="2"/>
      <c r="J80" s="7">
        <f t="shared" si="48"/>
        <v>1.4968467857759242E-3</v>
      </c>
      <c r="K80" s="2"/>
      <c r="L80" s="6">
        <f t="shared" si="49"/>
        <v>-792.71</v>
      </c>
      <c r="M80" s="2"/>
      <c r="N80" s="7">
        <f t="shared" si="50"/>
        <v>-1</v>
      </c>
      <c r="O80" s="11"/>
      <c r="P80" s="6"/>
      <c r="Q80" s="2"/>
      <c r="R80" s="7">
        <f t="shared" si="51"/>
        <v>0</v>
      </c>
      <c r="S80" s="2"/>
      <c r="T80" s="6">
        <v>2972.74</v>
      </c>
      <c r="U80" s="2"/>
      <c r="V80" s="7">
        <f t="shared" si="52"/>
        <v>2.6588080464625351E-3</v>
      </c>
      <c r="W80" s="2"/>
      <c r="X80" s="6">
        <f t="shared" si="53"/>
        <v>-2972.74</v>
      </c>
      <c r="Y80" s="2"/>
      <c r="Z80" s="7">
        <f t="shared" si="54"/>
        <v>-1</v>
      </c>
    </row>
    <row r="81" spans="1:26" s="29" customFormat="1" outlineLevel="1" collapsed="1" x14ac:dyDescent="0.25">
      <c r="A81" s="27"/>
      <c r="B81" s="14" t="str">
        <f>CONCATENATE("     ","Subscriptions &amp; Dues                              ")</f>
        <v xml:space="preserve">     Subscriptions &amp; Dues                              </v>
      </c>
      <c r="C81" s="14"/>
      <c r="D81" s="1">
        <f>SUM(OSRRefD22_17x_0)</f>
        <v>0</v>
      </c>
      <c r="E81" s="1"/>
      <c r="F81" s="5">
        <f t="shared" ref="F81:F90" si="55">IF(D$12=0,0,D81/D$12)</f>
        <v>0</v>
      </c>
      <c r="G81" s="1"/>
      <c r="H81" s="1">
        <f>SUM(OSRRefH22_17x_0)</f>
        <v>176.4</v>
      </c>
      <c r="I81" s="1"/>
      <c r="J81" s="5">
        <f t="shared" ref="J81:J90" si="56">IF(H$12=0,0,H81/H$12)</f>
        <v>3.3308999887837043E-4</v>
      </c>
      <c r="K81" s="1"/>
      <c r="L81" s="1">
        <f t="shared" ref="L81:L90" si="57">+D81-H81</f>
        <v>-176.4</v>
      </c>
      <c r="M81" s="1"/>
      <c r="N81" s="5">
        <f t="shared" ref="N81:N90" si="58">IF(H81=0,0,L81/H81)</f>
        <v>-1</v>
      </c>
      <c r="O81" s="14"/>
      <c r="P81" s="1">
        <f>SUM(OSRRefP22_17x_0)</f>
        <v>0</v>
      </c>
      <c r="Q81" s="1"/>
      <c r="R81" s="5">
        <f t="shared" ref="R81:R90" si="59">IF(P$12=0,0,P81/P$12)</f>
        <v>0</v>
      </c>
      <c r="S81" s="1"/>
      <c r="T81" s="1">
        <f>SUM(OSRRefT22_17x_0)</f>
        <v>705.6</v>
      </c>
      <c r="U81" s="1"/>
      <c r="V81" s="5">
        <f t="shared" ref="V81:V90" si="60">IF(T$12=0,0,T81/T$12)</f>
        <v>6.3108612175432927E-4</v>
      </c>
      <c r="W81" s="1"/>
      <c r="X81" s="1">
        <f t="shared" ref="X81:X90" si="61">+P81-T81</f>
        <v>-705.6</v>
      </c>
      <c r="Y81" s="1"/>
      <c r="Z81" s="5">
        <f t="shared" ref="Z81:Z90" si="62">IF(T81=0,0,X81/T81)</f>
        <v>-1</v>
      </c>
    </row>
    <row r="82" spans="1:26" s="24" customFormat="1" hidden="1" outlineLevel="2" x14ac:dyDescent="0.25">
      <c r="A82" s="28"/>
      <c r="B82" s="11" t="str">
        <f>CONCATENATE("          ", "6275", " - ", "SUBSCRIPTIONS")</f>
        <v xml:space="preserve">          6275 - SUBSCRIPTIONS</v>
      </c>
      <c r="C82" s="11"/>
      <c r="D82" s="6"/>
      <c r="E82" s="2"/>
      <c r="F82" s="7">
        <f t="shared" si="55"/>
        <v>0</v>
      </c>
      <c r="G82" s="2"/>
      <c r="H82" s="6">
        <v>176.4</v>
      </c>
      <c r="I82" s="2"/>
      <c r="J82" s="7">
        <f t="shared" si="56"/>
        <v>3.3308999887837043E-4</v>
      </c>
      <c r="K82" s="2"/>
      <c r="L82" s="6">
        <f t="shared" si="57"/>
        <v>-176.4</v>
      </c>
      <c r="M82" s="2"/>
      <c r="N82" s="7">
        <f t="shared" si="58"/>
        <v>-1</v>
      </c>
      <c r="O82" s="11"/>
      <c r="P82" s="6"/>
      <c r="Q82" s="2"/>
      <c r="R82" s="7">
        <f t="shared" si="59"/>
        <v>0</v>
      </c>
      <c r="S82" s="2"/>
      <c r="T82" s="6">
        <v>705.6</v>
      </c>
      <c r="U82" s="2"/>
      <c r="V82" s="7">
        <f t="shared" si="60"/>
        <v>6.3108612175432927E-4</v>
      </c>
      <c r="W82" s="2"/>
      <c r="X82" s="6">
        <f t="shared" si="61"/>
        <v>-705.6</v>
      </c>
      <c r="Y82" s="2"/>
      <c r="Z82" s="7">
        <f t="shared" si="62"/>
        <v>-1</v>
      </c>
    </row>
    <row r="83" spans="1:26" s="29" customFormat="1" outlineLevel="1" collapsed="1" x14ac:dyDescent="0.25">
      <c r="A83" s="27"/>
      <c r="B83" s="14" t="str">
        <f>CONCATENATE("     ","Supplies                                          ")</f>
        <v xml:space="preserve">     Supplies                                          </v>
      </c>
      <c r="C83" s="14"/>
      <c r="D83" s="1">
        <f>SUM(OSRRefD22_18x_0)</f>
        <v>41</v>
      </c>
      <c r="E83" s="1"/>
      <c r="F83" s="5">
        <f t="shared" si="55"/>
        <v>0</v>
      </c>
      <c r="G83" s="1"/>
      <c r="H83" s="1">
        <f>SUM(OSRRefH22_18x_0)</f>
        <v>6329.6200000000008</v>
      </c>
      <c r="I83" s="1"/>
      <c r="J83" s="5">
        <f t="shared" si="56"/>
        <v>1.1952001806692241E-2</v>
      </c>
      <c r="K83" s="1"/>
      <c r="L83" s="1">
        <f t="shared" si="57"/>
        <v>-6288.6200000000008</v>
      </c>
      <c r="M83" s="1"/>
      <c r="N83" s="5">
        <f t="shared" si="58"/>
        <v>-0.99352251793946555</v>
      </c>
      <c r="O83" s="14"/>
      <c r="P83" s="1">
        <f>SUM(OSRRefP22_18x_0)</f>
        <v>1094.0899999999999</v>
      </c>
      <c r="Q83" s="1"/>
      <c r="R83" s="5">
        <f t="shared" si="59"/>
        <v>0.42300509961453248</v>
      </c>
      <c r="S83" s="1"/>
      <c r="T83" s="1">
        <f>SUM(OSRRefT22_18x_0)</f>
        <v>31638.420000000002</v>
      </c>
      <c r="U83" s="1"/>
      <c r="V83" s="5">
        <f t="shared" si="60"/>
        <v>2.8297289932305285E-2</v>
      </c>
      <c r="W83" s="1"/>
      <c r="X83" s="1">
        <f t="shared" si="61"/>
        <v>-30544.33</v>
      </c>
      <c r="Y83" s="1"/>
      <c r="Z83" s="5">
        <f t="shared" si="62"/>
        <v>-0.96541894317099275</v>
      </c>
    </row>
    <row r="84" spans="1:26" s="24" customFormat="1" hidden="1" outlineLevel="2" x14ac:dyDescent="0.25">
      <c r="A84" s="28"/>
      <c r="B84" s="11" t="str">
        <f>CONCATENATE("          ", "6234", " - ", "EXPENDABLE SUPPLIES &amp; EQUIPMEN")</f>
        <v xml:space="preserve">          6234 - EXPENDABLE SUPPLIES &amp; EQUIPMEN</v>
      </c>
      <c r="C84" s="11"/>
      <c r="D84" s="6"/>
      <c r="E84" s="2"/>
      <c r="F84" s="7">
        <f t="shared" si="55"/>
        <v>0</v>
      </c>
      <c r="G84" s="2"/>
      <c r="H84" s="6"/>
      <c r="I84" s="2"/>
      <c r="J84" s="7">
        <f t="shared" si="56"/>
        <v>0</v>
      </c>
      <c r="K84" s="2"/>
      <c r="L84" s="6">
        <f t="shared" si="57"/>
        <v>0</v>
      </c>
      <c r="M84" s="2"/>
      <c r="N84" s="7">
        <f t="shared" si="58"/>
        <v>0</v>
      </c>
      <c r="O84" s="11"/>
      <c r="P84" s="6">
        <v>316.67</v>
      </c>
      <c r="Q84" s="2"/>
      <c r="R84" s="7">
        <f t="shared" si="59"/>
        <v>0.12243327778787304</v>
      </c>
      <c r="S84" s="2"/>
      <c r="T84" s="6">
        <v>1064.24</v>
      </c>
      <c r="U84" s="2"/>
      <c r="V84" s="7">
        <f t="shared" si="60"/>
        <v>9.5185245778887104E-4</v>
      </c>
      <c r="W84" s="2"/>
      <c r="X84" s="6">
        <f t="shared" si="61"/>
        <v>-747.56999999999994</v>
      </c>
      <c r="Y84" s="2"/>
      <c r="Z84" s="7">
        <f t="shared" si="62"/>
        <v>-0.70244493723220325</v>
      </c>
    </row>
    <row r="85" spans="1:26" s="24" customFormat="1" hidden="1" outlineLevel="2" x14ac:dyDescent="0.25">
      <c r="A85" s="28"/>
      <c r="B85" s="11" t="str">
        <f>CONCATENATE("          ", "6235", " - ", "COVID-19 EXPENSES")</f>
        <v xml:space="preserve">          6235 - COVID-19 EXPENSES</v>
      </c>
      <c r="C85" s="11"/>
      <c r="D85" s="6"/>
      <c r="E85" s="2"/>
      <c r="F85" s="7">
        <f t="shared" si="55"/>
        <v>0</v>
      </c>
      <c r="G85" s="2"/>
      <c r="H85" s="6"/>
      <c r="I85" s="2"/>
      <c r="J85" s="7">
        <f t="shared" si="56"/>
        <v>0</v>
      </c>
      <c r="K85" s="2"/>
      <c r="L85" s="6">
        <f t="shared" si="57"/>
        <v>0</v>
      </c>
      <c r="M85" s="2"/>
      <c r="N85" s="7">
        <f t="shared" si="58"/>
        <v>0</v>
      </c>
      <c r="O85" s="11"/>
      <c r="P85" s="6">
        <v>207.27</v>
      </c>
      <c r="Q85" s="2"/>
      <c r="R85" s="7">
        <f t="shared" si="59"/>
        <v>8.0136247472423802E-2</v>
      </c>
      <c r="S85" s="2"/>
      <c r="T85" s="6"/>
      <c r="U85" s="2"/>
      <c r="V85" s="7">
        <f t="shared" si="60"/>
        <v>0</v>
      </c>
      <c r="W85" s="2"/>
      <c r="X85" s="6">
        <f t="shared" si="61"/>
        <v>207.27</v>
      </c>
      <c r="Y85" s="2"/>
      <c r="Z85" s="7">
        <f t="shared" si="62"/>
        <v>0</v>
      </c>
    </row>
    <row r="86" spans="1:26" s="24" customFormat="1" hidden="1" outlineLevel="2" x14ac:dyDescent="0.25">
      <c r="A86" s="28"/>
      <c r="B86" s="11" t="str">
        <f>CONCATENATE("          ", "6237", " - ", "JANITORIAL SUPPLIES")</f>
        <v xml:space="preserve">          6237 - JANITORIAL SUPPLIES</v>
      </c>
      <c r="C86" s="11"/>
      <c r="D86" s="6"/>
      <c r="E86" s="2"/>
      <c r="F86" s="7">
        <f t="shared" si="55"/>
        <v>0</v>
      </c>
      <c r="G86" s="2"/>
      <c r="H86" s="6">
        <v>823.74</v>
      </c>
      <c r="I86" s="2"/>
      <c r="J86" s="7">
        <f t="shared" si="56"/>
        <v>1.5554396580276012E-3</v>
      </c>
      <c r="K86" s="2"/>
      <c r="L86" s="6">
        <f t="shared" si="57"/>
        <v>-823.74</v>
      </c>
      <c r="M86" s="2"/>
      <c r="N86" s="7">
        <f t="shared" si="58"/>
        <v>-1</v>
      </c>
      <c r="O86" s="11"/>
      <c r="P86" s="6">
        <v>317.57</v>
      </c>
      <c r="Q86" s="2"/>
      <c r="R86" s="7">
        <f t="shared" si="59"/>
        <v>0.12278124238827436</v>
      </c>
      <c r="S86" s="2"/>
      <c r="T86" s="6">
        <v>2009.64</v>
      </c>
      <c r="U86" s="2"/>
      <c r="V86" s="7">
        <f t="shared" si="60"/>
        <v>1.7974148437108423E-3</v>
      </c>
      <c r="W86" s="2"/>
      <c r="X86" s="6">
        <f t="shared" si="61"/>
        <v>-1692.0700000000002</v>
      </c>
      <c r="Y86" s="2"/>
      <c r="Z86" s="7">
        <f t="shared" si="62"/>
        <v>-0.84197667243884478</v>
      </c>
    </row>
    <row r="87" spans="1:26" s="24" customFormat="1" hidden="1" outlineLevel="2" x14ac:dyDescent="0.25">
      <c r="A87" s="28"/>
      <c r="B87" s="11" t="str">
        <f>CONCATENATE("          ", "6241", " - ", "OFFICE EXPENSE")</f>
        <v xml:space="preserve">          6241 - OFFICE EXPENSE</v>
      </c>
      <c r="C87" s="11"/>
      <c r="D87" s="6"/>
      <c r="E87" s="2"/>
      <c r="F87" s="7">
        <f t="shared" si="55"/>
        <v>0</v>
      </c>
      <c r="G87" s="2"/>
      <c r="H87" s="6">
        <v>504.04</v>
      </c>
      <c r="I87" s="2"/>
      <c r="J87" s="7">
        <f t="shared" si="56"/>
        <v>9.5176124169304901E-4</v>
      </c>
      <c r="K87" s="2"/>
      <c r="L87" s="6">
        <f t="shared" si="57"/>
        <v>-504.04</v>
      </c>
      <c r="M87" s="2"/>
      <c r="N87" s="7">
        <f t="shared" si="58"/>
        <v>-1</v>
      </c>
      <c r="O87" s="11"/>
      <c r="P87" s="6">
        <v>131.30000000000001</v>
      </c>
      <c r="Q87" s="2"/>
      <c r="R87" s="7">
        <f t="shared" si="59"/>
        <v>5.0764168925214674E-2</v>
      </c>
      <c r="S87" s="2"/>
      <c r="T87" s="6">
        <v>1462.3</v>
      </c>
      <c r="U87" s="2"/>
      <c r="V87" s="7">
        <f t="shared" si="60"/>
        <v>1.3078759011357082E-3</v>
      </c>
      <c r="W87" s="2"/>
      <c r="X87" s="6">
        <f t="shared" si="61"/>
        <v>-1331</v>
      </c>
      <c r="Y87" s="2"/>
      <c r="Z87" s="7">
        <f t="shared" si="62"/>
        <v>-0.91020994324010129</v>
      </c>
    </row>
    <row r="88" spans="1:26" s="24" customFormat="1" hidden="1" outlineLevel="2" x14ac:dyDescent="0.25">
      <c r="A88" s="28"/>
      <c r="B88" s="11" t="str">
        <f>CONCATENATE("          ", "6243", " - ", "PAPER SUPPLIES")</f>
        <v xml:space="preserve">          6243 - PAPER SUPPLIES</v>
      </c>
      <c r="C88" s="11"/>
      <c r="D88" s="6"/>
      <c r="E88" s="2"/>
      <c r="F88" s="7">
        <f t="shared" si="55"/>
        <v>0</v>
      </c>
      <c r="G88" s="2"/>
      <c r="H88" s="6">
        <v>1898.57</v>
      </c>
      <c r="I88" s="2"/>
      <c r="J88" s="7">
        <f t="shared" si="56"/>
        <v>3.5850038501729462E-3</v>
      </c>
      <c r="K88" s="2"/>
      <c r="L88" s="6">
        <f t="shared" si="57"/>
        <v>-1898.57</v>
      </c>
      <c r="M88" s="2"/>
      <c r="N88" s="7">
        <f t="shared" si="58"/>
        <v>-1</v>
      </c>
      <c r="O88" s="11"/>
      <c r="P88" s="6"/>
      <c r="Q88" s="2"/>
      <c r="R88" s="7">
        <f t="shared" si="59"/>
        <v>0</v>
      </c>
      <c r="S88" s="2"/>
      <c r="T88" s="6">
        <v>2697.63</v>
      </c>
      <c r="U88" s="2"/>
      <c r="V88" s="7">
        <f t="shared" si="60"/>
        <v>2.4127506443142452E-3</v>
      </c>
      <c r="W88" s="2"/>
      <c r="X88" s="6">
        <f t="shared" si="61"/>
        <v>-2697.63</v>
      </c>
      <c r="Y88" s="2"/>
      <c r="Z88" s="7">
        <f t="shared" si="62"/>
        <v>-1</v>
      </c>
    </row>
    <row r="89" spans="1:26" s="24" customFormat="1" hidden="1" outlineLevel="2" x14ac:dyDescent="0.25">
      <c r="A89" s="28"/>
      <c r="B89" s="11" t="str">
        <f>CONCATENATE("          ", "6245", " - ", "PRINTING")</f>
        <v xml:space="preserve">          6245 - PRINTING</v>
      </c>
      <c r="C89" s="11"/>
      <c r="D89" s="6"/>
      <c r="E89" s="2"/>
      <c r="F89" s="7">
        <f t="shared" si="55"/>
        <v>0</v>
      </c>
      <c r="G89" s="2"/>
      <c r="H89" s="6">
        <v>8.76</v>
      </c>
      <c r="I89" s="2"/>
      <c r="J89" s="7">
        <f t="shared" si="56"/>
        <v>1.654120402593268E-5</v>
      </c>
      <c r="K89" s="2"/>
      <c r="L89" s="6">
        <f t="shared" si="57"/>
        <v>-8.76</v>
      </c>
      <c r="M89" s="2"/>
      <c r="N89" s="7">
        <f t="shared" si="58"/>
        <v>-1</v>
      </c>
      <c r="O89" s="11"/>
      <c r="P89" s="6"/>
      <c r="Q89" s="2"/>
      <c r="R89" s="7">
        <f t="shared" si="59"/>
        <v>0</v>
      </c>
      <c r="S89" s="2"/>
      <c r="T89" s="6">
        <v>44.3</v>
      </c>
      <c r="U89" s="2"/>
      <c r="V89" s="7">
        <f t="shared" si="60"/>
        <v>3.962176189585712E-5</v>
      </c>
      <c r="W89" s="2"/>
      <c r="X89" s="6">
        <f t="shared" si="61"/>
        <v>-44.3</v>
      </c>
      <c r="Y89" s="2"/>
      <c r="Z89" s="7">
        <f t="shared" si="62"/>
        <v>-1</v>
      </c>
    </row>
    <row r="90" spans="1:26" s="24" customFormat="1" hidden="1" outlineLevel="2" x14ac:dyDescent="0.25">
      <c r="A90" s="28"/>
      <c r="B90" s="11" t="str">
        <f>CONCATENATE("          ", "6247", " - ", "STORE SUPPLIES")</f>
        <v xml:space="preserve">          6247 - STORE SUPPLIES</v>
      </c>
      <c r="C90" s="11"/>
      <c r="D90" s="6">
        <v>41</v>
      </c>
      <c r="E90" s="2"/>
      <c r="F90" s="7">
        <f t="shared" si="55"/>
        <v>0</v>
      </c>
      <c r="G90" s="2"/>
      <c r="H90" s="6">
        <v>3094.51</v>
      </c>
      <c r="I90" s="2"/>
      <c r="J90" s="7">
        <f t="shared" si="56"/>
        <v>5.8432558527727104E-3</v>
      </c>
      <c r="K90" s="2"/>
      <c r="L90" s="6">
        <f t="shared" si="57"/>
        <v>-3053.51</v>
      </c>
      <c r="M90" s="2"/>
      <c r="N90" s="7">
        <f t="shared" si="58"/>
        <v>-0.98675072951775888</v>
      </c>
      <c r="O90" s="11"/>
      <c r="P90" s="6">
        <v>121.28</v>
      </c>
      <c r="Q90" s="2"/>
      <c r="R90" s="7">
        <f t="shared" si="59"/>
        <v>4.6890163040746648E-2</v>
      </c>
      <c r="S90" s="2"/>
      <c r="T90" s="6">
        <v>24360.31</v>
      </c>
      <c r="U90" s="2"/>
      <c r="V90" s="7">
        <f t="shared" si="60"/>
        <v>2.1787774323459758E-2</v>
      </c>
      <c r="W90" s="2"/>
      <c r="X90" s="6">
        <f t="shared" si="61"/>
        <v>-24239.030000000002</v>
      </c>
      <c r="Y90" s="2"/>
      <c r="Z90" s="7">
        <f t="shared" si="62"/>
        <v>-0.99502140982606546</v>
      </c>
    </row>
    <row r="91" spans="1:26" s="29" customFormat="1" outlineLevel="1" collapsed="1" x14ac:dyDescent="0.25">
      <c r="A91" s="27"/>
      <c r="B91" s="14" t="str">
        <f>CONCATENATE("     ","Telephone/Data Lines                              ")</f>
        <v xml:space="preserve">     Telephone/Data Lines                              </v>
      </c>
      <c r="C91" s="14"/>
      <c r="D91" s="1">
        <f>SUM(OSRRefD22_19x_0)</f>
        <v>1151</v>
      </c>
      <c r="E91" s="1"/>
      <c r="F91" s="5">
        <f t="shared" ref="F91:F96" si="63">IF(D$12=0,0,D91/D$12)</f>
        <v>0</v>
      </c>
      <c r="G91" s="1"/>
      <c r="H91" s="1">
        <f>SUM(OSRRefH22_19x_0)</f>
        <v>341.91</v>
      </c>
      <c r="I91" s="1"/>
      <c r="J91" s="5">
        <f t="shared" ref="J91:J96" si="64">IF(H$12=0,0,H91/H$12)</f>
        <v>6.4561678864231086E-4</v>
      </c>
      <c r="K91" s="1"/>
      <c r="L91" s="1">
        <f t="shared" ref="L91:L96" si="65">+D91-H91</f>
        <v>809.08999999999992</v>
      </c>
      <c r="M91" s="1"/>
      <c r="N91" s="5">
        <f t="shared" ref="N91:N96" si="66">IF(H91=0,0,L91/H91)</f>
        <v>2.366382966277675</v>
      </c>
      <c r="O91" s="14"/>
      <c r="P91" s="1">
        <f>SUM(OSRRefP22_19x_0)</f>
        <v>2257.2399999999998</v>
      </c>
      <c r="Q91" s="1"/>
      <c r="R91" s="5">
        <f t="shared" ref="R91:R96" si="67">IF(P$12=0,0,P91/P$12)</f>
        <v>0.87271068289985954</v>
      </c>
      <c r="S91" s="1"/>
      <c r="T91" s="1">
        <f>SUM(OSRRefT22_19x_0)</f>
        <v>1351.49</v>
      </c>
      <c r="U91" s="1"/>
      <c r="V91" s="5">
        <f t="shared" ref="V91:V96" si="68">IF(T$12=0,0,T91/T$12)</f>
        <v>1.2087678326102021E-3</v>
      </c>
      <c r="W91" s="1"/>
      <c r="X91" s="1">
        <f t="shared" ref="X91:X96" si="69">+P91-T91</f>
        <v>905.74999999999977</v>
      </c>
      <c r="Y91" s="1"/>
      <c r="Z91" s="5">
        <f t="shared" ref="Z91:Z96" si="70">IF(T91=0,0,X91/T91)</f>
        <v>0.67018623889188955</v>
      </c>
    </row>
    <row r="92" spans="1:26" s="24" customFormat="1" hidden="1" outlineLevel="2" x14ac:dyDescent="0.25">
      <c r="A92" s="28"/>
      <c r="B92" s="11" t="str">
        <f>CONCATENATE("          ", "6309", " - ", "TELEPHONE")</f>
        <v xml:space="preserve">          6309 - TELEPHONE</v>
      </c>
      <c r="C92" s="11"/>
      <c r="D92" s="6">
        <v>1151</v>
      </c>
      <c r="E92" s="2"/>
      <c r="F92" s="7">
        <f t="shared" si="63"/>
        <v>0</v>
      </c>
      <c r="G92" s="2"/>
      <c r="H92" s="6">
        <v>341.91</v>
      </c>
      <c r="I92" s="2"/>
      <c r="J92" s="7">
        <f t="shared" si="64"/>
        <v>6.4561678864231086E-4</v>
      </c>
      <c r="K92" s="2"/>
      <c r="L92" s="6">
        <f t="shared" si="65"/>
        <v>809.08999999999992</v>
      </c>
      <c r="M92" s="2"/>
      <c r="N92" s="7">
        <f t="shared" si="66"/>
        <v>2.366382966277675</v>
      </c>
      <c r="O92" s="11"/>
      <c r="P92" s="6">
        <v>2257.2399999999998</v>
      </c>
      <c r="Q92" s="2"/>
      <c r="R92" s="7">
        <f t="shared" si="67"/>
        <v>0.87271068289985954</v>
      </c>
      <c r="S92" s="2"/>
      <c r="T92" s="6">
        <v>1351.49</v>
      </c>
      <c r="U92" s="2"/>
      <c r="V92" s="7">
        <f t="shared" si="68"/>
        <v>1.2087678326102021E-3</v>
      </c>
      <c r="W92" s="2"/>
      <c r="X92" s="6">
        <f t="shared" si="69"/>
        <v>905.74999999999977</v>
      </c>
      <c r="Y92" s="2"/>
      <c r="Z92" s="7">
        <f t="shared" si="70"/>
        <v>0.67018623889188955</v>
      </c>
    </row>
    <row r="93" spans="1:26" s="29" customFormat="1" outlineLevel="1" collapsed="1" x14ac:dyDescent="0.25">
      <c r="A93" s="27"/>
      <c r="B93" s="14" t="str">
        <f>CONCATENATE("     ","Training                                          ")</f>
        <v xml:space="preserve">     Training                                          </v>
      </c>
      <c r="C93" s="14"/>
      <c r="D93" s="1">
        <f>SUM(OSRRefD22_20x_0)</f>
        <v>0</v>
      </c>
      <c r="E93" s="1"/>
      <c r="F93" s="5">
        <f t="shared" si="63"/>
        <v>0</v>
      </c>
      <c r="G93" s="1"/>
      <c r="H93" s="1">
        <f>SUM(OSRRefH22_20x_0)</f>
        <v>0</v>
      </c>
      <c r="I93" s="1"/>
      <c r="J93" s="5">
        <f t="shared" si="64"/>
        <v>0</v>
      </c>
      <c r="K93" s="1"/>
      <c r="L93" s="1">
        <f t="shared" si="65"/>
        <v>0</v>
      </c>
      <c r="M93" s="1"/>
      <c r="N93" s="5">
        <f t="shared" si="66"/>
        <v>0</v>
      </c>
      <c r="O93" s="14"/>
      <c r="P93" s="1">
        <f>SUM(OSRRefP22_20x_0)</f>
        <v>0</v>
      </c>
      <c r="Q93" s="1"/>
      <c r="R93" s="5">
        <f t="shared" si="67"/>
        <v>0</v>
      </c>
      <c r="S93" s="1"/>
      <c r="T93" s="1">
        <f>SUM(OSRRefT22_20x_0)</f>
        <v>96</v>
      </c>
      <c r="U93" s="1"/>
      <c r="V93" s="5">
        <f t="shared" si="68"/>
        <v>8.5862057381541398E-5</v>
      </c>
      <c r="W93" s="1"/>
      <c r="X93" s="1">
        <f t="shared" si="69"/>
        <v>-96</v>
      </c>
      <c r="Y93" s="1"/>
      <c r="Z93" s="5">
        <f t="shared" si="70"/>
        <v>-1</v>
      </c>
    </row>
    <row r="94" spans="1:26" s="24" customFormat="1" hidden="1" outlineLevel="2" x14ac:dyDescent="0.25">
      <c r="A94" s="28"/>
      <c r="B94" s="11" t="str">
        <f>CONCATENATE("          ", "6376", " - ", "TRAINING")</f>
        <v xml:space="preserve">          6376 - TRAINING</v>
      </c>
      <c r="C94" s="11"/>
      <c r="D94" s="6"/>
      <c r="E94" s="2"/>
      <c r="F94" s="7">
        <f t="shared" si="63"/>
        <v>0</v>
      </c>
      <c r="G94" s="2"/>
      <c r="H94" s="6"/>
      <c r="I94" s="2"/>
      <c r="J94" s="7">
        <f t="shared" si="64"/>
        <v>0</v>
      </c>
      <c r="K94" s="2"/>
      <c r="L94" s="6">
        <f t="shared" si="65"/>
        <v>0</v>
      </c>
      <c r="M94" s="2"/>
      <c r="N94" s="7">
        <f t="shared" si="66"/>
        <v>0</v>
      </c>
      <c r="O94" s="11"/>
      <c r="P94" s="6"/>
      <c r="Q94" s="2"/>
      <c r="R94" s="7">
        <f t="shared" si="67"/>
        <v>0</v>
      </c>
      <c r="S94" s="2"/>
      <c r="T94" s="6">
        <v>96</v>
      </c>
      <c r="U94" s="2"/>
      <c r="V94" s="7">
        <f t="shared" si="68"/>
        <v>8.5862057381541398E-5</v>
      </c>
      <c r="W94" s="2"/>
      <c r="X94" s="6">
        <f t="shared" si="69"/>
        <v>-96</v>
      </c>
      <c r="Y94" s="2"/>
      <c r="Z94" s="7">
        <f t="shared" si="70"/>
        <v>-1</v>
      </c>
    </row>
    <row r="95" spans="1:26" s="29" customFormat="1" outlineLevel="1" collapsed="1" x14ac:dyDescent="0.25">
      <c r="A95" s="27"/>
      <c r="B95" s="14" t="str">
        <f>CONCATENATE("     ","Utilities                                         ")</f>
        <v xml:space="preserve">     Utilities                                         </v>
      </c>
      <c r="C95" s="14"/>
      <c r="D95" s="1">
        <f>SUM(OSRRefD22_21x_0)</f>
        <v>1136</v>
      </c>
      <c r="E95" s="1"/>
      <c r="F95" s="5">
        <f t="shared" si="63"/>
        <v>0</v>
      </c>
      <c r="G95" s="1"/>
      <c r="H95" s="1">
        <f>SUM(OSRRefH22_21x_0)</f>
        <v>1005</v>
      </c>
      <c r="I95" s="1"/>
      <c r="J95" s="5">
        <f t="shared" si="64"/>
        <v>1.8977066262628247E-3</v>
      </c>
      <c r="K95" s="1"/>
      <c r="L95" s="1">
        <f t="shared" si="65"/>
        <v>131</v>
      </c>
      <c r="M95" s="1"/>
      <c r="N95" s="5">
        <f t="shared" si="66"/>
        <v>0.13034825870646766</v>
      </c>
      <c r="O95" s="14"/>
      <c r="P95" s="1">
        <f>SUM(OSRRefP22_21x_0)</f>
        <v>1286</v>
      </c>
      <c r="Q95" s="1"/>
      <c r="R95" s="5">
        <f t="shared" si="67"/>
        <v>0.4972027512401071</v>
      </c>
      <c r="S95" s="1"/>
      <c r="T95" s="1">
        <f>SUM(OSRRefT22_21x_0)</f>
        <v>2060.12</v>
      </c>
      <c r="U95" s="1"/>
      <c r="V95" s="5">
        <f t="shared" si="68"/>
        <v>1.8425639755506361E-3</v>
      </c>
      <c r="W95" s="1"/>
      <c r="X95" s="1">
        <f t="shared" si="69"/>
        <v>-774.11999999999989</v>
      </c>
      <c r="Y95" s="1"/>
      <c r="Z95" s="5">
        <f t="shared" si="70"/>
        <v>-0.37576451857173365</v>
      </c>
    </row>
    <row r="96" spans="1:26" s="24" customFormat="1" hidden="1" outlineLevel="2" x14ac:dyDescent="0.25">
      <c r="A96" s="28"/>
      <c r="B96" s="11" t="str">
        <f>CONCATENATE("          ", "6274", " - ", "UTILITIES")</f>
        <v xml:space="preserve">          6274 - UTILITIES</v>
      </c>
      <c r="C96" s="11"/>
      <c r="D96" s="6">
        <v>1136</v>
      </c>
      <c r="E96" s="2"/>
      <c r="F96" s="7">
        <f t="shared" si="63"/>
        <v>0</v>
      </c>
      <c r="G96" s="2"/>
      <c r="H96" s="6">
        <v>1005</v>
      </c>
      <c r="I96" s="2"/>
      <c r="J96" s="7">
        <f t="shared" si="64"/>
        <v>1.8977066262628247E-3</v>
      </c>
      <c r="K96" s="2"/>
      <c r="L96" s="6">
        <f t="shared" si="65"/>
        <v>131</v>
      </c>
      <c r="M96" s="2"/>
      <c r="N96" s="7">
        <f t="shared" si="66"/>
        <v>0.13034825870646766</v>
      </c>
      <c r="O96" s="11"/>
      <c r="P96" s="6">
        <v>1286</v>
      </c>
      <c r="Q96" s="2"/>
      <c r="R96" s="7">
        <f t="shared" si="67"/>
        <v>0.4972027512401071</v>
      </c>
      <c r="S96" s="2"/>
      <c r="T96" s="6">
        <v>2060.12</v>
      </c>
      <c r="U96" s="2"/>
      <c r="V96" s="7">
        <f t="shared" si="68"/>
        <v>1.8425639755506361E-3</v>
      </c>
      <c r="W96" s="2"/>
      <c r="X96" s="6">
        <f t="shared" si="69"/>
        <v>-774.11999999999989</v>
      </c>
      <c r="Y96" s="2"/>
      <c r="Z96" s="7">
        <f t="shared" si="70"/>
        <v>-0.37576451857173365</v>
      </c>
    </row>
    <row r="97" spans="1:26" s="57" customFormat="1" x14ac:dyDescent="0.25">
      <c r="A97" s="37"/>
      <c r="B97" s="37"/>
      <c r="C97" s="37"/>
      <c r="D97" s="1"/>
      <c r="E97" s="1"/>
      <c r="F97" s="5"/>
      <c r="G97" s="1"/>
      <c r="H97" s="1"/>
      <c r="I97" s="1"/>
      <c r="J97" s="5"/>
      <c r="K97" s="1"/>
      <c r="L97" s="1"/>
      <c r="M97" s="1"/>
      <c r="N97" s="5"/>
      <c r="O97" s="37"/>
      <c r="P97" s="1"/>
      <c r="Q97" s="1"/>
      <c r="R97" s="5"/>
      <c r="S97" s="1"/>
      <c r="T97" s="1"/>
      <c r="U97" s="1"/>
      <c r="V97" s="5"/>
      <c r="W97" s="1"/>
      <c r="X97" s="1"/>
      <c r="Y97" s="1"/>
      <c r="Z97" s="5"/>
    </row>
    <row r="98" spans="1:26" s="23" customFormat="1" x14ac:dyDescent="0.25">
      <c r="A98" s="10"/>
      <c r="B98" s="26" t="s">
        <v>0</v>
      </c>
      <c r="C98" s="10"/>
      <c r="D98" s="4">
        <f>SUM(0)</f>
        <v>0</v>
      </c>
      <c r="E98" s="4"/>
      <c r="F98" s="12">
        <f>IF(D$12=0,0,D98/D$12)</f>
        <v>0</v>
      </c>
      <c r="G98" s="4"/>
      <c r="H98" s="4">
        <f>SUM(0)</f>
        <v>0</v>
      </c>
      <c r="I98" s="4"/>
      <c r="J98" s="12">
        <f>IF(H$12=0,0,H98/H$12)</f>
        <v>0</v>
      </c>
      <c r="K98" s="4"/>
      <c r="L98" s="4">
        <f>+D98-H98</f>
        <v>0</v>
      </c>
      <c r="M98" s="4"/>
      <c r="N98" s="12">
        <f>IF(H98=0,0,L98/H98)</f>
        <v>0</v>
      </c>
      <c r="O98" s="10"/>
      <c r="P98" s="4">
        <f>SUM(0)</f>
        <v>0</v>
      </c>
      <c r="Q98" s="4"/>
      <c r="R98" s="12">
        <f>IF(P$12=0,0,P98/P$12)</f>
        <v>0</v>
      </c>
      <c r="S98" s="4"/>
      <c r="T98" s="4">
        <f>SUM(0)</f>
        <v>0</v>
      </c>
      <c r="U98" s="4"/>
      <c r="V98" s="12">
        <f>IF(T$12=0,0,T98/T$12)</f>
        <v>0</v>
      </c>
      <c r="W98" s="4"/>
      <c r="X98" s="4">
        <f>+P98-T98</f>
        <v>0</v>
      </c>
      <c r="Y98" s="4"/>
      <c r="Z98" s="12">
        <f>IF(T98=0,0,X98/T98)</f>
        <v>0</v>
      </c>
    </row>
    <row r="99" spans="1:26" x14ac:dyDescent="0.25">
      <c r="A99" s="9"/>
      <c r="B99" s="10"/>
      <c r="C99" s="10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O99" s="10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x14ac:dyDescent="0.25">
      <c r="A100" s="10"/>
      <c r="B100" s="25" t="s">
        <v>3</v>
      </c>
      <c r="C100" s="25"/>
      <c r="D100" s="20">
        <f>+D26-D28+D98</f>
        <v>-39453.07</v>
      </c>
      <c r="E100" s="13"/>
      <c r="F100" s="21">
        <f>IF(D$12=0,0,D100/D$12)</f>
        <v>0</v>
      </c>
      <c r="G100" s="13"/>
      <c r="H100" s="20">
        <f>+H26-H28+H98</f>
        <v>130533.48000000001</v>
      </c>
      <c r="I100" s="13"/>
      <c r="J100" s="21">
        <f>IF(H$12=0,0,H100/H$12)</f>
        <v>0.24648184074143872</v>
      </c>
      <c r="K100" s="15"/>
      <c r="L100" s="20">
        <f>+D100-H100</f>
        <v>-169986.55000000002</v>
      </c>
      <c r="M100" s="15"/>
      <c r="N100" s="21">
        <f>IF(H100=0,0,L100/H100)</f>
        <v>-1.302244834045641</v>
      </c>
      <c r="O100" s="26"/>
      <c r="P100" s="20">
        <f>+P26-P28+P98</f>
        <v>-132090.85</v>
      </c>
      <c r="Q100" s="13"/>
      <c r="R100" s="21">
        <f>IF(P$12=0,0,P100/P$12)</f>
        <v>-51.069933152133984</v>
      </c>
      <c r="S100" s="13"/>
      <c r="T100" s="20">
        <f>+T26-T28+T98</f>
        <v>147357.69999999995</v>
      </c>
      <c r="U100" s="13"/>
      <c r="V100" s="21">
        <f>IF(T$12=0,0,T100/T$12)</f>
        <v>0.13179620096887457</v>
      </c>
      <c r="W100" s="15"/>
      <c r="X100" s="20">
        <f>+P100-T100</f>
        <v>-279448.54999999993</v>
      </c>
      <c r="Y100" s="15"/>
      <c r="Z100" s="21">
        <f>IF(T100=0,0,X100/T100)</f>
        <v>-1.8963959806647364</v>
      </c>
    </row>
    <row r="101" spans="1:26" x14ac:dyDescent="0.25">
      <c r="A101" s="9"/>
      <c r="B101" s="10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x14ac:dyDescent="0.25">
      <c r="A102" s="51"/>
      <c r="B102" s="10" t="s">
        <v>13</v>
      </c>
      <c r="C102" s="10"/>
      <c r="D102" s="4">
        <v>81.13</v>
      </c>
      <c r="E102" s="4"/>
      <c r="F102" s="12">
        <f>IF(D$12=0,0,D102/D$12)</f>
        <v>0</v>
      </c>
      <c r="G102" s="4"/>
      <c r="H102" s="4">
        <v>49336.86</v>
      </c>
      <c r="I102" s="4"/>
      <c r="J102" s="12">
        <f>IF(H$12=0,0,H102/H$12)</f>
        <v>9.316108073731473E-2</v>
      </c>
      <c r="K102" s="4"/>
      <c r="L102" s="4">
        <f>+D102-H102</f>
        <v>-49255.73</v>
      </c>
      <c r="M102" s="4"/>
      <c r="N102" s="12">
        <f>IF(H102=0,0,L102/H102)</f>
        <v>-0.99835559052602862</v>
      </c>
      <c r="O102" s="10"/>
      <c r="P102" s="4">
        <v>560.29</v>
      </c>
      <c r="Q102" s="4"/>
      <c r="R102" s="12">
        <f>IF(P$12=0,0,P102/P$12)</f>
        <v>0.21662342884317232</v>
      </c>
      <c r="S102" s="4"/>
      <c r="T102" s="4">
        <v>112548.03</v>
      </c>
      <c r="U102" s="4"/>
      <c r="V102" s="12">
        <f>IF(T$12=0,0,T102/T$12)</f>
        <v>0.10066255635457753</v>
      </c>
      <c r="W102" s="4"/>
      <c r="X102" s="4">
        <f>+P102-T102</f>
        <v>-111987.74</v>
      </c>
      <c r="Y102" s="4"/>
      <c r="Z102" s="12">
        <f>IF(T102=0,0,X102/T102)</f>
        <v>-0.99502176981685064</v>
      </c>
    </row>
    <row r="103" spans="1:26" x14ac:dyDescent="0.25">
      <c r="A103" s="9"/>
      <c r="B103" s="10"/>
      <c r="C103" s="10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O103" s="10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ht="15.75" thickBot="1" x14ac:dyDescent="0.3">
      <c r="A104" s="10"/>
      <c r="B104" s="25" t="s">
        <v>4</v>
      </c>
      <c r="C104" s="25"/>
      <c r="D104" s="30">
        <f>+D100-D102</f>
        <v>-39534.199999999997</v>
      </c>
      <c r="E104" s="13"/>
      <c r="F104" s="33">
        <f>IF(D$12=0,0,D104/D$12)</f>
        <v>0</v>
      </c>
      <c r="G104" s="13"/>
      <c r="H104" s="30">
        <f>+H100-H102</f>
        <v>81196.62000000001</v>
      </c>
      <c r="I104" s="13"/>
      <c r="J104" s="33">
        <f>IF(H$12=0,0,H104/H$12)</f>
        <v>0.15332076000412401</v>
      </c>
      <c r="K104" s="15"/>
      <c r="L104" s="30">
        <f>D104-H104</f>
        <v>-120730.82</v>
      </c>
      <c r="M104" s="15"/>
      <c r="N104" s="33">
        <f>IF(H104=0,0,L104/H104)</f>
        <v>-1.4868946515261348</v>
      </c>
      <c r="O104" s="26"/>
      <c r="P104" s="30">
        <f>+P100-P102</f>
        <v>-132651.14000000001</v>
      </c>
      <c r="Q104" s="13"/>
      <c r="R104" s="33">
        <f>IF(P$12=0,0,P104/P$12)</f>
        <v>-51.286556580977162</v>
      </c>
      <c r="S104" s="13"/>
      <c r="T104" s="30">
        <f>+T100-T102</f>
        <v>34809.669999999955</v>
      </c>
      <c r="U104" s="13"/>
      <c r="V104" s="33">
        <f>IF(T$12=0,0,T104/T$12)</f>
        <v>3.1133644614297046E-2</v>
      </c>
      <c r="W104" s="15"/>
      <c r="X104" s="30">
        <f>P104-T104</f>
        <v>-167460.80999999997</v>
      </c>
      <c r="Y104" s="15"/>
      <c r="Z104" s="33">
        <f>IF(T104=0,0,X104/T104)</f>
        <v>-4.8107554596179796</v>
      </c>
    </row>
    <row r="105" spans="1:26" ht="15.75" thickTop="1" x14ac:dyDescent="0.25">
      <c r="A105" s="9"/>
      <c r="B105" s="9"/>
      <c r="C105" s="9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x14ac:dyDescent="0.25">
      <c r="A106" s="9"/>
      <c r="B106" s="9"/>
      <c r="C106" s="9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s="23" customFormat="1" ht="15.75" thickBot="1" x14ac:dyDescent="0.3">
      <c r="A107" s="10"/>
      <c r="B107" s="25" t="s">
        <v>5</v>
      </c>
      <c r="C107" s="25"/>
      <c r="D107" s="34">
        <f>SUM(D104:D106)</f>
        <v>-39534.199999999997</v>
      </c>
      <c r="E107" s="13"/>
      <c r="F107" s="35">
        <f>IF(D$12=0,0,D107/D$12)</f>
        <v>0</v>
      </c>
      <c r="G107" s="13"/>
      <c r="H107" s="34">
        <f>SUM(H104:H106)</f>
        <v>81196.62000000001</v>
      </c>
      <c r="I107" s="13"/>
      <c r="J107" s="35">
        <f>IF(H$12=0,0,H107/H$12)</f>
        <v>0.15332076000412401</v>
      </c>
      <c r="K107" s="15"/>
      <c r="L107" s="34">
        <f>+D107-H107</f>
        <v>-120730.82</v>
      </c>
      <c r="M107" s="15"/>
      <c r="N107" s="35">
        <f>IF(H107=0,0,L107/H107)</f>
        <v>-1.4868946515261348</v>
      </c>
      <c r="O107" s="26"/>
      <c r="P107" s="34">
        <f>SUM(P104:P106)</f>
        <v>-132651.14000000001</v>
      </c>
      <c r="Q107" s="13"/>
      <c r="R107" s="35">
        <f>IF(P$12=0,0,P107/P$12)</f>
        <v>-51.286556580977162</v>
      </c>
      <c r="S107" s="13"/>
      <c r="T107" s="34">
        <f>SUM(T104:T106)</f>
        <v>34809.669999999955</v>
      </c>
      <c r="U107" s="13"/>
      <c r="V107" s="35">
        <f>IF(T$12=0,0,T107/T$12)</f>
        <v>3.1133644614297046E-2</v>
      </c>
      <c r="W107" s="15"/>
      <c r="X107" s="34">
        <f>+P107-T107</f>
        <v>-167460.80999999997</v>
      </c>
      <c r="Y107" s="15"/>
      <c r="Z107" s="35">
        <f>IF(T107=0,0,X107/T107)</f>
        <v>-4.8107554596179796</v>
      </c>
    </row>
    <row r="108" spans="1:26" ht="15.75" thickTop="1" x14ac:dyDescent="0.25">
      <c r="A108" s="9"/>
      <c r="C108" s="9"/>
      <c r="D108" s="18"/>
      <c r="E108" s="18"/>
      <c r="G108" s="18"/>
      <c r="H108" s="18"/>
      <c r="I108" s="18"/>
      <c r="J108" s="43"/>
      <c r="K108" s="18"/>
      <c r="L108" s="18"/>
      <c r="M108" s="18"/>
      <c r="P108" s="18"/>
      <c r="Q108" s="18"/>
      <c r="R108" s="43"/>
      <c r="S108" s="18"/>
      <c r="T108" s="18"/>
      <c r="U108" s="18"/>
      <c r="V108" s="43"/>
      <c r="W108" s="18"/>
      <c r="X108" s="18"/>
    </row>
    <row r="109" spans="1:26" x14ac:dyDescent="0.25">
      <c r="A109" s="9"/>
      <c r="B109" s="56">
        <v>44151.571907442129</v>
      </c>
      <c r="D109" s="18"/>
      <c r="E109" s="18"/>
      <c r="G109" s="18"/>
      <c r="H109" s="18"/>
      <c r="I109" s="18"/>
      <c r="J109" s="43"/>
      <c r="K109" s="18"/>
      <c r="L109" s="18"/>
      <c r="M109" s="18"/>
      <c r="P109" s="18"/>
      <c r="Q109" s="18"/>
      <c r="R109" s="43"/>
      <c r="S109" s="18"/>
      <c r="T109" s="18"/>
      <c r="U109" s="18"/>
      <c r="V109" s="43"/>
      <c r="W109" s="18"/>
      <c r="X109" s="18"/>
    </row>
    <row r="110" spans="1:26" x14ac:dyDescent="0.25">
      <c r="A110" s="9"/>
      <c r="B110" s="62" t="s">
        <v>313</v>
      </c>
      <c r="D110" s="18"/>
      <c r="E110" s="18"/>
      <c r="G110" s="18"/>
      <c r="H110" s="18"/>
      <c r="I110" s="18"/>
      <c r="J110" s="43"/>
      <c r="K110" s="18"/>
      <c r="L110" s="18"/>
      <c r="M110" s="18"/>
      <c r="P110" s="18"/>
      <c r="Q110" s="18"/>
      <c r="R110" s="43"/>
      <c r="S110" s="18"/>
      <c r="T110" s="18"/>
      <c r="U110" s="18"/>
      <c r="V110" s="43"/>
      <c r="W110" s="18"/>
      <c r="X110" s="18"/>
    </row>
    <row r="111" spans="1:26" x14ac:dyDescent="0.25">
      <c r="A111" s="9"/>
      <c r="B111" s="54"/>
      <c r="D111" s="18"/>
      <c r="E111" s="18"/>
      <c r="G111" s="18"/>
      <c r="H111" s="18"/>
      <c r="I111" s="18"/>
      <c r="J111" s="43"/>
      <c r="K111" s="18"/>
      <c r="L111" s="18"/>
      <c r="M111" s="18"/>
      <c r="P111" s="18"/>
      <c r="Q111" s="18"/>
      <c r="R111" s="43"/>
      <c r="S111" s="18"/>
      <c r="T111" s="18"/>
      <c r="U111" s="18"/>
      <c r="V111" s="43"/>
      <c r="W111" s="18"/>
      <c r="X111" s="18"/>
    </row>
    <row r="112" spans="1:26" x14ac:dyDescent="0.25">
      <c r="D112" s="18"/>
      <c r="E112" s="18"/>
      <c r="G112" s="18"/>
      <c r="H112" s="18"/>
      <c r="I112" s="18"/>
      <c r="J112" s="43"/>
      <c r="K112" s="18"/>
      <c r="L112" s="18"/>
      <c r="M112" s="18"/>
      <c r="P112" s="18"/>
      <c r="Q112" s="18"/>
      <c r="R112" s="43"/>
      <c r="S112" s="18"/>
      <c r="T112" s="18"/>
      <c r="U112" s="18"/>
      <c r="V112" s="43"/>
      <c r="W112" s="18"/>
      <c r="X112" s="18"/>
    </row>
  </sheetData>
  <pageMargins left="0.25" right="0.25" top="0.75" bottom="0.75" header="0.3" footer="0.3"/>
  <pageSetup scale="55" fitToWidth="2" orientation="landscape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",RIGHT(202104,2),", ",2021)</f>
        <v>Period 04,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44135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","309", " - ", "Carts")</f>
        <v>Department 309 - Carts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61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50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50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2"/>
      <c r="F10" s="31" t="s">
        <v>14</v>
      </c>
      <c r="G10" s="32"/>
      <c r="H10" s="49" t="s">
        <v>306</v>
      </c>
      <c r="I10" s="32"/>
      <c r="J10" s="31" t="s">
        <v>14</v>
      </c>
      <c r="K10" s="10"/>
      <c r="L10" s="42" t="s">
        <v>11</v>
      </c>
      <c r="M10" s="10"/>
      <c r="N10" s="31" t="s">
        <v>15</v>
      </c>
      <c r="O10" s="10"/>
      <c r="P10" s="59" t="s">
        <v>10</v>
      </c>
      <c r="Q10" s="32"/>
      <c r="R10" s="31" t="s">
        <v>14</v>
      </c>
      <c r="S10" s="32"/>
      <c r="T10" s="49" t="s">
        <v>306</v>
      </c>
      <c r="U10" s="32"/>
      <c r="V10" s="31" t="s">
        <v>14</v>
      </c>
      <c r="W10" s="10"/>
      <c r="X10" s="42" t="s">
        <v>11</v>
      </c>
      <c r="Y10" s="10"/>
      <c r="Z10" s="31" t="s">
        <v>15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67114.080000000002</v>
      </c>
      <c r="I12" s="4"/>
      <c r="J12" s="12"/>
      <c r="K12" s="4"/>
      <c r="L12" s="4">
        <f t="shared" ref="L12:L14" si="0">+D12-H12</f>
        <v>-67114.080000000002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140711.71</v>
      </c>
      <c r="U12" s="4"/>
      <c r="V12" s="12"/>
      <c r="W12" s="4"/>
      <c r="X12" s="4">
        <f t="shared" ref="X12:X14" si="2">+P12-T12</f>
        <v>-140711.71</v>
      </c>
      <c r="Y12" s="4"/>
      <c r="Z12" s="12">
        <f t="shared" ref="Z12:Z14" si="3">IF(T12=0,0,X12/T12)</f>
        <v>-1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 t="shared" ref="D13:D14" si="4">0</f>
        <v>0</v>
      </c>
      <c r="E13" s="2"/>
      <c r="F13" s="19"/>
      <c r="G13" s="2"/>
      <c r="H13" s="2">
        <f>--15512.39</f>
        <v>15512.39</v>
      </c>
      <c r="I13" s="2"/>
      <c r="J13" s="19"/>
      <c r="K13" s="2"/>
      <c r="L13" s="2">
        <f t="shared" si="0"/>
        <v>-15512.39</v>
      </c>
      <c r="M13" s="2"/>
      <c r="N13" s="19">
        <f t="shared" si="1"/>
        <v>-1</v>
      </c>
      <c r="O13" s="11"/>
      <c r="P13" s="2">
        <f t="shared" ref="P13:P14" si="5">0</f>
        <v>0</v>
      </c>
      <c r="Q13" s="2"/>
      <c r="R13" s="19"/>
      <c r="S13" s="2"/>
      <c r="T13" s="2">
        <f>--31173.16</f>
        <v>31173.16</v>
      </c>
      <c r="U13" s="2"/>
      <c r="V13" s="19"/>
      <c r="W13" s="2"/>
      <c r="X13" s="2">
        <f t="shared" si="2"/>
        <v>-31173.16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 t="shared" si="4"/>
        <v>0</v>
      </c>
      <c r="E14" s="2"/>
      <c r="F14" s="19"/>
      <c r="G14" s="2"/>
      <c r="H14" s="2">
        <f>--51601.69</f>
        <v>51601.69</v>
      </c>
      <c r="I14" s="2"/>
      <c r="J14" s="19"/>
      <c r="K14" s="2"/>
      <c r="L14" s="2">
        <f t="shared" si="0"/>
        <v>-51601.69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f>--109538.55</f>
        <v>109538.55</v>
      </c>
      <c r="U14" s="2"/>
      <c r="V14" s="19"/>
      <c r="W14" s="2"/>
      <c r="X14" s="2">
        <f t="shared" si="2"/>
        <v>-109538.55</v>
      </c>
      <c r="Y14" s="2"/>
      <c r="Z14" s="19">
        <f t="shared" si="3"/>
        <v>-1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6" t="s">
        <v>8</v>
      </c>
      <c r="C16" s="10"/>
      <c r="D16" s="4">
        <f>SUM(OSRRefD16x_0)</f>
        <v>0</v>
      </c>
      <c r="E16" s="4"/>
      <c r="F16" s="12">
        <f t="shared" ref="F16:F18" si="6">IF(D$12=0,0,D16/D$12)</f>
        <v>0</v>
      </c>
      <c r="G16" s="4"/>
      <c r="H16" s="4">
        <f>SUM(OSRRefH16x_0)</f>
        <v>30603.390000000003</v>
      </c>
      <c r="I16" s="4"/>
      <c r="J16" s="12">
        <f t="shared" ref="J16:J18" si="7">IF(H$12=0,0,H16/H$12)</f>
        <v>0.45599060584604606</v>
      </c>
      <c r="K16" s="4"/>
      <c r="L16" s="4">
        <f t="shared" ref="L16:L18" si="8">+D16-H16</f>
        <v>-30603.390000000003</v>
      </c>
      <c r="M16" s="4"/>
      <c r="N16" s="12">
        <f t="shared" ref="N16:N18" si="9">IF(H16=0,0,L16/H16)</f>
        <v>-1</v>
      </c>
      <c r="O16" s="10"/>
      <c r="P16" s="4">
        <f>SUM(OSRRefP16x_0)</f>
        <v>0</v>
      </c>
      <c r="Q16" s="4"/>
      <c r="R16" s="12">
        <f t="shared" ref="R16:R18" si="10">IF(P$12=0,0,P16/P$12)</f>
        <v>0</v>
      </c>
      <c r="S16" s="4"/>
      <c r="T16" s="4">
        <f>SUM(OSRRefT16x_0)</f>
        <v>64728.030000000006</v>
      </c>
      <c r="U16" s="4"/>
      <c r="V16" s="12">
        <f t="shared" ref="V16:V18" si="11">IF(T$12=0,0,T16/T$12)</f>
        <v>0.46000457246948395</v>
      </c>
      <c r="W16" s="4"/>
      <c r="X16" s="4">
        <f t="shared" ref="X16:X18" si="12">+P16-T16</f>
        <v>-64728.030000000006</v>
      </c>
      <c r="Y16" s="4"/>
      <c r="Z16" s="12">
        <f t="shared" ref="Z16:Z18" si="13">IF(T16=0,0,X16/T16)</f>
        <v>-1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6"/>
        <v>0</v>
      </c>
      <c r="G17" s="2"/>
      <c r="H17" s="2">
        <v>31556.670000000002</v>
      </c>
      <c r="I17" s="2"/>
      <c r="J17" s="19">
        <f t="shared" si="7"/>
        <v>0.47019448080045201</v>
      </c>
      <c r="K17" s="2"/>
      <c r="L17" s="2">
        <f t="shared" si="8"/>
        <v>-31556.670000000002</v>
      </c>
      <c r="M17" s="2"/>
      <c r="N17" s="19">
        <f t="shared" si="9"/>
        <v>-1</v>
      </c>
      <c r="O17" s="11"/>
      <c r="P17" s="2"/>
      <c r="Q17" s="2"/>
      <c r="R17" s="19">
        <f t="shared" si="10"/>
        <v>0</v>
      </c>
      <c r="S17" s="2"/>
      <c r="T17" s="2">
        <v>72707.960000000006</v>
      </c>
      <c r="U17" s="2"/>
      <c r="V17" s="19">
        <f t="shared" si="11"/>
        <v>0.51671577298008819</v>
      </c>
      <c r="W17" s="2"/>
      <c r="X17" s="2">
        <f t="shared" si="12"/>
        <v>-72707.960000000006</v>
      </c>
      <c r="Y17" s="2"/>
      <c r="Z17" s="19">
        <f t="shared" si="13"/>
        <v>-1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/>
      <c r="E18" s="2"/>
      <c r="F18" s="19">
        <f t="shared" si="6"/>
        <v>0</v>
      </c>
      <c r="G18" s="2"/>
      <c r="H18" s="2">
        <v>-953.28</v>
      </c>
      <c r="I18" s="2"/>
      <c r="J18" s="19">
        <f t="shared" si="7"/>
        <v>-1.420387495440599E-2</v>
      </c>
      <c r="K18" s="2"/>
      <c r="L18" s="2">
        <f t="shared" si="8"/>
        <v>953.28</v>
      </c>
      <c r="M18" s="2"/>
      <c r="N18" s="19">
        <f t="shared" si="9"/>
        <v>-1</v>
      </c>
      <c r="O18" s="11"/>
      <c r="P18" s="2"/>
      <c r="Q18" s="2"/>
      <c r="R18" s="19">
        <f t="shared" si="10"/>
        <v>0</v>
      </c>
      <c r="S18" s="2"/>
      <c r="T18" s="2">
        <v>-7979.93</v>
      </c>
      <c r="U18" s="2"/>
      <c r="V18" s="19">
        <f t="shared" si="11"/>
        <v>-5.6711200510604277E-2</v>
      </c>
      <c r="W18" s="2"/>
      <c r="X18" s="2">
        <f t="shared" si="12"/>
        <v>7979.93</v>
      </c>
      <c r="Y18" s="2"/>
      <c r="Z18" s="19">
        <f t="shared" si="13"/>
        <v>-1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5" t="s">
        <v>6</v>
      </c>
      <c r="C20" s="25"/>
      <c r="D20" s="20">
        <f>D12-D16</f>
        <v>0</v>
      </c>
      <c r="E20" s="13"/>
      <c r="F20" s="21">
        <f>IF(D$12=0,0,D20/D$12)</f>
        <v>0</v>
      </c>
      <c r="G20" s="13"/>
      <c r="H20" s="20">
        <f>H12-H16</f>
        <v>36510.69</v>
      </c>
      <c r="I20" s="13"/>
      <c r="J20" s="21">
        <f>IF(H$12=0,0,H20/H$12)</f>
        <v>0.544009394153954</v>
      </c>
      <c r="K20" s="15"/>
      <c r="L20" s="20">
        <f>+D20-H20</f>
        <v>-36510.69</v>
      </c>
      <c r="M20" s="15"/>
      <c r="N20" s="21">
        <f>IF(H20=0,0,L20/H20)</f>
        <v>-1</v>
      </c>
      <c r="O20" s="26"/>
      <c r="P20" s="20">
        <f>P12-P16</f>
        <v>0</v>
      </c>
      <c r="Q20" s="13"/>
      <c r="R20" s="21">
        <f>IF(P$12=0,0,P20/P$12)</f>
        <v>0</v>
      </c>
      <c r="S20" s="13"/>
      <c r="T20" s="20">
        <f>T12-T16</f>
        <v>75983.679999999993</v>
      </c>
      <c r="U20" s="13"/>
      <c r="V20" s="21">
        <f>IF(T$12=0,0,T20/T$12)</f>
        <v>0.5399954275305161</v>
      </c>
      <c r="W20" s="15"/>
      <c r="X20" s="20">
        <f>+P20-T20</f>
        <v>-75983.679999999993</v>
      </c>
      <c r="Y20" s="15"/>
      <c r="Z20" s="21">
        <f>IF(T20=0,0,X20/T20)</f>
        <v>-1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6" t="s">
        <v>9</v>
      </c>
      <c r="C22" s="10"/>
      <c r="D22" s="22">
        <f>SUM(OSRRefD22x_0)</f>
        <v>1206.6200000000001</v>
      </c>
      <c r="E22" s="22"/>
      <c r="F22" s="36">
        <f t="shared" ref="F22:F31" si="14">IF(D$12=0,0,D22/D$12)</f>
        <v>0</v>
      </c>
      <c r="G22" s="22"/>
      <c r="H22" s="22">
        <f>SUM(OSRRefH22x_0)</f>
        <v>20820.560000000001</v>
      </c>
      <c r="I22" s="22"/>
      <c r="J22" s="36">
        <f t="shared" ref="J22:J31" si="15">IF(H$12=0,0,H22/H$12)</f>
        <v>0.31022640852709299</v>
      </c>
      <c r="K22" s="4"/>
      <c r="L22" s="22">
        <f t="shared" ref="L22:L31" si="16">+D22-H22</f>
        <v>-19613.940000000002</v>
      </c>
      <c r="M22" s="4"/>
      <c r="N22" s="36">
        <f t="shared" ref="N22:N31" si="17">IF(H22=0,0,L22/H22)</f>
        <v>-0.94204670767741128</v>
      </c>
      <c r="O22" s="10"/>
      <c r="P22" s="22">
        <f>SUM(OSRRefP22x_0)</f>
        <v>2788.01</v>
      </c>
      <c r="Q22" s="22"/>
      <c r="R22" s="36">
        <f t="shared" ref="R22:R31" si="18">IF(P$12=0,0,P22/P$12)</f>
        <v>0</v>
      </c>
      <c r="S22" s="22"/>
      <c r="T22" s="22">
        <f>SUM(OSRRefT22x_0)</f>
        <v>65731.92</v>
      </c>
      <c r="U22" s="22"/>
      <c r="V22" s="36">
        <f t="shared" ref="V22:V31" si="19">IF(T$12=0,0,T22/T$12)</f>
        <v>0.46713894671594852</v>
      </c>
      <c r="W22" s="4"/>
      <c r="X22" s="22">
        <f t="shared" ref="X22:X31" si="20">+P22-T22</f>
        <v>-62943.909999999996</v>
      </c>
      <c r="Y22" s="4"/>
      <c r="Z22" s="36">
        <f t="shared" ref="Z22:Z31" si="21">IF(T22=0,0,X22/T22)</f>
        <v>-0.95758514280428741</v>
      </c>
    </row>
    <row r="23" spans="1:26" s="29" customFormat="1" outlineLevel="1" collapsed="1" x14ac:dyDescent="0.25">
      <c r="A23" s="27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0</v>
      </c>
      <c r="E23" s="1"/>
      <c r="F23" s="5">
        <f t="shared" si="14"/>
        <v>0</v>
      </c>
      <c r="G23" s="1"/>
      <c r="H23" s="1">
        <f>SUM(OSRRefH22_0x_0)</f>
        <v>2487.48</v>
      </c>
      <c r="I23" s="1"/>
      <c r="J23" s="5">
        <f t="shared" si="15"/>
        <v>3.7063459709199616E-2</v>
      </c>
      <c r="K23" s="1"/>
      <c r="L23" s="1">
        <f t="shared" si="16"/>
        <v>-2487.48</v>
      </c>
      <c r="M23" s="1"/>
      <c r="N23" s="5">
        <f t="shared" si="17"/>
        <v>-1</v>
      </c>
      <c r="O23" s="14"/>
      <c r="P23" s="1">
        <f>SUM(OSRRefP22_0x_0)</f>
        <v>0</v>
      </c>
      <c r="Q23" s="1"/>
      <c r="R23" s="5">
        <f t="shared" si="18"/>
        <v>0</v>
      </c>
      <c r="S23" s="1"/>
      <c r="T23" s="1">
        <f>SUM(OSRRefT22_0x_0)</f>
        <v>8520.02</v>
      </c>
      <c r="U23" s="1"/>
      <c r="V23" s="5">
        <f t="shared" si="19"/>
        <v>6.0549473814226269E-2</v>
      </c>
      <c r="W23" s="1"/>
      <c r="X23" s="1">
        <f t="shared" si="20"/>
        <v>-8520.02</v>
      </c>
      <c r="Y23" s="1"/>
      <c r="Z23" s="5">
        <f t="shared" si="21"/>
        <v>-1</v>
      </c>
    </row>
    <row r="24" spans="1:26" s="24" customFormat="1" hidden="1" outlineLevel="2" x14ac:dyDescent="0.25">
      <c r="A24" s="28"/>
      <c r="B24" s="11" t="str">
        <f>CONCATENATE("          ", "6111", " - ", "F.I.C.A.")</f>
        <v xml:space="preserve">          6111 - F.I.C.A.</v>
      </c>
      <c r="C24" s="11"/>
      <c r="D24" s="6"/>
      <c r="E24" s="2"/>
      <c r="F24" s="7">
        <f t="shared" si="14"/>
        <v>0</v>
      </c>
      <c r="G24" s="2"/>
      <c r="H24" s="6">
        <v>779.56</v>
      </c>
      <c r="I24" s="2"/>
      <c r="J24" s="7">
        <f t="shared" si="15"/>
        <v>1.1615446416012854E-2</v>
      </c>
      <c r="K24" s="2"/>
      <c r="L24" s="6">
        <f t="shared" si="16"/>
        <v>-779.56</v>
      </c>
      <c r="M24" s="2"/>
      <c r="N24" s="7">
        <f t="shared" si="17"/>
        <v>-1</v>
      </c>
      <c r="O24" s="11"/>
      <c r="P24" s="6"/>
      <c r="Q24" s="2"/>
      <c r="R24" s="7">
        <f t="shared" si="18"/>
        <v>0</v>
      </c>
      <c r="S24" s="2"/>
      <c r="T24" s="6">
        <v>1855.84</v>
      </c>
      <c r="U24" s="2"/>
      <c r="V24" s="7">
        <f t="shared" si="19"/>
        <v>1.31889520779756E-2</v>
      </c>
      <c r="W24" s="2"/>
      <c r="X24" s="6">
        <f t="shared" si="20"/>
        <v>-1855.84</v>
      </c>
      <c r="Y24" s="2"/>
      <c r="Z24" s="7">
        <f t="shared" si="21"/>
        <v>-1</v>
      </c>
    </row>
    <row r="25" spans="1:26" s="24" customFormat="1" hidden="1" outlineLevel="2" x14ac:dyDescent="0.25">
      <c r="A25" s="28"/>
      <c r="B25" s="11" t="str">
        <f>CONCATENATE("          ", "6112", " - ", "COMPENSATION INSURANCE")</f>
        <v xml:space="preserve">          6112 - COMPENSATION INSURANCE</v>
      </c>
      <c r="C25" s="11"/>
      <c r="D25" s="6"/>
      <c r="E25" s="2"/>
      <c r="F25" s="7">
        <f t="shared" si="14"/>
        <v>0</v>
      </c>
      <c r="G25" s="2"/>
      <c r="H25" s="6">
        <v>24.18</v>
      </c>
      <c r="I25" s="2"/>
      <c r="J25" s="7">
        <f t="shared" si="15"/>
        <v>3.6028207493867155E-4</v>
      </c>
      <c r="K25" s="2"/>
      <c r="L25" s="6">
        <f t="shared" si="16"/>
        <v>-24.18</v>
      </c>
      <c r="M25" s="2"/>
      <c r="N25" s="7">
        <f t="shared" si="17"/>
        <v>-1</v>
      </c>
      <c r="O25" s="11"/>
      <c r="P25" s="6"/>
      <c r="Q25" s="2"/>
      <c r="R25" s="7">
        <f t="shared" si="18"/>
        <v>0</v>
      </c>
      <c r="S25" s="2"/>
      <c r="T25" s="6">
        <v>504.03</v>
      </c>
      <c r="U25" s="2"/>
      <c r="V25" s="7">
        <f t="shared" si="19"/>
        <v>3.5820046533440609E-3</v>
      </c>
      <c r="W25" s="2"/>
      <c r="X25" s="6">
        <f t="shared" si="20"/>
        <v>-504.03</v>
      </c>
      <c r="Y25" s="2"/>
      <c r="Z25" s="7">
        <f t="shared" si="21"/>
        <v>-1</v>
      </c>
    </row>
    <row r="26" spans="1:26" s="24" customFormat="1" hidden="1" outlineLevel="2" x14ac:dyDescent="0.25">
      <c r="A26" s="28"/>
      <c r="B26" s="11" t="str">
        <f>CONCATENATE("          ", "6113", " - ", "GROUP INSURANCE")</f>
        <v xml:space="preserve">          6113 - GROUP INSURANCE</v>
      </c>
      <c r="C26" s="11"/>
      <c r="D26" s="6"/>
      <c r="E26" s="2"/>
      <c r="F26" s="7">
        <f t="shared" si="14"/>
        <v>0</v>
      </c>
      <c r="G26" s="2"/>
      <c r="H26" s="6">
        <v>965.94</v>
      </c>
      <c r="I26" s="2"/>
      <c r="J26" s="7">
        <f t="shared" si="15"/>
        <v>1.4392508993641872E-2</v>
      </c>
      <c r="K26" s="2"/>
      <c r="L26" s="6">
        <f t="shared" si="16"/>
        <v>-965.94</v>
      </c>
      <c r="M26" s="2"/>
      <c r="N26" s="7">
        <f t="shared" si="17"/>
        <v>-1</v>
      </c>
      <c r="O26" s="11"/>
      <c r="P26" s="6"/>
      <c r="Q26" s="2"/>
      <c r="R26" s="7">
        <f t="shared" si="18"/>
        <v>0</v>
      </c>
      <c r="S26" s="2"/>
      <c r="T26" s="6">
        <v>3863.76</v>
      </c>
      <c r="U26" s="2"/>
      <c r="V26" s="7">
        <f t="shared" si="19"/>
        <v>2.7458695512974723E-2</v>
      </c>
      <c r="W26" s="2"/>
      <c r="X26" s="6">
        <f t="shared" si="20"/>
        <v>-3863.76</v>
      </c>
      <c r="Y26" s="2"/>
      <c r="Z26" s="7">
        <f t="shared" si="21"/>
        <v>-1</v>
      </c>
    </row>
    <row r="27" spans="1:26" s="24" customFormat="1" hidden="1" outlineLevel="2" x14ac:dyDescent="0.25">
      <c r="A27" s="28"/>
      <c r="B27" s="11" t="str">
        <f>CONCATENATE("          ", "6114", " - ", "STATE UNEMPLOYMENT INSURANCE")</f>
        <v xml:space="preserve">          6114 - STATE UNEMPLOYMENT INSURANCE</v>
      </c>
      <c r="C27" s="11"/>
      <c r="D27" s="6"/>
      <c r="E27" s="2"/>
      <c r="F27" s="7">
        <f t="shared" si="14"/>
        <v>0</v>
      </c>
      <c r="G27" s="2"/>
      <c r="H27" s="6">
        <v>30.89</v>
      </c>
      <c r="I27" s="2"/>
      <c r="J27" s="7">
        <f t="shared" si="15"/>
        <v>4.6026109573430791E-4</v>
      </c>
      <c r="K27" s="2"/>
      <c r="L27" s="6">
        <f t="shared" si="16"/>
        <v>-30.89</v>
      </c>
      <c r="M27" s="2"/>
      <c r="N27" s="7">
        <f t="shared" si="17"/>
        <v>-1</v>
      </c>
      <c r="O27" s="11"/>
      <c r="P27" s="6"/>
      <c r="Q27" s="2"/>
      <c r="R27" s="7">
        <f t="shared" si="18"/>
        <v>0</v>
      </c>
      <c r="S27" s="2"/>
      <c r="T27" s="6">
        <v>84.63</v>
      </c>
      <c r="U27" s="2"/>
      <c r="V27" s="7">
        <f t="shared" si="19"/>
        <v>6.0144248122633145E-4</v>
      </c>
      <c r="W27" s="2"/>
      <c r="X27" s="6">
        <f t="shared" si="20"/>
        <v>-84.63</v>
      </c>
      <c r="Y27" s="2"/>
      <c r="Z27" s="7">
        <f t="shared" si="21"/>
        <v>-1</v>
      </c>
    </row>
    <row r="28" spans="1:26" s="24" customFormat="1" hidden="1" outlineLevel="2" x14ac:dyDescent="0.25">
      <c r="A28" s="28"/>
      <c r="B28" s="11" t="str">
        <f>CONCATENATE("          ", "6115", " - ", "P.E.R.S.")</f>
        <v xml:space="preserve">          6115 - P.E.R.S.</v>
      </c>
      <c r="C28" s="11"/>
      <c r="D28" s="6"/>
      <c r="E28" s="2"/>
      <c r="F28" s="7">
        <f t="shared" si="14"/>
        <v>0</v>
      </c>
      <c r="G28" s="2"/>
      <c r="H28" s="6">
        <v>268.22000000000003</v>
      </c>
      <c r="I28" s="2"/>
      <c r="J28" s="7">
        <f t="shared" si="15"/>
        <v>3.9964788312675968E-3</v>
      </c>
      <c r="K28" s="2"/>
      <c r="L28" s="6">
        <f t="shared" si="16"/>
        <v>-268.22000000000003</v>
      </c>
      <c r="M28" s="2"/>
      <c r="N28" s="7">
        <f t="shared" si="17"/>
        <v>-1</v>
      </c>
      <c r="O28" s="11"/>
      <c r="P28" s="6"/>
      <c r="Q28" s="2"/>
      <c r="R28" s="7">
        <f t="shared" si="18"/>
        <v>0</v>
      </c>
      <c r="S28" s="2"/>
      <c r="T28" s="6">
        <v>670.55</v>
      </c>
      <c r="U28" s="2"/>
      <c r="V28" s="7">
        <f t="shared" si="19"/>
        <v>4.7654171781438799E-3</v>
      </c>
      <c r="W28" s="2"/>
      <c r="X28" s="6">
        <f t="shared" si="20"/>
        <v>-670.55</v>
      </c>
      <c r="Y28" s="2"/>
      <c r="Z28" s="7">
        <f t="shared" si="21"/>
        <v>-1</v>
      </c>
    </row>
    <row r="29" spans="1:26" s="24" customFormat="1" hidden="1" outlineLevel="2" x14ac:dyDescent="0.25">
      <c r="A29" s="28"/>
      <c r="B29" s="11" t="str">
        <f>CONCATENATE("          ", "6118", " - ", "VACATION")</f>
        <v xml:space="preserve">          6118 - VACATION</v>
      </c>
      <c r="C29" s="11"/>
      <c r="D29" s="6"/>
      <c r="E29" s="2"/>
      <c r="F29" s="7">
        <f t="shared" si="14"/>
        <v>0</v>
      </c>
      <c r="G29" s="2"/>
      <c r="H29" s="6">
        <v>110.88</v>
      </c>
      <c r="I29" s="2"/>
      <c r="J29" s="7">
        <f t="shared" si="15"/>
        <v>1.6521123436393675E-3</v>
      </c>
      <c r="K29" s="2"/>
      <c r="L29" s="6">
        <f t="shared" si="16"/>
        <v>-110.88</v>
      </c>
      <c r="M29" s="2"/>
      <c r="N29" s="7">
        <f t="shared" si="17"/>
        <v>-1</v>
      </c>
      <c r="O29" s="11"/>
      <c r="P29" s="6"/>
      <c r="Q29" s="2"/>
      <c r="R29" s="7">
        <f t="shared" si="18"/>
        <v>0</v>
      </c>
      <c r="S29" s="2"/>
      <c r="T29" s="6">
        <v>406.56</v>
      </c>
      <c r="U29" s="2"/>
      <c r="V29" s="7">
        <f t="shared" si="19"/>
        <v>2.8893117708540393E-3</v>
      </c>
      <c r="W29" s="2"/>
      <c r="X29" s="6">
        <f t="shared" si="20"/>
        <v>-406.56</v>
      </c>
      <c r="Y29" s="2"/>
      <c r="Z29" s="7">
        <f t="shared" si="21"/>
        <v>-1</v>
      </c>
    </row>
    <row r="30" spans="1:26" s="24" customFormat="1" hidden="1" outlineLevel="2" x14ac:dyDescent="0.25">
      <c r="A30" s="28"/>
      <c r="B30" s="11" t="str">
        <f>CONCATENATE("          ", "6119", " - ", "SICK LEAVE")</f>
        <v xml:space="preserve">          6119 - SICK LEAVE</v>
      </c>
      <c r="C30" s="11"/>
      <c r="D30" s="6"/>
      <c r="E30" s="2"/>
      <c r="F30" s="7">
        <f t="shared" si="14"/>
        <v>0</v>
      </c>
      <c r="G30" s="2"/>
      <c r="H30" s="6">
        <v>132.84</v>
      </c>
      <c r="I30" s="2"/>
      <c r="J30" s="7">
        <f t="shared" si="15"/>
        <v>1.9793164116978135E-3</v>
      </c>
      <c r="K30" s="2"/>
      <c r="L30" s="6">
        <f t="shared" si="16"/>
        <v>-132.84</v>
      </c>
      <c r="M30" s="2"/>
      <c r="N30" s="7">
        <f t="shared" si="17"/>
        <v>-1</v>
      </c>
      <c r="O30" s="11"/>
      <c r="P30" s="6"/>
      <c r="Q30" s="2"/>
      <c r="R30" s="7">
        <f t="shared" si="18"/>
        <v>0</v>
      </c>
      <c r="S30" s="2"/>
      <c r="T30" s="6">
        <v>487.08</v>
      </c>
      <c r="U30" s="2"/>
      <c r="V30" s="7">
        <f t="shared" si="19"/>
        <v>3.4615455956011052E-3</v>
      </c>
      <c r="W30" s="2"/>
      <c r="X30" s="6">
        <f t="shared" si="20"/>
        <v>-487.08</v>
      </c>
      <c r="Y30" s="2"/>
      <c r="Z30" s="7">
        <f t="shared" si="21"/>
        <v>-1</v>
      </c>
    </row>
    <row r="31" spans="1:26" s="24" customFormat="1" hidden="1" outlineLevel="2" x14ac:dyDescent="0.25">
      <c r="A31" s="28"/>
      <c r="B31" s="11" t="str">
        <f>CONCATENATE("          ", "6156", " - ", "EMPLOYEE MEALS")</f>
        <v xml:space="preserve">          6156 - EMPLOYEE MEALS</v>
      </c>
      <c r="C31" s="11"/>
      <c r="D31" s="6"/>
      <c r="E31" s="2"/>
      <c r="F31" s="7">
        <f t="shared" si="14"/>
        <v>0</v>
      </c>
      <c r="G31" s="2"/>
      <c r="H31" s="6">
        <v>174.97</v>
      </c>
      <c r="I31" s="2"/>
      <c r="J31" s="7">
        <f t="shared" si="15"/>
        <v>2.6070535422671368E-3</v>
      </c>
      <c r="K31" s="2"/>
      <c r="L31" s="6">
        <f t="shared" si="16"/>
        <v>-174.97</v>
      </c>
      <c r="M31" s="2"/>
      <c r="N31" s="7">
        <f t="shared" si="17"/>
        <v>-1</v>
      </c>
      <c r="O31" s="11"/>
      <c r="P31" s="6"/>
      <c r="Q31" s="2"/>
      <c r="R31" s="7">
        <f t="shared" si="18"/>
        <v>0</v>
      </c>
      <c r="S31" s="2"/>
      <c r="T31" s="6">
        <v>647.57000000000005</v>
      </c>
      <c r="U31" s="2"/>
      <c r="V31" s="7">
        <f t="shared" si="19"/>
        <v>4.602104544106529E-3</v>
      </c>
      <c r="W31" s="2"/>
      <c r="X31" s="6">
        <f t="shared" si="20"/>
        <v>-647.57000000000005</v>
      </c>
      <c r="Y31" s="2"/>
      <c r="Z31" s="7">
        <f t="shared" si="21"/>
        <v>-1</v>
      </c>
    </row>
    <row r="32" spans="1:26" s="29" customFormat="1" outlineLevel="1" collapsed="1" x14ac:dyDescent="0.25">
      <c r="A32" s="27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0</v>
      </c>
      <c r="E32" s="1"/>
      <c r="F32" s="5">
        <f t="shared" ref="F32:F37" si="22">IF(D$12=0,0,D32/D$12)</f>
        <v>0</v>
      </c>
      <c r="G32" s="1"/>
      <c r="H32" s="1">
        <f>SUM(OSRRefH22_1x_0)</f>
        <v>14084.86</v>
      </c>
      <c r="I32" s="1"/>
      <c r="J32" s="5">
        <f t="shared" ref="J32:J37" si="23">IF(H$12=0,0,H32/H$12)</f>
        <v>0.2098644576518072</v>
      </c>
      <c r="K32" s="1"/>
      <c r="L32" s="1">
        <f t="shared" ref="L32:L37" si="24">+D32-H32</f>
        <v>-14084.86</v>
      </c>
      <c r="M32" s="1"/>
      <c r="N32" s="5">
        <f t="shared" ref="N32:N37" si="25">IF(H32=0,0,L32/H32)</f>
        <v>-1</v>
      </c>
      <c r="O32" s="14"/>
      <c r="P32" s="1">
        <f>SUM(OSRRefP22_1x_0)</f>
        <v>0</v>
      </c>
      <c r="Q32" s="1"/>
      <c r="R32" s="5">
        <f t="shared" ref="R32:R37" si="26">IF(P$12=0,0,P32/P$12)</f>
        <v>0</v>
      </c>
      <c r="S32" s="1"/>
      <c r="T32" s="1">
        <f>SUM(OSRRefT22_1x_0)</f>
        <v>36190.560000000005</v>
      </c>
      <c r="U32" s="1"/>
      <c r="V32" s="5">
        <f t="shared" ref="V32:V37" si="27">IF(T$12=0,0,T32/T$12)</f>
        <v>0.25719650482536249</v>
      </c>
      <c r="W32" s="1"/>
      <c r="X32" s="1">
        <f t="shared" ref="X32:X37" si="28">+P32-T32</f>
        <v>-36190.560000000005</v>
      </c>
      <c r="Y32" s="1"/>
      <c r="Z32" s="5">
        <f t="shared" ref="Z32:Z37" si="29">IF(T32=0,0,X32/T32)</f>
        <v>-1</v>
      </c>
    </row>
    <row r="33" spans="1:26" s="24" customFormat="1" hidden="1" outlineLevel="2" x14ac:dyDescent="0.25">
      <c r="A33" s="28"/>
      <c r="B33" s="11" t="str">
        <f>CONCATENATE("          ", "6002", " - ", "STAFF SALARIES")</f>
        <v xml:space="preserve">          6002 - STAFF SALARIES</v>
      </c>
      <c r="C33" s="11"/>
      <c r="D33" s="6"/>
      <c r="E33" s="2"/>
      <c r="F33" s="7">
        <f t="shared" si="22"/>
        <v>0</v>
      </c>
      <c r="G33" s="2"/>
      <c r="H33" s="6">
        <v>2280</v>
      </c>
      <c r="I33" s="2"/>
      <c r="J33" s="7">
        <f t="shared" si="23"/>
        <v>3.3972007066177472E-2</v>
      </c>
      <c r="K33" s="2"/>
      <c r="L33" s="6">
        <f t="shared" si="24"/>
        <v>-2280</v>
      </c>
      <c r="M33" s="2"/>
      <c r="N33" s="7">
        <f t="shared" si="25"/>
        <v>-1</v>
      </c>
      <c r="O33" s="11"/>
      <c r="P33" s="6"/>
      <c r="Q33" s="2"/>
      <c r="R33" s="7">
        <f t="shared" si="26"/>
        <v>0</v>
      </c>
      <c r="S33" s="2"/>
      <c r="T33" s="6">
        <v>8136</v>
      </c>
      <c r="U33" s="2"/>
      <c r="V33" s="7">
        <f t="shared" si="27"/>
        <v>5.7820347716618613E-2</v>
      </c>
      <c r="W33" s="2"/>
      <c r="X33" s="6">
        <f t="shared" si="28"/>
        <v>-8136</v>
      </c>
      <c r="Y33" s="2"/>
      <c r="Z33" s="7">
        <f t="shared" si="29"/>
        <v>-1</v>
      </c>
    </row>
    <row r="34" spans="1:26" s="24" customFormat="1" hidden="1" outlineLevel="2" x14ac:dyDescent="0.25">
      <c r="A34" s="28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22"/>
        <v>0</v>
      </c>
      <c r="G34" s="2"/>
      <c r="H34" s="6">
        <v>3815.79</v>
      </c>
      <c r="I34" s="2"/>
      <c r="J34" s="7">
        <f t="shared" si="23"/>
        <v>5.6855282825898829E-2</v>
      </c>
      <c r="K34" s="2"/>
      <c r="L34" s="6">
        <f t="shared" si="24"/>
        <v>-3815.79</v>
      </c>
      <c r="M34" s="2"/>
      <c r="N34" s="7">
        <f t="shared" si="25"/>
        <v>-1</v>
      </c>
      <c r="O34" s="11"/>
      <c r="P34" s="6"/>
      <c r="Q34" s="2"/>
      <c r="R34" s="7">
        <f t="shared" si="26"/>
        <v>0</v>
      </c>
      <c r="S34" s="2"/>
      <c r="T34" s="6">
        <v>10259.870000000001</v>
      </c>
      <c r="U34" s="2"/>
      <c r="V34" s="7">
        <f t="shared" si="27"/>
        <v>7.2914116387328393E-2</v>
      </c>
      <c r="W34" s="2"/>
      <c r="X34" s="6">
        <f t="shared" si="28"/>
        <v>-10259.870000000001</v>
      </c>
      <c r="Y34" s="2"/>
      <c r="Z34" s="7">
        <f t="shared" si="29"/>
        <v>-1</v>
      </c>
    </row>
    <row r="35" spans="1:26" s="24" customFormat="1" hidden="1" outlineLevel="2" x14ac:dyDescent="0.25">
      <c r="A35" s="28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22"/>
        <v>0</v>
      </c>
      <c r="G35" s="2"/>
      <c r="H35" s="6"/>
      <c r="I35" s="2"/>
      <c r="J35" s="7">
        <f t="shared" si="23"/>
        <v>0</v>
      </c>
      <c r="K35" s="2"/>
      <c r="L35" s="6">
        <f t="shared" si="24"/>
        <v>0</v>
      </c>
      <c r="M35" s="2"/>
      <c r="N35" s="7">
        <f t="shared" si="25"/>
        <v>0</v>
      </c>
      <c r="O35" s="11"/>
      <c r="P35" s="6"/>
      <c r="Q35" s="2"/>
      <c r="R35" s="7">
        <f t="shared" si="26"/>
        <v>0</v>
      </c>
      <c r="S35" s="2"/>
      <c r="T35" s="6">
        <v>173.63</v>
      </c>
      <c r="U35" s="2"/>
      <c r="V35" s="7">
        <f t="shared" si="27"/>
        <v>1.2339413684902274E-3</v>
      </c>
      <c r="W35" s="2"/>
      <c r="X35" s="6">
        <f t="shared" si="28"/>
        <v>-173.63</v>
      </c>
      <c r="Y35" s="2"/>
      <c r="Z35" s="7">
        <f t="shared" si="29"/>
        <v>-1</v>
      </c>
    </row>
    <row r="36" spans="1:26" s="24" customFormat="1" hidden="1" outlineLevel="2" x14ac:dyDescent="0.25">
      <c r="A36" s="28"/>
      <c r="B36" s="11" t="str">
        <f>CONCATENATE("          ", "6007", " - ", "STUDENT HOURLY")</f>
        <v xml:space="preserve">          6007 - STUDENT HOURLY</v>
      </c>
      <c r="C36" s="11"/>
      <c r="D36" s="6"/>
      <c r="E36" s="2"/>
      <c r="F36" s="7">
        <f t="shared" si="22"/>
        <v>0</v>
      </c>
      <c r="G36" s="2"/>
      <c r="H36" s="6">
        <v>7932.07</v>
      </c>
      <c r="I36" s="2"/>
      <c r="J36" s="7">
        <f t="shared" si="23"/>
        <v>0.11818786758307645</v>
      </c>
      <c r="K36" s="2"/>
      <c r="L36" s="6">
        <f t="shared" si="24"/>
        <v>-7932.07</v>
      </c>
      <c r="M36" s="2"/>
      <c r="N36" s="7">
        <f t="shared" si="25"/>
        <v>-1</v>
      </c>
      <c r="O36" s="11"/>
      <c r="P36" s="6"/>
      <c r="Q36" s="2"/>
      <c r="R36" s="7">
        <f t="shared" si="26"/>
        <v>0</v>
      </c>
      <c r="S36" s="2"/>
      <c r="T36" s="6">
        <v>17564.060000000001</v>
      </c>
      <c r="U36" s="2"/>
      <c r="V36" s="7">
        <f t="shared" si="27"/>
        <v>0.12482301579591353</v>
      </c>
      <c r="W36" s="2"/>
      <c r="X36" s="6">
        <f t="shared" si="28"/>
        <v>-17564.060000000001</v>
      </c>
      <c r="Y36" s="2"/>
      <c r="Z36" s="7">
        <f t="shared" si="29"/>
        <v>-1</v>
      </c>
    </row>
    <row r="37" spans="1:26" s="24" customFormat="1" hidden="1" outlineLevel="2" x14ac:dyDescent="0.25">
      <c r="A37" s="28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22"/>
        <v>0</v>
      </c>
      <c r="G37" s="2"/>
      <c r="H37" s="6">
        <v>57</v>
      </c>
      <c r="I37" s="2"/>
      <c r="J37" s="7">
        <f t="shared" si="23"/>
        <v>8.4930017665443673E-4</v>
      </c>
      <c r="K37" s="2"/>
      <c r="L37" s="6">
        <f t="shared" si="24"/>
        <v>-57</v>
      </c>
      <c r="M37" s="2"/>
      <c r="N37" s="7">
        <f t="shared" si="25"/>
        <v>-1</v>
      </c>
      <c r="O37" s="11"/>
      <c r="P37" s="6"/>
      <c r="Q37" s="2"/>
      <c r="R37" s="7">
        <f t="shared" si="26"/>
        <v>0</v>
      </c>
      <c r="S37" s="2"/>
      <c r="T37" s="6">
        <v>57</v>
      </c>
      <c r="U37" s="2"/>
      <c r="V37" s="7">
        <f t="shared" si="27"/>
        <v>4.0508355701170855E-4</v>
      </c>
      <c r="W37" s="2"/>
      <c r="X37" s="6">
        <f t="shared" si="28"/>
        <v>-57</v>
      </c>
      <c r="Y37" s="2"/>
      <c r="Z37" s="7">
        <f t="shared" si="29"/>
        <v>-1</v>
      </c>
    </row>
    <row r="38" spans="1:26" s="29" customFormat="1" outlineLevel="1" collapsed="1" x14ac:dyDescent="0.25">
      <c r="A38" s="27"/>
      <c r="B38" s="14" t="str">
        <f>CONCATENATE("     ","Advertising/Promo                                 ")</f>
        <v xml:space="preserve">     Advertising/Promo                                 </v>
      </c>
      <c r="C38" s="14"/>
      <c r="D38" s="1">
        <f>SUM(OSRRefD22_2x_0)</f>
        <v>0</v>
      </c>
      <c r="E38" s="1"/>
      <c r="F38" s="5">
        <f t="shared" ref="F38:F50" si="30">IF(D$12=0,0,D38/D$12)</f>
        <v>0</v>
      </c>
      <c r="G38" s="1"/>
      <c r="H38" s="1">
        <f>SUM(OSRRefH22_2x_0)</f>
        <v>21</v>
      </c>
      <c r="I38" s="1"/>
      <c r="J38" s="5">
        <f t="shared" ref="J38:J50" si="31">IF(H$12=0,0,H38/H$12)</f>
        <v>3.1290006508321352E-4</v>
      </c>
      <c r="K38" s="1"/>
      <c r="L38" s="1">
        <f t="shared" ref="L38:L50" si="32">+D38-H38</f>
        <v>-21</v>
      </c>
      <c r="M38" s="1"/>
      <c r="N38" s="5">
        <f t="shared" ref="N38:N50" si="33">IF(H38=0,0,L38/H38)</f>
        <v>-1</v>
      </c>
      <c r="O38" s="14"/>
      <c r="P38" s="1">
        <f>SUM(OSRRefP22_2x_0)</f>
        <v>0</v>
      </c>
      <c r="Q38" s="1"/>
      <c r="R38" s="5">
        <f t="shared" ref="R38:R50" si="34">IF(P$12=0,0,P38/P$12)</f>
        <v>0</v>
      </c>
      <c r="S38" s="1"/>
      <c r="T38" s="1">
        <f>SUM(OSRRefT22_2x_0)</f>
        <v>341.44</v>
      </c>
      <c r="U38" s="1"/>
      <c r="V38" s="5">
        <f t="shared" ref="V38:V50" si="35">IF(T$12=0,0,T38/T$12)</f>
        <v>2.4265215737908383E-3</v>
      </c>
      <c r="W38" s="1"/>
      <c r="X38" s="1">
        <f t="shared" ref="X38:X50" si="36">+P38-T38</f>
        <v>-341.44</v>
      </c>
      <c r="Y38" s="1"/>
      <c r="Z38" s="5">
        <f t="shared" ref="Z38:Z50" si="37">IF(T38=0,0,X38/T38)</f>
        <v>-1</v>
      </c>
    </row>
    <row r="39" spans="1:26" s="24" customFormat="1" hidden="1" outlineLevel="2" x14ac:dyDescent="0.25">
      <c r="A39" s="28"/>
      <c r="B39" s="11" t="str">
        <f>CONCATENATE("          ", "6362", " - ", "ADVERTISING EXPENSE")</f>
        <v xml:space="preserve">          6362 - ADVERTISING EXPENSE</v>
      </c>
      <c r="C39" s="11"/>
      <c r="D39" s="6"/>
      <c r="E39" s="2"/>
      <c r="F39" s="7">
        <f t="shared" si="30"/>
        <v>0</v>
      </c>
      <c r="G39" s="2"/>
      <c r="H39" s="6">
        <v>21</v>
      </c>
      <c r="I39" s="2"/>
      <c r="J39" s="7">
        <f t="shared" si="31"/>
        <v>3.1290006508321352E-4</v>
      </c>
      <c r="K39" s="2"/>
      <c r="L39" s="6">
        <f t="shared" si="32"/>
        <v>-21</v>
      </c>
      <c r="M39" s="2"/>
      <c r="N39" s="7">
        <f t="shared" si="33"/>
        <v>-1</v>
      </c>
      <c r="O39" s="11"/>
      <c r="P39" s="6"/>
      <c r="Q39" s="2"/>
      <c r="R39" s="7">
        <f t="shared" si="34"/>
        <v>0</v>
      </c>
      <c r="S39" s="2"/>
      <c r="T39" s="6">
        <v>341.44</v>
      </c>
      <c r="U39" s="2"/>
      <c r="V39" s="7">
        <f t="shared" si="35"/>
        <v>2.4265215737908383E-3</v>
      </c>
      <c r="W39" s="2"/>
      <c r="X39" s="6">
        <f t="shared" si="36"/>
        <v>-341.44</v>
      </c>
      <c r="Y39" s="2"/>
      <c r="Z39" s="7">
        <f t="shared" si="37"/>
        <v>-1</v>
      </c>
    </row>
    <row r="40" spans="1:26" s="29" customFormat="1" outlineLevel="1" collapsed="1" x14ac:dyDescent="0.25">
      <c r="A40" s="27"/>
      <c r="B40" s="14" t="str">
        <f>CONCATENATE("     ","Bad Debts/Over/Short                              ")</f>
        <v xml:space="preserve">     Bad Debts/Over/Short                              </v>
      </c>
      <c r="C40" s="14"/>
      <c r="D40" s="1">
        <f>SUM(OSRRefD22_3x_0)</f>
        <v>0</v>
      </c>
      <c r="E40" s="1"/>
      <c r="F40" s="5">
        <f t="shared" si="30"/>
        <v>0</v>
      </c>
      <c r="G40" s="1"/>
      <c r="H40" s="1">
        <f>SUM(OSRRefH22_3x_0)</f>
        <v>11.81</v>
      </c>
      <c r="I40" s="1"/>
      <c r="J40" s="5">
        <f t="shared" si="31"/>
        <v>1.7596903660155961E-4</v>
      </c>
      <c r="K40" s="1"/>
      <c r="L40" s="1">
        <f t="shared" si="32"/>
        <v>-11.81</v>
      </c>
      <c r="M40" s="1"/>
      <c r="N40" s="5">
        <f t="shared" si="33"/>
        <v>-1</v>
      </c>
      <c r="O40" s="14"/>
      <c r="P40" s="1">
        <f>SUM(OSRRefP22_3x_0)</f>
        <v>0</v>
      </c>
      <c r="Q40" s="1"/>
      <c r="R40" s="5">
        <f t="shared" si="34"/>
        <v>0</v>
      </c>
      <c r="S40" s="1"/>
      <c r="T40" s="1">
        <f>SUM(OSRRefT22_3x_0)</f>
        <v>8.61</v>
      </c>
      <c r="U40" s="1"/>
      <c r="V40" s="5">
        <f t="shared" si="35"/>
        <v>6.1188937295979137E-5</v>
      </c>
      <c r="W40" s="1"/>
      <c r="X40" s="1">
        <f t="shared" si="36"/>
        <v>-8.61</v>
      </c>
      <c r="Y40" s="1"/>
      <c r="Z40" s="5">
        <f t="shared" si="37"/>
        <v>-1</v>
      </c>
    </row>
    <row r="41" spans="1:26" s="24" customFormat="1" hidden="1" outlineLevel="2" x14ac:dyDescent="0.25">
      <c r="A41" s="28"/>
      <c r="B41" s="11" t="str">
        <f>CONCATENATE("          ", "6272", " - ", "CASH (OVER/SHORT)")</f>
        <v xml:space="preserve">          6272 - CASH (OVER/SHORT)</v>
      </c>
      <c r="C41" s="11"/>
      <c r="D41" s="6"/>
      <c r="E41" s="2"/>
      <c r="F41" s="7">
        <f t="shared" si="30"/>
        <v>0</v>
      </c>
      <c r="G41" s="2"/>
      <c r="H41" s="6">
        <v>11.81</v>
      </c>
      <c r="I41" s="2"/>
      <c r="J41" s="7">
        <f t="shared" si="31"/>
        <v>1.7596903660155961E-4</v>
      </c>
      <c r="K41" s="2"/>
      <c r="L41" s="6">
        <f t="shared" si="32"/>
        <v>-11.81</v>
      </c>
      <c r="M41" s="2"/>
      <c r="N41" s="7">
        <f t="shared" si="33"/>
        <v>-1</v>
      </c>
      <c r="O41" s="11"/>
      <c r="P41" s="6"/>
      <c r="Q41" s="2"/>
      <c r="R41" s="7">
        <f t="shared" si="34"/>
        <v>0</v>
      </c>
      <c r="S41" s="2"/>
      <c r="T41" s="6">
        <v>8.61</v>
      </c>
      <c r="U41" s="2"/>
      <c r="V41" s="7">
        <f t="shared" si="35"/>
        <v>6.1188937295979137E-5</v>
      </c>
      <c r="W41" s="2"/>
      <c r="X41" s="6">
        <f t="shared" si="36"/>
        <v>-8.61</v>
      </c>
      <c r="Y41" s="2"/>
      <c r="Z41" s="7">
        <f t="shared" si="37"/>
        <v>-1</v>
      </c>
    </row>
    <row r="42" spans="1:26" s="29" customFormat="1" outlineLevel="1" collapsed="1" x14ac:dyDescent="0.25">
      <c r="A42" s="27"/>
      <c r="B42" s="14" t="str">
        <f>CONCATENATE("     ","Bank/card Fees                                    ")</f>
        <v xml:space="preserve">     Bank/card Fees                                    </v>
      </c>
      <c r="C42" s="14"/>
      <c r="D42" s="1">
        <f>SUM(OSRRefD22_4x_0)</f>
        <v>0</v>
      </c>
      <c r="E42" s="1"/>
      <c r="F42" s="5">
        <f t="shared" si="30"/>
        <v>0</v>
      </c>
      <c r="G42" s="1"/>
      <c r="H42" s="1">
        <f>SUM(OSRRefH22_4x_0)</f>
        <v>2202.62</v>
      </c>
      <c r="I42" s="1"/>
      <c r="J42" s="5">
        <f t="shared" si="31"/>
        <v>3.2819044826361318E-2</v>
      </c>
      <c r="K42" s="1"/>
      <c r="L42" s="1">
        <f t="shared" si="32"/>
        <v>-2202.62</v>
      </c>
      <c r="M42" s="1"/>
      <c r="N42" s="5">
        <f t="shared" si="33"/>
        <v>-1</v>
      </c>
      <c r="O42" s="14"/>
      <c r="P42" s="1">
        <f>SUM(OSRRefP22_4x_0)</f>
        <v>0</v>
      </c>
      <c r="Q42" s="1"/>
      <c r="R42" s="5">
        <f t="shared" si="34"/>
        <v>0</v>
      </c>
      <c r="S42" s="1"/>
      <c r="T42" s="1">
        <f>SUM(OSRRefT22_4x_0)</f>
        <v>4615.95</v>
      </c>
      <c r="U42" s="1"/>
      <c r="V42" s="5">
        <f t="shared" si="35"/>
        <v>3.2804306052424494E-2</v>
      </c>
      <c r="W42" s="1"/>
      <c r="X42" s="1">
        <f t="shared" si="36"/>
        <v>-4615.95</v>
      </c>
      <c r="Y42" s="1"/>
      <c r="Z42" s="5">
        <f t="shared" si="37"/>
        <v>-1</v>
      </c>
    </row>
    <row r="43" spans="1:26" s="24" customFormat="1" hidden="1" outlineLevel="2" x14ac:dyDescent="0.25">
      <c r="A43" s="28"/>
      <c r="B43" s="11" t="str">
        <f>CONCATENATE("          ", "6381", " - ", "BANK/CREDIT CARD FEES")</f>
        <v xml:space="preserve">          6381 - BANK/CREDIT CARD FEES</v>
      </c>
      <c r="C43" s="11"/>
      <c r="D43" s="6"/>
      <c r="E43" s="2"/>
      <c r="F43" s="7">
        <f t="shared" si="30"/>
        <v>0</v>
      </c>
      <c r="G43" s="2"/>
      <c r="H43" s="6">
        <v>2202.62</v>
      </c>
      <c r="I43" s="2"/>
      <c r="J43" s="7">
        <f t="shared" si="31"/>
        <v>3.2819044826361318E-2</v>
      </c>
      <c r="K43" s="2"/>
      <c r="L43" s="6">
        <f t="shared" si="32"/>
        <v>-2202.62</v>
      </c>
      <c r="M43" s="2"/>
      <c r="N43" s="7">
        <f t="shared" si="33"/>
        <v>-1</v>
      </c>
      <c r="O43" s="11"/>
      <c r="P43" s="6"/>
      <c r="Q43" s="2"/>
      <c r="R43" s="7">
        <f t="shared" si="34"/>
        <v>0</v>
      </c>
      <c r="S43" s="2"/>
      <c r="T43" s="6">
        <v>4615.95</v>
      </c>
      <c r="U43" s="2"/>
      <c r="V43" s="7">
        <f t="shared" si="35"/>
        <v>3.2804306052424494E-2</v>
      </c>
      <c r="W43" s="2"/>
      <c r="X43" s="6">
        <f t="shared" si="36"/>
        <v>-4615.95</v>
      </c>
      <c r="Y43" s="2"/>
      <c r="Z43" s="7">
        <f t="shared" si="37"/>
        <v>-1</v>
      </c>
    </row>
    <row r="44" spans="1:26" s="29" customFormat="1" outlineLevel="1" collapsed="1" x14ac:dyDescent="0.25">
      <c r="A44" s="27"/>
      <c r="B44" s="14" t="str">
        <f>CONCATENATE("     ","Depreciation                                      ")</f>
        <v xml:space="preserve">     Depreciation                                      </v>
      </c>
      <c r="C44" s="14"/>
      <c r="D44" s="1">
        <f>SUM(OSRRefD22_5x_0)</f>
        <v>588.16999999999996</v>
      </c>
      <c r="E44" s="1"/>
      <c r="F44" s="5">
        <f t="shared" si="30"/>
        <v>0</v>
      </c>
      <c r="G44" s="1"/>
      <c r="H44" s="1">
        <f>SUM(OSRRefH22_5x_0)</f>
        <v>155.66999999999999</v>
      </c>
      <c r="I44" s="1"/>
      <c r="J44" s="5">
        <f t="shared" si="31"/>
        <v>2.3194834824525642E-3</v>
      </c>
      <c r="K44" s="1"/>
      <c r="L44" s="1">
        <f t="shared" si="32"/>
        <v>432.5</v>
      </c>
      <c r="M44" s="1"/>
      <c r="N44" s="5">
        <f t="shared" si="33"/>
        <v>2.778313098220595</v>
      </c>
      <c r="O44" s="14"/>
      <c r="P44" s="1">
        <f>SUM(OSRRefP22_5x_0)</f>
        <v>2088.46</v>
      </c>
      <c r="Q44" s="1"/>
      <c r="R44" s="5">
        <f t="shared" si="34"/>
        <v>0</v>
      </c>
      <c r="S44" s="1"/>
      <c r="T44" s="1">
        <f>SUM(OSRRefT22_5x_0)</f>
        <v>622.67999999999995</v>
      </c>
      <c r="U44" s="1"/>
      <c r="V44" s="5">
        <f t="shared" si="35"/>
        <v>4.4252180575447483E-3</v>
      </c>
      <c r="W44" s="1"/>
      <c r="X44" s="1">
        <f t="shared" si="36"/>
        <v>1465.7800000000002</v>
      </c>
      <c r="Y44" s="1"/>
      <c r="Z44" s="5">
        <f t="shared" si="37"/>
        <v>2.3539859960172165</v>
      </c>
    </row>
    <row r="45" spans="1:26" s="24" customFormat="1" hidden="1" outlineLevel="2" x14ac:dyDescent="0.25">
      <c r="A45" s="28"/>
      <c r="B45" s="11" t="str">
        <f>CONCATENATE("          ", "6322", " - ", "EQUIPMENT DEPRECIATION EXPENSE")</f>
        <v xml:space="preserve">          6322 - EQUIPMENT DEPRECIATION EXPENSE</v>
      </c>
      <c r="C45" s="11"/>
      <c r="D45" s="6">
        <v>588.16999999999996</v>
      </c>
      <c r="E45" s="2"/>
      <c r="F45" s="7">
        <f t="shared" si="30"/>
        <v>0</v>
      </c>
      <c r="G45" s="2"/>
      <c r="H45" s="6">
        <v>155.66999999999999</v>
      </c>
      <c r="I45" s="2"/>
      <c r="J45" s="7">
        <f t="shared" si="31"/>
        <v>2.3194834824525642E-3</v>
      </c>
      <c r="K45" s="2"/>
      <c r="L45" s="6">
        <f t="shared" si="32"/>
        <v>432.5</v>
      </c>
      <c r="M45" s="2"/>
      <c r="N45" s="7">
        <f t="shared" si="33"/>
        <v>2.778313098220595</v>
      </c>
      <c r="O45" s="11"/>
      <c r="P45" s="6">
        <v>2088.46</v>
      </c>
      <c r="Q45" s="2"/>
      <c r="R45" s="7">
        <f t="shared" si="34"/>
        <v>0</v>
      </c>
      <c r="S45" s="2"/>
      <c r="T45" s="6">
        <v>622.67999999999995</v>
      </c>
      <c r="U45" s="2"/>
      <c r="V45" s="7">
        <f t="shared" si="35"/>
        <v>4.4252180575447483E-3</v>
      </c>
      <c r="W45" s="2"/>
      <c r="X45" s="6">
        <f t="shared" si="36"/>
        <v>1465.7800000000002</v>
      </c>
      <c r="Y45" s="2"/>
      <c r="Z45" s="7">
        <f t="shared" si="37"/>
        <v>2.3539859960172165</v>
      </c>
    </row>
    <row r="46" spans="1:26" s="29" customFormat="1" outlineLevel="1" collapsed="1" x14ac:dyDescent="0.25">
      <c r="A46" s="27"/>
      <c r="B46" s="14" t="str">
        <f>CONCATENATE("     ","General                                           ")</f>
        <v xml:space="preserve">     General                                           </v>
      </c>
      <c r="C46" s="14"/>
      <c r="D46" s="1">
        <f>SUM(OSRRefD22_6x_0)</f>
        <v>0</v>
      </c>
      <c r="E46" s="1"/>
      <c r="F46" s="5">
        <f t="shared" si="30"/>
        <v>0</v>
      </c>
      <c r="G46" s="1"/>
      <c r="H46" s="1">
        <f>SUM(OSRRefH22_6x_0)</f>
        <v>18.25</v>
      </c>
      <c r="I46" s="1"/>
      <c r="J46" s="5">
        <f t="shared" si="31"/>
        <v>2.7192505656041175E-4</v>
      </c>
      <c r="K46" s="1"/>
      <c r="L46" s="1">
        <f t="shared" si="32"/>
        <v>-18.25</v>
      </c>
      <c r="M46" s="1"/>
      <c r="N46" s="5">
        <f t="shared" si="33"/>
        <v>-1</v>
      </c>
      <c r="O46" s="14"/>
      <c r="P46" s="1">
        <f>SUM(OSRRefP22_6x_0)</f>
        <v>0</v>
      </c>
      <c r="Q46" s="1"/>
      <c r="R46" s="5">
        <f t="shared" si="34"/>
        <v>0</v>
      </c>
      <c r="S46" s="1"/>
      <c r="T46" s="1">
        <f>SUM(OSRRefT22_6x_0)</f>
        <v>1496.09</v>
      </c>
      <c r="U46" s="1"/>
      <c r="V46" s="5">
        <f t="shared" si="35"/>
        <v>1.0632306294906088E-2</v>
      </c>
      <c r="W46" s="1"/>
      <c r="X46" s="1">
        <f t="shared" si="36"/>
        <v>-1496.09</v>
      </c>
      <c r="Y46" s="1"/>
      <c r="Z46" s="5">
        <f t="shared" si="37"/>
        <v>-1</v>
      </c>
    </row>
    <row r="47" spans="1:26" s="24" customFormat="1" hidden="1" outlineLevel="2" x14ac:dyDescent="0.25">
      <c r="A47" s="28"/>
      <c r="B47" s="11" t="str">
        <f>CONCATENATE("          ", "6279", " - ", "GENERAL EXPENSE")</f>
        <v xml:space="preserve">          6279 - GENERAL EXPENSE</v>
      </c>
      <c r="C47" s="11"/>
      <c r="D47" s="6"/>
      <c r="E47" s="2"/>
      <c r="F47" s="7">
        <f t="shared" si="30"/>
        <v>0</v>
      </c>
      <c r="G47" s="2"/>
      <c r="H47" s="6">
        <v>18.25</v>
      </c>
      <c r="I47" s="2"/>
      <c r="J47" s="7">
        <f t="shared" si="31"/>
        <v>2.7192505656041175E-4</v>
      </c>
      <c r="K47" s="2"/>
      <c r="L47" s="6">
        <f t="shared" si="32"/>
        <v>-18.25</v>
      </c>
      <c r="M47" s="2"/>
      <c r="N47" s="7">
        <f t="shared" si="33"/>
        <v>-1</v>
      </c>
      <c r="O47" s="11"/>
      <c r="P47" s="6"/>
      <c r="Q47" s="2"/>
      <c r="R47" s="7">
        <f t="shared" si="34"/>
        <v>0</v>
      </c>
      <c r="S47" s="2"/>
      <c r="T47" s="6">
        <v>1496.09</v>
      </c>
      <c r="U47" s="2"/>
      <c r="V47" s="7">
        <f t="shared" si="35"/>
        <v>1.0632306294906088E-2</v>
      </c>
      <c r="W47" s="2"/>
      <c r="X47" s="6">
        <f t="shared" si="36"/>
        <v>-1496.09</v>
      </c>
      <c r="Y47" s="2"/>
      <c r="Z47" s="7">
        <f t="shared" si="37"/>
        <v>-1</v>
      </c>
    </row>
    <row r="48" spans="1:26" s="29" customFormat="1" outlineLevel="1" collapsed="1" x14ac:dyDescent="0.25">
      <c r="A48" s="27"/>
      <c r="B48" s="14" t="str">
        <f>CONCATENATE("     ","Repair and Maintenance                            ")</f>
        <v xml:space="preserve">     Repair and Maintenance                            </v>
      </c>
      <c r="C48" s="14"/>
      <c r="D48" s="1">
        <f>SUM(OSRRefD22_7x_0)</f>
        <v>22.02</v>
      </c>
      <c r="E48" s="1"/>
      <c r="F48" s="5">
        <f t="shared" si="30"/>
        <v>0</v>
      </c>
      <c r="G48" s="1"/>
      <c r="H48" s="1">
        <f>SUM(OSRRefH22_7x_0)</f>
        <v>461.03999999999996</v>
      </c>
      <c r="I48" s="1"/>
      <c r="J48" s="5">
        <f t="shared" si="31"/>
        <v>6.8694974288554646E-3</v>
      </c>
      <c r="K48" s="1"/>
      <c r="L48" s="1">
        <f t="shared" si="32"/>
        <v>-439.02</v>
      </c>
      <c r="M48" s="1"/>
      <c r="N48" s="5">
        <f t="shared" si="33"/>
        <v>-0.95223841749089022</v>
      </c>
      <c r="O48" s="14"/>
      <c r="P48" s="1">
        <f>SUM(OSRRefP22_7x_0)</f>
        <v>302.14999999999998</v>
      </c>
      <c r="Q48" s="1"/>
      <c r="R48" s="5">
        <f t="shared" si="34"/>
        <v>0</v>
      </c>
      <c r="S48" s="1"/>
      <c r="T48" s="1">
        <f>SUM(OSRRefT22_7x_0)</f>
        <v>5754.7999999999993</v>
      </c>
      <c r="U48" s="1"/>
      <c r="V48" s="5">
        <f t="shared" si="35"/>
        <v>4.0897804454227721E-2</v>
      </c>
      <c r="W48" s="1"/>
      <c r="X48" s="1">
        <f t="shared" si="36"/>
        <v>-5452.65</v>
      </c>
      <c r="Y48" s="1"/>
      <c r="Z48" s="5">
        <f t="shared" si="37"/>
        <v>-0.94749600333634532</v>
      </c>
    </row>
    <row r="49" spans="1:26" s="24" customFormat="1" hidden="1" outlineLevel="2" x14ac:dyDescent="0.25">
      <c r="A49" s="28"/>
      <c r="B49" s="11" t="str">
        <f>CONCATENATE("          ", "6373", " - ", "MAINTENANCE CONTRACTS")</f>
        <v xml:space="preserve">          6373 - MAINTENANCE CONTRACTS</v>
      </c>
      <c r="C49" s="11"/>
      <c r="D49" s="6"/>
      <c r="E49" s="2"/>
      <c r="F49" s="7">
        <f t="shared" si="30"/>
        <v>0</v>
      </c>
      <c r="G49" s="2"/>
      <c r="H49" s="6">
        <v>45.65</v>
      </c>
      <c r="I49" s="2"/>
      <c r="J49" s="7">
        <f t="shared" si="31"/>
        <v>6.8018514147850939E-4</v>
      </c>
      <c r="K49" s="2"/>
      <c r="L49" s="6">
        <f t="shared" si="32"/>
        <v>-45.65</v>
      </c>
      <c r="M49" s="2"/>
      <c r="N49" s="7">
        <f t="shared" si="33"/>
        <v>-1</v>
      </c>
      <c r="O49" s="11"/>
      <c r="P49" s="6">
        <v>166.13</v>
      </c>
      <c r="Q49" s="2"/>
      <c r="R49" s="7">
        <f t="shared" si="34"/>
        <v>0</v>
      </c>
      <c r="S49" s="2"/>
      <c r="T49" s="6">
        <v>45.65</v>
      </c>
      <c r="U49" s="2"/>
      <c r="V49" s="7">
        <f t="shared" si="35"/>
        <v>3.2442218206288592E-4</v>
      </c>
      <c r="W49" s="2"/>
      <c r="X49" s="6">
        <f t="shared" si="36"/>
        <v>120.47999999999999</v>
      </c>
      <c r="Y49" s="2"/>
      <c r="Z49" s="7">
        <f t="shared" si="37"/>
        <v>2.6392113910186197</v>
      </c>
    </row>
    <row r="50" spans="1:26" s="24" customFormat="1" hidden="1" outlineLevel="2" x14ac:dyDescent="0.25">
      <c r="A50" s="28"/>
      <c r="B50" s="11" t="str">
        <f>CONCATENATE("          ", "6375", " - ", "OUTSIDE REPAIRS &amp; MAINTENANCE")</f>
        <v xml:space="preserve">          6375 - OUTSIDE REPAIRS &amp; MAINTENANCE</v>
      </c>
      <c r="C50" s="11"/>
      <c r="D50" s="6">
        <v>22.02</v>
      </c>
      <c r="E50" s="2"/>
      <c r="F50" s="7">
        <f t="shared" si="30"/>
        <v>0</v>
      </c>
      <c r="G50" s="2"/>
      <c r="H50" s="6">
        <v>415.39</v>
      </c>
      <c r="I50" s="2"/>
      <c r="J50" s="7">
        <f t="shared" si="31"/>
        <v>6.1893122873769553E-3</v>
      </c>
      <c r="K50" s="2"/>
      <c r="L50" s="6">
        <f t="shared" si="32"/>
        <v>-393.37</v>
      </c>
      <c r="M50" s="2"/>
      <c r="N50" s="7">
        <f t="shared" si="33"/>
        <v>-0.94698957606105105</v>
      </c>
      <c r="O50" s="11"/>
      <c r="P50" s="6">
        <v>136.02000000000001</v>
      </c>
      <c r="Q50" s="2"/>
      <c r="R50" s="7">
        <f t="shared" si="34"/>
        <v>0</v>
      </c>
      <c r="S50" s="2"/>
      <c r="T50" s="6">
        <v>5709.15</v>
      </c>
      <c r="U50" s="2"/>
      <c r="V50" s="7">
        <f t="shared" si="35"/>
        <v>4.0573382272164837E-2</v>
      </c>
      <c r="W50" s="2"/>
      <c r="X50" s="6">
        <f t="shared" si="36"/>
        <v>-5573.1299999999992</v>
      </c>
      <c r="Y50" s="2"/>
      <c r="Z50" s="7">
        <f t="shared" si="37"/>
        <v>-0.97617508735976455</v>
      </c>
    </row>
    <row r="51" spans="1:26" s="29" customFormat="1" outlineLevel="1" collapsed="1" x14ac:dyDescent="0.25">
      <c r="A51" s="27"/>
      <c r="B51" s="14" t="str">
        <f>CONCATENATE("     ","Services                                          ")</f>
        <v xml:space="preserve">     Services                                          </v>
      </c>
      <c r="C51" s="14"/>
      <c r="D51" s="1">
        <f>SUM(OSRRefD22_8x_0)</f>
        <v>558</v>
      </c>
      <c r="E51" s="1"/>
      <c r="F51" s="5">
        <f t="shared" ref="F51:F53" si="38">IF(D$12=0,0,D51/D$12)</f>
        <v>0</v>
      </c>
      <c r="G51" s="1"/>
      <c r="H51" s="1">
        <f>SUM(OSRRefH22_8x_0)</f>
        <v>354.86</v>
      </c>
      <c r="I51" s="1"/>
      <c r="J51" s="5">
        <f t="shared" ref="J51:J53" si="39">IF(H$12=0,0,H51/H$12)</f>
        <v>5.2874150997823405E-3</v>
      </c>
      <c r="K51" s="1"/>
      <c r="L51" s="1">
        <f t="shared" ref="L51:L53" si="40">+D51-H51</f>
        <v>203.14</v>
      </c>
      <c r="M51" s="1"/>
      <c r="N51" s="5">
        <f t="shared" ref="N51:N53" si="41">IF(H51=0,0,L51/H51)</f>
        <v>0.57245110747900574</v>
      </c>
      <c r="O51" s="14"/>
      <c r="P51" s="1">
        <f>SUM(OSRRefP22_8x_0)</f>
        <v>183.08</v>
      </c>
      <c r="Q51" s="1"/>
      <c r="R51" s="5">
        <f t="shared" ref="R51:R53" si="42">IF(P$12=0,0,P51/P$12)</f>
        <v>0</v>
      </c>
      <c r="S51" s="1"/>
      <c r="T51" s="1">
        <f>SUM(OSRRefT22_8x_0)</f>
        <v>1720.44</v>
      </c>
      <c r="U51" s="1"/>
      <c r="V51" s="5">
        <f t="shared" ref="V51:V53" si="43">IF(T$12=0,0,T51/T$12)</f>
        <v>1.2226700961846033E-2</v>
      </c>
      <c r="W51" s="1"/>
      <c r="X51" s="1">
        <f t="shared" ref="X51:X53" si="44">+P51-T51</f>
        <v>-1537.3600000000001</v>
      </c>
      <c r="Y51" s="1"/>
      <c r="Z51" s="5">
        <f t="shared" ref="Z51:Z53" si="45">IF(T51=0,0,X51/T51)</f>
        <v>-0.89358536188416926</v>
      </c>
    </row>
    <row r="52" spans="1:26" s="24" customFormat="1" hidden="1" outlineLevel="2" x14ac:dyDescent="0.25">
      <c r="A52" s="28"/>
      <c r="B52" s="11" t="str">
        <f>CONCATENATE("          ", "6282", " - ", "JANITORIAL/EXTERMINATOR EXPENS")</f>
        <v xml:space="preserve">          6282 - JANITORIAL/EXTERMINATOR EXPENS</v>
      </c>
      <c r="C52" s="11"/>
      <c r="D52" s="6">
        <v>558</v>
      </c>
      <c r="E52" s="2"/>
      <c r="F52" s="7">
        <f t="shared" si="38"/>
        <v>0</v>
      </c>
      <c r="G52" s="2"/>
      <c r="H52" s="6">
        <v>327.93</v>
      </c>
      <c r="I52" s="2"/>
      <c r="J52" s="7">
        <f t="shared" si="39"/>
        <v>4.8861580163208672E-3</v>
      </c>
      <c r="K52" s="2"/>
      <c r="L52" s="6">
        <f t="shared" si="40"/>
        <v>230.07</v>
      </c>
      <c r="M52" s="2"/>
      <c r="N52" s="7">
        <f t="shared" si="41"/>
        <v>0.70158265483487325</v>
      </c>
      <c r="O52" s="11"/>
      <c r="P52" s="6">
        <v>356.12</v>
      </c>
      <c r="Q52" s="2"/>
      <c r="R52" s="7">
        <f t="shared" si="42"/>
        <v>0</v>
      </c>
      <c r="S52" s="2"/>
      <c r="T52" s="6">
        <v>1639.65</v>
      </c>
      <c r="U52" s="2"/>
      <c r="V52" s="7">
        <f t="shared" si="43"/>
        <v>1.1652548320249964E-2</v>
      </c>
      <c r="W52" s="2"/>
      <c r="X52" s="6">
        <f t="shared" si="44"/>
        <v>-1283.5300000000002</v>
      </c>
      <c r="Y52" s="2"/>
      <c r="Z52" s="7">
        <f t="shared" si="45"/>
        <v>-0.78280730643734953</v>
      </c>
    </row>
    <row r="53" spans="1:26" s="24" customFormat="1" hidden="1" outlineLevel="2" x14ac:dyDescent="0.25">
      <c r="A53" s="28"/>
      <c r="B53" s="11" t="str">
        <f>CONCATENATE("          ", "6285", " - ", "JANITORIAL SERVICES")</f>
        <v xml:space="preserve">          6285 - JANITORIAL SERVICES</v>
      </c>
      <c r="C53" s="11"/>
      <c r="D53" s="6"/>
      <c r="E53" s="2"/>
      <c r="F53" s="7">
        <f t="shared" si="38"/>
        <v>0</v>
      </c>
      <c r="G53" s="2"/>
      <c r="H53" s="6">
        <v>26.93</v>
      </c>
      <c r="I53" s="2"/>
      <c r="J53" s="7">
        <f t="shared" si="39"/>
        <v>4.0125708346147333E-4</v>
      </c>
      <c r="K53" s="2"/>
      <c r="L53" s="6">
        <f t="shared" si="40"/>
        <v>-26.93</v>
      </c>
      <c r="M53" s="2"/>
      <c r="N53" s="7">
        <f t="shared" si="41"/>
        <v>-1</v>
      </c>
      <c r="O53" s="11"/>
      <c r="P53" s="6">
        <v>-173.04</v>
      </c>
      <c r="Q53" s="2"/>
      <c r="R53" s="7">
        <f t="shared" si="42"/>
        <v>0</v>
      </c>
      <c r="S53" s="2"/>
      <c r="T53" s="6">
        <v>80.790000000000006</v>
      </c>
      <c r="U53" s="2"/>
      <c r="V53" s="7">
        <f t="shared" si="43"/>
        <v>5.7415264159606911E-4</v>
      </c>
      <c r="W53" s="2"/>
      <c r="X53" s="6">
        <f t="shared" si="44"/>
        <v>-253.82999999999998</v>
      </c>
      <c r="Y53" s="2"/>
      <c r="Z53" s="7">
        <f t="shared" si="45"/>
        <v>-3.1418492387671737</v>
      </c>
    </row>
    <row r="54" spans="1:26" s="29" customFormat="1" outlineLevel="1" collapsed="1" x14ac:dyDescent="0.25">
      <c r="A54" s="27"/>
      <c r="B54" s="14" t="str">
        <f>CONCATENATE("     ","Supplies                                          ")</f>
        <v xml:space="preserve">     Supplies                                          </v>
      </c>
      <c r="C54" s="14"/>
      <c r="D54" s="1">
        <f>SUM(OSRRefD22_9x_0)</f>
        <v>0</v>
      </c>
      <c r="E54" s="1"/>
      <c r="F54" s="5">
        <f t="shared" ref="F54:F57" si="46">IF(D$12=0,0,D54/D$12)</f>
        <v>0</v>
      </c>
      <c r="G54" s="1"/>
      <c r="H54" s="1">
        <f>SUM(OSRRefH22_9x_0)</f>
        <v>931.95999999999992</v>
      </c>
      <c r="I54" s="1"/>
      <c r="J54" s="5">
        <f t="shared" ref="J54:J57" si="47">IF(H$12=0,0,H54/H$12)</f>
        <v>1.3886206888331032E-2</v>
      </c>
      <c r="K54" s="1"/>
      <c r="L54" s="1">
        <f t="shared" ref="L54:L57" si="48">+D54-H54</f>
        <v>-931.95999999999992</v>
      </c>
      <c r="M54" s="1"/>
      <c r="N54" s="5">
        <f t="shared" ref="N54:N57" si="49">IF(H54=0,0,L54/H54)</f>
        <v>-1</v>
      </c>
      <c r="O54" s="14"/>
      <c r="P54" s="1">
        <f>SUM(OSRRefP22_9x_0)</f>
        <v>0</v>
      </c>
      <c r="Q54" s="1"/>
      <c r="R54" s="5">
        <f t="shared" ref="R54:R57" si="50">IF(P$12=0,0,P54/P$12)</f>
        <v>0</v>
      </c>
      <c r="S54" s="1"/>
      <c r="T54" s="1">
        <f>SUM(OSRRefT22_9x_0)</f>
        <v>6097.29</v>
      </c>
      <c r="U54" s="1"/>
      <c r="V54" s="5">
        <f t="shared" ref="V54:V57" si="51">IF(T$12=0,0,T54/T$12)</f>
        <v>4.3331788093542468E-2</v>
      </c>
      <c r="W54" s="1"/>
      <c r="X54" s="1">
        <f t="shared" ref="X54:X57" si="52">+P54-T54</f>
        <v>-6097.29</v>
      </c>
      <c r="Y54" s="1"/>
      <c r="Z54" s="5">
        <f t="shared" ref="Z54:Z57" si="53">IF(T54=0,0,X54/T54)</f>
        <v>-1</v>
      </c>
    </row>
    <row r="55" spans="1:26" s="24" customFormat="1" hidden="1" outlineLevel="2" x14ac:dyDescent="0.25">
      <c r="A55" s="28"/>
      <c r="B55" s="11" t="str">
        <f>CONCATENATE("          ", "6237", " - ", "JANITORIAL SUPPLIES")</f>
        <v xml:space="preserve">          6237 - JANITORIAL SUPPLIES</v>
      </c>
      <c r="C55" s="11"/>
      <c r="D55" s="6"/>
      <c r="E55" s="2"/>
      <c r="F55" s="7">
        <f t="shared" si="46"/>
        <v>0</v>
      </c>
      <c r="G55" s="2"/>
      <c r="H55" s="6">
        <v>299.83</v>
      </c>
      <c r="I55" s="2"/>
      <c r="J55" s="7">
        <f t="shared" si="47"/>
        <v>4.4674679292333293E-3</v>
      </c>
      <c r="K55" s="2"/>
      <c r="L55" s="6">
        <f t="shared" si="48"/>
        <v>-299.83</v>
      </c>
      <c r="M55" s="2"/>
      <c r="N55" s="7">
        <f t="shared" si="49"/>
        <v>-1</v>
      </c>
      <c r="O55" s="11"/>
      <c r="P55" s="6"/>
      <c r="Q55" s="2"/>
      <c r="R55" s="7">
        <f t="shared" si="50"/>
        <v>0</v>
      </c>
      <c r="S55" s="2"/>
      <c r="T55" s="6">
        <v>774.15</v>
      </c>
      <c r="U55" s="2"/>
      <c r="V55" s="7">
        <f t="shared" si="51"/>
        <v>5.5016743098353369E-3</v>
      </c>
      <c r="W55" s="2"/>
      <c r="X55" s="6">
        <f t="shared" si="52"/>
        <v>-774.15</v>
      </c>
      <c r="Y55" s="2"/>
      <c r="Z55" s="7">
        <f t="shared" si="53"/>
        <v>-1</v>
      </c>
    </row>
    <row r="56" spans="1:26" s="24" customFormat="1" hidden="1" outlineLevel="2" x14ac:dyDescent="0.25">
      <c r="A56" s="28"/>
      <c r="B56" s="11" t="str">
        <f>CONCATENATE("          ", "6243", " - ", "PAPER SUPPLIES")</f>
        <v xml:space="preserve">          6243 - PAPER SUPPLIES</v>
      </c>
      <c r="C56" s="11"/>
      <c r="D56" s="6"/>
      <c r="E56" s="2"/>
      <c r="F56" s="7">
        <f t="shared" si="46"/>
        <v>0</v>
      </c>
      <c r="G56" s="2"/>
      <c r="H56" s="6">
        <v>376.98</v>
      </c>
      <c r="I56" s="2"/>
      <c r="J56" s="7">
        <f t="shared" si="47"/>
        <v>5.6170031683366595E-3</v>
      </c>
      <c r="K56" s="2"/>
      <c r="L56" s="6">
        <f t="shared" si="48"/>
        <v>-376.98</v>
      </c>
      <c r="M56" s="2"/>
      <c r="N56" s="7">
        <f t="shared" si="49"/>
        <v>-1</v>
      </c>
      <c r="O56" s="11"/>
      <c r="P56" s="6"/>
      <c r="Q56" s="2"/>
      <c r="R56" s="7">
        <f t="shared" si="50"/>
        <v>0</v>
      </c>
      <c r="S56" s="2"/>
      <c r="T56" s="6">
        <v>675.31</v>
      </c>
      <c r="U56" s="2"/>
      <c r="V56" s="7">
        <f t="shared" si="51"/>
        <v>4.7992452085188929E-3</v>
      </c>
      <c r="W56" s="2"/>
      <c r="X56" s="6">
        <f t="shared" si="52"/>
        <v>-675.31</v>
      </c>
      <c r="Y56" s="2"/>
      <c r="Z56" s="7">
        <f t="shared" si="53"/>
        <v>-1</v>
      </c>
    </row>
    <row r="57" spans="1:26" s="24" customFormat="1" hidden="1" outlineLevel="2" x14ac:dyDescent="0.25">
      <c r="A57" s="28"/>
      <c r="B57" s="11" t="str">
        <f>CONCATENATE("          ", "6247", " - ", "STORE SUPPLIES")</f>
        <v xml:space="preserve">          6247 - STORE SUPPLIES</v>
      </c>
      <c r="C57" s="11"/>
      <c r="D57" s="6"/>
      <c r="E57" s="2"/>
      <c r="F57" s="7">
        <f t="shared" si="46"/>
        <v>0</v>
      </c>
      <c r="G57" s="2"/>
      <c r="H57" s="6">
        <v>255.15</v>
      </c>
      <c r="I57" s="2"/>
      <c r="J57" s="7">
        <f t="shared" si="47"/>
        <v>3.8017357907610444E-3</v>
      </c>
      <c r="K57" s="2"/>
      <c r="L57" s="6">
        <f t="shared" si="48"/>
        <v>-255.15</v>
      </c>
      <c r="M57" s="2"/>
      <c r="N57" s="7">
        <f t="shared" si="49"/>
        <v>-1</v>
      </c>
      <c r="O57" s="11"/>
      <c r="P57" s="6"/>
      <c r="Q57" s="2"/>
      <c r="R57" s="7">
        <f t="shared" si="50"/>
        <v>0</v>
      </c>
      <c r="S57" s="2"/>
      <c r="T57" s="6">
        <v>4647.83</v>
      </c>
      <c r="U57" s="2"/>
      <c r="V57" s="7">
        <f t="shared" si="51"/>
        <v>3.3030868575188235E-2</v>
      </c>
      <c r="W57" s="2"/>
      <c r="X57" s="6">
        <f t="shared" si="52"/>
        <v>-4647.83</v>
      </c>
      <c r="Y57" s="2"/>
      <c r="Z57" s="7">
        <f t="shared" si="53"/>
        <v>-1</v>
      </c>
    </row>
    <row r="58" spans="1:26" s="29" customFormat="1" outlineLevel="1" collapsed="1" x14ac:dyDescent="0.25">
      <c r="A58" s="27"/>
      <c r="B58" s="14" t="str">
        <f>CONCATENATE("     ","Telephone/Data Lines                              ")</f>
        <v xml:space="preserve">     Telephone/Data Lines                              </v>
      </c>
      <c r="C58" s="14"/>
      <c r="D58" s="1">
        <f>SUM(OSRRefD22_10x_0)</f>
        <v>38.43</v>
      </c>
      <c r="E58" s="1"/>
      <c r="F58" s="5">
        <f t="shared" ref="F58:F59" si="54">IF(D$12=0,0,D58/D$12)</f>
        <v>0</v>
      </c>
      <c r="G58" s="1"/>
      <c r="H58" s="1">
        <f>SUM(OSRRefH22_10x_0)</f>
        <v>91.01</v>
      </c>
      <c r="I58" s="1"/>
      <c r="J58" s="5">
        <f t="shared" ref="J58:J59" si="55">IF(H$12=0,0,H58/H$12)</f>
        <v>1.3560492820582507E-3</v>
      </c>
      <c r="K58" s="1"/>
      <c r="L58" s="1">
        <f t="shared" ref="L58:L59" si="56">+D58-H58</f>
        <v>-52.580000000000005</v>
      </c>
      <c r="M58" s="1"/>
      <c r="N58" s="5">
        <f t="shared" ref="N58:N59" si="57">IF(H58=0,0,L58/H58)</f>
        <v>-0.57773871003186461</v>
      </c>
      <c r="O58" s="14"/>
      <c r="P58" s="1">
        <f>SUM(OSRRefP22_10x_0)</f>
        <v>214.32</v>
      </c>
      <c r="Q58" s="1"/>
      <c r="R58" s="5">
        <f t="shared" ref="R58:R59" si="58">IF(P$12=0,0,P58/P$12)</f>
        <v>0</v>
      </c>
      <c r="S58" s="1"/>
      <c r="T58" s="1">
        <f>SUM(OSRRefT22_10x_0)</f>
        <v>364.04</v>
      </c>
      <c r="U58" s="1"/>
      <c r="V58" s="5">
        <f t="shared" ref="V58:V59" si="59">IF(T$12=0,0,T58/T$12)</f>
        <v>2.5871336507814454E-3</v>
      </c>
      <c r="W58" s="1"/>
      <c r="X58" s="1">
        <f t="shared" ref="X58:X59" si="60">+P58-T58</f>
        <v>-149.72000000000003</v>
      </c>
      <c r="Y58" s="1"/>
      <c r="Z58" s="5">
        <f t="shared" ref="Z58:Z59" si="61">IF(T58=0,0,X58/T58)</f>
        <v>-0.41127348643006267</v>
      </c>
    </row>
    <row r="59" spans="1:26" s="24" customFormat="1" hidden="1" outlineLevel="2" x14ac:dyDescent="0.25">
      <c r="A59" s="28"/>
      <c r="B59" s="11" t="str">
        <f>CONCATENATE("          ", "6309", " - ", "TELEPHONE")</f>
        <v xml:space="preserve">          6309 - TELEPHONE</v>
      </c>
      <c r="C59" s="11"/>
      <c r="D59" s="6">
        <v>38.43</v>
      </c>
      <c r="E59" s="2"/>
      <c r="F59" s="7">
        <f t="shared" si="54"/>
        <v>0</v>
      </c>
      <c r="G59" s="2"/>
      <c r="H59" s="6">
        <v>91.01</v>
      </c>
      <c r="I59" s="2"/>
      <c r="J59" s="7">
        <f t="shared" si="55"/>
        <v>1.3560492820582507E-3</v>
      </c>
      <c r="K59" s="2"/>
      <c r="L59" s="6">
        <f t="shared" si="56"/>
        <v>-52.580000000000005</v>
      </c>
      <c r="M59" s="2"/>
      <c r="N59" s="7">
        <f t="shared" si="57"/>
        <v>-0.57773871003186461</v>
      </c>
      <c r="O59" s="11"/>
      <c r="P59" s="6">
        <v>214.32</v>
      </c>
      <c r="Q59" s="2"/>
      <c r="R59" s="7">
        <f t="shared" si="58"/>
        <v>0</v>
      </c>
      <c r="S59" s="2"/>
      <c r="T59" s="6">
        <v>364.04</v>
      </c>
      <c r="U59" s="2"/>
      <c r="V59" s="7">
        <f t="shared" si="59"/>
        <v>2.5871336507814454E-3</v>
      </c>
      <c r="W59" s="2"/>
      <c r="X59" s="6">
        <f t="shared" si="60"/>
        <v>-149.72000000000003</v>
      </c>
      <c r="Y59" s="2"/>
      <c r="Z59" s="7">
        <f t="shared" si="61"/>
        <v>-0.41127348643006267</v>
      </c>
    </row>
    <row r="60" spans="1:26" s="57" customFormat="1" x14ac:dyDescent="0.25">
      <c r="A60" s="37"/>
      <c r="B60" s="37"/>
      <c r="C60" s="37"/>
      <c r="D60" s="1"/>
      <c r="E60" s="1"/>
      <c r="F60" s="5"/>
      <c r="G60" s="1"/>
      <c r="H60" s="1"/>
      <c r="I60" s="1"/>
      <c r="J60" s="5"/>
      <c r="K60" s="1"/>
      <c r="L60" s="1"/>
      <c r="M60" s="1"/>
      <c r="N60" s="5"/>
      <c r="O60" s="37"/>
      <c r="P60" s="1"/>
      <c r="Q60" s="1"/>
      <c r="R60" s="5"/>
      <c r="S60" s="1"/>
      <c r="T60" s="1"/>
      <c r="U60" s="1"/>
      <c r="V60" s="5"/>
      <c r="W60" s="1"/>
      <c r="X60" s="1"/>
      <c r="Y60" s="1"/>
      <c r="Z60" s="5"/>
    </row>
    <row r="61" spans="1:26" s="23" customFormat="1" x14ac:dyDescent="0.25">
      <c r="A61" s="10"/>
      <c r="B61" s="26" t="s">
        <v>0</v>
      </c>
      <c r="C61" s="10"/>
      <c r="D61" s="4">
        <f>SUM(0)</f>
        <v>0</v>
      </c>
      <c r="E61" s="4"/>
      <c r="F61" s="12">
        <f>IF(D$12=0,0,D61/D$12)</f>
        <v>0</v>
      </c>
      <c r="G61" s="4"/>
      <c r="H61" s="4">
        <f>SUM(0)</f>
        <v>0</v>
      </c>
      <c r="I61" s="4"/>
      <c r="J61" s="12">
        <f>IF(H$12=0,0,H61/H$12)</f>
        <v>0</v>
      </c>
      <c r="K61" s="4"/>
      <c r="L61" s="4">
        <f>+D61-H61</f>
        <v>0</v>
      </c>
      <c r="M61" s="4"/>
      <c r="N61" s="12">
        <f>IF(H61=0,0,L61/H61)</f>
        <v>0</v>
      </c>
      <c r="O61" s="10"/>
      <c r="P61" s="4">
        <f>SUM(0)</f>
        <v>0</v>
      </c>
      <c r="Q61" s="4"/>
      <c r="R61" s="12">
        <f>IF(P$12=0,0,P61/P$12)</f>
        <v>0</v>
      </c>
      <c r="S61" s="4"/>
      <c r="T61" s="4">
        <f>SUM(0)</f>
        <v>0</v>
      </c>
      <c r="U61" s="4"/>
      <c r="V61" s="12">
        <f>IF(T$12=0,0,T61/T$12)</f>
        <v>0</v>
      </c>
      <c r="W61" s="4"/>
      <c r="X61" s="4">
        <f>+P61-T61</f>
        <v>0</v>
      </c>
      <c r="Y61" s="4"/>
      <c r="Z61" s="12">
        <f>IF(T61=0,0,X61/T61)</f>
        <v>0</v>
      </c>
    </row>
    <row r="62" spans="1:26" x14ac:dyDescent="0.25">
      <c r="A62" s="9"/>
      <c r="B62" s="10"/>
      <c r="C62" s="10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O62" s="10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3" customFormat="1" x14ac:dyDescent="0.25">
      <c r="A63" s="10"/>
      <c r="B63" s="25" t="s">
        <v>3</v>
      </c>
      <c r="C63" s="25"/>
      <c r="D63" s="20">
        <f>+D20-D22+D61</f>
        <v>-1206.6200000000001</v>
      </c>
      <c r="E63" s="13"/>
      <c r="F63" s="21">
        <f>IF(D$12=0,0,D63/D$12)</f>
        <v>0</v>
      </c>
      <c r="G63" s="13"/>
      <c r="H63" s="20">
        <f>+H20-H22+H61</f>
        <v>15690.130000000001</v>
      </c>
      <c r="I63" s="13"/>
      <c r="J63" s="21">
        <f>IF(H$12=0,0,H63/H$12)</f>
        <v>0.23378298562686101</v>
      </c>
      <c r="K63" s="15"/>
      <c r="L63" s="20">
        <f>+D63-H63</f>
        <v>-16896.75</v>
      </c>
      <c r="M63" s="15"/>
      <c r="N63" s="21">
        <f>IF(H63=0,0,L63/H63)</f>
        <v>-1.0769031231736128</v>
      </c>
      <c r="O63" s="26"/>
      <c r="P63" s="20">
        <f>+P20-P22+P61</f>
        <v>-2788.01</v>
      </c>
      <c r="Q63" s="13"/>
      <c r="R63" s="21">
        <f>IF(P$12=0,0,P63/P$12)</f>
        <v>0</v>
      </c>
      <c r="S63" s="13"/>
      <c r="T63" s="20">
        <f>+T20-T22+T61</f>
        <v>10251.759999999995</v>
      </c>
      <c r="U63" s="13"/>
      <c r="V63" s="21">
        <f>IF(T$12=0,0,T63/T$12)</f>
        <v>7.2856480814567567E-2</v>
      </c>
      <c r="W63" s="15"/>
      <c r="X63" s="20">
        <f>+P63-T63</f>
        <v>-13039.769999999995</v>
      </c>
      <c r="Y63" s="15"/>
      <c r="Z63" s="21">
        <f>IF(T63=0,0,X63/T63)</f>
        <v>-1.2719542790701306</v>
      </c>
    </row>
    <row r="64" spans="1:26" x14ac:dyDescent="0.25">
      <c r="A64" s="9"/>
      <c r="B64" s="10"/>
      <c r="C64" s="9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x14ac:dyDescent="0.25">
      <c r="A65" s="51"/>
      <c r="B65" s="10" t="s">
        <v>13</v>
      </c>
      <c r="C65" s="10"/>
      <c r="D65" s="4"/>
      <c r="E65" s="4"/>
      <c r="F65" s="12">
        <f>IF(D$12=0,0,D65/D$12)</f>
        <v>0</v>
      </c>
      <c r="G65" s="4"/>
      <c r="H65" s="4">
        <v>6259.04</v>
      </c>
      <c r="I65" s="4"/>
      <c r="J65" s="12">
        <f>IF(H$12=0,0,H65/H$12)</f>
        <v>9.3259715398020804E-2</v>
      </c>
      <c r="K65" s="4"/>
      <c r="L65" s="4">
        <f>+D65-H65</f>
        <v>-6259.04</v>
      </c>
      <c r="M65" s="4"/>
      <c r="N65" s="12">
        <f>IF(H65=0,0,L65/H65)</f>
        <v>-1</v>
      </c>
      <c r="O65" s="10"/>
      <c r="P65" s="4"/>
      <c r="Q65" s="4"/>
      <c r="R65" s="12">
        <f>IF(P$12=0,0,P65/P$12)</f>
        <v>0</v>
      </c>
      <c r="S65" s="4"/>
      <c r="T65" s="4">
        <v>14164.4</v>
      </c>
      <c r="U65" s="4"/>
      <c r="V65" s="12">
        <f>IF(T$12=0,0,T65/T$12)</f>
        <v>0.10066255324450255</v>
      </c>
      <c r="W65" s="4"/>
      <c r="X65" s="4">
        <f>+P65-T65</f>
        <v>-14164.4</v>
      </c>
      <c r="Y65" s="4"/>
      <c r="Z65" s="12">
        <f>IF(T65=0,0,X65/T65)</f>
        <v>-1</v>
      </c>
    </row>
    <row r="66" spans="1:26" x14ac:dyDescent="0.25">
      <c r="A66" s="9"/>
      <c r="B66" s="10"/>
      <c r="C66" s="10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O66" s="10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ht="15.75" thickBot="1" x14ac:dyDescent="0.3">
      <c r="A67" s="10"/>
      <c r="B67" s="25" t="s">
        <v>4</v>
      </c>
      <c r="C67" s="25"/>
      <c r="D67" s="30">
        <f>+D63-D65</f>
        <v>-1206.6200000000001</v>
      </c>
      <c r="E67" s="13"/>
      <c r="F67" s="33">
        <f>IF(D$12=0,0,D67/D$12)</f>
        <v>0</v>
      </c>
      <c r="G67" s="13"/>
      <c r="H67" s="30">
        <f>+H63-H65</f>
        <v>9431.09</v>
      </c>
      <c r="I67" s="13"/>
      <c r="J67" s="33">
        <f>IF(H$12=0,0,H67/H$12)</f>
        <v>0.1405232702288402</v>
      </c>
      <c r="K67" s="15"/>
      <c r="L67" s="30">
        <f>D67-H67</f>
        <v>-10637.710000000001</v>
      </c>
      <c r="M67" s="15"/>
      <c r="N67" s="33">
        <f>IF(H67=0,0,L67/H67)</f>
        <v>-1.1279406728172461</v>
      </c>
      <c r="O67" s="26"/>
      <c r="P67" s="30">
        <f>+P63-P65</f>
        <v>-2788.01</v>
      </c>
      <c r="Q67" s="13"/>
      <c r="R67" s="33">
        <f>IF(P$12=0,0,P67/P$12)</f>
        <v>0</v>
      </c>
      <c r="S67" s="13"/>
      <c r="T67" s="30">
        <f>+T63-T65</f>
        <v>-3912.6400000000049</v>
      </c>
      <c r="U67" s="13"/>
      <c r="V67" s="33">
        <f>IF(T$12=0,0,T67/T$12)</f>
        <v>-2.7806072429934971E-2</v>
      </c>
      <c r="W67" s="15"/>
      <c r="X67" s="30">
        <f>P67-T67</f>
        <v>1124.6300000000047</v>
      </c>
      <c r="Y67" s="15"/>
      <c r="Z67" s="33">
        <f>IF(T67=0,0,X67/T67)</f>
        <v>-0.28743508219514274</v>
      </c>
    </row>
    <row r="68" spans="1:26" ht="15.75" thickTop="1" x14ac:dyDescent="0.25">
      <c r="A68" s="9"/>
      <c r="B68" s="9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x14ac:dyDescent="0.25">
      <c r="A69" s="9"/>
      <c r="B69" s="9"/>
      <c r="C69" s="9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ht="15.75" thickBot="1" x14ac:dyDescent="0.3">
      <c r="A70" s="10"/>
      <c r="B70" s="25" t="s">
        <v>5</v>
      </c>
      <c r="C70" s="25"/>
      <c r="D70" s="34">
        <f>SUM(D67:D69)</f>
        <v>-1206.6200000000001</v>
      </c>
      <c r="E70" s="13"/>
      <c r="F70" s="35">
        <f>IF(D$12=0,0,D70/D$12)</f>
        <v>0</v>
      </c>
      <c r="G70" s="13"/>
      <c r="H70" s="34">
        <f>SUM(H67:H69)</f>
        <v>9431.09</v>
      </c>
      <c r="I70" s="13"/>
      <c r="J70" s="35">
        <f>IF(H$12=0,0,H70/H$12)</f>
        <v>0.1405232702288402</v>
      </c>
      <c r="K70" s="15"/>
      <c r="L70" s="34">
        <f>+D70-H70</f>
        <v>-10637.710000000001</v>
      </c>
      <c r="M70" s="15"/>
      <c r="N70" s="35">
        <f>IF(H70=0,0,L70/H70)</f>
        <v>-1.1279406728172461</v>
      </c>
      <c r="O70" s="26"/>
      <c r="P70" s="34">
        <f>SUM(P67:P69)</f>
        <v>-2788.01</v>
      </c>
      <c r="Q70" s="13"/>
      <c r="R70" s="35">
        <f>IF(P$12=0,0,P70/P$12)</f>
        <v>0</v>
      </c>
      <c r="S70" s="13"/>
      <c r="T70" s="34">
        <f>SUM(T67:T69)</f>
        <v>-3912.6400000000049</v>
      </c>
      <c r="U70" s="13"/>
      <c r="V70" s="35">
        <f>IF(T$12=0,0,T70/T$12)</f>
        <v>-2.7806072429934971E-2</v>
      </c>
      <c r="W70" s="15"/>
      <c r="X70" s="34">
        <f>+P70-T70</f>
        <v>1124.6300000000047</v>
      </c>
      <c r="Y70" s="15"/>
      <c r="Z70" s="35">
        <f>IF(T70=0,0,X70/T70)</f>
        <v>-0.28743508219514274</v>
      </c>
    </row>
    <row r="71" spans="1:26" ht="15.75" thickTop="1" x14ac:dyDescent="0.25">
      <c r="A71" s="9"/>
      <c r="C71" s="9"/>
      <c r="D71" s="18"/>
      <c r="E71" s="18"/>
      <c r="G71" s="18"/>
      <c r="H71" s="18"/>
      <c r="I71" s="18"/>
      <c r="J71" s="43"/>
      <c r="K71" s="18"/>
      <c r="L71" s="18"/>
      <c r="M71" s="18"/>
      <c r="P71" s="18"/>
      <c r="Q71" s="18"/>
      <c r="R71" s="43"/>
      <c r="S71" s="18"/>
      <c r="T71" s="18"/>
      <c r="U71" s="18"/>
      <c r="V71" s="43"/>
      <c r="W71" s="18"/>
      <c r="X71" s="18"/>
    </row>
    <row r="72" spans="1:26" x14ac:dyDescent="0.25">
      <c r="A72" s="9"/>
      <c r="B72" s="56">
        <v>44151.57237357639</v>
      </c>
      <c r="D72" s="18"/>
      <c r="E72" s="18"/>
      <c r="G72" s="18"/>
      <c r="H72" s="18"/>
      <c r="I72" s="18"/>
      <c r="J72" s="43"/>
      <c r="K72" s="18"/>
      <c r="L72" s="18"/>
      <c r="M72" s="18"/>
      <c r="P72" s="18"/>
      <c r="Q72" s="18"/>
      <c r="R72" s="43"/>
      <c r="S72" s="18"/>
      <c r="T72" s="18"/>
      <c r="U72" s="18"/>
      <c r="V72" s="43"/>
      <c r="W72" s="18"/>
      <c r="X72" s="18"/>
    </row>
    <row r="73" spans="1:26" x14ac:dyDescent="0.25">
      <c r="A73" s="9"/>
      <c r="B73" s="62" t="s">
        <v>313</v>
      </c>
      <c r="D73" s="18"/>
      <c r="E73" s="18"/>
      <c r="G73" s="18"/>
      <c r="H73" s="18"/>
      <c r="I73" s="18"/>
      <c r="J73" s="43"/>
      <c r="K73" s="18"/>
      <c r="L73" s="18"/>
      <c r="M73" s="18"/>
      <c r="P73" s="18"/>
      <c r="Q73" s="18"/>
      <c r="R73" s="43"/>
      <c r="S73" s="18"/>
      <c r="T73" s="18"/>
      <c r="U73" s="18"/>
      <c r="V73" s="43"/>
      <c r="W73" s="18"/>
      <c r="X73" s="18"/>
    </row>
    <row r="74" spans="1:26" x14ac:dyDescent="0.25">
      <c r="A74" s="9"/>
      <c r="B74" s="54"/>
      <c r="D74" s="18"/>
      <c r="E74" s="18"/>
      <c r="G74" s="18"/>
      <c r="H74" s="18"/>
      <c r="I74" s="18"/>
      <c r="J74" s="43"/>
      <c r="K74" s="18"/>
      <c r="L74" s="18"/>
      <c r="M74" s="18"/>
      <c r="P74" s="18"/>
      <c r="Q74" s="18"/>
      <c r="R74" s="43"/>
      <c r="S74" s="18"/>
      <c r="T74" s="18"/>
      <c r="U74" s="18"/>
      <c r="V74" s="43"/>
      <c r="W74" s="18"/>
      <c r="X74" s="18"/>
    </row>
    <row r="75" spans="1:26" x14ac:dyDescent="0.25">
      <c r="D75" s="18"/>
      <c r="E75" s="18"/>
      <c r="G75" s="18"/>
      <c r="H75" s="18"/>
      <c r="I75" s="18"/>
      <c r="J75" s="43"/>
      <c r="K75" s="18"/>
      <c r="L75" s="18"/>
      <c r="M75" s="18"/>
      <c r="P75" s="18"/>
      <c r="Q75" s="18"/>
      <c r="R75" s="43"/>
      <c r="S75" s="18"/>
      <c r="T75" s="18"/>
      <c r="U75" s="18"/>
      <c r="V75" s="43"/>
      <c r="W75" s="18"/>
      <c r="X75" s="18"/>
    </row>
  </sheetData>
  <pageMargins left="0.25" right="0.25" top="0.75" bottom="0.75" header="0.3" footer="0.3"/>
  <pageSetup scale="55" fitToWidth="2" orientation="landscape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",RIGHT(202104,2),", ",2021)</f>
        <v>Period 04,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44135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","313", " - ", "Convenience Store")</f>
        <v>Department 313 - Convenience Store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61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50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50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2"/>
      <c r="F10" s="31" t="s">
        <v>14</v>
      </c>
      <c r="G10" s="32"/>
      <c r="H10" s="49" t="s">
        <v>306</v>
      </c>
      <c r="I10" s="32"/>
      <c r="J10" s="31" t="s">
        <v>14</v>
      </c>
      <c r="K10" s="10"/>
      <c r="L10" s="42" t="s">
        <v>11</v>
      </c>
      <c r="M10" s="10"/>
      <c r="N10" s="31" t="s">
        <v>15</v>
      </c>
      <c r="O10" s="10"/>
      <c r="P10" s="59" t="s">
        <v>10</v>
      </c>
      <c r="Q10" s="32"/>
      <c r="R10" s="31" t="s">
        <v>14</v>
      </c>
      <c r="S10" s="32"/>
      <c r="T10" s="49" t="s">
        <v>306</v>
      </c>
      <c r="U10" s="32"/>
      <c r="V10" s="31" t="s">
        <v>14</v>
      </c>
      <c r="W10" s="10"/>
      <c r="X10" s="42" t="s">
        <v>11</v>
      </c>
      <c r="Y10" s="10"/>
      <c r="Z10" s="31" t="s">
        <v>15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103668.14</v>
      </c>
      <c r="I12" s="4"/>
      <c r="J12" s="12"/>
      <c r="K12" s="4"/>
      <c r="L12" s="4">
        <f t="shared" ref="L12:L17" si="0">+D12-H12</f>
        <v>-103668.14</v>
      </c>
      <c r="M12" s="4"/>
      <c r="N12" s="12">
        <f t="shared" ref="N12:N17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239185.92000000001</v>
      </c>
      <c r="U12" s="4"/>
      <c r="V12" s="12"/>
      <c r="W12" s="4"/>
      <c r="X12" s="4">
        <f t="shared" ref="X12:X17" si="2">+P12-T12</f>
        <v>-239185.92000000001</v>
      </c>
      <c r="Y12" s="4"/>
      <c r="Z12" s="12">
        <f t="shared" ref="Z12:Z17" si="3">IF(T12=0,0,X12/T12)</f>
        <v>-1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 t="shared" ref="D13:D17" si="4">0</f>
        <v>0</v>
      </c>
      <c r="E13" s="2"/>
      <c r="F13" s="19"/>
      <c r="G13" s="2"/>
      <c r="H13" s="2">
        <f>--21838.13</f>
        <v>21838.13</v>
      </c>
      <c r="I13" s="2"/>
      <c r="J13" s="19"/>
      <c r="K13" s="2"/>
      <c r="L13" s="2">
        <f t="shared" si="0"/>
        <v>-21838.13</v>
      </c>
      <c r="M13" s="2"/>
      <c r="N13" s="19">
        <f t="shared" si="1"/>
        <v>-1</v>
      </c>
      <c r="O13" s="11"/>
      <c r="P13" s="2">
        <f t="shared" ref="P13:P17" si="5">0</f>
        <v>0</v>
      </c>
      <c r="Q13" s="2"/>
      <c r="R13" s="19"/>
      <c r="S13" s="2"/>
      <c r="T13" s="2">
        <f>--50000.07</f>
        <v>50000.07</v>
      </c>
      <c r="U13" s="2"/>
      <c r="V13" s="19"/>
      <c r="W13" s="2"/>
      <c r="X13" s="2">
        <f t="shared" si="2"/>
        <v>-50000.07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"4034", " - ", "TAXABLE SALES-SODA")</f>
        <v xml:space="preserve">          4034 - TAXABLE SALES-SODA</v>
      </c>
      <c r="C14" s="11"/>
      <c r="D14" s="2">
        <f t="shared" si="4"/>
        <v>0</v>
      </c>
      <c r="E14" s="2"/>
      <c r="F14" s="19"/>
      <c r="G14" s="2"/>
      <c r="H14" s="2">
        <f>--531.75</f>
        <v>531.75</v>
      </c>
      <c r="I14" s="2"/>
      <c r="J14" s="19"/>
      <c r="K14" s="2"/>
      <c r="L14" s="2">
        <f t="shared" si="0"/>
        <v>-531.75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f>--1682.08</f>
        <v>1682.08</v>
      </c>
      <c r="U14" s="2"/>
      <c r="V14" s="19"/>
      <c r="W14" s="2"/>
      <c r="X14" s="2">
        <f t="shared" si="2"/>
        <v>-1682.08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"4132", " - ", "NON-TAXABLE SALES-JUICE")</f>
        <v xml:space="preserve">          4132 - NON-TAXABLE SALES-JUICE</v>
      </c>
      <c r="C15" s="11"/>
      <c r="D15" s="2">
        <f t="shared" si="4"/>
        <v>0</v>
      </c>
      <c r="E15" s="2"/>
      <c r="F15" s="19"/>
      <c r="G15" s="2"/>
      <c r="H15" s="2">
        <f>--81070.5</f>
        <v>81070.5</v>
      </c>
      <c r="I15" s="2"/>
      <c r="J15" s="19"/>
      <c r="K15" s="2"/>
      <c r="L15" s="2">
        <f t="shared" si="0"/>
        <v>-81070.5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--186654.53</f>
        <v>186654.53</v>
      </c>
      <c r="U15" s="2"/>
      <c r="V15" s="19"/>
      <c r="W15" s="2"/>
      <c r="X15" s="2">
        <f t="shared" si="2"/>
        <v>-186654.53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"4134", " - ", "NON-TAXABLE SALES-SODA")</f>
        <v xml:space="preserve">          4134 - NON-TAXABLE SALES-SODA</v>
      </c>
      <c r="C16" s="11"/>
      <c r="D16" s="2">
        <f t="shared" si="4"/>
        <v>0</v>
      </c>
      <c r="E16" s="2"/>
      <c r="F16" s="19"/>
      <c r="G16" s="2"/>
      <c r="H16" s="2">
        <f>0</f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 t="shared" si="5"/>
        <v>0</v>
      </c>
      <c r="Q16" s="2"/>
      <c r="R16" s="19"/>
      <c r="S16" s="2"/>
      <c r="T16" s="2">
        <f>--0.39</f>
        <v>0.39</v>
      </c>
      <c r="U16" s="2"/>
      <c r="V16" s="19"/>
      <c r="W16" s="2"/>
      <c r="X16" s="2">
        <f t="shared" si="2"/>
        <v>-0.39</v>
      </c>
      <c r="Y16" s="2"/>
      <c r="Z16" s="19">
        <f t="shared" si="3"/>
        <v>-1</v>
      </c>
    </row>
    <row r="17" spans="1:26" s="24" customFormat="1" hidden="1" outlineLevel="1" x14ac:dyDescent="0.25">
      <c r="A17" s="44"/>
      <c r="B17" s="11" t="str">
        <f>CONCATENATE("          ", "4137", " - ", "NON-TAXABLE SALES-WATER")</f>
        <v xml:space="preserve">          4137 - NON-TAXABLE SALES-WATER</v>
      </c>
      <c r="C17" s="11"/>
      <c r="D17" s="2">
        <f t="shared" si="4"/>
        <v>0</v>
      </c>
      <c r="E17" s="2"/>
      <c r="F17" s="19"/>
      <c r="G17" s="2"/>
      <c r="H17" s="2">
        <f>--227.76</f>
        <v>227.76</v>
      </c>
      <c r="I17" s="2"/>
      <c r="J17" s="19"/>
      <c r="K17" s="2"/>
      <c r="L17" s="2">
        <f t="shared" si="0"/>
        <v>-227.76</v>
      </c>
      <c r="M17" s="2"/>
      <c r="N17" s="19">
        <f t="shared" si="1"/>
        <v>-1</v>
      </c>
      <c r="O17" s="11"/>
      <c r="P17" s="2">
        <f t="shared" si="5"/>
        <v>0</v>
      </c>
      <c r="Q17" s="2"/>
      <c r="R17" s="19"/>
      <c r="S17" s="2"/>
      <c r="T17" s="2">
        <f>--848.85</f>
        <v>848.85</v>
      </c>
      <c r="U17" s="2"/>
      <c r="V17" s="19"/>
      <c r="W17" s="2"/>
      <c r="X17" s="2">
        <f t="shared" si="2"/>
        <v>-848.85</v>
      </c>
      <c r="Y17" s="2"/>
      <c r="Z17" s="19">
        <f t="shared" si="3"/>
        <v>-1</v>
      </c>
    </row>
    <row r="18" spans="1:26" x14ac:dyDescent="0.25">
      <c r="A18" s="9"/>
      <c r="B18" s="10"/>
      <c r="C18" s="9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collapsed="1" x14ac:dyDescent="0.25">
      <c r="A19" s="10"/>
      <c r="B19" s="26" t="s">
        <v>8</v>
      </c>
      <c r="C19" s="10"/>
      <c r="D19" s="4">
        <f>SUM(OSRRefD16x_0)</f>
        <v>0</v>
      </c>
      <c r="E19" s="4"/>
      <c r="F19" s="12">
        <f t="shared" ref="F19:F21" si="6">IF(D$12=0,0,D19/D$12)</f>
        <v>0</v>
      </c>
      <c r="G19" s="4"/>
      <c r="H19" s="4">
        <f>SUM(OSRRefH16x_0)</f>
        <v>51689.89</v>
      </c>
      <c r="I19" s="4"/>
      <c r="J19" s="12">
        <f t="shared" ref="J19:J21" si="7">IF(H$12=0,0,H19/H$12)</f>
        <v>0.49860921590760671</v>
      </c>
      <c r="K19" s="4"/>
      <c r="L19" s="4">
        <f t="shared" ref="L19:L21" si="8">+D19-H19</f>
        <v>-51689.89</v>
      </c>
      <c r="M19" s="4"/>
      <c r="N19" s="12">
        <f t="shared" ref="N19:N21" si="9">IF(H19=0,0,L19/H19)</f>
        <v>-1</v>
      </c>
      <c r="O19" s="10"/>
      <c r="P19" s="4">
        <f>SUM(OSRRefP16x_0)</f>
        <v>-613.59</v>
      </c>
      <c r="Q19" s="4"/>
      <c r="R19" s="12">
        <f t="shared" ref="R19:R21" si="10">IF(P$12=0,0,P19/P$12)</f>
        <v>0</v>
      </c>
      <c r="S19" s="4"/>
      <c r="T19" s="4">
        <f>SUM(OSRRefT16x_0)</f>
        <v>114343.06000000001</v>
      </c>
      <c r="U19" s="4"/>
      <c r="V19" s="12">
        <f t="shared" ref="V19:V21" si="11">IF(T$12=0,0,T19/T$12)</f>
        <v>0.47805096554178445</v>
      </c>
      <c r="W19" s="4"/>
      <c r="X19" s="4">
        <f t="shared" ref="X19:X21" si="12">+P19-T19</f>
        <v>-114956.65000000001</v>
      </c>
      <c r="Y19" s="4"/>
      <c r="Z19" s="12">
        <f t="shared" ref="Z19:Z21" si="13">IF(T19=0,0,X19/T19)</f>
        <v>-1.0053662198650273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/>
      <c r="E20" s="2"/>
      <c r="F20" s="19">
        <f t="shared" si="6"/>
        <v>0</v>
      </c>
      <c r="G20" s="2"/>
      <c r="H20" s="2">
        <v>44892.81</v>
      </c>
      <c r="I20" s="2"/>
      <c r="J20" s="19">
        <f t="shared" si="7"/>
        <v>0.4330434596395768</v>
      </c>
      <c r="K20" s="2"/>
      <c r="L20" s="2">
        <f t="shared" si="8"/>
        <v>-44892.81</v>
      </c>
      <c r="M20" s="2"/>
      <c r="N20" s="19">
        <f t="shared" si="9"/>
        <v>-1</v>
      </c>
      <c r="O20" s="11"/>
      <c r="P20" s="2">
        <v>-613.59</v>
      </c>
      <c r="Q20" s="2"/>
      <c r="R20" s="19">
        <f t="shared" si="10"/>
        <v>0</v>
      </c>
      <c r="S20" s="2"/>
      <c r="T20" s="2">
        <v>122535.21</v>
      </c>
      <c r="U20" s="2"/>
      <c r="V20" s="19">
        <f t="shared" si="11"/>
        <v>0.51230110033232723</v>
      </c>
      <c r="W20" s="2"/>
      <c r="X20" s="2">
        <f t="shared" si="12"/>
        <v>-123148.8</v>
      </c>
      <c r="Y20" s="2"/>
      <c r="Z20" s="19">
        <f t="shared" si="13"/>
        <v>-1.0050074586724909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/>
      <c r="E21" s="2"/>
      <c r="F21" s="19">
        <f t="shared" si="6"/>
        <v>0</v>
      </c>
      <c r="G21" s="2"/>
      <c r="H21" s="2">
        <v>6797.08</v>
      </c>
      <c r="I21" s="2"/>
      <c r="J21" s="19">
        <f t="shared" si="7"/>
        <v>6.5565756268029893E-2</v>
      </c>
      <c r="K21" s="2"/>
      <c r="L21" s="2">
        <f t="shared" si="8"/>
        <v>-6797.08</v>
      </c>
      <c r="M21" s="2"/>
      <c r="N21" s="19">
        <f t="shared" si="9"/>
        <v>-1</v>
      </c>
      <c r="O21" s="11"/>
      <c r="P21" s="2"/>
      <c r="Q21" s="2"/>
      <c r="R21" s="19">
        <f t="shared" si="10"/>
        <v>0</v>
      </c>
      <c r="S21" s="2"/>
      <c r="T21" s="2">
        <v>-8192.15</v>
      </c>
      <c r="U21" s="2"/>
      <c r="V21" s="19">
        <f t="shared" si="11"/>
        <v>-3.4250134790542848E-2</v>
      </c>
      <c r="W21" s="2"/>
      <c r="X21" s="2">
        <f t="shared" si="12"/>
        <v>8192.15</v>
      </c>
      <c r="Y21" s="2"/>
      <c r="Z21" s="19">
        <f t="shared" si="13"/>
        <v>-1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5" t="s">
        <v>6</v>
      </c>
      <c r="C23" s="25"/>
      <c r="D23" s="20">
        <f>D12-D19</f>
        <v>0</v>
      </c>
      <c r="E23" s="13"/>
      <c r="F23" s="21">
        <f>IF(D$12=0,0,D23/D$12)</f>
        <v>0</v>
      </c>
      <c r="G23" s="13"/>
      <c r="H23" s="20">
        <f>H12-H19</f>
        <v>51978.25</v>
      </c>
      <c r="I23" s="13"/>
      <c r="J23" s="21">
        <f>IF(H$12=0,0,H23/H$12)</f>
        <v>0.50139078409239324</v>
      </c>
      <c r="K23" s="15"/>
      <c r="L23" s="20">
        <f>+D23-H23</f>
        <v>-51978.25</v>
      </c>
      <c r="M23" s="15"/>
      <c r="N23" s="21">
        <f>IF(H23=0,0,L23/H23)</f>
        <v>-1</v>
      </c>
      <c r="O23" s="26"/>
      <c r="P23" s="20">
        <f>P12-P19</f>
        <v>613.59</v>
      </c>
      <c r="Q23" s="13"/>
      <c r="R23" s="21">
        <f>IF(P$12=0,0,P23/P$12)</f>
        <v>0</v>
      </c>
      <c r="S23" s="13"/>
      <c r="T23" s="20">
        <f>T12-T19</f>
        <v>124842.86</v>
      </c>
      <c r="U23" s="13"/>
      <c r="V23" s="21">
        <f>IF(T$12=0,0,T23/T$12)</f>
        <v>0.52194903445821561</v>
      </c>
      <c r="W23" s="15"/>
      <c r="X23" s="20">
        <f>+P23-T23</f>
        <v>-124229.27</v>
      </c>
      <c r="Y23" s="15"/>
      <c r="Z23" s="21">
        <f>IF(T23=0,0,X23/T23)</f>
        <v>-0.99508510138265016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7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6" t="s">
        <v>9</v>
      </c>
      <c r="C25" s="10"/>
      <c r="D25" s="22">
        <f>SUM(OSRRefD22x_0)</f>
        <v>8727.58</v>
      </c>
      <c r="E25" s="22"/>
      <c r="F25" s="36">
        <f t="shared" ref="F25:F34" si="14">IF(D$12=0,0,D25/D$12)</f>
        <v>0</v>
      </c>
      <c r="G25" s="22"/>
      <c r="H25" s="22">
        <f>SUM(OSRRefH22x_0)</f>
        <v>25347.179999999997</v>
      </c>
      <c r="I25" s="22"/>
      <c r="J25" s="36">
        <f t="shared" ref="J25:J34" si="15">IF(H$12=0,0,H25/H$12)</f>
        <v>0.24450308455423234</v>
      </c>
      <c r="K25" s="4"/>
      <c r="L25" s="22">
        <f t="shared" ref="L25:L34" si="16">+D25-H25</f>
        <v>-16619.599999999999</v>
      </c>
      <c r="M25" s="4"/>
      <c r="N25" s="36">
        <f t="shared" ref="N25:N34" si="17">IF(H25=0,0,L25/H25)</f>
        <v>-0.65567846206165736</v>
      </c>
      <c r="O25" s="10"/>
      <c r="P25" s="22">
        <f>SUM(OSRRefP22x_0)</f>
        <v>37665.360000000001</v>
      </c>
      <c r="Q25" s="22"/>
      <c r="R25" s="36">
        <f t="shared" ref="R25:R34" si="18">IF(P$12=0,0,P25/P$12)</f>
        <v>0</v>
      </c>
      <c r="S25" s="22"/>
      <c r="T25" s="22">
        <f>SUM(OSRRefT22x_0)</f>
        <v>79501.710000000036</v>
      </c>
      <c r="U25" s="22"/>
      <c r="V25" s="36">
        <f t="shared" ref="V25:V34" si="19">IF(T$12=0,0,T25/T$12)</f>
        <v>0.33238457347322131</v>
      </c>
      <c r="W25" s="4"/>
      <c r="X25" s="22">
        <f t="shared" ref="X25:X34" si="20">+P25-T25</f>
        <v>-41836.350000000035</v>
      </c>
      <c r="Y25" s="4"/>
      <c r="Z25" s="36">
        <f t="shared" ref="Z25:Z34" si="21">IF(T25=0,0,X25/T25)</f>
        <v>-0.52623207727230037</v>
      </c>
    </row>
    <row r="26" spans="1:26" s="29" customFormat="1" outlineLevel="1" collapsed="1" x14ac:dyDescent="0.25">
      <c r="A26" s="27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4181.12</v>
      </c>
      <c r="E26" s="1"/>
      <c r="F26" s="5">
        <f t="shared" si="14"/>
        <v>0</v>
      </c>
      <c r="G26" s="1"/>
      <c r="H26" s="1">
        <f>SUM(OSRRefH22_0x_0)</f>
        <v>5436.5400000000009</v>
      </c>
      <c r="I26" s="1"/>
      <c r="J26" s="5">
        <f t="shared" si="15"/>
        <v>5.2441762724787004E-2</v>
      </c>
      <c r="K26" s="1"/>
      <c r="L26" s="1">
        <f t="shared" si="16"/>
        <v>-1255.420000000001</v>
      </c>
      <c r="M26" s="1"/>
      <c r="N26" s="5">
        <f t="shared" si="17"/>
        <v>-0.2309226088651975</v>
      </c>
      <c r="O26" s="14"/>
      <c r="P26" s="1">
        <f>SUM(OSRRefP22_0x_0)</f>
        <v>16138.039999999999</v>
      </c>
      <c r="Q26" s="1"/>
      <c r="R26" s="5">
        <f t="shared" si="18"/>
        <v>0</v>
      </c>
      <c r="S26" s="1"/>
      <c r="T26" s="1">
        <f>SUM(OSRRefT22_0x_0)</f>
        <v>18308.73</v>
      </c>
      <c r="U26" s="1"/>
      <c r="V26" s="5">
        <f t="shared" si="19"/>
        <v>7.654601909677626E-2</v>
      </c>
      <c r="W26" s="1"/>
      <c r="X26" s="1">
        <f t="shared" si="20"/>
        <v>-2170.6900000000005</v>
      </c>
      <c r="Y26" s="1"/>
      <c r="Z26" s="5">
        <f t="shared" si="21"/>
        <v>-0.11856038075825033</v>
      </c>
    </row>
    <row r="27" spans="1:26" s="24" customFormat="1" hidden="1" outlineLevel="2" x14ac:dyDescent="0.25">
      <c r="A27" s="28"/>
      <c r="B27" s="11" t="str">
        <f>CONCATENATE("          ", "6111", " - ", "F.I.C.A.")</f>
        <v xml:space="preserve">          6111 - F.I.C.A.</v>
      </c>
      <c r="C27" s="11"/>
      <c r="D27" s="6">
        <v>646.33000000000004</v>
      </c>
      <c r="E27" s="2"/>
      <c r="F27" s="7">
        <f t="shared" si="14"/>
        <v>0</v>
      </c>
      <c r="G27" s="2"/>
      <c r="H27" s="6">
        <v>1052.74</v>
      </c>
      <c r="I27" s="2"/>
      <c r="J27" s="7">
        <f t="shared" si="15"/>
        <v>1.0154903907796551E-2</v>
      </c>
      <c r="K27" s="2"/>
      <c r="L27" s="6">
        <f t="shared" si="16"/>
        <v>-406.40999999999997</v>
      </c>
      <c r="M27" s="2"/>
      <c r="N27" s="7">
        <f t="shared" si="17"/>
        <v>-0.38604973687710165</v>
      </c>
      <c r="O27" s="11"/>
      <c r="P27" s="6">
        <v>1745.51</v>
      </c>
      <c r="Q27" s="2"/>
      <c r="R27" s="7">
        <f t="shared" si="18"/>
        <v>0</v>
      </c>
      <c r="S27" s="2"/>
      <c r="T27" s="6">
        <v>2409.96</v>
      </c>
      <c r="U27" s="2"/>
      <c r="V27" s="7">
        <f t="shared" si="19"/>
        <v>1.0075676695350628E-2</v>
      </c>
      <c r="W27" s="2"/>
      <c r="X27" s="6">
        <f t="shared" si="20"/>
        <v>-664.45</v>
      </c>
      <c r="Y27" s="2"/>
      <c r="Z27" s="7">
        <f t="shared" si="21"/>
        <v>-0.27570997028996336</v>
      </c>
    </row>
    <row r="28" spans="1:26" s="24" customFormat="1" hidden="1" outlineLevel="2" x14ac:dyDescent="0.25">
      <c r="A28" s="28"/>
      <c r="B28" s="11" t="str">
        <f>CONCATENATE("          ", "6112", " - ", "COMPENSATION INSURANCE")</f>
        <v xml:space="preserve">          6112 - COMPENSATION INSURANCE</v>
      </c>
      <c r="C28" s="11"/>
      <c r="D28" s="6">
        <v>86.5</v>
      </c>
      <c r="E28" s="2"/>
      <c r="F28" s="7">
        <f t="shared" si="14"/>
        <v>0</v>
      </c>
      <c r="G28" s="2"/>
      <c r="H28" s="6">
        <v>69.680000000000007</v>
      </c>
      <c r="I28" s="2"/>
      <c r="J28" s="7">
        <f t="shared" si="15"/>
        <v>6.7214478816731934E-4</v>
      </c>
      <c r="K28" s="2"/>
      <c r="L28" s="6">
        <f t="shared" si="16"/>
        <v>16.819999999999993</v>
      </c>
      <c r="M28" s="2"/>
      <c r="N28" s="7">
        <f t="shared" si="17"/>
        <v>0.24138920780711814</v>
      </c>
      <c r="O28" s="11"/>
      <c r="P28" s="6">
        <v>352.32</v>
      </c>
      <c r="Q28" s="2"/>
      <c r="R28" s="7">
        <f t="shared" si="18"/>
        <v>0</v>
      </c>
      <c r="S28" s="2"/>
      <c r="T28" s="6">
        <v>571.29</v>
      </c>
      <c r="U28" s="2"/>
      <c r="V28" s="7">
        <f t="shared" si="19"/>
        <v>2.3884767130105313E-3</v>
      </c>
      <c r="W28" s="2"/>
      <c r="X28" s="6">
        <f t="shared" si="20"/>
        <v>-218.96999999999997</v>
      </c>
      <c r="Y28" s="2"/>
      <c r="Z28" s="7">
        <f t="shared" si="21"/>
        <v>-0.38329044793362388</v>
      </c>
    </row>
    <row r="29" spans="1:26" s="24" customFormat="1" hidden="1" outlineLevel="2" x14ac:dyDescent="0.25">
      <c r="A29" s="28"/>
      <c r="B29" s="11" t="str">
        <f>CONCATENATE("          ", "6113", " - ", "GROUP INSURANCE")</f>
        <v xml:space="preserve">          6113 - GROUP INSURANCE</v>
      </c>
      <c r="C29" s="11"/>
      <c r="D29" s="6">
        <v>2021.26</v>
      </c>
      <c r="E29" s="2"/>
      <c r="F29" s="7">
        <f t="shared" si="14"/>
        <v>0</v>
      </c>
      <c r="G29" s="2"/>
      <c r="H29" s="6">
        <v>2019.97</v>
      </c>
      <c r="I29" s="2"/>
      <c r="J29" s="7">
        <f t="shared" si="15"/>
        <v>1.9484964232984212E-2</v>
      </c>
      <c r="K29" s="2"/>
      <c r="L29" s="6">
        <f t="shared" si="16"/>
        <v>1.2899999999999636</v>
      </c>
      <c r="M29" s="2"/>
      <c r="N29" s="7">
        <f t="shared" si="17"/>
        <v>6.3862334589125764E-4</v>
      </c>
      <c r="O29" s="11"/>
      <c r="P29" s="6">
        <v>8085.04</v>
      </c>
      <c r="Q29" s="2"/>
      <c r="R29" s="7">
        <f t="shared" si="18"/>
        <v>0</v>
      </c>
      <c r="S29" s="2"/>
      <c r="T29" s="6">
        <v>8079.88</v>
      </c>
      <c r="U29" s="2"/>
      <c r="V29" s="7">
        <f t="shared" si="19"/>
        <v>3.3780750973970375E-2</v>
      </c>
      <c r="W29" s="2"/>
      <c r="X29" s="6">
        <f t="shared" si="20"/>
        <v>5.1599999999998545</v>
      </c>
      <c r="Y29" s="2"/>
      <c r="Z29" s="7">
        <f t="shared" si="21"/>
        <v>6.3862334589125764E-4</v>
      </c>
    </row>
    <row r="30" spans="1:26" s="24" customFormat="1" hidden="1" outlineLevel="2" x14ac:dyDescent="0.25">
      <c r="A30" s="28"/>
      <c r="B30" s="11" t="str">
        <f>CONCATENATE("          ", "6114", " - ", "STATE UNEMPLOYMENT INSURANCE")</f>
        <v xml:space="preserve">          6114 - STATE UNEMPLOYMENT INSURANCE</v>
      </c>
      <c r="C30" s="11"/>
      <c r="D30" s="6">
        <v>12.16</v>
      </c>
      <c r="E30" s="2"/>
      <c r="F30" s="7">
        <f t="shared" si="14"/>
        <v>0</v>
      </c>
      <c r="G30" s="2"/>
      <c r="H30" s="6">
        <v>42.78</v>
      </c>
      <c r="I30" s="2"/>
      <c r="J30" s="7">
        <f t="shared" si="15"/>
        <v>4.1266294543338002E-4</v>
      </c>
      <c r="K30" s="2"/>
      <c r="L30" s="6">
        <f t="shared" si="16"/>
        <v>-30.62</v>
      </c>
      <c r="M30" s="2"/>
      <c r="N30" s="7">
        <f t="shared" si="17"/>
        <v>-0.71575502571295002</v>
      </c>
      <c r="O30" s="11"/>
      <c r="P30" s="6">
        <v>49.52</v>
      </c>
      <c r="Q30" s="2"/>
      <c r="R30" s="7">
        <f t="shared" si="18"/>
        <v>0</v>
      </c>
      <c r="S30" s="2"/>
      <c r="T30" s="6">
        <v>111.07</v>
      </c>
      <c r="U30" s="2"/>
      <c r="V30" s="7">
        <f t="shared" si="19"/>
        <v>4.6436679884836026E-4</v>
      </c>
      <c r="W30" s="2"/>
      <c r="X30" s="6">
        <f t="shared" si="20"/>
        <v>-61.54999999999999</v>
      </c>
      <c r="Y30" s="2"/>
      <c r="Z30" s="7">
        <f t="shared" si="21"/>
        <v>-0.55415503736382454</v>
      </c>
    </row>
    <row r="31" spans="1:26" s="24" customFormat="1" hidden="1" outlineLevel="2" x14ac:dyDescent="0.25">
      <c r="A31" s="28"/>
      <c r="B31" s="11" t="str">
        <f>CONCATENATE("          ", "6115", " - ", "P.E.R.S.")</f>
        <v xml:space="preserve">          6115 - P.E.R.S.</v>
      </c>
      <c r="C31" s="11"/>
      <c r="D31" s="6">
        <v>368.43</v>
      </c>
      <c r="E31" s="2"/>
      <c r="F31" s="7">
        <f t="shared" si="14"/>
        <v>0</v>
      </c>
      <c r="G31" s="2"/>
      <c r="H31" s="6">
        <v>1086.73</v>
      </c>
      <c r="I31" s="2"/>
      <c r="J31" s="7">
        <f t="shared" si="15"/>
        <v>1.0482777061496425E-2</v>
      </c>
      <c r="K31" s="2"/>
      <c r="L31" s="6">
        <f t="shared" si="16"/>
        <v>-718.3</v>
      </c>
      <c r="M31" s="2"/>
      <c r="N31" s="7">
        <f t="shared" si="17"/>
        <v>-0.66097374692885991</v>
      </c>
      <c r="O31" s="11"/>
      <c r="P31" s="6">
        <v>2517.64</v>
      </c>
      <c r="Q31" s="2"/>
      <c r="R31" s="7">
        <f t="shared" si="18"/>
        <v>0</v>
      </c>
      <c r="S31" s="2"/>
      <c r="T31" s="6">
        <v>2793.64</v>
      </c>
      <c r="U31" s="2"/>
      <c r="V31" s="7">
        <f t="shared" si="19"/>
        <v>1.1679784495675999E-2</v>
      </c>
      <c r="W31" s="2"/>
      <c r="X31" s="6">
        <f t="shared" si="20"/>
        <v>-276</v>
      </c>
      <c r="Y31" s="2"/>
      <c r="Z31" s="7">
        <f t="shared" si="21"/>
        <v>-9.8795836256640082E-2</v>
      </c>
    </row>
    <row r="32" spans="1:26" s="24" customFormat="1" hidden="1" outlineLevel="2" x14ac:dyDescent="0.25">
      <c r="A32" s="28"/>
      <c r="B32" s="11" t="str">
        <f>CONCATENATE("          ", "6118", " - ", "VACATION")</f>
        <v xml:space="preserve">          6118 - VACATION</v>
      </c>
      <c r="C32" s="11"/>
      <c r="D32" s="6">
        <v>610.59</v>
      </c>
      <c r="E32" s="2"/>
      <c r="F32" s="7">
        <f t="shared" si="14"/>
        <v>0</v>
      </c>
      <c r="G32" s="2"/>
      <c r="H32" s="6">
        <v>610.59</v>
      </c>
      <c r="I32" s="2"/>
      <c r="J32" s="7">
        <f t="shared" si="15"/>
        <v>5.8898519834541261E-3</v>
      </c>
      <c r="K32" s="2"/>
      <c r="L32" s="6">
        <f t="shared" si="16"/>
        <v>0</v>
      </c>
      <c r="M32" s="2"/>
      <c r="N32" s="7">
        <f t="shared" si="17"/>
        <v>0</v>
      </c>
      <c r="O32" s="11"/>
      <c r="P32" s="6">
        <v>1831.77</v>
      </c>
      <c r="Q32" s="2"/>
      <c r="R32" s="7">
        <f t="shared" si="18"/>
        <v>0</v>
      </c>
      <c r="S32" s="2"/>
      <c r="T32" s="6">
        <v>2140.66</v>
      </c>
      <c r="U32" s="2"/>
      <c r="V32" s="7">
        <f t="shared" si="19"/>
        <v>8.9497743010959838E-3</v>
      </c>
      <c r="W32" s="2"/>
      <c r="X32" s="6">
        <f t="shared" si="20"/>
        <v>-308.88999999999987</v>
      </c>
      <c r="Y32" s="2"/>
      <c r="Z32" s="7">
        <f t="shared" si="21"/>
        <v>-0.14429661879980935</v>
      </c>
    </row>
    <row r="33" spans="1:26" s="24" customFormat="1" hidden="1" outlineLevel="2" x14ac:dyDescent="0.25">
      <c r="A33" s="28"/>
      <c r="B33" s="11" t="str">
        <f>CONCATENATE("          ", "6119", " - ", "SICK LEAVE")</f>
        <v xml:space="preserve">          6119 - SICK LEAVE</v>
      </c>
      <c r="C33" s="11"/>
      <c r="D33" s="6">
        <v>385.14</v>
      </c>
      <c r="E33" s="2"/>
      <c r="F33" s="7">
        <f t="shared" si="14"/>
        <v>0</v>
      </c>
      <c r="G33" s="2"/>
      <c r="H33" s="6">
        <v>385.14</v>
      </c>
      <c r="I33" s="2"/>
      <c r="J33" s="7">
        <f t="shared" si="15"/>
        <v>3.7151240487193074E-3</v>
      </c>
      <c r="K33" s="2"/>
      <c r="L33" s="6">
        <f t="shared" si="16"/>
        <v>0</v>
      </c>
      <c r="M33" s="2"/>
      <c r="N33" s="7">
        <f t="shared" si="17"/>
        <v>0</v>
      </c>
      <c r="O33" s="11"/>
      <c r="P33" s="6">
        <v>1155.42</v>
      </c>
      <c r="Q33" s="2"/>
      <c r="R33" s="7">
        <f t="shared" si="18"/>
        <v>0</v>
      </c>
      <c r="S33" s="2"/>
      <c r="T33" s="6">
        <v>1559.84</v>
      </c>
      <c r="U33" s="2"/>
      <c r="V33" s="7">
        <f t="shared" si="19"/>
        <v>6.5214541056597304E-3</v>
      </c>
      <c r="W33" s="2"/>
      <c r="X33" s="6">
        <f t="shared" si="20"/>
        <v>-404.41999999999985</v>
      </c>
      <c r="Y33" s="2"/>
      <c r="Z33" s="7">
        <f t="shared" si="21"/>
        <v>-0.2592701815570827</v>
      </c>
    </row>
    <row r="34" spans="1:26" s="24" customFormat="1" hidden="1" outlineLevel="2" x14ac:dyDescent="0.25">
      <c r="A34" s="28"/>
      <c r="B34" s="11" t="str">
        <f>CONCATENATE("          ", "6156", " - ", "EMPLOYEE MEALS")</f>
        <v xml:space="preserve">          6156 - EMPLOYEE MEALS</v>
      </c>
      <c r="C34" s="11"/>
      <c r="D34" s="6">
        <v>50.71</v>
      </c>
      <c r="E34" s="2"/>
      <c r="F34" s="7">
        <f t="shared" si="14"/>
        <v>0</v>
      </c>
      <c r="G34" s="2"/>
      <c r="H34" s="6">
        <v>168.91</v>
      </c>
      <c r="I34" s="2"/>
      <c r="J34" s="7">
        <f t="shared" si="15"/>
        <v>1.629333756735676E-3</v>
      </c>
      <c r="K34" s="2"/>
      <c r="L34" s="6">
        <f t="shared" si="16"/>
        <v>-118.19999999999999</v>
      </c>
      <c r="M34" s="2"/>
      <c r="N34" s="7">
        <f t="shared" si="17"/>
        <v>-0.69978094843407723</v>
      </c>
      <c r="O34" s="11"/>
      <c r="P34" s="6">
        <v>400.82</v>
      </c>
      <c r="Q34" s="2"/>
      <c r="R34" s="7">
        <f t="shared" si="18"/>
        <v>0</v>
      </c>
      <c r="S34" s="2"/>
      <c r="T34" s="6">
        <v>642.39</v>
      </c>
      <c r="U34" s="2"/>
      <c r="V34" s="7">
        <f t="shared" si="19"/>
        <v>2.6857350131646541E-3</v>
      </c>
      <c r="W34" s="2"/>
      <c r="X34" s="6">
        <f t="shared" si="20"/>
        <v>-241.57</v>
      </c>
      <c r="Y34" s="2"/>
      <c r="Z34" s="7">
        <f t="shared" si="21"/>
        <v>-0.37604881769641496</v>
      </c>
    </row>
    <row r="35" spans="1:26" s="29" customFormat="1" outlineLevel="1" collapsed="1" x14ac:dyDescent="0.25">
      <c r="A35" s="27"/>
      <c r="B35" s="14" t="str">
        <f>CONCATENATE("     ","*Payroll                                          ")</f>
        <v xml:space="preserve">     *Payroll                                          </v>
      </c>
      <c r="C35" s="14"/>
      <c r="D35" s="1">
        <f>SUM(OSRRefD22_1x_0)</f>
        <v>4279.03</v>
      </c>
      <c r="E35" s="1"/>
      <c r="F35" s="5">
        <f t="shared" ref="F35:F40" si="22">IF(D$12=0,0,D35/D$12)</f>
        <v>0</v>
      </c>
      <c r="G35" s="1"/>
      <c r="H35" s="1">
        <f>SUM(OSRRefH22_1x_0)</f>
        <v>15694.46</v>
      </c>
      <c r="I35" s="1"/>
      <c r="J35" s="5">
        <f t="shared" ref="J35:J40" si="23">IF(H$12=0,0,H35/H$12)</f>
        <v>0.15139135321613756</v>
      </c>
      <c r="K35" s="1"/>
      <c r="L35" s="1">
        <f t="shared" ref="L35:L40" si="24">+D35-H35</f>
        <v>-11415.43</v>
      </c>
      <c r="M35" s="1"/>
      <c r="N35" s="5">
        <f t="shared" ref="N35:N40" si="25">IF(H35=0,0,L35/H35)</f>
        <v>-0.72735411094105829</v>
      </c>
      <c r="O35" s="14"/>
      <c r="P35" s="1">
        <f>SUM(OSRRefP22_1x_0)</f>
        <v>20631.419999999998</v>
      </c>
      <c r="Q35" s="1"/>
      <c r="R35" s="5">
        <f t="shared" ref="R35:R40" si="26">IF(P$12=0,0,P35/P$12)</f>
        <v>0</v>
      </c>
      <c r="S35" s="1"/>
      <c r="T35" s="1">
        <f>SUM(OSRRefT22_1x_0)</f>
        <v>46823.159999999996</v>
      </c>
      <c r="U35" s="1"/>
      <c r="V35" s="5">
        <f t="shared" ref="V35:V40" si="27">IF(T$12=0,0,T35/T$12)</f>
        <v>0.19576051968276392</v>
      </c>
      <c r="W35" s="1"/>
      <c r="X35" s="1">
        <f t="shared" ref="X35:X40" si="28">+P35-T35</f>
        <v>-26191.739999999998</v>
      </c>
      <c r="Y35" s="1"/>
      <c r="Z35" s="5">
        <f t="shared" ref="Z35:Z40" si="29">IF(T35=0,0,X35/T35)</f>
        <v>-0.55937574482371544</v>
      </c>
    </row>
    <row r="36" spans="1:26" s="24" customFormat="1" hidden="1" outlineLevel="2" x14ac:dyDescent="0.25">
      <c r="A36" s="28"/>
      <c r="B36" s="11" t="str">
        <f>CONCATENATE("          ", "6002", " - ", "STAFF SALARIES")</f>
        <v xml:space="preserve">          6002 - STAFF SALARIES</v>
      </c>
      <c r="C36" s="11"/>
      <c r="D36" s="6">
        <v>4279.03</v>
      </c>
      <c r="E36" s="2"/>
      <c r="F36" s="7">
        <f t="shared" si="22"/>
        <v>0</v>
      </c>
      <c r="G36" s="2"/>
      <c r="H36" s="6">
        <v>6957.99</v>
      </c>
      <c r="I36" s="2"/>
      <c r="J36" s="7">
        <f t="shared" si="23"/>
        <v>6.7117920703506403E-2</v>
      </c>
      <c r="K36" s="2"/>
      <c r="L36" s="6">
        <f t="shared" si="24"/>
        <v>-2678.96</v>
      </c>
      <c r="M36" s="2"/>
      <c r="N36" s="7">
        <f t="shared" si="25"/>
        <v>-0.3850192368773166</v>
      </c>
      <c r="O36" s="11"/>
      <c r="P36" s="6">
        <v>20631.419999999998</v>
      </c>
      <c r="Q36" s="2"/>
      <c r="R36" s="7">
        <f t="shared" si="26"/>
        <v>0</v>
      </c>
      <c r="S36" s="2"/>
      <c r="T36" s="6">
        <v>23762.68</v>
      </c>
      <c r="U36" s="2"/>
      <c r="V36" s="7">
        <f t="shared" si="27"/>
        <v>9.9348155610497466E-2</v>
      </c>
      <c r="W36" s="2"/>
      <c r="X36" s="6">
        <f t="shared" si="28"/>
        <v>-3131.260000000002</v>
      </c>
      <c r="Y36" s="2"/>
      <c r="Z36" s="7">
        <f t="shared" si="29"/>
        <v>-0.13177217384571108</v>
      </c>
    </row>
    <row r="37" spans="1:26" s="24" customFormat="1" hidden="1" outlineLevel="2" x14ac:dyDescent="0.25">
      <c r="A37" s="28"/>
      <c r="B37" s="11" t="str">
        <f>CONCATENATE("          ", "6005", " - ", "TEMPORARY WAGES-HOURLY")</f>
        <v xml:space="preserve">          6005 - TEMPORARY WAGES-HOURLY</v>
      </c>
      <c r="C37" s="11"/>
      <c r="D37" s="6"/>
      <c r="E37" s="2"/>
      <c r="F37" s="7">
        <f t="shared" si="22"/>
        <v>0</v>
      </c>
      <c r="G37" s="2"/>
      <c r="H37" s="6">
        <v>252.36</v>
      </c>
      <c r="I37" s="2"/>
      <c r="J37" s="7">
        <f t="shared" si="23"/>
        <v>2.4343062391203314E-3</v>
      </c>
      <c r="K37" s="2"/>
      <c r="L37" s="6">
        <f t="shared" si="24"/>
        <v>-252.36</v>
      </c>
      <c r="M37" s="2"/>
      <c r="N37" s="7">
        <f t="shared" si="25"/>
        <v>-1</v>
      </c>
      <c r="O37" s="11"/>
      <c r="P37" s="6"/>
      <c r="Q37" s="2"/>
      <c r="R37" s="7">
        <f t="shared" si="26"/>
        <v>0</v>
      </c>
      <c r="S37" s="2"/>
      <c r="T37" s="6">
        <v>769.68</v>
      </c>
      <c r="U37" s="2"/>
      <c r="V37" s="7">
        <f t="shared" si="27"/>
        <v>3.2179151682507059E-3</v>
      </c>
      <c r="W37" s="2"/>
      <c r="X37" s="6">
        <f t="shared" si="28"/>
        <v>-769.68</v>
      </c>
      <c r="Y37" s="2"/>
      <c r="Z37" s="7">
        <f t="shared" si="29"/>
        <v>-1</v>
      </c>
    </row>
    <row r="38" spans="1:26" s="24" customFormat="1" hidden="1" outlineLevel="2" x14ac:dyDescent="0.25">
      <c r="A38" s="28"/>
      <c r="B38" s="11" t="str">
        <f>CONCATENATE("          ", "6006", " - ", "TEMPORARY PART TIME")</f>
        <v xml:space="preserve">          6006 - TEMPORARY PART TIME</v>
      </c>
      <c r="C38" s="11"/>
      <c r="D38" s="6"/>
      <c r="E38" s="2"/>
      <c r="F38" s="7">
        <f t="shared" si="22"/>
        <v>0</v>
      </c>
      <c r="G38" s="2"/>
      <c r="H38" s="6">
        <v>1119</v>
      </c>
      <c r="I38" s="2"/>
      <c r="J38" s="7">
        <f t="shared" si="23"/>
        <v>1.0794058811125579E-2</v>
      </c>
      <c r="K38" s="2"/>
      <c r="L38" s="6">
        <f t="shared" si="24"/>
        <v>-1119</v>
      </c>
      <c r="M38" s="2"/>
      <c r="N38" s="7">
        <f t="shared" si="25"/>
        <v>-1</v>
      </c>
      <c r="O38" s="11"/>
      <c r="P38" s="6"/>
      <c r="Q38" s="2"/>
      <c r="R38" s="7">
        <f t="shared" si="26"/>
        <v>0</v>
      </c>
      <c r="S38" s="2"/>
      <c r="T38" s="6">
        <v>1989.19</v>
      </c>
      <c r="U38" s="2"/>
      <c r="V38" s="7">
        <f t="shared" si="27"/>
        <v>8.3165012388689095E-3</v>
      </c>
      <c r="W38" s="2"/>
      <c r="X38" s="6">
        <f t="shared" si="28"/>
        <v>-1989.19</v>
      </c>
      <c r="Y38" s="2"/>
      <c r="Z38" s="7">
        <f t="shared" si="29"/>
        <v>-1</v>
      </c>
    </row>
    <row r="39" spans="1:26" s="24" customFormat="1" hidden="1" outlineLevel="2" x14ac:dyDescent="0.25">
      <c r="A39" s="28"/>
      <c r="B39" s="11" t="str">
        <f>CONCATENATE("          ", "6007", " - ", "STUDENT HOURLY")</f>
        <v xml:space="preserve">          6007 - STUDENT HOURLY</v>
      </c>
      <c r="C39" s="11"/>
      <c r="D39" s="6"/>
      <c r="E39" s="2"/>
      <c r="F39" s="7">
        <f t="shared" si="22"/>
        <v>0</v>
      </c>
      <c r="G39" s="2"/>
      <c r="H39" s="6">
        <v>7257.11</v>
      </c>
      <c r="I39" s="2"/>
      <c r="J39" s="7">
        <f t="shared" si="23"/>
        <v>7.0003281625386549E-2</v>
      </c>
      <c r="K39" s="2"/>
      <c r="L39" s="6">
        <f t="shared" si="24"/>
        <v>-7257.11</v>
      </c>
      <c r="M39" s="2"/>
      <c r="N39" s="7">
        <f t="shared" si="25"/>
        <v>-1</v>
      </c>
      <c r="O39" s="11"/>
      <c r="P39" s="6"/>
      <c r="Q39" s="2"/>
      <c r="R39" s="7">
        <f t="shared" si="26"/>
        <v>0</v>
      </c>
      <c r="S39" s="2"/>
      <c r="T39" s="6">
        <v>16800.129999999997</v>
      </c>
      <c r="U39" s="2"/>
      <c r="V39" s="7">
        <f t="shared" si="27"/>
        <v>7.0238791647936449E-2</v>
      </c>
      <c r="W39" s="2"/>
      <c r="X39" s="6">
        <f t="shared" si="28"/>
        <v>-16800.129999999997</v>
      </c>
      <c r="Y39" s="2"/>
      <c r="Z39" s="7">
        <f t="shared" si="29"/>
        <v>-1</v>
      </c>
    </row>
    <row r="40" spans="1:26" s="24" customFormat="1" hidden="1" outlineLevel="2" x14ac:dyDescent="0.25">
      <c r="A40" s="28"/>
      <c r="B40" s="11" t="str">
        <f>CONCATENATE("          ", "6008", " - ", "STUDENT HOURLY-FICA EXEMPT")</f>
        <v xml:space="preserve">          6008 - STUDENT HOURLY-FICA EXEMPT</v>
      </c>
      <c r="C40" s="11"/>
      <c r="D40" s="6"/>
      <c r="E40" s="2"/>
      <c r="F40" s="7">
        <f t="shared" si="22"/>
        <v>0</v>
      </c>
      <c r="G40" s="2"/>
      <c r="H40" s="6">
        <v>108</v>
      </c>
      <c r="I40" s="2"/>
      <c r="J40" s="7">
        <f t="shared" si="23"/>
        <v>1.0417858369987153E-3</v>
      </c>
      <c r="K40" s="2"/>
      <c r="L40" s="6">
        <f t="shared" si="24"/>
        <v>-108</v>
      </c>
      <c r="M40" s="2"/>
      <c r="N40" s="7">
        <f t="shared" si="25"/>
        <v>-1</v>
      </c>
      <c r="O40" s="11"/>
      <c r="P40" s="6"/>
      <c r="Q40" s="2"/>
      <c r="R40" s="7">
        <f t="shared" si="26"/>
        <v>0</v>
      </c>
      <c r="S40" s="2"/>
      <c r="T40" s="6">
        <v>3501.48</v>
      </c>
      <c r="U40" s="2"/>
      <c r="V40" s="7">
        <f t="shared" si="27"/>
        <v>1.4639156017210378E-2</v>
      </c>
      <c r="W40" s="2"/>
      <c r="X40" s="6">
        <f t="shared" si="28"/>
        <v>-3501.48</v>
      </c>
      <c r="Y40" s="2"/>
      <c r="Z40" s="7">
        <f t="shared" si="29"/>
        <v>-1</v>
      </c>
    </row>
    <row r="41" spans="1:26" s="29" customFormat="1" outlineLevel="1" collapsed="1" x14ac:dyDescent="0.25">
      <c r="A41" s="27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SUM(OSRRefD22_2x_0)</f>
        <v>0</v>
      </c>
      <c r="E41" s="1"/>
      <c r="F41" s="5">
        <f t="shared" ref="F41:F56" si="30">IF(D$12=0,0,D41/D$12)</f>
        <v>0</v>
      </c>
      <c r="G41" s="1"/>
      <c r="H41" s="1">
        <f>SUM(OSRRefH22_2x_0)</f>
        <v>101.9</v>
      </c>
      <c r="I41" s="1"/>
      <c r="J41" s="5">
        <f t="shared" ref="J41:J56" si="31">IF(H$12=0,0,H41/H$12)</f>
        <v>9.8294422953860267E-4</v>
      </c>
      <c r="K41" s="1"/>
      <c r="L41" s="1">
        <f t="shared" ref="L41:L56" si="32">+D41-H41</f>
        <v>-101.9</v>
      </c>
      <c r="M41" s="1"/>
      <c r="N41" s="5">
        <f t="shared" ref="N41:N56" si="33">IF(H41=0,0,L41/H41)</f>
        <v>-1</v>
      </c>
      <c r="O41" s="14"/>
      <c r="P41" s="1">
        <f>SUM(OSRRefP22_2x_0)</f>
        <v>0</v>
      </c>
      <c r="Q41" s="1"/>
      <c r="R41" s="5">
        <f t="shared" ref="R41:R56" si="34">IF(P$12=0,0,P41/P$12)</f>
        <v>0</v>
      </c>
      <c r="S41" s="1"/>
      <c r="T41" s="1">
        <f>SUM(OSRRefT22_2x_0)</f>
        <v>260.2</v>
      </c>
      <c r="U41" s="1"/>
      <c r="V41" s="5">
        <f t="shared" ref="V41:V56" si="35">IF(T$12=0,0,T41/T$12)</f>
        <v>1.0878566765134001E-3</v>
      </c>
      <c r="W41" s="1"/>
      <c r="X41" s="1">
        <f t="shared" ref="X41:X56" si="36">+P41-T41</f>
        <v>-260.2</v>
      </c>
      <c r="Y41" s="1"/>
      <c r="Z41" s="5">
        <f t="shared" ref="Z41:Z56" si="37">IF(T41=0,0,X41/T41)</f>
        <v>-1</v>
      </c>
    </row>
    <row r="42" spans="1:26" s="24" customFormat="1" hidden="1" outlineLevel="2" x14ac:dyDescent="0.25">
      <c r="A42" s="28"/>
      <c r="B42" s="11" t="str">
        <f>CONCATENATE("          ", "6362", " - ", "ADVERTISING EXPENSE")</f>
        <v xml:space="preserve">          6362 - ADVERTISING EXPENSE</v>
      </c>
      <c r="C42" s="11"/>
      <c r="D42" s="6"/>
      <c r="E42" s="2"/>
      <c r="F42" s="7">
        <f t="shared" si="30"/>
        <v>0</v>
      </c>
      <c r="G42" s="2"/>
      <c r="H42" s="6">
        <v>101.9</v>
      </c>
      <c r="I42" s="2"/>
      <c r="J42" s="7">
        <f t="shared" si="31"/>
        <v>9.8294422953860267E-4</v>
      </c>
      <c r="K42" s="2"/>
      <c r="L42" s="6">
        <f t="shared" si="32"/>
        <v>-101.9</v>
      </c>
      <c r="M42" s="2"/>
      <c r="N42" s="7">
        <f t="shared" si="33"/>
        <v>-1</v>
      </c>
      <c r="O42" s="11"/>
      <c r="P42" s="6"/>
      <c r="Q42" s="2"/>
      <c r="R42" s="7">
        <f t="shared" si="34"/>
        <v>0</v>
      </c>
      <c r="S42" s="2"/>
      <c r="T42" s="6">
        <v>260.2</v>
      </c>
      <c r="U42" s="2"/>
      <c r="V42" s="7">
        <f t="shared" si="35"/>
        <v>1.0878566765134001E-3</v>
      </c>
      <c r="W42" s="2"/>
      <c r="X42" s="6">
        <f t="shared" si="36"/>
        <v>-260.2</v>
      </c>
      <c r="Y42" s="2"/>
      <c r="Z42" s="7">
        <f t="shared" si="37"/>
        <v>-1</v>
      </c>
    </row>
    <row r="43" spans="1:26" s="29" customFormat="1" outlineLevel="1" collapsed="1" x14ac:dyDescent="0.25">
      <c r="A43" s="27"/>
      <c r="B43" s="14" t="str">
        <f>CONCATENATE("     ","Bad Debts/Over/Short                              ")</f>
        <v xml:space="preserve">     Bad Debts/Over/Short                              </v>
      </c>
      <c r="C43" s="14"/>
      <c r="D43" s="1">
        <f>SUM(OSRRefD22_3x_0)</f>
        <v>0</v>
      </c>
      <c r="E43" s="1"/>
      <c r="F43" s="5">
        <f t="shared" si="30"/>
        <v>0</v>
      </c>
      <c r="G43" s="1"/>
      <c r="H43" s="1">
        <f>SUM(OSRRefH22_3x_0)</f>
        <v>-30.63</v>
      </c>
      <c r="I43" s="1"/>
      <c r="J43" s="5">
        <f t="shared" si="31"/>
        <v>-2.9546203877102456E-4</v>
      </c>
      <c r="K43" s="1"/>
      <c r="L43" s="1">
        <f t="shared" si="32"/>
        <v>30.63</v>
      </c>
      <c r="M43" s="1"/>
      <c r="N43" s="5">
        <f t="shared" si="33"/>
        <v>-1</v>
      </c>
      <c r="O43" s="14"/>
      <c r="P43" s="1">
        <f>SUM(OSRRefP22_3x_0)</f>
        <v>0</v>
      </c>
      <c r="Q43" s="1"/>
      <c r="R43" s="5">
        <f t="shared" si="34"/>
        <v>0</v>
      </c>
      <c r="S43" s="1"/>
      <c r="T43" s="1">
        <f>SUM(OSRRefT22_3x_0)</f>
        <v>-90.81</v>
      </c>
      <c r="U43" s="1"/>
      <c r="V43" s="5">
        <f t="shared" si="35"/>
        <v>-3.796628162727973E-4</v>
      </c>
      <c r="W43" s="1"/>
      <c r="X43" s="1">
        <f t="shared" si="36"/>
        <v>90.81</v>
      </c>
      <c r="Y43" s="1"/>
      <c r="Z43" s="5">
        <f t="shared" si="37"/>
        <v>-1</v>
      </c>
    </row>
    <row r="44" spans="1:26" s="24" customFormat="1" hidden="1" outlineLevel="2" x14ac:dyDescent="0.25">
      <c r="A44" s="28"/>
      <c r="B44" s="11" t="str">
        <f>CONCATENATE("          ", "6272", " - ", "CASH (OVER/SHORT)")</f>
        <v xml:space="preserve">          6272 - CASH (OVER/SHORT)</v>
      </c>
      <c r="C44" s="11"/>
      <c r="D44" s="6"/>
      <c r="E44" s="2"/>
      <c r="F44" s="7">
        <f t="shared" si="30"/>
        <v>0</v>
      </c>
      <c r="G44" s="2"/>
      <c r="H44" s="6">
        <v>-30.63</v>
      </c>
      <c r="I44" s="2"/>
      <c r="J44" s="7">
        <f t="shared" si="31"/>
        <v>-2.9546203877102456E-4</v>
      </c>
      <c r="K44" s="2"/>
      <c r="L44" s="6">
        <f t="shared" si="32"/>
        <v>30.63</v>
      </c>
      <c r="M44" s="2"/>
      <c r="N44" s="7">
        <f t="shared" si="33"/>
        <v>-1</v>
      </c>
      <c r="O44" s="11"/>
      <c r="P44" s="6"/>
      <c r="Q44" s="2"/>
      <c r="R44" s="7">
        <f t="shared" si="34"/>
        <v>0</v>
      </c>
      <c r="S44" s="2"/>
      <c r="T44" s="6">
        <v>-90.81</v>
      </c>
      <c r="U44" s="2"/>
      <c r="V44" s="7">
        <f t="shared" si="35"/>
        <v>-3.796628162727973E-4</v>
      </c>
      <c r="W44" s="2"/>
      <c r="X44" s="6">
        <f t="shared" si="36"/>
        <v>90.81</v>
      </c>
      <c r="Y44" s="2"/>
      <c r="Z44" s="7">
        <f t="shared" si="37"/>
        <v>-1</v>
      </c>
    </row>
    <row r="45" spans="1:26" s="29" customFormat="1" outlineLevel="1" collapsed="1" x14ac:dyDescent="0.25">
      <c r="A45" s="27"/>
      <c r="B45" s="14" t="str">
        <f>CONCATENATE("     ","Bank/card Fees                                    ")</f>
        <v xml:space="preserve">     Bank/card Fees                                    </v>
      </c>
      <c r="C45" s="14"/>
      <c r="D45" s="1">
        <f>SUM(OSRRefD22_4x_0)</f>
        <v>60</v>
      </c>
      <c r="E45" s="1"/>
      <c r="F45" s="5">
        <f t="shared" si="30"/>
        <v>0</v>
      </c>
      <c r="G45" s="1"/>
      <c r="H45" s="1">
        <f>SUM(OSRRefH22_4x_0)</f>
        <v>3404.64</v>
      </c>
      <c r="I45" s="1"/>
      <c r="J45" s="5">
        <f t="shared" si="31"/>
        <v>3.2841719741475053E-2</v>
      </c>
      <c r="K45" s="1"/>
      <c r="L45" s="1">
        <f t="shared" si="32"/>
        <v>-3344.64</v>
      </c>
      <c r="M45" s="1"/>
      <c r="N45" s="5">
        <f t="shared" si="33"/>
        <v>-0.98237699139997181</v>
      </c>
      <c r="O45" s="14"/>
      <c r="P45" s="1">
        <f>SUM(OSRRefP22_4x_0)</f>
        <v>240</v>
      </c>
      <c r="Q45" s="1"/>
      <c r="R45" s="5">
        <f t="shared" si="34"/>
        <v>0</v>
      </c>
      <c r="S45" s="1"/>
      <c r="T45" s="1">
        <f>SUM(OSRRefT22_4x_0)</f>
        <v>7798.8</v>
      </c>
      <c r="U45" s="1"/>
      <c r="V45" s="5">
        <f t="shared" si="35"/>
        <v>3.2605598189057283E-2</v>
      </c>
      <c r="W45" s="1"/>
      <c r="X45" s="1">
        <f t="shared" si="36"/>
        <v>-7558.8</v>
      </c>
      <c r="Y45" s="1"/>
      <c r="Z45" s="5">
        <f t="shared" si="37"/>
        <v>-0.96922603477458069</v>
      </c>
    </row>
    <row r="46" spans="1:26" s="24" customFormat="1" hidden="1" outlineLevel="2" x14ac:dyDescent="0.25">
      <c r="A46" s="28"/>
      <c r="B46" s="11" t="str">
        <f>CONCATENATE("          ", "6381", " - ", "BANK/CREDIT CARD FEES")</f>
        <v xml:space="preserve">          6381 - BANK/CREDIT CARD FEES</v>
      </c>
      <c r="C46" s="11"/>
      <c r="D46" s="6">
        <v>60</v>
      </c>
      <c r="E46" s="2"/>
      <c r="F46" s="7">
        <f t="shared" si="30"/>
        <v>0</v>
      </c>
      <c r="G46" s="2"/>
      <c r="H46" s="6">
        <v>3404.64</v>
      </c>
      <c r="I46" s="2"/>
      <c r="J46" s="7">
        <f t="shared" si="31"/>
        <v>3.2841719741475053E-2</v>
      </c>
      <c r="K46" s="2"/>
      <c r="L46" s="6">
        <f t="shared" si="32"/>
        <v>-3344.64</v>
      </c>
      <c r="M46" s="2"/>
      <c r="N46" s="7">
        <f t="shared" si="33"/>
        <v>-0.98237699139997181</v>
      </c>
      <c r="O46" s="11"/>
      <c r="P46" s="6">
        <v>240</v>
      </c>
      <c r="Q46" s="2"/>
      <c r="R46" s="7">
        <f t="shared" si="34"/>
        <v>0</v>
      </c>
      <c r="S46" s="2"/>
      <c r="T46" s="6">
        <v>7798.8</v>
      </c>
      <c r="U46" s="2"/>
      <c r="V46" s="7">
        <f t="shared" si="35"/>
        <v>3.2605598189057283E-2</v>
      </c>
      <c r="W46" s="2"/>
      <c r="X46" s="6">
        <f t="shared" si="36"/>
        <v>-7558.8</v>
      </c>
      <c r="Y46" s="2"/>
      <c r="Z46" s="7">
        <f t="shared" si="37"/>
        <v>-0.96922603477458069</v>
      </c>
    </row>
    <row r="47" spans="1:26" s="29" customFormat="1" outlineLevel="1" collapsed="1" x14ac:dyDescent="0.25">
      <c r="A47" s="27"/>
      <c r="B47" s="14" t="str">
        <f>CONCATENATE("     ","Discounts and Markdowns                           ")</f>
        <v xml:space="preserve">     Discounts and Markdowns                           </v>
      </c>
      <c r="C47" s="14"/>
      <c r="D47" s="1">
        <f>SUM(OSRRefD22_5x_0)</f>
        <v>0</v>
      </c>
      <c r="E47" s="1"/>
      <c r="F47" s="5">
        <f t="shared" si="30"/>
        <v>0</v>
      </c>
      <c r="G47" s="1"/>
      <c r="H47" s="1">
        <f>SUM(OSRRefH22_5x_0)</f>
        <v>17.260000000000002</v>
      </c>
      <c r="I47" s="1"/>
      <c r="J47" s="5">
        <f t="shared" si="31"/>
        <v>1.6649281061664655E-4</v>
      </c>
      <c r="K47" s="1"/>
      <c r="L47" s="1">
        <f t="shared" si="32"/>
        <v>-17.260000000000002</v>
      </c>
      <c r="M47" s="1"/>
      <c r="N47" s="5">
        <f t="shared" si="33"/>
        <v>-1</v>
      </c>
      <c r="O47" s="14"/>
      <c r="P47" s="1">
        <f>SUM(OSRRefP22_5x_0)</f>
        <v>0</v>
      </c>
      <c r="Q47" s="1"/>
      <c r="R47" s="5">
        <f t="shared" si="34"/>
        <v>0</v>
      </c>
      <c r="S47" s="1"/>
      <c r="T47" s="1">
        <f>SUM(OSRRefT22_5x_0)</f>
        <v>49.16</v>
      </c>
      <c r="U47" s="1"/>
      <c r="V47" s="5">
        <f t="shared" si="35"/>
        <v>2.0553049276479147E-4</v>
      </c>
      <c r="W47" s="1"/>
      <c r="X47" s="1">
        <f t="shared" si="36"/>
        <v>-49.16</v>
      </c>
      <c r="Y47" s="1"/>
      <c r="Z47" s="5">
        <f t="shared" si="37"/>
        <v>-1</v>
      </c>
    </row>
    <row r="48" spans="1:26" s="24" customFormat="1" hidden="1" outlineLevel="2" x14ac:dyDescent="0.25">
      <c r="A48" s="28"/>
      <c r="B48" s="11" t="str">
        <f>CONCATENATE("          ", "6382", " - ", "DISCOUNTS/MARK DOWNS")</f>
        <v xml:space="preserve">          6382 - DISCOUNTS/MARK DOWNS</v>
      </c>
      <c r="C48" s="11"/>
      <c r="D48" s="6"/>
      <c r="E48" s="2"/>
      <c r="F48" s="7">
        <f t="shared" si="30"/>
        <v>0</v>
      </c>
      <c r="G48" s="2"/>
      <c r="H48" s="6">
        <v>17.260000000000002</v>
      </c>
      <c r="I48" s="2"/>
      <c r="J48" s="7">
        <f t="shared" si="31"/>
        <v>1.6649281061664655E-4</v>
      </c>
      <c r="K48" s="2"/>
      <c r="L48" s="6">
        <f t="shared" si="32"/>
        <v>-17.260000000000002</v>
      </c>
      <c r="M48" s="2"/>
      <c r="N48" s="7">
        <f t="shared" si="33"/>
        <v>-1</v>
      </c>
      <c r="O48" s="11"/>
      <c r="P48" s="6"/>
      <c r="Q48" s="2"/>
      <c r="R48" s="7">
        <f t="shared" si="34"/>
        <v>0</v>
      </c>
      <c r="S48" s="2"/>
      <c r="T48" s="6">
        <v>49.16</v>
      </c>
      <c r="U48" s="2"/>
      <c r="V48" s="7">
        <f t="shared" si="35"/>
        <v>2.0553049276479147E-4</v>
      </c>
      <c r="W48" s="2"/>
      <c r="X48" s="6">
        <f t="shared" si="36"/>
        <v>-49.16</v>
      </c>
      <c r="Y48" s="2"/>
      <c r="Z48" s="7">
        <f t="shared" si="37"/>
        <v>-1</v>
      </c>
    </row>
    <row r="49" spans="1:26" s="29" customFormat="1" outlineLevel="1" collapsed="1" x14ac:dyDescent="0.25">
      <c r="A49" s="27"/>
      <c r="B49" s="14" t="str">
        <f>CONCATENATE("     ","Freight out/Postage                               ")</f>
        <v xml:space="preserve">     Freight out/Postage                               </v>
      </c>
      <c r="C49" s="14"/>
      <c r="D49" s="1">
        <f>SUM(OSRRefD22_6x_0)</f>
        <v>85.43</v>
      </c>
      <c r="E49" s="1"/>
      <c r="F49" s="5">
        <f t="shared" si="30"/>
        <v>0</v>
      </c>
      <c r="G49" s="1"/>
      <c r="H49" s="1">
        <f>SUM(OSRRefH22_6x_0)</f>
        <v>25.76</v>
      </c>
      <c r="I49" s="1"/>
      <c r="J49" s="5">
        <f t="shared" si="31"/>
        <v>2.4848521445450841E-4</v>
      </c>
      <c r="K49" s="1"/>
      <c r="L49" s="1">
        <f t="shared" si="32"/>
        <v>59.67</v>
      </c>
      <c r="M49" s="1"/>
      <c r="N49" s="5">
        <f t="shared" si="33"/>
        <v>2.3163819875776395</v>
      </c>
      <c r="O49" s="14"/>
      <c r="P49" s="1">
        <f>SUM(OSRRefP22_6x_0)</f>
        <v>95.43</v>
      </c>
      <c r="Q49" s="1"/>
      <c r="R49" s="5">
        <f t="shared" si="34"/>
        <v>0</v>
      </c>
      <c r="S49" s="1"/>
      <c r="T49" s="1">
        <f>SUM(OSRRefT22_6x_0)</f>
        <v>171.28</v>
      </c>
      <c r="U49" s="1"/>
      <c r="V49" s="5">
        <f t="shared" si="35"/>
        <v>7.1609566315609214E-4</v>
      </c>
      <c r="W49" s="1"/>
      <c r="X49" s="1">
        <f t="shared" si="36"/>
        <v>-75.849999999999994</v>
      </c>
      <c r="Y49" s="1"/>
      <c r="Z49" s="5">
        <f t="shared" si="37"/>
        <v>-0.44284212984586641</v>
      </c>
    </row>
    <row r="50" spans="1:26" s="24" customFormat="1" hidden="1" outlineLevel="2" x14ac:dyDescent="0.25">
      <c r="A50" s="28"/>
      <c r="B50" s="11" t="str">
        <f>CONCATENATE("          ", "6305", " - ", "FREIGHT OUT")</f>
        <v xml:space="preserve">          6305 - FREIGHT OUT</v>
      </c>
      <c r="C50" s="11"/>
      <c r="D50" s="6">
        <v>85.43</v>
      </c>
      <c r="E50" s="2"/>
      <c r="F50" s="7">
        <f t="shared" si="30"/>
        <v>0</v>
      </c>
      <c r="G50" s="2"/>
      <c r="H50" s="6">
        <v>25.76</v>
      </c>
      <c r="I50" s="2"/>
      <c r="J50" s="7">
        <f t="shared" si="31"/>
        <v>2.4848521445450841E-4</v>
      </c>
      <c r="K50" s="2"/>
      <c r="L50" s="6">
        <f t="shared" si="32"/>
        <v>59.67</v>
      </c>
      <c r="M50" s="2"/>
      <c r="N50" s="7">
        <f t="shared" si="33"/>
        <v>2.3163819875776395</v>
      </c>
      <c r="O50" s="11"/>
      <c r="P50" s="6">
        <v>95.43</v>
      </c>
      <c r="Q50" s="2"/>
      <c r="R50" s="7">
        <f t="shared" si="34"/>
        <v>0</v>
      </c>
      <c r="S50" s="2"/>
      <c r="T50" s="6">
        <v>171.28</v>
      </c>
      <c r="U50" s="2"/>
      <c r="V50" s="7">
        <f t="shared" si="35"/>
        <v>7.1609566315609214E-4</v>
      </c>
      <c r="W50" s="2"/>
      <c r="X50" s="6">
        <f t="shared" si="36"/>
        <v>-75.849999999999994</v>
      </c>
      <c r="Y50" s="2"/>
      <c r="Z50" s="7">
        <f t="shared" si="37"/>
        <v>-0.44284212984586641</v>
      </c>
    </row>
    <row r="51" spans="1:26" s="29" customFormat="1" outlineLevel="1" collapsed="1" x14ac:dyDescent="0.25">
      <c r="A51" s="27"/>
      <c r="B51" s="14" t="str">
        <f>CONCATENATE("     ","General                                           ")</f>
        <v xml:space="preserve">     General                                           </v>
      </c>
      <c r="C51" s="14"/>
      <c r="D51" s="1">
        <f>SUM(OSRRefD22_7x_0)</f>
        <v>0</v>
      </c>
      <c r="E51" s="1"/>
      <c r="F51" s="5">
        <f t="shared" si="30"/>
        <v>0</v>
      </c>
      <c r="G51" s="1"/>
      <c r="H51" s="1">
        <f>SUM(OSRRefH22_7x_0)</f>
        <v>47.75</v>
      </c>
      <c r="I51" s="1"/>
      <c r="J51" s="5">
        <f t="shared" si="31"/>
        <v>4.6060438626563572E-4</v>
      </c>
      <c r="K51" s="1"/>
      <c r="L51" s="1">
        <f t="shared" si="32"/>
        <v>-47.75</v>
      </c>
      <c r="M51" s="1"/>
      <c r="N51" s="5">
        <f t="shared" si="33"/>
        <v>-1</v>
      </c>
      <c r="O51" s="14"/>
      <c r="P51" s="1">
        <f>SUM(OSRRefP22_7x_0)</f>
        <v>0</v>
      </c>
      <c r="Q51" s="1"/>
      <c r="R51" s="5">
        <f t="shared" si="34"/>
        <v>0</v>
      </c>
      <c r="S51" s="1"/>
      <c r="T51" s="1">
        <f>SUM(OSRRefT22_7x_0)</f>
        <v>908.35</v>
      </c>
      <c r="U51" s="1"/>
      <c r="V51" s="5">
        <f t="shared" si="35"/>
        <v>3.7976733747538314E-3</v>
      </c>
      <c r="W51" s="1"/>
      <c r="X51" s="1">
        <f t="shared" si="36"/>
        <v>-908.35</v>
      </c>
      <c r="Y51" s="1"/>
      <c r="Z51" s="5">
        <f t="shared" si="37"/>
        <v>-1</v>
      </c>
    </row>
    <row r="52" spans="1:26" s="24" customFormat="1" hidden="1" outlineLevel="2" x14ac:dyDescent="0.25">
      <c r="A52" s="28"/>
      <c r="B52" s="11" t="str">
        <f>CONCATENATE("          ", "6279", " - ", "GENERAL EXPENSE")</f>
        <v xml:space="preserve">          6279 - GENERAL EXPENSE</v>
      </c>
      <c r="C52" s="11"/>
      <c r="D52" s="6"/>
      <c r="E52" s="2"/>
      <c r="F52" s="7">
        <f t="shared" si="30"/>
        <v>0</v>
      </c>
      <c r="G52" s="2"/>
      <c r="H52" s="6">
        <v>47.75</v>
      </c>
      <c r="I52" s="2"/>
      <c r="J52" s="7">
        <f t="shared" si="31"/>
        <v>4.6060438626563572E-4</v>
      </c>
      <c r="K52" s="2"/>
      <c r="L52" s="6">
        <f t="shared" si="32"/>
        <v>-47.75</v>
      </c>
      <c r="M52" s="2"/>
      <c r="N52" s="7">
        <f t="shared" si="33"/>
        <v>-1</v>
      </c>
      <c r="O52" s="11"/>
      <c r="P52" s="6"/>
      <c r="Q52" s="2"/>
      <c r="R52" s="7">
        <f t="shared" si="34"/>
        <v>0</v>
      </c>
      <c r="S52" s="2"/>
      <c r="T52" s="6">
        <v>908.35</v>
      </c>
      <c r="U52" s="2"/>
      <c r="V52" s="7">
        <f t="shared" si="35"/>
        <v>3.7976733747538314E-3</v>
      </c>
      <c r="W52" s="2"/>
      <c r="X52" s="6">
        <f t="shared" si="36"/>
        <v>-908.35</v>
      </c>
      <c r="Y52" s="2"/>
      <c r="Z52" s="7">
        <f t="shared" si="37"/>
        <v>-1</v>
      </c>
    </row>
    <row r="53" spans="1:26" s="29" customFormat="1" outlineLevel="1" collapsed="1" x14ac:dyDescent="0.25">
      <c r="A53" s="27"/>
      <c r="B53" s="14" t="str">
        <f>CONCATENATE("     ","Repair and Maintenance                            ")</f>
        <v xml:space="preserve">     Repair and Maintenance                            </v>
      </c>
      <c r="C53" s="14"/>
      <c r="D53" s="1">
        <f>SUM(OSRRefD22_8x_0)</f>
        <v>0</v>
      </c>
      <c r="E53" s="1"/>
      <c r="F53" s="5">
        <f t="shared" si="30"/>
        <v>0</v>
      </c>
      <c r="G53" s="1"/>
      <c r="H53" s="1">
        <f>SUM(OSRRefH22_8x_0)</f>
        <v>22.83</v>
      </c>
      <c r="I53" s="1"/>
      <c r="J53" s="5">
        <f t="shared" si="31"/>
        <v>2.2022195054333953E-4</v>
      </c>
      <c r="K53" s="1"/>
      <c r="L53" s="1">
        <f t="shared" si="32"/>
        <v>-22.83</v>
      </c>
      <c r="M53" s="1"/>
      <c r="N53" s="5">
        <f t="shared" si="33"/>
        <v>-1</v>
      </c>
      <c r="O53" s="14"/>
      <c r="P53" s="1">
        <f>SUM(OSRRefP22_8x_0)</f>
        <v>24.12</v>
      </c>
      <c r="Q53" s="1"/>
      <c r="R53" s="5">
        <f t="shared" si="34"/>
        <v>0</v>
      </c>
      <c r="S53" s="1"/>
      <c r="T53" s="1">
        <f>SUM(OSRRefT22_8x_0)</f>
        <v>1040.72</v>
      </c>
      <c r="U53" s="1"/>
      <c r="V53" s="5">
        <f t="shared" si="35"/>
        <v>4.3510922382053261E-3</v>
      </c>
      <c r="W53" s="1"/>
      <c r="X53" s="1">
        <f t="shared" si="36"/>
        <v>-1016.6</v>
      </c>
      <c r="Y53" s="1"/>
      <c r="Z53" s="5">
        <f t="shared" si="37"/>
        <v>-0.97682373741256057</v>
      </c>
    </row>
    <row r="54" spans="1:26" s="24" customFormat="1" hidden="1" outlineLevel="2" x14ac:dyDescent="0.25">
      <c r="A54" s="28"/>
      <c r="B54" s="11" t="str">
        <f>CONCATENATE("          ", "6371", " - ", "COMPUTER SOFTWARE MAINTENANCE")</f>
        <v xml:space="preserve">          6371 - COMPUTER SOFTWARE MAINTENANCE</v>
      </c>
      <c r="C54" s="11"/>
      <c r="D54" s="6"/>
      <c r="E54" s="2"/>
      <c r="F54" s="7">
        <f t="shared" si="30"/>
        <v>0</v>
      </c>
      <c r="G54" s="2"/>
      <c r="H54" s="6"/>
      <c r="I54" s="2"/>
      <c r="J54" s="7">
        <f t="shared" si="31"/>
        <v>0</v>
      </c>
      <c r="K54" s="2"/>
      <c r="L54" s="6">
        <f t="shared" si="32"/>
        <v>0</v>
      </c>
      <c r="M54" s="2"/>
      <c r="N54" s="7">
        <f t="shared" si="33"/>
        <v>0</v>
      </c>
      <c r="O54" s="11"/>
      <c r="P54" s="6"/>
      <c r="Q54" s="2"/>
      <c r="R54" s="7">
        <f t="shared" si="34"/>
        <v>0</v>
      </c>
      <c r="S54" s="2"/>
      <c r="T54" s="6">
        <v>437.31</v>
      </c>
      <c r="U54" s="2"/>
      <c r="V54" s="7">
        <f t="shared" si="35"/>
        <v>1.8283266841125096E-3</v>
      </c>
      <c r="W54" s="2"/>
      <c r="X54" s="6">
        <f t="shared" si="36"/>
        <v>-437.31</v>
      </c>
      <c r="Y54" s="2"/>
      <c r="Z54" s="7">
        <f t="shared" si="37"/>
        <v>-1</v>
      </c>
    </row>
    <row r="55" spans="1:26" s="24" customFormat="1" hidden="1" outlineLevel="2" x14ac:dyDescent="0.25">
      <c r="A55" s="28"/>
      <c r="B55" s="11" t="str">
        <f>CONCATENATE("          ", "6373", " - ", "MAINTENANCE CONTRACTS")</f>
        <v xml:space="preserve">          6373 - MAINTENANCE CONTRACTS</v>
      </c>
      <c r="C55" s="11"/>
      <c r="D55" s="6"/>
      <c r="E55" s="2"/>
      <c r="F55" s="7">
        <f t="shared" si="30"/>
        <v>0</v>
      </c>
      <c r="G55" s="2"/>
      <c r="H55" s="6">
        <v>22.83</v>
      </c>
      <c r="I55" s="2"/>
      <c r="J55" s="7">
        <f t="shared" si="31"/>
        <v>2.2022195054333953E-4</v>
      </c>
      <c r="K55" s="2"/>
      <c r="L55" s="6">
        <f t="shared" si="32"/>
        <v>-22.83</v>
      </c>
      <c r="M55" s="2"/>
      <c r="N55" s="7">
        <f t="shared" si="33"/>
        <v>-1</v>
      </c>
      <c r="O55" s="11"/>
      <c r="P55" s="6">
        <v>24.12</v>
      </c>
      <c r="Q55" s="2"/>
      <c r="R55" s="7">
        <f t="shared" si="34"/>
        <v>0</v>
      </c>
      <c r="S55" s="2"/>
      <c r="T55" s="6">
        <v>22.83</v>
      </c>
      <c r="U55" s="2"/>
      <c r="V55" s="7">
        <f t="shared" si="35"/>
        <v>9.5448762201387087E-5</v>
      </c>
      <c r="W55" s="2"/>
      <c r="X55" s="6">
        <f t="shared" si="36"/>
        <v>1.2900000000000027</v>
      </c>
      <c r="Y55" s="2"/>
      <c r="Z55" s="7">
        <f t="shared" si="37"/>
        <v>5.6504599211563852E-2</v>
      </c>
    </row>
    <row r="56" spans="1:26" s="24" customFormat="1" hidden="1" outlineLevel="2" x14ac:dyDescent="0.25">
      <c r="A56" s="28"/>
      <c r="B56" s="11" t="str">
        <f>CONCATENATE("          ", "6375", " - ", "OUTSIDE REPAIRS &amp; MAINTENANCE")</f>
        <v xml:space="preserve">          6375 - OUTSIDE REPAIRS &amp; MAINTENANCE</v>
      </c>
      <c r="C56" s="11"/>
      <c r="D56" s="6"/>
      <c r="E56" s="2"/>
      <c r="F56" s="7">
        <f t="shared" si="30"/>
        <v>0</v>
      </c>
      <c r="G56" s="2"/>
      <c r="H56" s="6"/>
      <c r="I56" s="2"/>
      <c r="J56" s="7">
        <f t="shared" si="31"/>
        <v>0</v>
      </c>
      <c r="K56" s="2"/>
      <c r="L56" s="6">
        <f t="shared" si="32"/>
        <v>0</v>
      </c>
      <c r="M56" s="2"/>
      <c r="N56" s="7">
        <f t="shared" si="33"/>
        <v>0</v>
      </c>
      <c r="O56" s="11"/>
      <c r="P56" s="6"/>
      <c r="Q56" s="2"/>
      <c r="R56" s="7">
        <f t="shared" si="34"/>
        <v>0</v>
      </c>
      <c r="S56" s="2"/>
      <c r="T56" s="6">
        <v>580.58000000000004</v>
      </c>
      <c r="U56" s="2"/>
      <c r="V56" s="7">
        <f t="shared" si="35"/>
        <v>2.4273167918914293E-3</v>
      </c>
      <c r="W56" s="2"/>
      <c r="X56" s="6">
        <f t="shared" si="36"/>
        <v>-580.58000000000004</v>
      </c>
      <c r="Y56" s="2"/>
      <c r="Z56" s="7">
        <f t="shared" si="37"/>
        <v>-1</v>
      </c>
    </row>
    <row r="57" spans="1:26" s="29" customFormat="1" outlineLevel="1" collapsed="1" x14ac:dyDescent="0.25">
      <c r="A57" s="27"/>
      <c r="B57" s="14" t="str">
        <f>CONCATENATE("     ","Services                                          ")</f>
        <v xml:space="preserve">     Services                                          </v>
      </c>
      <c r="C57" s="14"/>
      <c r="D57" s="1">
        <f>SUM(OSRRefD22_9x_0)</f>
        <v>0</v>
      </c>
      <c r="E57" s="1"/>
      <c r="F57" s="5">
        <f t="shared" ref="F57:F64" si="38">IF(D$12=0,0,D57/D$12)</f>
        <v>0</v>
      </c>
      <c r="G57" s="1"/>
      <c r="H57" s="1">
        <f>SUM(OSRRefH22_9x_0)</f>
        <v>172.25</v>
      </c>
      <c r="I57" s="1"/>
      <c r="J57" s="5">
        <f t="shared" ref="J57:J64" si="39">IF(H$12=0,0,H57/H$12)</f>
        <v>1.6615519483613771E-3</v>
      </c>
      <c r="K57" s="1"/>
      <c r="L57" s="1">
        <f t="shared" ref="L57:L64" si="40">+D57-H57</f>
        <v>-172.25</v>
      </c>
      <c r="M57" s="1"/>
      <c r="N57" s="5">
        <f t="shared" ref="N57:N64" si="41">IF(H57=0,0,L57/H57)</f>
        <v>-1</v>
      </c>
      <c r="O57" s="14"/>
      <c r="P57" s="1">
        <f>SUM(OSRRefP22_9x_0)</f>
        <v>0</v>
      </c>
      <c r="Q57" s="1"/>
      <c r="R57" s="5">
        <f t="shared" ref="R57:R64" si="42">IF(P$12=0,0,P57/P$12)</f>
        <v>0</v>
      </c>
      <c r="S57" s="1"/>
      <c r="T57" s="1">
        <f>SUM(OSRRefT22_9x_0)</f>
        <v>629.11</v>
      </c>
      <c r="U57" s="1"/>
      <c r="V57" s="5">
        <f t="shared" ref="V57:V64" si="43">IF(T$12=0,0,T57/T$12)</f>
        <v>2.6302133503510574E-3</v>
      </c>
      <c r="W57" s="1"/>
      <c r="X57" s="1">
        <f t="shared" ref="X57:X64" si="44">+P57-T57</f>
        <v>-629.11</v>
      </c>
      <c r="Y57" s="1"/>
      <c r="Z57" s="5">
        <f t="shared" ref="Z57:Z64" si="45">IF(T57=0,0,X57/T57)</f>
        <v>-1</v>
      </c>
    </row>
    <row r="58" spans="1:26" s="24" customFormat="1" hidden="1" outlineLevel="2" x14ac:dyDescent="0.25">
      <c r="A58" s="28"/>
      <c r="B58" s="11" t="str">
        <f>CONCATENATE("          ", "6286", " - ", "LAUNDRY EXPENSE")</f>
        <v xml:space="preserve">          6286 - LAUNDRY EXPENSE</v>
      </c>
      <c r="C58" s="11"/>
      <c r="D58" s="6"/>
      <c r="E58" s="2"/>
      <c r="F58" s="7">
        <f t="shared" si="38"/>
        <v>0</v>
      </c>
      <c r="G58" s="2"/>
      <c r="H58" s="6">
        <v>172.25</v>
      </c>
      <c r="I58" s="2"/>
      <c r="J58" s="7">
        <f t="shared" si="39"/>
        <v>1.6615519483613771E-3</v>
      </c>
      <c r="K58" s="2"/>
      <c r="L58" s="6">
        <f t="shared" si="40"/>
        <v>-172.25</v>
      </c>
      <c r="M58" s="2"/>
      <c r="N58" s="7">
        <f t="shared" si="41"/>
        <v>-1</v>
      </c>
      <c r="O58" s="11"/>
      <c r="P58" s="6"/>
      <c r="Q58" s="2"/>
      <c r="R58" s="7">
        <f t="shared" si="42"/>
        <v>0</v>
      </c>
      <c r="S58" s="2"/>
      <c r="T58" s="6">
        <v>629.11</v>
      </c>
      <c r="U58" s="2"/>
      <c r="V58" s="7">
        <f t="shared" si="43"/>
        <v>2.6302133503510574E-3</v>
      </c>
      <c r="W58" s="2"/>
      <c r="X58" s="6">
        <f t="shared" si="44"/>
        <v>-629.11</v>
      </c>
      <c r="Y58" s="2"/>
      <c r="Z58" s="7">
        <f t="shared" si="45"/>
        <v>-1</v>
      </c>
    </row>
    <row r="59" spans="1:26" s="29" customFormat="1" outlineLevel="1" collapsed="1" x14ac:dyDescent="0.25">
      <c r="A59" s="27"/>
      <c r="B59" s="14" t="str">
        <f>CONCATENATE("     ","Supplies                                          ")</f>
        <v xml:space="preserve">     Supplies                                          </v>
      </c>
      <c r="C59" s="14"/>
      <c r="D59" s="1">
        <f>SUM(OSRRefD22_10x_0)</f>
        <v>0</v>
      </c>
      <c r="E59" s="1"/>
      <c r="F59" s="5">
        <f t="shared" si="38"/>
        <v>0</v>
      </c>
      <c r="G59" s="1"/>
      <c r="H59" s="1">
        <f>SUM(OSRRefH22_10x_0)</f>
        <v>330.16999999999996</v>
      </c>
      <c r="I59" s="1"/>
      <c r="J59" s="5">
        <f t="shared" si="39"/>
        <v>3.1848743500172759E-3</v>
      </c>
      <c r="K59" s="1"/>
      <c r="L59" s="1">
        <f t="shared" si="40"/>
        <v>-330.16999999999996</v>
      </c>
      <c r="M59" s="1"/>
      <c r="N59" s="5">
        <f t="shared" si="41"/>
        <v>-1</v>
      </c>
      <c r="O59" s="14"/>
      <c r="P59" s="1">
        <f>SUM(OSRRefP22_10x_0)</f>
        <v>0</v>
      </c>
      <c r="Q59" s="1"/>
      <c r="R59" s="5">
        <f t="shared" si="42"/>
        <v>0</v>
      </c>
      <c r="S59" s="1"/>
      <c r="T59" s="1">
        <f>SUM(OSRRefT22_10x_0)</f>
        <v>3059.16</v>
      </c>
      <c r="U59" s="1"/>
      <c r="V59" s="5">
        <f t="shared" si="43"/>
        <v>1.2789883284099664E-2</v>
      </c>
      <c r="W59" s="1"/>
      <c r="X59" s="1">
        <f t="shared" si="44"/>
        <v>-3059.16</v>
      </c>
      <c r="Y59" s="1"/>
      <c r="Z59" s="5">
        <f t="shared" si="45"/>
        <v>-1</v>
      </c>
    </row>
    <row r="60" spans="1:26" s="24" customFormat="1" hidden="1" outlineLevel="2" x14ac:dyDescent="0.25">
      <c r="A60" s="28"/>
      <c r="B60" s="11" t="str">
        <f>CONCATENATE("          ", "6234", " - ", "EXPENDABLE SUPPLIES &amp; EQUIPMEN")</f>
        <v xml:space="preserve">          6234 - EXPENDABLE SUPPLIES &amp; EQUIPMEN</v>
      </c>
      <c r="C60" s="11"/>
      <c r="D60" s="6"/>
      <c r="E60" s="2"/>
      <c r="F60" s="7">
        <f t="shared" si="38"/>
        <v>0</v>
      </c>
      <c r="G60" s="2"/>
      <c r="H60" s="6"/>
      <c r="I60" s="2"/>
      <c r="J60" s="7">
        <f t="shared" si="39"/>
        <v>0</v>
      </c>
      <c r="K60" s="2"/>
      <c r="L60" s="6">
        <f t="shared" si="40"/>
        <v>0</v>
      </c>
      <c r="M60" s="2"/>
      <c r="N60" s="7">
        <f t="shared" si="41"/>
        <v>0</v>
      </c>
      <c r="O60" s="11"/>
      <c r="P60" s="6"/>
      <c r="Q60" s="2"/>
      <c r="R60" s="7">
        <f t="shared" si="42"/>
        <v>0</v>
      </c>
      <c r="S60" s="2"/>
      <c r="T60" s="6">
        <v>354.82</v>
      </c>
      <c r="U60" s="2"/>
      <c r="V60" s="7">
        <f t="shared" si="43"/>
        <v>1.483448524060279E-3</v>
      </c>
      <c r="W60" s="2"/>
      <c r="X60" s="6">
        <f t="shared" si="44"/>
        <v>-354.82</v>
      </c>
      <c r="Y60" s="2"/>
      <c r="Z60" s="7">
        <f t="shared" si="45"/>
        <v>-1</v>
      </c>
    </row>
    <row r="61" spans="1:26" s="24" customFormat="1" hidden="1" outlineLevel="2" x14ac:dyDescent="0.25">
      <c r="A61" s="28"/>
      <c r="B61" s="11" t="str">
        <f>CONCATENATE("          ", "6237", " - ", "JANITORIAL SUPPLIES")</f>
        <v xml:space="preserve">          6237 - JANITORIAL SUPPLIES</v>
      </c>
      <c r="C61" s="11"/>
      <c r="D61" s="6"/>
      <c r="E61" s="2"/>
      <c r="F61" s="7">
        <f t="shared" si="38"/>
        <v>0</v>
      </c>
      <c r="G61" s="2"/>
      <c r="H61" s="6">
        <v>39.979999999999997</v>
      </c>
      <c r="I61" s="2"/>
      <c r="J61" s="7">
        <f t="shared" si="39"/>
        <v>3.8565368299267253E-4</v>
      </c>
      <c r="K61" s="2"/>
      <c r="L61" s="6">
        <f t="shared" si="40"/>
        <v>-39.979999999999997</v>
      </c>
      <c r="M61" s="2"/>
      <c r="N61" s="7">
        <f t="shared" si="41"/>
        <v>-1</v>
      </c>
      <c r="O61" s="11"/>
      <c r="P61" s="6"/>
      <c r="Q61" s="2"/>
      <c r="R61" s="7">
        <f t="shared" si="42"/>
        <v>0</v>
      </c>
      <c r="S61" s="2"/>
      <c r="T61" s="6">
        <v>151.25</v>
      </c>
      <c r="U61" s="2"/>
      <c r="V61" s="7">
        <f t="shared" si="43"/>
        <v>6.3235327564431878E-4</v>
      </c>
      <c r="W61" s="2"/>
      <c r="X61" s="6">
        <f t="shared" si="44"/>
        <v>-151.25</v>
      </c>
      <c r="Y61" s="2"/>
      <c r="Z61" s="7">
        <f t="shared" si="45"/>
        <v>-1</v>
      </c>
    </row>
    <row r="62" spans="1:26" s="24" customFormat="1" hidden="1" outlineLevel="2" x14ac:dyDescent="0.25">
      <c r="A62" s="28"/>
      <c r="B62" s="11" t="str">
        <f>CONCATENATE("          ", "6241", " - ", "OFFICE EXPENSE")</f>
        <v xml:space="preserve">          6241 - OFFICE EXPENSE</v>
      </c>
      <c r="C62" s="11"/>
      <c r="D62" s="6"/>
      <c r="E62" s="2"/>
      <c r="F62" s="7">
        <f t="shared" si="38"/>
        <v>0</v>
      </c>
      <c r="G62" s="2"/>
      <c r="H62" s="6">
        <v>131.03</v>
      </c>
      <c r="I62" s="2"/>
      <c r="J62" s="7">
        <f t="shared" si="39"/>
        <v>1.2639370205735339E-3</v>
      </c>
      <c r="K62" s="2"/>
      <c r="L62" s="6">
        <f t="shared" si="40"/>
        <v>-131.03</v>
      </c>
      <c r="M62" s="2"/>
      <c r="N62" s="7">
        <f t="shared" si="41"/>
        <v>-1</v>
      </c>
      <c r="O62" s="11"/>
      <c r="P62" s="6"/>
      <c r="Q62" s="2"/>
      <c r="R62" s="7">
        <f t="shared" si="42"/>
        <v>0</v>
      </c>
      <c r="S62" s="2"/>
      <c r="T62" s="6">
        <v>261.22000000000003</v>
      </c>
      <c r="U62" s="2"/>
      <c r="V62" s="7">
        <f t="shared" si="43"/>
        <v>1.0921211415789024E-3</v>
      </c>
      <c r="W62" s="2"/>
      <c r="X62" s="6">
        <f t="shared" si="44"/>
        <v>-261.22000000000003</v>
      </c>
      <c r="Y62" s="2"/>
      <c r="Z62" s="7">
        <f t="shared" si="45"/>
        <v>-1</v>
      </c>
    </row>
    <row r="63" spans="1:26" s="24" customFormat="1" hidden="1" outlineLevel="2" x14ac:dyDescent="0.25">
      <c r="A63" s="28"/>
      <c r="B63" s="11" t="str">
        <f>CONCATENATE("          ", "6245", " - ", "PRINTING")</f>
        <v xml:space="preserve">          6245 - PRINTING</v>
      </c>
      <c r="C63" s="11"/>
      <c r="D63" s="6"/>
      <c r="E63" s="2"/>
      <c r="F63" s="7">
        <f t="shared" si="38"/>
        <v>0</v>
      </c>
      <c r="G63" s="2"/>
      <c r="H63" s="6">
        <v>8.76</v>
      </c>
      <c r="I63" s="2"/>
      <c r="J63" s="7">
        <f t="shared" si="39"/>
        <v>8.4500406778784682E-5</v>
      </c>
      <c r="K63" s="2"/>
      <c r="L63" s="6">
        <f t="shared" si="40"/>
        <v>-8.76</v>
      </c>
      <c r="M63" s="2"/>
      <c r="N63" s="7">
        <f t="shared" si="41"/>
        <v>-1</v>
      </c>
      <c r="O63" s="11"/>
      <c r="P63" s="6"/>
      <c r="Q63" s="2"/>
      <c r="R63" s="7">
        <f t="shared" si="42"/>
        <v>0</v>
      </c>
      <c r="S63" s="2"/>
      <c r="T63" s="6">
        <v>44.3</v>
      </c>
      <c r="U63" s="2"/>
      <c r="V63" s="7">
        <f t="shared" si="43"/>
        <v>1.852115709821046E-4</v>
      </c>
      <c r="W63" s="2"/>
      <c r="X63" s="6">
        <f t="shared" si="44"/>
        <v>-44.3</v>
      </c>
      <c r="Y63" s="2"/>
      <c r="Z63" s="7">
        <f t="shared" si="45"/>
        <v>-1</v>
      </c>
    </row>
    <row r="64" spans="1:26" s="24" customFormat="1" hidden="1" outlineLevel="2" x14ac:dyDescent="0.25">
      <c r="A64" s="28"/>
      <c r="B64" s="11" t="str">
        <f>CONCATENATE("          ", "6247", " - ", "STORE SUPPLIES")</f>
        <v xml:space="preserve">          6247 - STORE SUPPLIES</v>
      </c>
      <c r="C64" s="11"/>
      <c r="D64" s="6"/>
      <c r="E64" s="2"/>
      <c r="F64" s="7">
        <f t="shared" si="38"/>
        <v>0</v>
      </c>
      <c r="G64" s="2"/>
      <c r="H64" s="6">
        <v>150.4</v>
      </c>
      <c r="I64" s="2"/>
      <c r="J64" s="7">
        <f t="shared" si="39"/>
        <v>1.450783239672285E-3</v>
      </c>
      <c r="K64" s="2"/>
      <c r="L64" s="6">
        <f t="shared" si="40"/>
        <v>-150.4</v>
      </c>
      <c r="M64" s="2"/>
      <c r="N64" s="7">
        <f t="shared" si="41"/>
        <v>-1</v>
      </c>
      <c r="O64" s="11"/>
      <c r="P64" s="6"/>
      <c r="Q64" s="2"/>
      <c r="R64" s="7">
        <f t="shared" si="42"/>
        <v>0</v>
      </c>
      <c r="S64" s="2"/>
      <c r="T64" s="6">
        <v>2247.5700000000002</v>
      </c>
      <c r="U64" s="2"/>
      <c r="V64" s="7">
        <f t="shared" si="43"/>
        <v>9.3967487718340618E-3</v>
      </c>
      <c r="W64" s="2"/>
      <c r="X64" s="6">
        <f t="shared" si="44"/>
        <v>-2247.5700000000002</v>
      </c>
      <c r="Y64" s="2"/>
      <c r="Z64" s="7">
        <f t="shared" si="45"/>
        <v>-1</v>
      </c>
    </row>
    <row r="65" spans="1:26" s="29" customFormat="1" outlineLevel="1" collapsed="1" x14ac:dyDescent="0.25">
      <c r="A65" s="27"/>
      <c r="B65" s="14" t="str">
        <f>CONCATENATE("     ","Telephone/Data Lines                              ")</f>
        <v xml:space="preserve">     Telephone/Data Lines                              </v>
      </c>
      <c r="C65" s="14"/>
      <c r="D65" s="1">
        <f>SUM(OSRRefD22_11x_0)</f>
        <v>122</v>
      </c>
      <c r="E65" s="1"/>
      <c r="F65" s="5">
        <f t="shared" ref="F65:F68" si="46">IF(D$12=0,0,D65/D$12)</f>
        <v>0</v>
      </c>
      <c r="G65" s="1"/>
      <c r="H65" s="1">
        <f>SUM(OSRRefH22_11x_0)</f>
        <v>124.25</v>
      </c>
      <c r="I65" s="1"/>
      <c r="J65" s="5">
        <f t="shared" ref="J65:J68" si="47">IF(H$12=0,0,H65/H$12)</f>
        <v>1.1985360208063925E-3</v>
      </c>
      <c r="K65" s="1"/>
      <c r="L65" s="1">
        <f t="shared" ref="L65:L68" si="48">+D65-H65</f>
        <v>-2.25</v>
      </c>
      <c r="M65" s="1"/>
      <c r="N65" s="5">
        <f t="shared" ref="N65:N68" si="49">IF(H65=0,0,L65/H65)</f>
        <v>-1.8108651911468814E-2</v>
      </c>
      <c r="O65" s="14"/>
      <c r="P65" s="1">
        <f>SUM(OSRRefP22_11x_0)</f>
        <v>536.35</v>
      </c>
      <c r="Q65" s="1"/>
      <c r="R65" s="5">
        <f t="shared" ref="R65:R68" si="50">IF(P$12=0,0,P65/P$12)</f>
        <v>0</v>
      </c>
      <c r="S65" s="1"/>
      <c r="T65" s="1">
        <f>SUM(OSRRefT22_11x_0)</f>
        <v>447.85</v>
      </c>
      <c r="U65" s="1"/>
      <c r="V65" s="5">
        <f t="shared" ref="V65:V68" si="51">IF(T$12=0,0,T65/T$12)</f>
        <v>1.8723928231226988E-3</v>
      </c>
      <c r="W65" s="1"/>
      <c r="X65" s="1">
        <f t="shared" ref="X65:X68" si="52">+P65-T65</f>
        <v>88.5</v>
      </c>
      <c r="Y65" s="1"/>
      <c r="Z65" s="5">
        <f t="shared" ref="Z65:Z68" si="53">IF(T65=0,0,X65/T65)</f>
        <v>0.19761080718990731</v>
      </c>
    </row>
    <row r="66" spans="1:26" s="24" customFormat="1" hidden="1" outlineLevel="2" x14ac:dyDescent="0.25">
      <c r="A66" s="28"/>
      <c r="B66" s="11" t="str">
        <f>CONCATENATE("          ", "6309", " - ", "TELEPHONE")</f>
        <v xml:space="preserve">          6309 - TELEPHONE</v>
      </c>
      <c r="C66" s="11"/>
      <c r="D66" s="6">
        <v>122</v>
      </c>
      <c r="E66" s="2"/>
      <c r="F66" s="7">
        <f t="shared" si="46"/>
        <v>0</v>
      </c>
      <c r="G66" s="2"/>
      <c r="H66" s="6">
        <v>124.25</v>
      </c>
      <c r="I66" s="2"/>
      <c r="J66" s="7">
        <f t="shared" si="47"/>
        <v>1.1985360208063925E-3</v>
      </c>
      <c r="K66" s="2"/>
      <c r="L66" s="6">
        <f t="shared" si="48"/>
        <v>-2.25</v>
      </c>
      <c r="M66" s="2"/>
      <c r="N66" s="7">
        <f t="shared" si="49"/>
        <v>-1.8108651911468814E-2</v>
      </c>
      <c r="O66" s="11"/>
      <c r="P66" s="6">
        <v>536.35</v>
      </c>
      <c r="Q66" s="2"/>
      <c r="R66" s="7">
        <f t="shared" si="50"/>
        <v>0</v>
      </c>
      <c r="S66" s="2"/>
      <c r="T66" s="6">
        <v>447.85</v>
      </c>
      <c r="U66" s="2"/>
      <c r="V66" s="7">
        <f t="shared" si="51"/>
        <v>1.8723928231226988E-3</v>
      </c>
      <c r="W66" s="2"/>
      <c r="X66" s="6">
        <f t="shared" si="52"/>
        <v>88.5</v>
      </c>
      <c r="Y66" s="2"/>
      <c r="Z66" s="7">
        <f t="shared" si="53"/>
        <v>0.19761080718990731</v>
      </c>
    </row>
    <row r="67" spans="1:26" s="29" customFormat="1" outlineLevel="1" collapsed="1" x14ac:dyDescent="0.25">
      <c r="A67" s="27"/>
      <c r="B67" s="14" t="str">
        <f>CONCATENATE("     ","Training                                          ")</f>
        <v xml:space="preserve">     Training                                          </v>
      </c>
      <c r="C67" s="14"/>
      <c r="D67" s="1">
        <f>SUM(OSRRefD22_12x_0)</f>
        <v>0</v>
      </c>
      <c r="E67" s="1"/>
      <c r="F67" s="5">
        <f t="shared" si="46"/>
        <v>0</v>
      </c>
      <c r="G67" s="1"/>
      <c r="H67" s="1">
        <f>SUM(OSRRefH22_12x_0)</f>
        <v>0</v>
      </c>
      <c r="I67" s="1"/>
      <c r="J67" s="5">
        <f t="shared" si="47"/>
        <v>0</v>
      </c>
      <c r="K67" s="1"/>
      <c r="L67" s="1">
        <f t="shared" si="48"/>
        <v>0</v>
      </c>
      <c r="M67" s="1"/>
      <c r="N67" s="5">
        <f t="shared" si="49"/>
        <v>0</v>
      </c>
      <c r="O67" s="14"/>
      <c r="P67" s="1">
        <f>SUM(OSRRefP22_12x_0)</f>
        <v>0</v>
      </c>
      <c r="Q67" s="1"/>
      <c r="R67" s="5">
        <f t="shared" si="50"/>
        <v>0</v>
      </c>
      <c r="S67" s="1"/>
      <c r="T67" s="1">
        <f>SUM(OSRRefT22_12x_0)</f>
        <v>96</v>
      </c>
      <c r="U67" s="1"/>
      <c r="V67" s="5">
        <f t="shared" si="51"/>
        <v>4.0136141792961722E-4</v>
      </c>
      <c r="W67" s="1"/>
      <c r="X67" s="1">
        <f t="shared" si="52"/>
        <v>-96</v>
      </c>
      <c r="Y67" s="1"/>
      <c r="Z67" s="5">
        <f t="shared" si="53"/>
        <v>-1</v>
      </c>
    </row>
    <row r="68" spans="1:26" s="24" customFormat="1" hidden="1" outlineLevel="2" x14ac:dyDescent="0.25">
      <c r="A68" s="28"/>
      <c r="B68" s="11" t="str">
        <f>CONCATENATE("          ", "6376", " - ", "TRAINING")</f>
        <v xml:space="preserve">          6376 - TRAINING</v>
      </c>
      <c r="C68" s="11"/>
      <c r="D68" s="6"/>
      <c r="E68" s="2"/>
      <c r="F68" s="7">
        <f t="shared" si="46"/>
        <v>0</v>
      </c>
      <c r="G68" s="2"/>
      <c r="H68" s="6"/>
      <c r="I68" s="2"/>
      <c r="J68" s="7">
        <f t="shared" si="47"/>
        <v>0</v>
      </c>
      <c r="K68" s="2"/>
      <c r="L68" s="6">
        <f t="shared" si="48"/>
        <v>0</v>
      </c>
      <c r="M68" s="2"/>
      <c r="N68" s="7">
        <f t="shared" si="49"/>
        <v>0</v>
      </c>
      <c r="O68" s="11"/>
      <c r="P68" s="6"/>
      <c r="Q68" s="2"/>
      <c r="R68" s="7">
        <f t="shared" si="50"/>
        <v>0</v>
      </c>
      <c r="S68" s="2"/>
      <c r="T68" s="6">
        <v>96</v>
      </c>
      <c r="U68" s="2"/>
      <c r="V68" s="7">
        <f t="shared" si="51"/>
        <v>4.0136141792961722E-4</v>
      </c>
      <c r="W68" s="2"/>
      <c r="X68" s="6">
        <f t="shared" si="52"/>
        <v>-96</v>
      </c>
      <c r="Y68" s="2"/>
      <c r="Z68" s="7">
        <f t="shared" si="53"/>
        <v>-1</v>
      </c>
    </row>
    <row r="69" spans="1:26" s="57" customFormat="1" x14ac:dyDescent="0.25">
      <c r="A69" s="37"/>
      <c r="B69" s="37"/>
      <c r="C69" s="37"/>
      <c r="D69" s="1"/>
      <c r="E69" s="1"/>
      <c r="F69" s="5"/>
      <c r="G69" s="1"/>
      <c r="H69" s="1"/>
      <c r="I69" s="1"/>
      <c r="J69" s="5"/>
      <c r="K69" s="1"/>
      <c r="L69" s="1"/>
      <c r="M69" s="1"/>
      <c r="N69" s="5"/>
      <c r="O69" s="37"/>
      <c r="P69" s="1"/>
      <c r="Q69" s="1"/>
      <c r="R69" s="5"/>
      <c r="S69" s="1"/>
      <c r="T69" s="1"/>
      <c r="U69" s="1"/>
      <c r="V69" s="5"/>
      <c r="W69" s="1"/>
      <c r="X69" s="1"/>
      <c r="Y69" s="1"/>
      <c r="Z69" s="5"/>
    </row>
    <row r="70" spans="1:26" s="23" customFormat="1" x14ac:dyDescent="0.25">
      <c r="A70" s="10"/>
      <c r="B70" s="26" t="s">
        <v>0</v>
      </c>
      <c r="C70" s="10"/>
      <c r="D70" s="4">
        <f>SUM(0)</f>
        <v>0</v>
      </c>
      <c r="E70" s="4"/>
      <c r="F70" s="12">
        <f>IF(D$12=0,0,D70/D$12)</f>
        <v>0</v>
      </c>
      <c r="G70" s="4"/>
      <c r="H70" s="4">
        <f>SUM(0)</f>
        <v>0</v>
      </c>
      <c r="I70" s="4"/>
      <c r="J70" s="12">
        <f>IF(H$12=0,0,H70/H$12)</f>
        <v>0</v>
      </c>
      <c r="K70" s="4"/>
      <c r="L70" s="4">
        <f>+D70-H70</f>
        <v>0</v>
      </c>
      <c r="M70" s="4"/>
      <c r="N70" s="12">
        <f>IF(H70=0,0,L70/H70)</f>
        <v>0</v>
      </c>
      <c r="O70" s="10"/>
      <c r="P70" s="4">
        <f>SUM(0)</f>
        <v>0</v>
      </c>
      <c r="Q70" s="4"/>
      <c r="R70" s="12">
        <f>IF(P$12=0,0,P70/P$12)</f>
        <v>0</v>
      </c>
      <c r="S70" s="4"/>
      <c r="T70" s="4">
        <f>SUM(0)</f>
        <v>0</v>
      </c>
      <c r="U70" s="4"/>
      <c r="V70" s="12">
        <f>IF(T$12=0,0,T70/T$12)</f>
        <v>0</v>
      </c>
      <c r="W70" s="4"/>
      <c r="X70" s="4">
        <f>+P70-T70</f>
        <v>0</v>
      </c>
      <c r="Y70" s="4"/>
      <c r="Z70" s="12">
        <f>IF(T70=0,0,X70/T70)</f>
        <v>0</v>
      </c>
    </row>
    <row r="71" spans="1:26" x14ac:dyDescent="0.25">
      <c r="A71" s="9"/>
      <c r="B71" s="10"/>
      <c r="C71" s="10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O71" s="10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x14ac:dyDescent="0.25">
      <c r="A72" s="10"/>
      <c r="B72" s="25" t="s">
        <v>3</v>
      </c>
      <c r="C72" s="25"/>
      <c r="D72" s="20">
        <f>+D23-D25+D70</f>
        <v>-8727.58</v>
      </c>
      <c r="E72" s="13"/>
      <c r="F72" s="21">
        <f>IF(D$12=0,0,D72/D$12)</f>
        <v>0</v>
      </c>
      <c r="G72" s="13"/>
      <c r="H72" s="20">
        <f>+H23-H25+H70</f>
        <v>26631.070000000003</v>
      </c>
      <c r="I72" s="13"/>
      <c r="J72" s="21">
        <f>IF(H$12=0,0,H72/H$12)</f>
        <v>0.25688769953816093</v>
      </c>
      <c r="K72" s="15"/>
      <c r="L72" s="20">
        <f>+D72-H72</f>
        <v>-35358.65</v>
      </c>
      <c r="M72" s="15"/>
      <c r="N72" s="21">
        <f>IF(H72=0,0,L72/H72)</f>
        <v>-1.3277217175276848</v>
      </c>
      <c r="O72" s="26"/>
      <c r="P72" s="20">
        <f>+P23-P25+P70</f>
        <v>-37051.770000000004</v>
      </c>
      <c r="Q72" s="13"/>
      <c r="R72" s="21">
        <f>IF(P$12=0,0,P72/P$12)</f>
        <v>0</v>
      </c>
      <c r="S72" s="13"/>
      <c r="T72" s="20">
        <f>+T23-T25+T70</f>
        <v>45341.149999999965</v>
      </c>
      <c r="U72" s="13"/>
      <c r="V72" s="21">
        <f>IF(T$12=0,0,T72/T$12)</f>
        <v>0.18956446098499427</v>
      </c>
      <c r="W72" s="15"/>
      <c r="X72" s="20">
        <f>+P72-T72</f>
        <v>-82392.919999999969</v>
      </c>
      <c r="Y72" s="15"/>
      <c r="Z72" s="21">
        <f>IF(T72=0,0,X72/T72)</f>
        <v>-1.8171775528410734</v>
      </c>
    </row>
    <row r="73" spans="1:26" x14ac:dyDescent="0.25">
      <c r="A73" s="9"/>
      <c r="B73" s="10"/>
      <c r="C73" s="9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x14ac:dyDescent="0.25">
      <c r="A74" s="51"/>
      <c r="B74" s="10" t="s">
        <v>13</v>
      </c>
      <c r="C74" s="10"/>
      <c r="D74" s="4"/>
      <c r="E74" s="4"/>
      <c r="F74" s="12">
        <f>IF(D$12=0,0,D74/D$12)</f>
        <v>0</v>
      </c>
      <c r="G74" s="4"/>
      <c r="H74" s="4">
        <v>9520.67</v>
      </c>
      <c r="I74" s="4"/>
      <c r="J74" s="12">
        <f>IF(H$12=0,0,H74/H$12)</f>
        <v>9.1837955229060728E-2</v>
      </c>
      <c r="K74" s="4"/>
      <c r="L74" s="4">
        <f>+D74-H74</f>
        <v>-9520.67</v>
      </c>
      <c r="M74" s="4"/>
      <c r="N74" s="12">
        <f>IF(H74=0,0,L74/H74)</f>
        <v>-1</v>
      </c>
      <c r="O74" s="10"/>
      <c r="P74" s="4"/>
      <c r="Q74" s="4"/>
      <c r="R74" s="12">
        <f>IF(P$12=0,0,P74/P$12)</f>
        <v>0</v>
      </c>
      <c r="S74" s="4"/>
      <c r="T74" s="4">
        <v>24077.070000000003</v>
      </c>
      <c r="U74" s="4"/>
      <c r="V74" s="12">
        <f>IF(T$12=0,0,T74/T$12)</f>
        <v>0.10066257244573594</v>
      </c>
      <c r="W74" s="4"/>
      <c r="X74" s="4">
        <f>+P74-T74</f>
        <v>-24077.070000000003</v>
      </c>
      <c r="Y74" s="4"/>
      <c r="Z74" s="12">
        <f>IF(T74=0,0,X74/T74)</f>
        <v>-1</v>
      </c>
    </row>
    <row r="75" spans="1:26" x14ac:dyDescent="0.25">
      <c r="A75" s="9"/>
      <c r="B75" s="10"/>
      <c r="C75" s="10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O75" s="10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ht="15.75" thickBot="1" x14ac:dyDescent="0.3">
      <c r="A76" s="10"/>
      <c r="B76" s="25" t="s">
        <v>4</v>
      </c>
      <c r="C76" s="25"/>
      <c r="D76" s="30">
        <f>+D72-D74</f>
        <v>-8727.58</v>
      </c>
      <c r="E76" s="13"/>
      <c r="F76" s="33">
        <f>IF(D$12=0,0,D76/D$12)</f>
        <v>0</v>
      </c>
      <c r="G76" s="13"/>
      <c r="H76" s="30">
        <f>+H72-H74</f>
        <v>17110.400000000001</v>
      </c>
      <c r="I76" s="13"/>
      <c r="J76" s="33">
        <f>IF(H$12=0,0,H76/H$12)</f>
        <v>0.16504974430910019</v>
      </c>
      <c r="K76" s="15"/>
      <c r="L76" s="30">
        <f>D76-H76</f>
        <v>-25837.980000000003</v>
      </c>
      <c r="M76" s="15"/>
      <c r="N76" s="33">
        <f>IF(H76=0,0,L76/H76)</f>
        <v>-1.5100745745277726</v>
      </c>
      <c r="O76" s="26"/>
      <c r="P76" s="30">
        <f>+P72-P74</f>
        <v>-37051.770000000004</v>
      </c>
      <c r="Q76" s="13"/>
      <c r="R76" s="33">
        <f>IF(P$12=0,0,P76/P$12)</f>
        <v>0</v>
      </c>
      <c r="S76" s="13"/>
      <c r="T76" s="30">
        <f>+T72-T74</f>
        <v>21264.079999999962</v>
      </c>
      <c r="U76" s="13"/>
      <c r="V76" s="33">
        <f>IF(T$12=0,0,T76/T$12)</f>
        <v>8.8901888539258331E-2</v>
      </c>
      <c r="W76" s="15"/>
      <c r="X76" s="30">
        <f>P76-T76</f>
        <v>-58315.849999999962</v>
      </c>
      <c r="Y76" s="15"/>
      <c r="Z76" s="33">
        <f>IF(T76=0,0,X76/T76)</f>
        <v>-2.7424581735960394</v>
      </c>
    </row>
    <row r="77" spans="1:26" ht="15.75" thickTop="1" x14ac:dyDescent="0.25">
      <c r="A77" s="9"/>
      <c r="B77" s="9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x14ac:dyDescent="0.25">
      <c r="A78" s="9"/>
      <c r="B78" s="9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ht="15.75" thickBot="1" x14ac:dyDescent="0.3">
      <c r="A79" s="10"/>
      <c r="B79" s="25" t="s">
        <v>5</v>
      </c>
      <c r="C79" s="25"/>
      <c r="D79" s="34">
        <f>SUM(D76:D78)</f>
        <v>-8727.58</v>
      </c>
      <c r="E79" s="13"/>
      <c r="F79" s="35">
        <f>IF(D$12=0,0,D79/D$12)</f>
        <v>0</v>
      </c>
      <c r="G79" s="13"/>
      <c r="H79" s="34">
        <f>SUM(H76:H78)</f>
        <v>17110.400000000001</v>
      </c>
      <c r="I79" s="13"/>
      <c r="J79" s="35">
        <f>IF(H$12=0,0,H79/H$12)</f>
        <v>0.16504974430910019</v>
      </c>
      <c r="K79" s="15"/>
      <c r="L79" s="34">
        <f>+D79-H79</f>
        <v>-25837.980000000003</v>
      </c>
      <c r="M79" s="15"/>
      <c r="N79" s="35">
        <f>IF(H79=0,0,L79/H79)</f>
        <v>-1.5100745745277726</v>
      </c>
      <c r="O79" s="26"/>
      <c r="P79" s="34">
        <f>SUM(P76:P78)</f>
        <v>-37051.770000000004</v>
      </c>
      <c r="Q79" s="13"/>
      <c r="R79" s="35">
        <f>IF(P$12=0,0,P79/P$12)</f>
        <v>0</v>
      </c>
      <c r="S79" s="13"/>
      <c r="T79" s="34">
        <f>SUM(T76:T78)</f>
        <v>21264.079999999962</v>
      </c>
      <c r="U79" s="13"/>
      <c r="V79" s="35">
        <f>IF(T$12=0,0,T79/T$12)</f>
        <v>8.8901888539258331E-2</v>
      </c>
      <c r="W79" s="15"/>
      <c r="X79" s="34">
        <f>+P79-T79</f>
        <v>-58315.849999999962</v>
      </c>
      <c r="Y79" s="15"/>
      <c r="Z79" s="35">
        <f>IF(T79=0,0,X79/T79)</f>
        <v>-2.7424581735960394</v>
      </c>
    </row>
    <row r="80" spans="1:26" ht="15.75" thickTop="1" x14ac:dyDescent="0.25">
      <c r="A80" s="9"/>
      <c r="C80" s="9"/>
      <c r="D80" s="18"/>
      <c r="E80" s="18"/>
      <c r="G80" s="18"/>
      <c r="H80" s="18"/>
      <c r="I80" s="18"/>
      <c r="J80" s="43"/>
      <c r="K80" s="18"/>
      <c r="L80" s="18"/>
      <c r="M80" s="18"/>
      <c r="P80" s="18"/>
      <c r="Q80" s="18"/>
      <c r="R80" s="43"/>
      <c r="S80" s="18"/>
      <c r="T80" s="18"/>
      <c r="U80" s="18"/>
      <c r="V80" s="43"/>
      <c r="W80" s="18"/>
      <c r="X80" s="18"/>
    </row>
    <row r="81" spans="1:24" x14ac:dyDescent="0.25">
      <c r="A81" s="9"/>
      <c r="B81" s="56">
        <v>44151.572427430554</v>
      </c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  <row r="82" spans="1:24" x14ac:dyDescent="0.25">
      <c r="A82" s="9"/>
      <c r="B82" s="62" t="s">
        <v>313</v>
      </c>
      <c r="D82" s="18"/>
      <c r="E82" s="18"/>
      <c r="G82" s="18"/>
      <c r="H82" s="18"/>
      <c r="I82" s="18"/>
      <c r="J82" s="43"/>
      <c r="K82" s="18"/>
      <c r="L82" s="18"/>
      <c r="M82" s="18"/>
      <c r="P82" s="18"/>
      <c r="Q82" s="18"/>
      <c r="R82" s="43"/>
      <c r="S82" s="18"/>
      <c r="T82" s="18"/>
      <c r="U82" s="18"/>
      <c r="V82" s="43"/>
      <c r="W82" s="18"/>
      <c r="X82" s="18"/>
    </row>
    <row r="83" spans="1:24" x14ac:dyDescent="0.25">
      <c r="A83" s="9"/>
      <c r="B83" s="54"/>
      <c r="D83" s="18"/>
      <c r="E83" s="18"/>
      <c r="G83" s="18"/>
      <c r="H83" s="18"/>
      <c r="I83" s="18"/>
      <c r="J83" s="43"/>
      <c r="K83" s="18"/>
      <c r="L83" s="18"/>
      <c r="M83" s="18"/>
      <c r="P83" s="18"/>
      <c r="Q83" s="18"/>
      <c r="R83" s="43"/>
      <c r="S83" s="18"/>
      <c r="T83" s="18"/>
      <c r="U83" s="18"/>
      <c r="V83" s="43"/>
      <c r="W83" s="18"/>
      <c r="X83" s="18"/>
    </row>
    <row r="84" spans="1:24" x14ac:dyDescent="0.25">
      <c r="D84" s="18"/>
      <c r="E84" s="18"/>
      <c r="G84" s="18"/>
      <c r="H84" s="18"/>
      <c r="I84" s="18"/>
      <c r="J84" s="43"/>
      <c r="K84" s="18"/>
      <c r="L84" s="18"/>
      <c r="M84" s="18"/>
      <c r="P84" s="18"/>
      <c r="Q84" s="18"/>
      <c r="R84" s="43"/>
      <c r="S84" s="18"/>
      <c r="T84" s="18"/>
      <c r="U84" s="18"/>
      <c r="V84" s="43"/>
      <c r="W84" s="18"/>
      <c r="X84" s="18"/>
    </row>
  </sheetData>
  <pageMargins left="0.25" right="0.25" top="0.75" bottom="0.75" header="0.3" footer="0.3"/>
  <pageSetup scale="55" fitToWidth="2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297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61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50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50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2"/>
      <c r="F10" s="31" t="s">
        <v>14</v>
      </c>
      <c r="G10" s="32"/>
      <c r="H10" s="49" t="s">
        <v>306</v>
      </c>
      <c r="I10" s="32"/>
      <c r="J10" s="31" t="s">
        <v>14</v>
      </c>
      <c r="K10" s="10"/>
      <c r="L10" s="42" t="s">
        <v>11</v>
      </c>
      <c r="M10" s="10"/>
      <c r="N10" s="31" t="s">
        <v>15</v>
      </c>
      <c r="O10" s="10"/>
      <c r="P10" s="59" t="s">
        <v>10</v>
      </c>
      <c r="Q10" s="32"/>
      <c r="R10" s="31" t="s">
        <v>14</v>
      </c>
      <c r="S10" s="32"/>
      <c r="T10" s="49" t="s">
        <v>306</v>
      </c>
      <c r="U10" s="32"/>
      <c r="V10" s="31" t="s">
        <v>14</v>
      </c>
      <c r="W10" s="10"/>
      <c r="X10" s="42" t="s">
        <v>11</v>
      </c>
      <c r="Y10" s="10"/>
      <c r="Z10" s="31" t="s">
        <v>15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6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2" t="e">
        <f ca="1">SUM(_xll.OneStop.ReportPlayer.OSRFunctions.OSRRef(D22))</f>
        <v>#NAME?</v>
      </c>
      <c r="E20" s="22"/>
      <c r="F20" s="36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6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6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6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7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6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0" t="e">
        <f ca="1">+D27-D29</f>
        <v>#NAME?</v>
      </c>
      <c r="E31" s="13"/>
      <c r="F31" s="33" t="e">
        <f ca="1">IF(D$12=0,0,D31/D$12)</f>
        <v>#NAME?</v>
      </c>
      <c r="G31" s="13"/>
      <c r="H31" s="30" t="e">
        <f ca="1">+H27-H29</f>
        <v>#NAME?</v>
      </c>
      <c r="I31" s="13"/>
      <c r="J31" s="33" t="e">
        <f ca="1">IF(H$12=0,0,H31/H$12)</f>
        <v>#NAME?</v>
      </c>
      <c r="K31" s="15"/>
      <c r="L31" s="30" t="e">
        <f ca="1">D31-H31</f>
        <v>#NAME?</v>
      </c>
      <c r="M31" s="15"/>
      <c r="N31" s="33" t="e">
        <f ca="1">IF(H31=0,0,L31/H31)</f>
        <v>#NAME?</v>
      </c>
      <c r="O31" s="26"/>
      <c r="P31" s="30" t="e">
        <f ca="1">+P27-P29</f>
        <v>#NAME?</v>
      </c>
      <c r="Q31" s="13"/>
      <c r="R31" s="33" t="e">
        <f ca="1">IF(P$12=0,0,P31/P$12)</f>
        <v>#NAME?</v>
      </c>
      <c r="S31" s="13"/>
      <c r="T31" s="30" t="e">
        <f ca="1">+T27-T29</f>
        <v>#NAME?</v>
      </c>
      <c r="U31" s="13"/>
      <c r="V31" s="33" t="e">
        <f ca="1">IF(T$12=0,0,T31/T$12)</f>
        <v>#NAME?</v>
      </c>
      <c r="W31" s="15"/>
      <c r="X31" s="30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4" t="e">
        <f ca="1">SUM(D31:D35)</f>
        <v>#NAME?</v>
      </c>
      <c r="E36" s="13"/>
      <c r="F36" s="35" t="e">
        <f ca="1">IF(D$12=0,0,D36/D$12)</f>
        <v>#NAME?</v>
      </c>
      <c r="G36" s="13"/>
      <c r="H36" s="34" t="e">
        <f ca="1">SUM(H31:H35)</f>
        <v>#NAME?</v>
      </c>
      <c r="I36" s="13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6"/>
      <c r="P36" s="34" t="e">
        <f ca="1">SUM(P31:P35)</f>
        <v>#NAME?</v>
      </c>
      <c r="Q36" s="13"/>
      <c r="R36" s="35" t="e">
        <f ca="1">IF(P$12=0,0,P36/P$12)</f>
        <v>#NAME?</v>
      </c>
      <c r="S36" s="13"/>
      <c r="T36" s="34" t="e">
        <f ca="1">SUM(T31:T35)</f>
        <v>#NAME?</v>
      </c>
      <c r="U36" s="13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",RIGHT(202104,2),", ",2021)</f>
        <v>Period 04,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44135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","321", " - ", "Student Union C-Store")</f>
        <v>Department 321 - Student Union C-Store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61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50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50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2"/>
      <c r="F10" s="31" t="s">
        <v>14</v>
      </c>
      <c r="G10" s="32"/>
      <c r="H10" s="49" t="s">
        <v>306</v>
      </c>
      <c r="I10" s="32"/>
      <c r="J10" s="31" t="s">
        <v>14</v>
      </c>
      <c r="K10" s="10"/>
      <c r="L10" s="42" t="s">
        <v>11</v>
      </c>
      <c r="M10" s="10"/>
      <c r="N10" s="31" t="s">
        <v>15</v>
      </c>
      <c r="O10" s="10"/>
      <c r="P10" s="59" t="s">
        <v>10</v>
      </c>
      <c r="Q10" s="32"/>
      <c r="R10" s="31" t="s">
        <v>14</v>
      </c>
      <c r="S10" s="32"/>
      <c r="T10" s="49" t="s">
        <v>306</v>
      </c>
      <c r="U10" s="32"/>
      <c r="V10" s="31" t="s">
        <v>14</v>
      </c>
      <c r="W10" s="10"/>
      <c r="X10" s="42" t="s">
        <v>11</v>
      </c>
      <c r="Y10" s="10"/>
      <c r="Z10" s="31" t="s">
        <v>15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62250.740000000005</v>
      </c>
      <c r="I12" s="4"/>
      <c r="J12" s="12"/>
      <c r="K12" s="4"/>
      <c r="L12" s="4">
        <f t="shared" ref="L12:L14" si="0">+D12-H12</f>
        <v>-62250.740000000005</v>
      </c>
      <c r="M12" s="4"/>
      <c r="N12" s="12">
        <f t="shared" ref="N12:N14" si="1">IF(H12=0,0,L12/H12)</f>
        <v>-1</v>
      </c>
      <c r="O12" s="10"/>
      <c r="P12" s="4">
        <f>SUM(OSRRefP13x_0)</f>
        <v>2476.4700000000003</v>
      </c>
      <c r="Q12" s="4"/>
      <c r="R12" s="12"/>
      <c r="S12" s="4"/>
      <c r="T12" s="4">
        <f>SUM(OSRRefT13x_0)</f>
        <v>134186.04999999999</v>
      </c>
      <c r="U12" s="4"/>
      <c r="V12" s="12"/>
      <c r="W12" s="4"/>
      <c r="X12" s="4">
        <f t="shared" ref="X12:X14" si="2">+P12-T12</f>
        <v>-131709.57999999999</v>
      </c>
      <c r="Y12" s="4"/>
      <c r="Z12" s="12">
        <f t="shared" ref="Z12:Z14" si="3">IF(T12=0,0,X12/T12)</f>
        <v>-0.98154450481253452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 t="shared" ref="D13:D14" si="4">0</f>
        <v>0</v>
      </c>
      <c r="E13" s="2"/>
      <c r="F13" s="19"/>
      <c r="G13" s="2"/>
      <c r="H13" s="2">
        <f>--13667.44</f>
        <v>13667.44</v>
      </c>
      <c r="I13" s="2"/>
      <c r="J13" s="19"/>
      <c r="K13" s="2"/>
      <c r="L13" s="2">
        <f t="shared" si="0"/>
        <v>-13667.44</v>
      </c>
      <c r="M13" s="2"/>
      <c r="N13" s="19">
        <f t="shared" si="1"/>
        <v>-1</v>
      </c>
      <c r="O13" s="11"/>
      <c r="P13" s="2">
        <f>--444.59</f>
        <v>444.59</v>
      </c>
      <c r="Q13" s="2"/>
      <c r="R13" s="19"/>
      <c r="S13" s="2"/>
      <c r="T13" s="2">
        <f>--31189.72</f>
        <v>31189.72</v>
      </c>
      <c r="U13" s="2"/>
      <c r="V13" s="19"/>
      <c r="W13" s="2"/>
      <c r="X13" s="2">
        <f t="shared" si="2"/>
        <v>-30745.13</v>
      </c>
      <c r="Y13" s="2"/>
      <c r="Z13" s="19">
        <f t="shared" si="3"/>
        <v>-0.98574562387863696</v>
      </c>
    </row>
    <row r="14" spans="1:26" s="24" customFormat="1" hidden="1" outlineLevel="1" x14ac:dyDescent="0.25">
      <c r="A14" s="44"/>
      <c r="B14" s="11" t="str">
        <f>CONCATENATE("          ", "4132", " - ", "NON-TAXABLE SALES-JUICE")</f>
        <v xml:space="preserve">          4132 - NON-TAXABLE SALES-JUICE</v>
      </c>
      <c r="C14" s="11"/>
      <c r="D14" s="2">
        <f t="shared" si="4"/>
        <v>0</v>
      </c>
      <c r="E14" s="2"/>
      <c r="F14" s="19"/>
      <c r="G14" s="2"/>
      <c r="H14" s="2">
        <f>--48583.3</f>
        <v>48583.3</v>
      </c>
      <c r="I14" s="2"/>
      <c r="J14" s="19"/>
      <c r="K14" s="2"/>
      <c r="L14" s="2">
        <f t="shared" si="0"/>
        <v>-48583.3</v>
      </c>
      <c r="M14" s="2"/>
      <c r="N14" s="19">
        <f t="shared" si="1"/>
        <v>-1</v>
      </c>
      <c r="O14" s="11"/>
      <c r="P14" s="2">
        <f>--2031.88</f>
        <v>2031.88</v>
      </c>
      <c r="Q14" s="2"/>
      <c r="R14" s="19"/>
      <c r="S14" s="2"/>
      <c r="T14" s="2">
        <f>--102996.33</f>
        <v>102996.33</v>
      </c>
      <c r="U14" s="2"/>
      <c r="V14" s="19"/>
      <c r="W14" s="2"/>
      <c r="X14" s="2">
        <f t="shared" si="2"/>
        <v>-100964.45</v>
      </c>
      <c r="Y14" s="2"/>
      <c r="Z14" s="19">
        <f t="shared" si="3"/>
        <v>-0.98027230678996036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6" t="s">
        <v>8</v>
      </c>
      <c r="C16" s="10"/>
      <c r="D16" s="4">
        <f>SUM(OSRRefD16x_0)</f>
        <v>-478</v>
      </c>
      <c r="E16" s="4"/>
      <c r="F16" s="12">
        <f t="shared" ref="F16:F18" si="5">IF(D$12=0,0,D16/D$12)</f>
        <v>0</v>
      </c>
      <c r="G16" s="4"/>
      <c r="H16" s="4">
        <f>SUM(OSRRefH16x_0)</f>
        <v>31771.040000000001</v>
      </c>
      <c r="I16" s="4"/>
      <c r="J16" s="12">
        <f t="shared" ref="J16:J18" si="6">IF(H$12=0,0,H16/H$12)</f>
        <v>0.51037208553665381</v>
      </c>
      <c r="K16" s="4"/>
      <c r="L16" s="4">
        <f t="shared" ref="L16:L18" si="7">+D16-H16</f>
        <v>-32249.040000000001</v>
      </c>
      <c r="M16" s="4"/>
      <c r="N16" s="12">
        <f t="shared" ref="N16:N18" si="8">IF(H16=0,0,L16/H16)</f>
        <v>-1.0150451480341847</v>
      </c>
      <c r="O16" s="10"/>
      <c r="P16" s="4">
        <f>SUM(OSRRefP16x_0)</f>
        <v>-238.52</v>
      </c>
      <c r="Q16" s="4"/>
      <c r="R16" s="12">
        <f t="shared" ref="R16:R18" si="9">IF(P$12=0,0,P16/P$12)</f>
        <v>-9.6314512188720225E-2</v>
      </c>
      <c r="S16" s="4"/>
      <c r="T16" s="4">
        <f>SUM(OSRRefT16x_0)</f>
        <v>65694.209999999992</v>
      </c>
      <c r="U16" s="4"/>
      <c r="V16" s="12">
        <f t="shared" ref="V16:V18" si="10">IF(T$12=0,0,T16/T$12)</f>
        <v>0.48957555573027151</v>
      </c>
      <c r="W16" s="4"/>
      <c r="X16" s="4">
        <f t="shared" ref="X16:X18" si="11">+P16-T16</f>
        <v>-65932.73</v>
      </c>
      <c r="Y16" s="4"/>
      <c r="Z16" s="12">
        <f t="shared" ref="Z16:Z18" si="12">IF(T16=0,0,X16/T16)</f>
        <v>-1.0036307613715121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-478</v>
      </c>
      <c r="E17" s="2"/>
      <c r="F17" s="19">
        <f t="shared" si="5"/>
        <v>0</v>
      </c>
      <c r="G17" s="2"/>
      <c r="H17" s="2">
        <v>27866.799999999999</v>
      </c>
      <c r="I17" s="2"/>
      <c r="J17" s="19">
        <f t="shared" si="6"/>
        <v>0.44765411624022455</v>
      </c>
      <c r="K17" s="2"/>
      <c r="L17" s="2">
        <f t="shared" si="7"/>
        <v>-28344.799999999999</v>
      </c>
      <c r="M17" s="2"/>
      <c r="N17" s="19">
        <f t="shared" si="8"/>
        <v>-1.0171530279759426</v>
      </c>
      <c r="O17" s="11"/>
      <c r="P17" s="2">
        <v>-238.52</v>
      </c>
      <c r="Q17" s="2"/>
      <c r="R17" s="19">
        <f t="shared" si="9"/>
        <v>-9.6314512188720225E-2</v>
      </c>
      <c r="S17" s="2"/>
      <c r="T17" s="2">
        <v>66697.2</v>
      </c>
      <c r="U17" s="2"/>
      <c r="V17" s="19">
        <f t="shared" si="10"/>
        <v>0.49705017771966609</v>
      </c>
      <c r="W17" s="2"/>
      <c r="X17" s="2">
        <f t="shared" si="11"/>
        <v>-66935.72</v>
      </c>
      <c r="Y17" s="2"/>
      <c r="Z17" s="19">
        <f t="shared" si="12"/>
        <v>-1.0035761621177501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/>
      <c r="E18" s="2"/>
      <c r="F18" s="19">
        <f t="shared" si="5"/>
        <v>0</v>
      </c>
      <c r="G18" s="2"/>
      <c r="H18" s="2">
        <v>3904.24</v>
      </c>
      <c r="I18" s="2"/>
      <c r="J18" s="19">
        <f t="shared" si="6"/>
        <v>6.2717969296429241E-2</v>
      </c>
      <c r="K18" s="2"/>
      <c r="L18" s="2">
        <f t="shared" si="7"/>
        <v>-3904.24</v>
      </c>
      <c r="M18" s="2"/>
      <c r="N18" s="19">
        <f t="shared" si="8"/>
        <v>-1</v>
      </c>
      <c r="O18" s="11"/>
      <c r="P18" s="2"/>
      <c r="Q18" s="2"/>
      <c r="R18" s="19">
        <f t="shared" si="9"/>
        <v>0</v>
      </c>
      <c r="S18" s="2"/>
      <c r="T18" s="2">
        <v>-1002.99</v>
      </c>
      <c r="U18" s="2"/>
      <c r="V18" s="19">
        <f t="shared" si="10"/>
        <v>-7.4746219893945766E-3</v>
      </c>
      <c r="W18" s="2"/>
      <c r="X18" s="2">
        <f t="shared" si="11"/>
        <v>1002.99</v>
      </c>
      <c r="Y18" s="2"/>
      <c r="Z18" s="19">
        <f t="shared" si="12"/>
        <v>-1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5" t="s">
        <v>6</v>
      </c>
      <c r="C20" s="25"/>
      <c r="D20" s="20">
        <f>D12-D16</f>
        <v>478</v>
      </c>
      <c r="E20" s="13"/>
      <c r="F20" s="21">
        <f>IF(D$12=0,0,D20/D$12)</f>
        <v>0</v>
      </c>
      <c r="G20" s="13"/>
      <c r="H20" s="20">
        <f>H12-H16</f>
        <v>30479.700000000004</v>
      </c>
      <c r="I20" s="13"/>
      <c r="J20" s="21">
        <f>IF(H$12=0,0,H20/H$12)</f>
        <v>0.48962791446334619</v>
      </c>
      <c r="K20" s="15"/>
      <c r="L20" s="20">
        <f>+D20-H20</f>
        <v>-30001.700000000004</v>
      </c>
      <c r="M20" s="15"/>
      <c r="N20" s="21">
        <f>IF(H20=0,0,L20/H20)</f>
        <v>-0.98431743094584268</v>
      </c>
      <c r="O20" s="26"/>
      <c r="P20" s="20">
        <f>P12-P16</f>
        <v>2714.9900000000002</v>
      </c>
      <c r="Q20" s="13"/>
      <c r="R20" s="21">
        <f>IF(P$12=0,0,P20/P$12)</f>
        <v>1.0963145121887201</v>
      </c>
      <c r="S20" s="13"/>
      <c r="T20" s="20">
        <f>T12-T16</f>
        <v>68491.839999999997</v>
      </c>
      <c r="U20" s="13"/>
      <c r="V20" s="21">
        <f>IF(T$12=0,0,T20/T$12)</f>
        <v>0.51042444426972855</v>
      </c>
      <c r="W20" s="15"/>
      <c r="X20" s="20">
        <f>+P20-T20</f>
        <v>-65776.849999999991</v>
      </c>
      <c r="Y20" s="15"/>
      <c r="Z20" s="21">
        <f>IF(T20=0,0,X20/T20)</f>
        <v>-0.96036038745637431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6" t="s">
        <v>9</v>
      </c>
      <c r="C22" s="10"/>
      <c r="D22" s="22">
        <f>SUM(OSRRefD22x_0)</f>
        <v>4859.6699999999992</v>
      </c>
      <c r="E22" s="22"/>
      <c r="F22" s="36">
        <f t="shared" ref="F22:F31" si="13">IF(D$12=0,0,D22/D$12)</f>
        <v>0</v>
      </c>
      <c r="G22" s="22"/>
      <c r="H22" s="22">
        <f>SUM(OSRRefH22x_0)</f>
        <v>16290.52</v>
      </c>
      <c r="I22" s="22"/>
      <c r="J22" s="36">
        <f t="shared" ref="J22:J31" si="14">IF(H$12=0,0,H22/H$12)</f>
        <v>0.26169198952494377</v>
      </c>
      <c r="K22" s="4"/>
      <c r="L22" s="22">
        <f t="shared" ref="L22:L31" si="15">+D22-H22</f>
        <v>-11430.850000000002</v>
      </c>
      <c r="M22" s="4"/>
      <c r="N22" s="36">
        <f t="shared" ref="N22:N31" si="16">IF(H22=0,0,L22/H22)</f>
        <v>-0.70168723895860918</v>
      </c>
      <c r="O22" s="10"/>
      <c r="P22" s="22">
        <f>SUM(OSRRefP22x_0)</f>
        <v>27676.500000000004</v>
      </c>
      <c r="Q22" s="22"/>
      <c r="R22" s="36">
        <f t="shared" ref="R22:R31" si="17">IF(P$12=0,0,P22/P$12)</f>
        <v>11.175786502562115</v>
      </c>
      <c r="S22" s="22"/>
      <c r="T22" s="22">
        <f>SUM(OSRRefT22x_0)</f>
        <v>53247.88</v>
      </c>
      <c r="U22" s="22"/>
      <c r="V22" s="36">
        <f t="shared" ref="V22:V31" si="18">IF(T$12=0,0,T22/T$12)</f>
        <v>0.39682127911209847</v>
      </c>
      <c r="W22" s="4"/>
      <c r="X22" s="22">
        <f t="shared" ref="X22:X31" si="19">+P22-T22</f>
        <v>-25571.379999999994</v>
      </c>
      <c r="Y22" s="4"/>
      <c r="Z22" s="36">
        <f t="shared" ref="Z22:Z31" si="20">IF(T22=0,0,X22/T22)</f>
        <v>-0.48023282804874101</v>
      </c>
    </row>
    <row r="23" spans="1:26" s="29" customFormat="1" outlineLevel="1" collapsed="1" x14ac:dyDescent="0.25">
      <c r="A23" s="27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2222.1799999999998</v>
      </c>
      <c r="E23" s="1"/>
      <c r="F23" s="5">
        <f t="shared" si="13"/>
        <v>0</v>
      </c>
      <c r="G23" s="1"/>
      <c r="H23" s="1">
        <f>SUM(OSRRefH22_0x_0)</f>
        <v>1835.59</v>
      </c>
      <c r="I23" s="1"/>
      <c r="J23" s="5">
        <f t="shared" si="14"/>
        <v>2.9487039029576192E-2</v>
      </c>
      <c r="K23" s="1"/>
      <c r="L23" s="1">
        <f t="shared" si="15"/>
        <v>386.58999999999992</v>
      </c>
      <c r="M23" s="1"/>
      <c r="N23" s="5">
        <f t="shared" si="16"/>
        <v>0.2106080333843614</v>
      </c>
      <c r="O23" s="14"/>
      <c r="P23" s="1">
        <f>SUM(OSRRefP22_0x_0)</f>
        <v>6743.14</v>
      </c>
      <c r="Q23" s="1"/>
      <c r="R23" s="5">
        <f t="shared" si="17"/>
        <v>2.7228837821576679</v>
      </c>
      <c r="S23" s="1"/>
      <c r="T23" s="1">
        <f>SUM(OSRRefT22_0x_0)</f>
        <v>6509.73</v>
      </c>
      <c r="U23" s="1"/>
      <c r="V23" s="5">
        <f t="shared" si="18"/>
        <v>4.8512717976272497E-2</v>
      </c>
      <c r="W23" s="1"/>
      <c r="X23" s="1">
        <f t="shared" si="19"/>
        <v>233.41000000000076</v>
      </c>
      <c r="Y23" s="1"/>
      <c r="Z23" s="5">
        <f t="shared" si="20"/>
        <v>3.5855557757387906E-2</v>
      </c>
    </row>
    <row r="24" spans="1:26" s="24" customFormat="1" hidden="1" outlineLevel="2" x14ac:dyDescent="0.25">
      <c r="A24" s="28"/>
      <c r="B24" s="11" t="str">
        <f>CONCATENATE("          ", "6111", " - ", "F.I.C.A.")</f>
        <v xml:space="preserve">          6111 - F.I.C.A.</v>
      </c>
      <c r="C24" s="11"/>
      <c r="D24" s="6">
        <v>575.9</v>
      </c>
      <c r="E24" s="2"/>
      <c r="F24" s="7">
        <f t="shared" si="13"/>
        <v>0</v>
      </c>
      <c r="G24" s="2"/>
      <c r="H24" s="6">
        <v>390.65</v>
      </c>
      <c r="I24" s="2"/>
      <c r="J24" s="7">
        <f t="shared" si="14"/>
        <v>6.2754274085737765E-3</v>
      </c>
      <c r="K24" s="2"/>
      <c r="L24" s="6">
        <f t="shared" si="15"/>
        <v>185.25</v>
      </c>
      <c r="M24" s="2"/>
      <c r="N24" s="7">
        <f t="shared" si="16"/>
        <v>0.47420965058236275</v>
      </c>
      <c r="O24" s="11"/>
      <c r="P24" s="6">
        <v>1507.97</v>
      </c>
      <c r="Q24" s="2"/>
      <c r="R24" s="7">
        <f t="shared" si="17"/>
        <v>0.60891914701167382</v>
      </c>
      <c r="S24" s="2"/>
      <c r="T24" s="6">
        <v>1244.96</v>
      </c>
      <c r="U24" s="2"/>
      <c r="V24" s="7">
        <f t="shared" si="18"/>
        <v>9.2778645768319453E-3</v>
      </c>
      <c r="W24" s="2"/>
      <c r="X24" s="6">
        <f t="shared" si="19"/>
        <v>263.01</v>
      </c>
      <c r="Y24" s="2"/>
      <c r="Z24" s="7">
        <f t="shared" si="20"/>
        <v>0.21125979951163087</v>
      </c>
    </row>
    <row r="25" spans="1:26" s="24" customFormat="1" hidden="1" outlineLevel="2" x14ac:dyDescent="0.25">
      <c r="A25" s="28"/>
      <c r="B25" s="11" t="str">
        <f>CONCATENATE("          ", "6112", " - ", "COMPENSATION INSURANCE")</f>
        <v xml:space="preserve">          6112 - COMPENSATION INSURANCE</v>
      </c>
      <c r="C25" s="11"/>
      <c r="D25" s="6">
        <v>76.959999999999994</v>
      </c>
      <c r="E25" s="2"/>
      <c r="F25" s="7">
        <f t="shared" si="13"/>
        <v>0</v>
      </c>
      <c r="G25" s="2"/>
      <c r="H25" s="6">
        <v>108.19</v>
      </c>
      <c r="I25" s="2"/>
      <c r="J25" s="7">
        <f t="shared" si="14"/>
        <v>1.7379713076503185E-3</v>
      </c>
      <c r="K25" s="2"/>
      <c r="L25" s="6">
        <f t="shared" si="15"/>
        <v>-31.230000000000004</v>
      </c>
      <c r="M25" s="2"/>
      <c r="N25" s="7">
        <f t="shared" si="16"/>
        <v>-0.2886588409279971</v>
      </c>
      <c r="O25" s="11"/>
      <c r="P25" s="6">
        <v>307.83999999999997</v>
      </c>
      <c r="Q25" s="2"/>
      <c r="R25" s="7">
        <f t="shared" si="17"/>
        <v>0.12430596776863841</v>
      </c>
      <c r="S25" s="2"/>
      <c r="T25" s="6">
        <v>360.62</v>
      </c>
      <c r="U25" s="2"/>
      <c r="V25" s="7">
        <f t="shared" si="18"/>
        <v>2.6874626684368461E-3</v>
      </c>
      <c r="W25" s="2"/>
      <c r="X25" s="6">
        <f t="shared" si="19"/>
        <v>-52.78000000000003</v>
      </c>
      <c r="Y25" s="2"/>
      <c r="Z25" s="7">
        <f t="shared" si="20"/>
        <v>-0.14635904830569582</v>
      </c>
    </row>
    <row r="26" spans="1:26" s="24" customFormat="1" hidden="1" outlineLevel="2" x14ac:dyDescent="0.25">
      <c r="A26" s="28"/>
      <c r="B26" s="11" t="str">
        <f>CONCATENATE("          ", "6113", " - ", "GROUP INSURANCE")</f>
        <v xml:space="preserve">          6113 - GROUP INSURANCE</v>
      </c>
      <c r="C26" s="11"/>
      <c r="D26" s="6">
        <v>683.68</v>
      </c>
      <c r="E26" s="2"/>
      <c r="F26" s="7">
        <f t="shared" si="13"/>
        <v>0</v>
      </c>
      <c r="G26" s="2"/>
      <c r="H26" s="6">
        <v>935.3</v>
      </c>
      <c r="I26" s="2"/>
      <c r="J26" s="7">
        <f t="shared" si="14"/>
        <v>1.5024720991268536E-2</v>
      </c>
      <c r="K26" s="2"/>
      <c r="L26" s="6">
        <f t="shared" si="15"/>
        <v>-251.62</v>
      </c>
      <c r="M26" s="2"/>
      <c r="N26" s="7">
        <f t="shared" si="16"/>
        <v>-0.2690259809686732</v>
      </c>
      <c r="O26" s="11"/>
      <c r="P26" s="6">
        <v>2051.04</v>
      </c>
      <c r="Q26" s="2"/>
      <c r="R26" s="7">
        <f t="shared" si="17"/>
        <v>0.82821112309052791</v>
      </c>
      <c r="S26" s="2"/>
      <c r="T26" s="6">
        <v>3741.2</v>
      </c>
      <c r="U26" s="2"/>
      <c r="V26" s="7">
        <f t="shared" si="18"/>
        <v>2.7880692516099849E-2</v>
      </c>
      <c r="W26" s="2"/>
      <c r="X26" s="6">
        <f t="shared" si="19"/>
        <v>-1690.1599999999999</v>
      </c>
      <c r="Y26" s="2"/>
      <c r="Z26" s="7">
        <f t="shared" si="20"/>
        <v>-0.45176948572650483</v>
      </c>
    </row>
    <row r="27" spans="1:26" s="24" customFormat="1" hidden="1" outlineLevel="2" x14ac:dyDescent="0.25">
      <c r="A27" s="28"/>
      <c r="B27" s="11" t="str">
        <f>CONCATENATE("          ", "6114", " - ", "STATE UNEMPLOYMENT INSURANCE")</f>
        <v xml:space="preserve">          6114 - STATE UNEMPLOYMENT INSURANCE</v>
      </c>
      <c r="C27" s="11"/>
      <c r="D27" s="6">
        <v>10.82</v>
      </c>
      <c r="E27" s="2"/>
      <c r="F27" s="7">
        <f t="shared" si="13"/>
        <v>0</v>
      </c>
      <c r="G27" s="2"/>
      <c r="H27" s="6">
        <v>23.62</v>
      </c>
      <c r="I27" s="2"/>
      <c r="J27" s="7">
        <f t="shared" si="14"/>
        <v>3.7943324047232211E-4</v>
      </c>
      <c r="K27" s="2"/>
      <c r="L27" s="6">
        <f t="shared" si="15"/>
        <v>-12.8</v>
      </c>
      <c r="M27" s="2"/>
      <c r="N27" s="7">
        <f t="shared" si="16"/>
        <v>-0.54191363251481794</v>
      </c>
      <c r="O27" s="11"/>
      <c r="P27" s="6">
        <v>43.28</v>
      </c>
      <c r="Q27" s="2"/>
      <c r="R27" s="7">
        <f t="shared" si="17"/>
        <v>1.7476488711755039E-2</v>
      </c>
      <c r="S27" s="2"/>
      <c r="T27" s="6">
        <v>57.83</v>
      </c>
      <c r="U27" s="2"/>
      <c r="V27" s="7">
        <f t="shared" si="18"/>
        <v>4.3096879295575065E-4</v>
      </c>
      <c r="W27" s="2"/>
      <c r="X27" s="6">
        <f t="shared" si="19"/>
        <v>-14.549999999999997</v>
      </c>
      <c r="Y27" s="2"/>
      <c r="Z27" s="7">
        <f t="shared" si="20"/>
        <v>-0.25159951582223755</v>
      </c>
    </row>
    <row r="28" spans="1:26" s="24" customFormat="1" hidden="1" outlineLevel="2" x14ac:dyDescent="0.25">
      <c r="A28" s="28"/>
      <c r="B28" s="11" t="str">
        <f>CONCATENATE("          ", "6115", " - ", "P.E.R.S.")</f>
        <v xml:space="preserve">          6115 - P.E.R.S.</v>
      </c>
      <c r="C28" s="11"/>
      <c r="D28" s="6">
        <v>192.94</v>
      </c>
      <c r="E28" s="2"/>
      <c r="F28" s="7">
        <f t="shared" si="13"/>
        <v>0</v>
      </c>
      <c r="G28" s="2"/>
      <c r="H28" s="6">
        <v>134.11000000000001</v>
      </c>
      <c r="I28" s="2"/>
      <c r="J28" s="7">
        <f t="shared" si="14"/>
        <v>2.1543519000737981E-3</v>
      </c>
      <c r="K28" s="2"/>
      <c r="L28" s="6">
        <f t="shared" si="15"/>
        <v>58.829999999999984</v>
      </c>
      <c r="M28" s="2"/>
      <c r="N28" s="7">
        <f t="shared" si="16"/>
        <v>0.43866974871374231</v>
      </c>
      <c r="O28" s="11"/>
      <c r="P28" s="6">
        <v>996.86</v>
      </c>
      <c r="Q28" s="2"/>
      <c r="R28" s="7">
        <f t="shared" si="17"/>
        <v>0.40253263718114896</v>
      </c>
      <c r="S28" s="2"/>
      <c r="T28" s="6">
        <v>536.44000000000005</v>
      </c>
      <c r="U28" s="2"/>
      <c r="V28" s="7">
        <f t="shared" si="18"/>
        <v>3.997732998325833E-3</v>
      </c>
      <c r="W28" s="2"/>
      <c r="X28" s="6">
        <f t="shared" si="19"/>
        <v>460.41999999999996</v>
      </c>
      <c r="Y28" s="2"/>
      <c r="Z28" s="7">
        <f t="shared" si="20"/>
        <v>0.8582879725598388</v>
      </c>
    </row>
    <row r="29" spans="1:26" s="24" customFormat="1" hidden="1" outlineLevel="2" x14ac:dyDescent="0.25">
      <c r="A29" s="28"/>
      <c r="B29" s="11" t="str">
        <f>CONCATENATE("          ", "6118", " - ", "VACATION")</f>
        <v xml:space="preserve">          6118 - VACATION</v>
      </c>
      <c r="C29" s="11"/>
      <c r="D29" s="6">
        <v>359.58</v>
      </c>
      <c r="E29" s="2"/>
      <c r="F29" s="7">
        <f t="shared" si="13"/>
        <v>0</v>
      </c>
      <c r="G29" s="2"/>
      <c r="H29" s="6">
        <v>110.88</v>
      </c>
      <c r="I29" s="2"/>
      <c r="J29" s="7">
        <f t="shared" si="14"/>
        <v>1.781183645367107E-3</v>
      </c>
      <c r="K29" s="2"/>
      <c r="L29" s="6">
        <f t="shared" si="15"/>
        <v>248.7</v>
      </c>
      <c r="M29" s="2"/>
      <c r="N29" s="7">
        <f t="shared" si="16"/>
        <v>2.2429653679653678</v>
      </c>
      <c r="O29" s="11"/>
      <c r="P29" s="6">
        <v>839.02</v>
      </c>
      <c r="Q29" s="2"/>
      <c r="R29" s="7">
        <f t="shared" si="17"/>
        <v>0.33879675505861162</v>
      </c>
      <c r="S29" s="2"/>
      <c r="T29" s="6">
        <v>258.72000000000003</v>
      </c>
      <c r="U29" s="2"/>
      <c r="V29" s="7">
        <f t="shared" si="18"/>
        <v>1.9280692739670037E-3</v>
      </c>
      <c r="W29" s="2"/>
      <c r="X29" s="6">
        <f t="shared" si="19"/>
        <v>580.29999999999995</v>
      </c>
      <c r="Y29" s="2"/>
      <c r="Z29" s="7">
        <f t="shared" si="20"/>
        <v>2.2429653679653674</v>
      </c>
    </row>
    <row r="30" spans="1:26" s="24" customFormat="1" hidden="1" outlineLevel="2" x14ac:dyDescent="0.25">
      <c r="A30" s="28"/>
      <c r="B30" s="11" t="str">
        <f>CONCATENATE("          ", "6119", " - ", "SICK LEAVE")</f>
        <v xml:space="preserve">          6119 - SICK LEAVE</v>
      </c>
      <c r="C30" s="11"/>
      <c r="D30" s="6">
        <v>287.82</v>
      </c>
      <c r="E30" s="2"/>
      <c r="F30" s="7">
        <f t="shared" si="13"/>
        <v>0</v>
      </c>
      <c r="G30" s="2"/>
      <c r="H30" s="6">
        <v>132.84</v>
      </c>
      <c r="I30" s="2"/>
      <c r="J30" s="7">
        <f t="shared" si="14"/>
        <v>2.1339505361703329E-3</v>
      </c>
      <c r="K30" s="2"/>
      <c r="L30" s="6">
        <f t="shared" si="15"/>
        <v>154.97999999999999</v>
      </c>
      <c r="M30" s="2"/>
      <c r="N30" s="7">
        <f t="shared" si="16"/>
        <v>1.1666666666666665</v>
      </c>
      <c r="O30" s="11"/>
      <c r="P30" s="6">
        <v>671.58</v>
      </c>
      <c r="Q30" s="2"/>
      <c r="R30" s="7">
        <f t="shared" si="17"/>
        <v>0.27118438745472384</v>
      </c>
      <c r="S30" s="2"/>
      <c r="T30" s="6">
        <v>309.95999999999998</v>
      </c>
      <c r="U30" s="2"/>
      <c r="V30" s="7">
        <f t="shared" si="18"/>
        <v>2.3099271496552737E-3</v>
      </c>
      <c r="W30" s="2"/>
      <c r="X30" s="6">
        <f t="shared" si="19"/>
        <v>361.62000000000006</v>
      </c>
      <c r="Y30" s="2"/>
      <c r="Z30" s="7">
        <f t="shared" si="20"/>
        <v>1.166666666666667</v>
      </c>
    </row>
    <row r="31" spans="1:26" s="24" customFormat="1" hidden="1" outlineLevel="2" x14ac:dyDescent="0.25">
      <c r="A31" s="28"/>
      <c r="B31" s="11" t="str">
        <f>CONCATENATE("          ", "6156", " - ", "EMPLOYEE MEALS")</f>
        <v xml:space="preserve">          6156 - EMPLOYEE MEALS</v>
      </c>
      <c r="C31" s="11"/>
      <c r="D31" s="6">
        <v>34.479999999999997</v>
      </c>
      <c r="E31" s="2"/>
      <c r="F31" s="7">
        <f t="shared" si="13"/>
        <v>0</v>
      </c>
      <c r="G31" s="2"/>
      <c r="H31" s="6"/>
      <c r="I31" s="2"/>
      <c r="J31" s="7">
        <f t="shared" si="14"/>
        <v>0</v>
      </c>
      <c r="K31" s="2"/>
      <c r="L31" s="6">
        <f t="shared" si="15"/>
        <v>34.479999999999997</v>
      </c>
      <c r="M31" s="2"/>
      <c r="N31" s="7">
        <f t="shared" si="16"/>
        <v>0</v>
      </c>
      <c r="O31" s="11"/>
      <c r="P31" s="6">
        <v>325.55</v>
      </c>
      <c r="Q31" s="2"/>
      <c r="R31" s="7">
        <f t="shared" si="17"/>
        <v>0.13145727588058809</v>
      </c>
      <c r="S31" s="2"/>
      <c r="T31" s="6"/>
      <c r="U31" s="2"/>
      <c r="V31" s="7">
        <f t="shared" si="18"/>
        <v>0</v>
      </c>
      <c r="W31" s="2"/>
      <c r="X31" s="6">
        <f t="shared" si="19"/>
        <v>325.55</v>
      </c>
      <c r="Y31" s="2"/>
      <c r="Z31" s="7">
        <f t="shared" si="20"/>
        <v>0</v>
      </c>
    </row>
    <row r="32" spans="1:26" s="29" customFormat="1" outlineLevel="1" collapsed="1" x14ac:dyDescent="0.25">
      <c r="A32" s="27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1039.8600000000001</v>
      </c>
      <c r="E32" s="1"/>
      <c r="F32" s="5">
        <f t="shared" ref="F32:F37" si="21">IF(D$12=0,0,D32/D$12)</f>
        <v>0</v>
      </c>
      <c r="G32" s="1"/>
      <c r="H32" s="1">
        <f>SUM(OSRRefH22_1x_0)</f>
        <v>8942.18</v>
      </c>
      <c r="I32" s="1"/>
      <c r="J32" s="5">
        <f t="shared" ref="J32:J37" si="22">IF(H$12=0,0,H32/H$12)</f>
        <v>0.143647770291566</v>
      </c>
      <c r="K32" s="1"/>
      <c r="L32" s="1">
        <f t="shared" ref="L32:L37" si="23">+D32-H32</f>
        <v>-7902.32</v>
      </c>
      <c r="M32" s="1"/>
      <c r="N32" s="5">
        <f t="shared" ref="N32:N37" si="24">IF(H32=0,0,L32/H32)</f>
        <v>-0.88371292011567648</v>
      </c>
      <c r="O32" s="14"/>
      <c r="P32" s="1">
        <f>SUM(OSRRefP22_1x_0)</f>
        <v>14195.96</v>
      </c>
      <c r="Q32" s="1"/>
      <c r="R32" s="5">
        <f t="shared" ref="R32:R37" si="25">IF(P$12=0,0,P32/P$12)</f>
        <v>5.7323367535241685</v>
      </c>
      <c r="S32" s="1"/>
      <c r="T32" s="1">
        <f>SUM(OSRRefT22_1x_0)</f>
        <v>25638.870000000003</v>
      </c>
      <c r="U32" s="1"/>
      <c r="V32" s="5">
        <f t="shared" ref="V32:V37" si="26">IF(T$12=0,0,T32/T$12)</f>
        <v>0.19106956349039267</v>
      </c>
      <c r="W32" s="1"/>
      <c r="X32" s="1">
        <f t="shared" ref="X32:X37" si="27">+P32-T32</f>
        <v>-11442.910000000003</v>
      </c>
      <c r="Y32" s="1"/>
      <c r="Z32" s="5">
        <f t="shared" ref="Z32:Z37" si="28">IF(T32=0,0,X32/T32)</f>
        <v>-0.44631101136672569</v>
      </c>
    </row>
    <row r="33" spans="1:26" s="24" customFormat="1" hidden="1" outlineLevel="2" x14ac:dyDescent="0.25">
      <c r="A33" s="28"/>
      <c r="B33" s="11" t="str">
        <f>CONCATENATE("          ", "6002", " - ", "STAFF SALARIES")</f>
        <v xml:space="preserve">          6002 - STAFF SALARIES</v>
      </c>
      <c r="C33" s="11"/>
      <c r="D33" s="6">
        <v>1040</v>
      </c>
      <c r="E33" s="2"/>
      <c r="F33" s="7">
        <f t="shared" si="21"/>
        <v>0</v>
      </c>
      <c r="G33" s="2"/>
      <c r="H33" s="6">
        <v>2400</v>
      </c>
      <c r="I33" s="2"/>
      <c r="J33" s="7">
        <f t="shared" si="22"/>
        <v>3.8553758557729592E-2</v>
      </c>
      <c r="K33" s="2"/>
      <c r="L33" s="6">
        <f t="shared" si="23"/>
        <v>-1360</v>
      </c>
      <c r="M33" s="2"/>
      <c r="N33" s="7">
        <f t="shared" si="24"/>
        <v>-0.56666666666666665</v>
      </c>
      <c r="O33" s="11"/>
      <c r="P33" s="6">
        <v>12064</v>
      </c>
      <c r="Q33" s="2"/>
      <c r="R33" s="7">
        <f t="shared" si="25"/>
        <v>4.8714500882304241</v>
      </c>
      <c r="S33" s="2"/>
      <c r="T33" s="6">
        <v>8448</v>
      </c>
      <c r="U33" s="2"/>
      <c r="V33" s="7">
        <f t="shared" si="26"/>
        <v>6.2957364047902156E-2</v>
      </c>
      <c r="W33" s="2"/>
      <c r="X33" s="6">
        <f t="shared" si="27"/>
        <v>3616</v>
      </c>
      <c r="Y33" s="2"/>
      <c r="Z33" s="7">
        <f t="shared" si="28"/>
        <v>0.42803030303030304</v>
      </c>
    </row>
    <row r="34" spans="1:26" s="24" customFormat="1" hidden="1" outlineLevel="2" x14ac:dyDescent="0.25">
      <c r="A34" s="28"/>
      <c r="B34" s="11" t="str">
        <f>CONCATENATE("          ", "6005", " - ", "TEMPORARY WAGES-HOURLY")</f>
        <v xml:space="preserve">          6005 - TEMPORARY WAGES-HOURLY</v>
      </c>
      <c r="C34" s="11"/>
      <c r="D34" s="6">
        <v>347.86</v>
      </c>
      <c r="E34" s="2"/>
      <c r="F34" s="7">
        <f t="shared" si="21"/>
        <v>0</v>
      </c>
      <c r="G34" s="2"/>
      <c r="H34" s="6"/>
      <c r="I34" s="2"/>
      <c r="J34" s="7">
        <f t="shared" si="22"/>
        <v>0</v>
      </c>
      <c r="K34" s="2"/>
      <c r="L34" s="6">
        <f t="shared" si="23"/>
        <v>347.86</v>
      </c>
      <c r="M34" s="2"/>
      <c r="N34" s="7">
        <f t="shared" si="24"/>
        <v>0</v>
      </c>
      <c r="O34" s="11"/>
      <c r="P34" s="6">
        <v>2131.96</v>
      </c>
      <c r="Q34" s="2"/>
      <c r="R34" s="7">
        <f t="shared" si="25"/>
        <v>0.86088666529374469</v>
      </c>
      <c r="S34" s="2"/>
      <c r="T34" s="6">
        <v>1708.78</v>
      </c>
      <c r="U34" s="2"/>
      <c r="V34" s="7">
        <f t="shared" si="26"/>
        <v>1.273440868108123E-2</v>
      </c>
      <c r="W34" s="2"/>
      <c r="X34" s="6">
        <f t="shared" si="27"/>
        <v>423.18000000000006</v>
      </c>
      <c r="Y34" s="2"/>
      <c r="Z34" s="7">
        <f t="shared" si="28"/>
        <v>0.24765037043972898</v>
      </c>
    </row>
    <row r="35" spans="1:26" s="24" customFormat="1" hidden="1" outlineLevel="2" x14ac:dyDescent="0.25">
      <c r="A35" s="28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21"/>
        <v>0</v>
      </c>
      <c r="G35" s="2"/>
      <c r="H35" s="6">
        <v>2226.4699999999998</v>
      </c>
      <c r="I35" s="2"/>
      <c r="J35" s="7">
        <f t="shared" si="22"/>
        <v>3.5766161173345079E-2</v>
      </c>
      <c r="K35" s="2"/>
      <c r="L35" s="6">
        <f t="shared" si="23"/>
        <v>-2226.4699999999998</v>
      </c>
      <c r="M35" s="2"/>
      <c r="N35" s="7">
        <f t="shared" si="24"/>
        <v>-1</v>
      </c>
      <c r="O35" s="11"/>
      <c r="P35" s="6"/>
      <c r="Q35" s="2"/>
      <c r="R35" s="7">
        <f t="shared" si="25"/>
        <v>0</v>
      </c>
      <c r="S35" s="2"/>
      <c r="T35" s="6">
        <v>4526.25</v>
      </c>
      <c r="U35" s="2"/>
      <c r="V35" s="7">
        <f t="shared" si="26"/>
        <v>3.3731151636105246E-2</v>
      </c>
      <c r="W35" s="2"/>
      <c r="X35" s="6">
        <f t="shared" si="27"/>
        <v>-4526.25</v>
      </c>
      <c r="Y35" s="2"/>
      <c r="Z35" s="7">
        <f t="shared" si="28"/>
        <v>-1</v>
      </c>
    </row>
    <row r="36" spans="1:26" s="24" customFormat="1" hidden="1" outlineLevel="2" x14ac:dyDescent="0.25">
      <c r="A36" s="28"/>
      <c r="B36" s="11" t="str">
        <f>CONCATENATE("          ", "6007", " - ", "STUDENT HOURLY")</f>
        <v xml:space="preserve">          6007 - STUDENT HOURLY</v>
      </c>
      <c r="C36" s="11"/>
      <c r="D36" s="6">
        <v>-348</v>
      </c>
      <c r="E36" s="2"/>
      <c r="F36" s="7">
        <f t="shared" si="21"/>
        <v>0</v>
      </c>
      <c r="G36" s="2"/>
      <c r="H36" s="6">
        <v>3925.71</v>
      </c>
      <c r="I36" s="2"/>
      <c r="J36" s="7">
        <f t="shared" si="22"/>
        <v>6.3062864794860271E-2</v>
      </c>
      <c r="K36" s="2"/>
      <c r="L36" s="6">
        <f t="shared" si="23"/>
        <v>-4273.71</v>
      </c>
      <c r="M36" s="2"/>
      <c r="N36" s="7">
        <f t="shared" si="24"/>
        <v>-1.0886463849851364</v>
      </c>
      <c r="O36" s="11"/>
      <c r="P36" s="6">
        <v>0</v>
      </c>
      <c r="Q36" s="2"/>
      <c r="R36" s="7">
        <f t="shared" si="25"/>
        <v>0</v>
      </c>
      <c r="S36" s="2"/>
      <c r="T36" s="6">
        <v>10372.530000000001</v>
      </c>
      <c r="U36" s="2"/>
      <c r="V36" s="7">
        <f t="shared" si="26"/>
        <v>7.729961497488004E-2</v>
      </c>
      <c r="W36" s="2"/>
      <c r="X36" s="6">
        <f t="shared" si="27"/>
        <v>-10372.530000000001</v>
      </c>
      <c r="Y36" s="2"/>
      <c r="Z36" s="7">
        <f t="shared" si="28"/>
        <v>-1</v>
      </c>
    </row>
    <row r="37" spans="1:26" s="24" customFormat="1" hidden="1" outlineLevel="2" x14ac:dyDescent="0.25">
      <c r="A37" s="28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21"/>
        <v>0</v>
      </c>
      <c r="G37" s="2"/>
      <c r="H37" s="6">
        <v>390</v>
      </c>
      <c r="I37" s="2"/>
      <c r="J37" s="7">
        <f t="shared" si="22"/>
        <v>6.2649857656310584E-3</v>
      </c>
      <c r="K37" s="2"/>
      <c r="L37" s="6">
        <f t="shared" si="23"/>
        <v>-390</v>
      </c>
      <c r="M37" s="2"/>
      <c r="N37" s="7">
        <f t="shared" si="24"/>
        <v>-1</v>
      </c>
      <c r="O37" s="11"/>
      <c r="P37" s="6"/>
      <c r="Q37" s="2"/>
      <c r="R37" s="7">
        <f t="shared" si="25"/>
        <v>0</v>
      </c>
      <c r="S37" s="2"/>
      <c r="T37" s="6">
        <v>583.30999999999995</v>
      </c>
      <c r="U37" s="2"/>
      <c r="V37" s="7">
        <f t="shared" si="26"/>
        <v>4.347024150423982E-3</v>
      </c>
      <c r="W37" s="2"/>
      <c r="X37" s="6">
        <f t="shared" si="27"/>
        <v>-583.30999999999995</v>
      </c>
      <c r="Y37" s="2"/>
      <c r="Z37" s="7">
        <f t="shared" si="28"/>
        <v>-1</v>
      </c>
    </row>
    <row r="38" spans="1:26" s="29" customFormat="1" outlineLevel="1" collapsed="1" x14ac:dyDescent="0.25">
      <c r="A38" s="27"/>
      <c r="B38" s="14" t="str">
        <f>CONCATENATE("     ","Bad Debts/Over/Short                              ")</f>
        <v xml:space="preserve">     Bad Debts/Over/Short                              </v>
      </c>
      <c r="C38" s="14"/>
      <c r="D38" s="1">
        <f>SUM(OSRRefD22_2x_0)</f>
        <v>0</v>
      </c>
      <c r="E38" s="1"/>
      <c r="F38" s="5">
        <f t="shared" ref="F38:F49" si="29">IF(D$12=0,0,D38/D$12)</f>
        <v>0</v>
      </c>
      <c r="G38" s="1"/>
      <c r="H38" s="1">
        <f>SUM(OSRRefH22_2x_0)</f>
        <v>-13.45</v>
      </c>
      <c r="I38" s="1"/>
      <c r="J38" s="5">
        <f t="shared" ref="J38:J49" si="30">IF(H$12=0,0,H38/H$12)</f>
        <v>-2.1606168858394291E-4</v>
      </c>
      <c r="K38" s="1"/>
      <c r="L38" s="1">
        <f t="shared" ref="L38:L49" si="31">+D38-H38</f>
        <v>13.45</v>
      </c>
      <c r="M38" s="1"/>
      <c r="N38" s="5">
        <f t="shared" ref="N38:N49" si="32">IF(H38=0,0,L38/H38)</f>
        <v>-1</v>
      </c>
      <c r="O38" s="14"/>
      <c r="P38" s="1">
        <f>SUM(OSRRefP22_2x_0)</f>
        <v>3.31</v>
      </c>
      <c r="Q38" s="1"/>
      <c r="R38" s="5">
        <f t="shared" ref="R38:R49" si="33">IF(P$12=0,0,P38/P$12)</f>
        <v>1.3365798899239642E-3</v>
      </c>
      <c r="S38" s="1"/>
      <c r="T38" s="1">
        <f>SUM(OSRRefT22_2x_0)</f>
        <v>-39.770000000000003</v>
      </c>
      <c r="U38" s="1"/>
      <c r="V38" s="5">
        <f t="shared" ref="V38:V49" si="34">IF(T$12=0,0,T38/T$12)</f>
        <v>-2.9637954168857349E-4</v>
      </c>
      <c r="W38" s="1"/>
      <c r="X38" s="1">
        <f t="shared" ref="X38:X49" si="35">+P38-T38</f>
        <v>43.080000000000005</v>
      </c>
      <c r="Y38" s="1"/>
      <c r="Z38" s="5">
        <f t="shared" ref="Z38:Z49" si="36">IF(T38=0,0,X38/T38)</f>
        <v>-1.0832285642444053</v>
      </c>
    </row>
    <row r="39" spans="1:26" s="24" customFormat="1" hidden="1" outlineLevel="2" x14ac:dyDescent="0.25">
      <c r="A39" s="28"/>
      <c r="B39" s="11" t="str">
        <f>CONCATENATE("          ", "6272", " - ", "CASH (OVER/SHORT)")</f>
        <v xml:space="preserve">          6272 - CASH (OVER/SHORT)</v>
      </c>
      <c r="C39" s="11"/>
      <c r="D39" s="6"/>
      <c r="E39" s="2"/>
      <c r="F39" s="7">
        <f t="shared" si="29"/>
        <v>0</v>
      </c>
      <c r="G39" s="2"/>
      <c r="H39" s="6">
        <v>-13.45</v>
      </c>
      <c r="I39" s="2"/>
      <c r="J39" s="7">
        <f t="shared" si="30"/>
        <v>-2.1606168858394291E-4</v>
      </c>
      <c r="K39" s="2"/>
      <c r="L39" s="6">
        <f t="shared" si="31"/>
        <v>13.45</v>
      </c>
      <c r="M39" s="2"/>
      <c r="N39" s="7">
        <f t="shared" si="32"/>
        <v>-1</v>
      </c>
      <c r="O39" s="11"/>
      <c r="P39" s="6">
        <v>3.31</v>
      </c>
      <c r="Q39" s="2"/>
      <c r="R39" s="7">
        <f t="shared" si="33"/>
        <v>1.3365798899239642E-3</v>
      </c>
      <c r="S39" s="2"/>
      <c r="T39" s="6">
        <v>-39.770000000000003</v>
      </c>
      <c r="U39" s="2"/>
      <c r="V39" s="7">
        <f t="shared" si="34"/>
        <v>-2.9637954168857349E-4</v>
      </c>
      <c r="W39" s="2"/>
      <c r="X39" s="6">
        <f t="shared" si="35"/>
        <v>43.080000000000005</v>
      </c>
      <c r="Y39" s="2"/>
      <c r="Z39" s="7">
        <f t="shared" si="36"/>
        <v>-1.0832285642444053</v>
      </c>
    </row>
    <row r="40" spans="1:26" s="29" customFormat="1" outlineLevel="1" collapsed="1" x14ac:dyDescent="0.25">
      <c r="A40" s="27"/>
      <c r="B40" s="14" t="str">
        <f>CONCATENATE("     ","Bank/card Fees                                    ")</f>
        <v xml:space="preserve">     Bank/card Fees                                    </v>
      </c>
      <c r="C40" s="14"/>
      <c r="D40" s="1">
        <f>SUM(OSRRefD22_3x_0)</f>
        <v>144.06</v>
      </c>
      <c r="E40" s="1"/>
      <c r="F40" s="5">
        <f t="shared" si="29"/>
        <v>0</v>
      </c>
      <c r="G40" s="1"/>
      <c r="H40" s="1">
        <f>SUM(OSRRefH22_3x_0)</f>
        <v>2111.5500000000002</v>
      </c>
      <c r="I40" s="1"/>
      <c r="J40" s="5">
        <f t="shared" si="30"/>
        <v>3.392007870107247E-2</v>
      </c>
      <c r="K40" s="1"/>
      <c r="L40" s="1">
        <f t="shared" si="31"/>
        <v>-1967.4900000000002</v>
      </c>
      <c r="M40" s="1"/>
      <c r="N40" s="5">
        <f t="shared" si="32"/>
        <v>-0.93177523620089509</v>
      </c>
      <c r="O40" s="14"/>
      <c r="P40" s="1">
        <f>SUM(OSRRefP22_3x_0)</f>
        <v>194.24</v>
      </c>
      <c r="Q40" s="1"/>
      <c r="R40" s="5">
        <f t="shared" si="33"/>
        <v>7.8434222905991183E-2</v>
      </c>
      <c r="S40" s="1"/>
      <c r="T40" s="1">
        <f>SUM(OSRRefT22_3x_0)</f>
        <v>4545.5600000000004</v>
      </c>
      <c r="U40" s="1"/>
      <c r="V40" s="5">
        <f t="shared" si="34"/>
        <v>3.3875056311740308E-2</v>
      </c>
      <c r="W40" s="1"/>
      <c r="X40" s="1">
        <f t="shared" si="35"/>
        <v>-4351.3200000000006</v>
      </c>
      <c r="Y40" s="1"/>
      <c r="Z40" s="5">
        <f t="shared" si="36"/>
        <v>-0.95726819137796004</v>
      </c>
    </row>
    <row r="41" spans="1:26" s="24" customFormat="1" hidden="1" outlineLevel="2" x14ac:dyDescent="0.25">
      <c r="A41" s="28"/>
      <c r="B41" s="11" t="str">
        <f>CONCATENATE("          ", "6381", " - ", "BANK/CREDIT CARD FEES")</f>
        <v xml:space="preserve">          6381 - BANK/CREDIT CARD FEES</v>
      </c>
      <c r="C41" s="11"/>
      <c r="D41" s="6">
        <v>144.06</v>
      </c>
      <c r="E41" s="2"/>
      <c r="F41" s="7">
        <f t="shared" si="29"/>
        <v>0</v>
      </c>
      <c r="G41" s="2"/>
      <c r="H41" s="6">
        <v>2111.5500000000002</v>
      </c>
      <c r="I41" s="2"/>
      <c r="J41" s="7">
        <f t="shared" si="30"/>
        <v>3.392007870107247E-2</v>
      </c>
      <c r="K41" s="2"/>
      <c r="L41" s="6">
        <f t="shared" si="31"/>
        <v>-1967.4900000000002</v>
      </c>
      <c r="M41" s="2"/>
      <c r="N41" s="7">
        <f t="shared" si="32"/>
        <v>-0.93177523620089509</v>
      </c>
      <c r="O41" s="11"/>
      <c r="P41" s="6">
        <v>194.24</v>
      </c>
      <c r="Q41" s="2"/>
      <c r="R41" s="7">
        <f t="shared" si="33"/>
        <v>7.8434222905991183E-2</v>
      </c>
      <c r="S41" s="2"/>
      <c r="T41" s="6">
        <v>4545.5600000000004</v>
      </c>
      <c r="U41" s="2"/>
      <c r="V41" s="7">
        <f t="shared" si="34"/>
        <v>3.3875056311740308E-2</v>
      </c>
      <c r="W41" s="2"/>
      <c r="X41" s="6">
        <f t="shared" si="35"/>
        <v>-4351.3200000000006</v>
      </c>
      <c r="Y41" s="2"/>
      <c r="Z41" s="7">
        <f t="shared" si="36"/>
        <v>-0.95726819137796004</v>
      </c>
    </row>
    <row r="42" spans="1:26" s="29" customFormat="1" outlineLevel="1" collapsed="1" x14ac:dyDescent="0.25">
      <c r="A42" s="27"/>
      <c r="B42" s="14" t="str">
        <f>CONCATENATE("     ","Depreciation                                      ")</f>
        <v xml:space="preserve">     Depreciation                                      </v>
      </c>
      <c r="C42" s="14"/>
      <c r="D42" s="1">
        <f>SUM(OSRRefD22_4x_0)</f>
        <v>1075.3699999999999</v>
      </c>
      <c r="E42" s="1"/>
      <c r="F42" s="5">
        <f t="shared" si="29"/>
        <v>0</v>
      </c>
      <c r="G42" s="1"/>
      <c r="H42" s="1">
        <f>SUM(OSRRefH22_4x_0)</f>
        <v>968.86</v>
      </c>
      <c r="I42" s="1"/>
      <c r="J42" s="5">
        <f t="shared" si="30"/>
        <v>1.5563831048434121E-2</v>
      </c>
      <c r="K42" s="1"/>
      <c r="L42" s="1">
        <f t="shared" si="31"/>
        <v>106.50999999999988</v>
      </c>
      <c r="M42" s="1"/>
      <c r="N42" s="5">
        <f t="shared" si="32"/>
        <v>0.10993332370001845</v>
      </c>
      <c r="O42" s="14"/>
      <c r="P42" s="1">
        <f>SUM(OSRRefP22_4x_0)</f>
        <v>4301.4799999999996</v>
      </c>
      <c r="Q42" s="1"/>
      <c r="R42" s="5">
        <f t="shared" si="33"/>
        <v>1.7369400800332728</v>
      </c>
      <c r="S42" s="1"/>
      <c r="T42" s="1">
        <f>SUM(OSRRefT22_4x_0)</f>
        <v>3875.44</v>
      </c>
      <c r="U42" s="1"/>
      <c r="V42" s="5">
        <f t="shared" si="34"/>
        <v>2.8881094569815569E-2</v>
      </c>
      <c r="W42" s="1"/>
      <c r="X42" s="1">
        <f t="shared" si="35"/>
        <v>426.03999999999951</v>
      </c>
      <c r="Y42" s="1"/>
      <c r="Z42" s="5">
        <f t="shared" si="36"/>
        <v>0.10993332370001845</v>
      </c>
    </row>
    <row r="43" spans="1:26" s="24" customFormat="1" hidden="1" outlineLevel="2" x14ac:dyDescent="0.25">
      <c r="A43" s="28"/>
      <c r="B43" s="11" t="str">
        <f>CONCATENATE("          ", "6322", " - ", "EQUIPMENT DEPRECIATION EXPENSE")</f>
        <v xml:space="preserve">          6322 - EQUIPMENT DEPRECIATION EXPENSE</v>
      </c>
      <c r="C43" s="11"/>
      <c r="D43" s="6">
        <v>1075.3699999999999</v>
      </c>
      <c r="E43" s="2"/>
      <c r="F43" s="7">
        <f t="shared" si="29"/>
        <v>0</v>
      </c>
      <c r="G43" s="2"/>
      <c r="H43" s="6">
        <v>968.86</v>
      </c>
      <c r="I43" s="2"/>
      <c r="J43" s="7">
        <f t="shared" si="30"/>
        <v>1.5563831048434121E-2</v>
      </c>
      <c r="K43" s="2"/>
      <c r="L43" s="6">
        <f t="shared" si="31"/>
        <v>106.50999999999988</v>
      </c>
      <c r="M43" s="2"/>
      <c r="N43" s="7">
        <f t="shared" si="32"/>
        <v>0.10993332370001845</v>
      </c>
      <c r="O43" s="11"/>
      <c r="P43" s="6">
        <v>4301.4799999999996</v>
      </c>
      <c r="Q43" s="2"/>
      <c r="R43" s="7">
        <f t="shared" si="33"/>
        <v>1.7369400800332728</v>
      </c>
      <c r="S43" s="2"/>
      <c r="T43" s="6">
        <v>3875.44</v>
      </c>
      <c r="U43" s="2"/>
      <c r="V43" s="7">
        <f t="shared" si="34"/>
        <v>2.8881094569815569E-2</v>
      </c>
      <c r="W43" s="2"/>
      <c r="X43" s="6">
        <f t="shared" si="35"/>
        <v>426.03999999999951</v>
      </c>
      <c r="Y43" s="2"/>
      <c r="Z43" s="7">
        <f t="shared" si="36"/>
        <v>0.10993332370001845</v>
      </c>
    </row>
    <row r="44" spans="1:26" s="29" customFormat="1" outlineLevel="1" collapsed="1" x14ac:dyDescent="0.25">
      <c r="A44" s="27"/>
      <c r="B44" s="14" t="str">
        <f>CONCATENATE("     ","General                                           ")</f>
        <v xml:space="preserve">     General                                           </v>
      </c>
      <c r="C44" s="14"/>
      <c r="D44" s="1">
        <f>SUM(OSRRefD22_5x_0)</f>
        <v>0</v>
      </c>
      <c r="E44" s="1"/>
      <c r="F44" s="5">
        <f t="shared" si="29"/>
        <v>0</v>
      </c>
      <c r="G44" s="1"/>
      <c r="H44" s="1">
        <f>SUM(OSRRefH22_5x_0)</f>
        <v>284.89</v>
      </c>
      <c r="I44" s="1"/>
      <c r="J44" s="5">
        <f t="shared" si="30"/>
        <v>4.5764917814631592E-3</v>
      </c>
      <c r="K44" s="1"/>
      <c r="L44" s="1">
        <f t="shared" si="31"/>
        <v>-284.89</v>
      </c>
      <c r="M44" s="1"/>
      <c r="N44" s="5">
        <f t="shared" si="32"/>
        <v>-1</v>
      </c>
      <c r="O44" s="14"/>
      <c r="P44" s="1">
        <f>SUM(OSRRefP22_5x_0)</f>
        <v>754.55</v>
      </c>
      <c r="Q44" s="1"/>
      <c r="R44" s="5">
        <f t="shared" si="33"/>
        <v>0.3046877208284372</v>
      </c>
      <c r="S44" s="1"/>
      <c r="T44" s="1">
        <f>SUM(OSRRefT22_5x_0)</f>
        <v>1031.19</v>
      </c>
      <c r="U44" s="1"/>
      <c r="V44" s="5">
        <f t="shared" si="34"/>
        <v>7.6847779631340225E-3</v>
      </c>
      <c r="W44" s="1"/>
      <c r="X44" s="1">
        <f t="shared" si="35"/>
        <v>-276.6400000000001</v>
      </c>
      <c r="Y44" s="1"/>
      <c r="Z44" s="5">
        <f t="shared" si="36"/>
        <v>-0.26827257828334261</v>
      </c>
    </row>
    <row r="45" spans="1:26" s="24" customFormat="1" hidden="1" outlineLevel="2" x14ac:dyDescent="0.25">
      <c r="A45" s="28"/>
      <c r="B45" s="11" t="str">
        <f>CONCATENATE("          ", "6279", " - ", "GENERAL EXPENSE")</f>
        <v xml:space="preserve">          6279 - GENERAL EXPENSE</v>
      </c>
      <c r="C45" s="11"/>
      <c r="D45" s="6"/>
      <c r="E45" s="2"/>
      <c r="F45" s="7">
        <f t="shared" si="29"/>
        <v>0</v>
      </c>
      <c r="G45" s="2"/>
      <c r="H45" s="6">
        <v>284.89</v>
      </c>
      <c r="I45" s="2"/>
      <c r="J45" s="7">
        <f t="shared" si="30"/>
        <v>4.5764917814631592E-3</v>
      </c>
      <c r="K45" s="2"/>
      <c r="L45" s="6">
        <f t="shared" si="31"/>
        <v>-284.89</v>
      </c>
      <c r="M45" s="2"/>
      <c r="N45" s="7">
        <f t="shared" si="32"/>
        <v>-1</v>
      </c>
      <c r="O45" s="11"/>
      <c r="P45" s="6">
        <v>754.55</v>
      </c>
      <c r="Q45" s="2"/>
      <c r="R45" s="7">
        <f t="shared" si="33"/>
        <v>0.3046877208284372</v>
      </c>
      <c r="S45" s="2"/>
      <c r="T45" s="6">
        <v>1031.19</v>
      </c>
      <c r="U45" s="2"/>
      <c r="V45" s="7">
        <f t="shared" si="34"/>
        <v>7.6847779631340225E-3</v>
      </c>
      <c r="W45" s="2"/>
      <c r="X45" s="6">
        <f t="shared" si="35"/>
        <v>-276.6400000000001</v>
      </c>
      <c r="Y45" s="2"/>
      <c r="Z45" s="7">
        <f t="shared" si="36"/>
        <v>-0.26827257828334261</v>
      </c>
    </row>
    <row r="46" spans="1:26" s="29" customFormat="1" outlineLevel="1" collapsed="1" x14ac:dyDescent="0.25">
      <c r="A46" s="27"/>
      <c r="B46" s="14" t="str">
        <f>CONCATENATE("     ","Repair and Maintenance                            ")</f>
        <v xml:space="preserve">     Repair and Maintenance                            </v>
      </c>
      <c r="C46" s="14"/>
      <c r="D46" s="1">
        <f>SUM(OSRRefD22_6x_0)</f>
        <v>0</v>
      </c>
      <c r="E46" s="1"/>
      <c r="F46" s="5">
        <f t="shared" si="29"/>
        <v>0</v>
      </c>
      <c r="G46" s="1"/>
      <c r="H46" s="1">
        <f>SUM(OSRRefH22_6x_0)</f>
        <v>366.17999999999995</v>
      </c>
      <c r="I46" s="1"/>
      <c r="J46" s="5">
        <f t="shared" si="30"/>
        <v>5.8823397119455913E-3</v>
      </c>
      <c r="K46" s="1"/>
      <c r="L46" s="1">
        <f t="shared" si="31"/>
        <v>-366.17999999999995</v>
      </c>
      <c r="M46" s="1"/>
      <c r="N46" s="5">
        <f t="shared" si="32"/>
        <v>-1</v>
      </c>
      <c r="O46" s="14"/>
      <c r="P46" s="1">
        <f>SUM(OSRRefP22_6x_0)</f>
        <v>444.39</v>
      </c>
      <c r="Q46" s="1"/>
      <c r="R46" s="5">
        <f t="shared" si="33"/>
        <v>0.17944493573513912</v>
      </c>
      <c r="S46" s="1"/>
      <c r="T46" s="1">
        <f>SUM(OSRRefT22_6x_0)</f>
        <v>839.91</v>
      </c>
      <c r="U46" s="1"/>
      <c r="V46" s="5">
        <f t="shared" si="34"/>
        <v>6.2592944646630557E-3</v>
      </c>
      <c r="W46" s="1"/>
      <c r="X46" s="1">
        <f t="shared" si="35"/>
        <v>-395.52</v>
      </c>
      <c r="Y46" s="1"/>
      <c r="Z46" s="5">
        <f t="shared" si="36"/>
        <v>-0.4709075972425617</v>
      </c>
    </row>
    <row r="47" spans="1:26" s="24" customFormat="1" hidden="1" outlineLevel="2" x14ac:dyDescent="0.25">
      <c r="A47" s="28"/>
      <c r="B47" s="11" t="str">
        <f>CONCATENATE("          ", "6371", " - ", "COMPUTER SOFTWARE MAINTENANCE")</f>
        <v xml:space="preserve">          6371 - COMPUTER SOFTWARE MAINTENANCE</v>
      </c>
      <c r="C47" s="11"/>
      <c r="D47" s="6"/>
      <c r="E47" s="2"/>
      <c r="F47" s="7">
        <f t="shared" si="29"/>
        <v>0</v>
      </c>
      <c r="G47" s="2"/>
      <c r="H47" s="6"/>
      <c r="I47" s="2"/>
      <c r="J47" s="7">
        <f t="shared" si="30"/>
        <v>0</v>
      </c>
      <c r="K47" s="2"/>
      <c r="L47" s="6">
        <f t="shared" si="31"/>
        <v>0</v>
      </c>
      <c r="M47" s="2"/>
      <c r="N47" s="7">
        <f t="shared" si="32"/>
        <v>0</v>
      </c>
      <c r="O47" s="11"/>
      <c r="P47" s="6"/>
      <c r="Q47" s="2"/>
      <c r="R47" s="7">
        <f t="shared" si="33"/>
        <v>0</v>
      </c>
      <c r="S47" s="2"/>
      <c r="T47" s="6">
        <v>437.31</v>
      </c>
      <c r="U47" s="2"/>
      <c r="V47" s="7">
        <f t="shared" si="34"/>
        <v>3.258982584255219E-3</v>
      </c>
      <c r="W47" s="2"/>
      <c r="X47" s="6">
        <f t="shared" si="35"/>
        <v>-437.31</v>
      </c>
      <c r="Y47" s="2"/>
      <c r="Z47" s="7">
        <f t="shared" si="36"/>
        <v>-1</v>
      </c>
    </row>
    <row r="48" spans="1:26" s="24" customFormat="1" hidden="1" outlineLevel="2" x14ac:dyDescent="0.25">
      <c r="A48" s="28"/>
      <c r="B48" s="11" t="str">
        <f>CONCATENATE("          ", "6373", " - ", "MAINTENANCE CONTRACTS")</f>
        <v xml:space="preserve">          6373 - MAINTENANCE CONTRACTS</v>
      </c>
      <c r="C48" s="11"/>
      <c r="D48" s="6"/>
      <c r="E48" s="2"/>
      <c r="F48" s="7">
        <f t="shared" si="29"/>
        <v>0</v>
      </c>
      <c r="G48" s="2"/>
      <c r="H48" s="6">
        <v>45.65</v>
      </c>
      <c r="I48" s="2"/>
      <c r="J48" s="7">
        <f t="shared" si="30"/>
        <v>7.333246159001482E-4</v>
      </c>
      <c r="K48" s="2"/>
      <c r="L48" s="6">
        <f t="shared" si="31"/>
        <v>-45.65</v>
      </c>
      <c r="M48" s="2"/>
      <c r="N48" s="7">
        <f t="shared" si="32"/>
        <v>-1</v>
      </c>
      <c r="O48" s="11"/>
      <c r="P48" s="6">
        <v>126.83</v>
      </c>
      <c r="Q48" s="2"/>
      <c r="R48" s="7">
        <f t="shared" si="33"/>
        <v>5.1214026416633349E-2</v>
      </c>
      <c r="S48" s="2"/>
      <c r="T48" s="6">
        <v>45.65</v>
      </c>
      <c r="U48" s="2"/>
      <c r="V48" s="7">
        <f t="shared" si="34"/>
        <v>3.4019929791509625E-4</v>
      </c>
      <c r="W48" s="2"/>
      <c r="X48" s="6">
        <f t="shared" si="35"/>
        <v>81.180000000000007</v>
      </c>
      <c r="Y48" s="2"/>
      <c r="Z48" s="7">
        <f t="shared" si="36"/>
        <v>1.7783132530120485</v>
      </c>
    </row>
    <row r="49" spans="1:26" s="24" customFormat="1" hidden="1" outlineLevel="2" x14ac:dyDescent="0.25">
      <c r="A49" s="28"/>
      <c r="B49" s="11" t="str">
        <f>CONCATENATE("          ", "6375", " - ", "OUTSIDE REPAIRS &amp; MAINTENANCE")</f>
        <v xml:space="preserve">          6375 - OUTSIDE REPAIRS &amp; MAINTENANCE</v>
      </c>
      <c r="C49" s="11"/>
      <c r="D49" s="6"/>
      <c r="E49" s="2"/>
      <c r="F49" s="7">
        <f t="shared" si="29"/>
        <v>0</v>
      </c>
      <c r="G49" s="2"/>
      <c r="H49" s="6">
        <v>320.52999999999997</v>
      </c>
      <c r="I49" s="2"/>
      <c r="J49" s="7">
        <f t="shared" si="30"/>
        <v>5.149015096045444E-3</v>
      </c>
      <c r="K49" s="2"/>
      <c r="L49" s="6">
        <f t="shared" si="31"/>
        <v>-320.52999999999997</v>
      </c>
      <c r="M49" s="2"/>
      <c r="N49" s="7">
        <f t="shared" si="32"/>
        <v>-1</v>
      </c>
      <c r="O49" s="11"/>
      <c r="P49" s="6">
        <v>317.56</v>
      </c>
      <c r="Q49" s="2"/>
      <c r="R49" s="7">
        <f t="shared" si="33"/>
        <v>0.12823090931850575</v>
      </c>
      <c r="S49" s="2"/>
      <c r="T49" s="6">
        <v>356.95</v>
      </c>
      <c r="U49" s="2"/>
      <c r="V49" s="7">
        <f t="shared" si="34"/>
        <v>2.6601125824927407E-3</v>
      </c>
      <c r="W49" s="2"/>
      <c r="X49" s="6">
        <f t="shared" si="35"/>
        <v>-39.389999999999986</v>
      </c>
      <c r="Y49" s="2"/>
      <c r="Z49" s="7">
        <f t="shared" si="36"/>
        <v>-0.11035158985852357</v>
      </c>
    </row>
    <row r="50" spans="1:26" s="29" customFormat="1" outlineLevel="1" collapsed="1" x14ac:dyDescent="0.25">
      <c r="A50" s="27"/>
      <c r="B50" s="14" t="str">
        <f>CONCATENATE("     ","Royalty &amp; Commissions                             ")</f>
        <v xml:space="preserve">     Royalty &amp; Commissions                             </v>
      </c>
      <c r="C50" s="14"/>
      <c r="D50" s="1">
        <f>SUM(OSRRefD22_7x_0)</f>
        <v>185.7</v>
      </c>
      <c r="E50" s="1"/>
      <c r="F50" s="5">
        <f t="shared" ref="F50:F55" si="37">IF(D$12=0,0,D50/D$12)</f>
        <v>0</v>
      </c>
      <c r="G50" s="1"/>
      <c r="H50" s="1">
        <f>SUM(OSRRefH22_7x_0)</f>
        <v>0</v>
      </c>
      <c r="I50" s="1"/>
      <c r="J50" s="5">
        <f t="shared" ref="J50:J55" si="38">IF(H$12=0,0,H50/H$12)</f>
        <v>0</v>
      </c>
      <c r="K50" s="1"/>
      <c r="L50" s="1">
        <f t="shared" ref="L50:L55" si="39">+D50-H50</f>
        <v>185.7</v>
      </c>
      <c r="M50" s="1"/>
      <c r="N50" s="5">
        <f t="shared" ref="N50:N55" si="40">IF(H50=0,0,L50/H50)</f>
        <v>0</v>
      </c>
      <c r="O50" s="14"/>
      <c r="P50" s="1">
        <f>SUM(OSRRefP22_7x_0)</f>
        <v>185.7</v>
      </c>
      <c r="Q50" s="1"/>
      <c r="R50" s="5">
        <f t="shared" ref="R50:R55" si="41">IF(P$12=0,0,P50/P$12)</f>
        <v>7.4985766029873155E-2</v>
      </c>
      <c r="S50" s="1"/>
      <c r="T50" s="1">
        <f>SUM(OSRRefT22_7x_0)</f>
        <v>5673.45</v>
      </c>
      <c r="U50" s="1"/>
      <c r="V50" s="5">
        <f t="shared" ref="V50:V55" si="42">IF(T$12=0,0,T50/T$12)</f>
        <v>4.2280475503973777E-2</v>
      </c>
      <c r="W50" s="1"/>
      <c r="X50" s="1">
        <f t="shared" ref="X50:X55" si="43">+P50-T50</f>
        <v>-5487.75</v>
      </c>
      <c r="Y50" s="1"/>
      <c r="Z50" s="5">
        <f t="shared" ref="Z50:Z55" si="44">IF(T50=0,0,X50/T50)</f>
        <v>-0.96726859318404146</v>
      </c>
    </row>
    <row r="51" spans="1:26" s="24" customFormat="1" hidden="1" outlineLevel="2" x14ac:dyDescent="0.25">
      <c r="A51" s="28"/>
      <c r="B51" s="11" t="str">
        <f>CONCATENATE("          ", "6254", " - ", "ROYALTY &amp; COMMISSIONS")</f>
        <v xml:space="preserve">          6254 - ROYALTY &amp; COMMISSIONS</v>
      </c>
      <c r="C51" s="11"/>
      <c r="D51" s="6">
        <v>185.7</v>
      </c>
      <c r="E51" s="2"/>
      <c r="F51" s="7">
        <f t="shared" si="37"/>
        <v>0</v>
      </c>
      <c r="G51" s="2"/>
      <c r="H51" s="6"/>
      <c r="I51" s="2"/>
      <c r="J51" s="7">
        <f t="shared" si="38"/>
        <v>0</v>
      </c>
      <c r="K51" s="2"/>
      <c r="L51" s="6">
        <f t="shared" si="39"/>
        <v>185.7</v>
      </c>
      <c r="M51" s="2"/>
      <c r="N51" s="7">
        <f t="shared" si="40"/>
        <v>0</v>
      </c>
      <c r="O51" s="11"/>
      <c r="P51" s="6">
        <v>185.7</v>
      </c>
      <c r="Q51" s="2"/>
      <c r="R51" s="7">
        <f t="shared" si="41"/>
        <v>7.4985766029873155E-2</v>
      </c>
      <c r="S51" s="2"/>
      <c r="T51" s="6">
        <v>5673.45</v>
      </c>
      <c r="U51" s="2"/>
      <c r="V51" s="7">
        <f t="shared" si="42"/>
        <v>4.2280475503973777E-2</v>
      </c>
      <c r="W51" s="2"/>
      <c r="X51" s="6">
        <f t="shared" si="43"/>
        <v>-5487.75</v>
      </c>
      <c r="Y51" s="2"/>
      <c r="Z51" s="7">
        <f t="shared" si="44"/>
        <v>-0.96726859318404146</v>
      </c>
    </row>
    <row r="52" spans="1:26" s="29" customFormat="1" outlineLevel="1" collapsed="1" x14ac:dyDescent="0.25">
      <c r="A52" s="27"/>
      <c r="B52" s="14" t="str">
        <f>CONCATENATE("     ","Services                                          ")</f>
        <v xml:space="preserve">     Services                                          </v>
      </c>
      <c r="C52" s="14"/>
      <c r="D52" s="1">
        <f>SUM(OSRRefD22_8x_0)</f>
        <v>0</v>
      </c>
      <c r="E52" s="1"/>
      <c r="F52" s="5">
        <f t="shared" si="37"/>
        <v>0</v>
      </c>
      <c r="G52" s="1"/>
      <c r="H52" s="1">
        <f>SUM(OSRRefH22_8x_0)</f>
        <v>244.22</v>
      </c>
      <c r="I52" s="1"/>
      <c r="J52" s="5">
        <f t="shared" si="38"/>
        <v>3.9231662145703004E-3</v>
      </c>
      <c r="K52" s="1"/>
      <c r="L52" s="1">
        <f t="shared" si="39"/>
        <v>-244.22</v>
      </c>
      <c r="M52" s="1"/>
      <c r="N52" s="5">
        <f t="shared" si="40"/>
        <v>-1</v>
      </c>
      <c r="O52" s="14"/>
      <c r="P52" s="1">
        <f>SUM(OSRRefP22_8x_0)</f>
        <v>-104.32</v>
      </c>
      <c r="Q52" s="1"/>
      <c r="R52" s="5">
        <f t="shared" si="41"/>
        <v>-4.2124475564008439E-2</v>
      </c>
      <c r="S52" s="1"/>
      <c r="T52" s="1">
        <f>SUM(OSRRefT22_8x_0)</f>
        <v>807.76</v>
      </c>
      <c r="U52" s="1"/>
      <c r="V52" s="5">
        <f t="shared" si="42"/>
        <v>6.0197017499210989E-3</v>
      </c>
      <c r="W52" s="1"/>
      <c r="X52" s="1">
        <f t="shared" si="43"/>
        <v>-912.07999999999993</v>
      </c>
      <c r="Y52" s="1"/>
      <c r="Z52" s="5">
        <f t="shared" si="44"/>
        <v>-1.1291472714667723</v>
      </c>
    </row>
    <row r="53" spans="1:26" s="24" customFormat="1" hidden="1" outlineLevel="2" x14ac:dyDescent="0.25">
      <c r="A53" s="28"/>
      <c r="B53" s="11" t="str">
        <f>CONCATENATE("          ", "6282", " - ", "JANITORIAL/EXTERMINATOR EXPENS")</f>
        <v xml:space="preserve">          6282 - JANITORIAL/EXTERMINATOR EXPENS</v>
      </c>
      <c r="C53" s="11"/>
      <c r="D53" s="6"/>
      <c r="E53" s="2"/>
      <c r="F53" s="7">
        <f t="shared" si="37"/>
        <v>0</v>
      </c>
      <c r="G53" s="2"/>
      <c r="H53" s="6"/>
      <c r="I53" s="2"/>
      <c r="J53" s="7">
        <f t="shared" si="38"/>
        <v>0</v>
      </c>
      <c r="K53" s="2"/>
      <c r="L53" s="6">
        <f t="shared" si="39"/>
        <v>0</v>
      </c>
      <c r="M53" s="2"/>
      <c r="N53" s="7">
        <f t="shared" si="40"/>
        <v>0</v>
      </c>
      <c r="O53" s="11"/>
      <c r="P53" s="6">
        <v>41</v>
      </c>
      <c r="Q53" s="2"/>
      <c r="R53" s="7">
        <f t="shared" si="41"/>
        <v>1.6555823409934299E-2</v>
      </c>
      <c r="S53" s="2"/>
      <c r="T53" s="6">
        <v>41</v>
      </c>
      <c r="U53" s="2"/>
      <c r="V53" s="7">
        <f t="shared" si="42"/>
        <v>3.0554591926657058E-4</v>
      </c>
      <c r="W53" s="2"/>
      <c r="X53" s="6">
        <f t="shared" si="43"/>
        <v>0</v>
      </c>
      <c r="Y53" s="2"/>
      <c r="Z53" s="7">
        <f t="shared" si="44"/>
        <v>0</v>
      </c>
    </row>
    <row r="54" spans="1:26" s="24" customFormat="1" hidden="1" outlineLevel="2" x14ac:dyDescent="0.25">
      <c r="A54" s="28"/>
      <c r="B54" s="11" t="str">
        <f>CONCATENATE("          ", "6285", " - ", "JANITORIAL SERVICES")</f>
        <v xml:space="preserve">          6285 - JANITORIAL SERVICES</v>
      </c>
      <c r="C54" s="11"/>
      <c r="D54" s="6"/>
      <c r="E54" s="2"/>
      <c r="F54" s="7">
        <f t="shared" si="37"/>
        <v>0</v>
      </c>
      <c r="G54" s="2"/>
      <c r="H54" s="6">
        <v>22.62</v>
      </c>
      <c r="I54" s="2"/>
      <c r="J54" s="7">
        <f t="shared" si="38"/>
        <v>3.6336917440660141E-4</v>
      </c>
      <c r="K54" s="2"/>
      <c r="L54" s="6">
        <f t="shared" si="39"/>
        <v>-22.62</v>
      </c>
      <c r="M54" s="2"/>
      <c r="N54" s="7">
        <f t="shared" si="40"/>
        <v>-1</v>
      </c>
      <c r="O54" s="11"/>
      <c r="P54" s="6">
        <v>-145.32</v>
      </c>
      <c r="Q54" s="2"/>
      <c r="R54" s="7">
        <f t="shared" si="41"/>
        <v>-5.8680298973942738E-2</v>
      </c>
      <c r="S54" s="2"/>
      <c r="T54" s="6">
        <v>90.48</v>
      </c>
      <c r="U54" s="2"/>
      <c r="V54" s="7">
        <f t="shared" si="42"/>
        <v>6.7428767744486114E-4</v>
      </c>
      <c r="W54" s="2"/>
      <c r="X54" s="6">
        <f t="shared" si="43"/>
        <v>-235.8</v>
      </c>
      <c r="Y54" s="2"/>
      <c r="Z54" s="7">
        <f t="shared" si="44"/>
        <v>-2.6061007957559683</v>
      </c>
    </row>
    <row r="55" spans="1:26" s="24" customFormat="1" hidden="1" outlineLevel="2" x14ac:dyDescent="0.25">
      <c r="A55" s="28"/>
      <c r="B55" s="11" t="str">
        <f>CONCATENATE("          ", "6286", " - ", "LAUNDRY EXPENSE")</f>
        <v xml:space="preserve">          6286 - LAUNDRY EXPENSE</v>
      </c>
      <c r="C55" s="11"/>
      <c r="D55" s="6"/>
      <c r="E55" s="2"/>
      <c r="F55" s="7">
        <f t="shared" si="37"/>
        <v>0</v>
      </c>
      <c r="G55" s="2"/>
      <c r="H55" s="6">
        <v>221.6</v>
      </c>
      <c r="I55" s="2"/>
      <c r="J55" s="7">
        <f t="shared" si="38"/>
        <v>3.5597970401636987E-3</v>
      </c>
      <c r="K55" s="2"/>
      <c r="L55" s="6">
        <f t="shared" si="39"/>
        <v>-221.6</v>
      </c>
      <c r="M55" s="2"/>
      <c r="N55" s="7">
        <f t="shared" si="40"/>
        <v>-1</v>
      </c>
      <c r="O55" s="11"/>
      <c r="P55" s="6"/>
      <c r="Q55" s="2"/>
      <c r="R55" s="7">
        <f t="shared" si="41"/>
        <v>0</v>
      </c>
      <c r="S55" s="2"/>
      <c r="T55" s="6">
        <v>676.28</v>
      </c>
      <c r="U55" s="2"/>
      <c r="V55" s="7">
        <f t="shared" si="42"/>
        <v>5.0398681532096666E-3</v>
      </c>
      <c r="W55" s="2"/>
      <c r="X55" s="6">
        <f t="shared" si="43"/>
        <v>-676.28</v>
      </c>
      <c r="Y55" s="2"/>
      <c r="Z55" s="7">
        <f t="shared" si="44"/>
        <v>-1</v>
      </c>
    </row>
    <row r="56" spans="1:26" s="29" customFormat="1" outlineLevel="1" collapsed="1" x14ac:dyDescent="0.25">
      <c r="A56" s="27"/>
      <c r="B56" s="14" t="str">
        <f>CONCATENATE("     ","Supplies                                          ")</f>
        <v xml:space="preserve">     Supplies                                          </v>
      </c>
      <c r="C56" s="14"/>
      <c r="D56" s="1">
        <f>SUM(OSRRefD22_9x_0)</f>
        <v>41</v>
      </c>
      <c r="E56" s="1"/>
      <c r="F56" s="5">
        <f t="shared" ref="F56:F60" si="45">IF(D$12=0,0,D56/D$12)</f>
        <v>0</v>
      </c>
      <c r="G56" s="1"/>
      <c r="H56" s="1">
        <f>SUM(OSRRefH22_9x_0)</f>
        <v>1446</v>
      </c>
      <c r="I56" s="1"/>
      <c r="J56" s="5">
        <f t="shared" ref="J56:J60" si="46">IF(H$12=0,0,H56/H$12)</f>
        <v>2.3228639531032078E-2</v>
      </c>
      <c r="K56" s="1"/>
      <c r="L56" s="1">
        <f t="shared" ref="L56:L60" si="47">+D56-H56</f>
        <v>-1405</v>
      </c>
      <c r="M56" s="1"/>
      <c r="N56" s="5">
        <f t="shared" ref="N56:N60" si="48">IF(H56=0,0,L56/H56)</f>
        <v>-0.97164591977869985</v>
      </c>
      <c r="O56" s="14"/>
      <c r="P56" s="1">
        <f>SUM(OSRRefP22_9x_0)</f>
        <v>328.55</v>
      </c>
      <c r="Q56" s="1"/>
      <c r="R56" s="5">
        <f t="shared" ref="R56:R60" si="49">IF(P$12=0,0,P56/P$12)</f>
        <v>0.13266867759351011</v>
      </c>
      <c r="S56" s="1"/>
      <c r="T56" s="1">
        <f>SUM(OSRRefT22_9x_0)</f>
        <v>4939.62</v>
      </c>
      <c r="U56" s="1"/>
      <c r="V56" s="5">
        <f t="shared" ref="V56:V60" si="50">IF(T$12=0,0,T56/T$12)</f>
        <v>3.6811725212866762E-2</v>
      </c>
      <c r="W56" s="1"/>
      <c r="X56" s="1">
        <f t="shared" ref="X56:X60" si="51">+P56-T56</f>
        <v>-4611.07</v>
      </c>
      <c r="Y56" s="1"/>
      <c r="Z56" s="5">
        <f t="shared" ref="Z56:Z60" si="52">IF(T56=0,0,X56/T56)</f>
        <v>-0.93348678643296445</v>
      </c>
    </row>
    <row r="57" spans="1:26" s="24" customFormat="1" hidden="1" outlineLevel="2" x14ac:dyDescent="0.25">
      <c r="A57" s="28"/>
      <c r="B57" s="11" t="str">
        <f>CONCATENATE("          ", "6234", " - ", "EXPENDABLE SUPPLIES &amp; EQUIPMEN")</f>
        <v xml:space="preserve">          6234 - EXPENDABLE SUPPLIES &amp; EQUIPMEN</v>
      </c>
      <c r="C57" s="11"/>
      <c r="D57" s="6"/>
      <c r="E57" s="2"/>
      <c r="F57" s="7">
        <f t="shared" si="45"/>
        <v>0</v>
      </c>
      <c r="G57" s="2"/>
      <c r="H57" s="6"/>
      <c r="I57" s="2"/>
      <c r="J57" s="7">
        <f t="shared" si="46"/>
        <v>0</v>
      </c>
      <c r="K57" s="2"/>
      <c r="L57" s="6">
        <f t="shared" si="47"/>
        <v>0</v>
      </c>
      <c r="M57" s="2"/>
      <c r="N57" s="7">
        <f t="shared" si="48"/>
        <v>0</v>
      </c>
      <c r="O57" s="11"/>
      <c r="P57" s="6"/>
      <c r="Q57" s="2"/>
      <c r="R57" s="7">
        <f t="shared" si="49"/>
        <v>0</v>
      </c>
      <c r="S57" s="2"/>
      <c r="T57" s="6">
        <v>354.71</v>
      </c>
      <c r="U57" s="2"/>
      <c r="V57" s="7">
        <f t="shared" si="50"/>
        <v>2.6434193420254936E-3</v>
      </c>
      <c r="W57" s="2"/>
      <c r="X57" s="6">
        <f t="shared" si="51"/>
        <v>-354.71</v>
      </c>
      <c r="Y57" s="2"/>
      <c r="Z57" s="7">
        <f t="shared" si="52"/>
        <v>-1</v>
      </c>
    </row>
    <row r="58" spans="1:26" s="24" customFormat="1" hidden="1" outlineLevel="2" x14ac:dyDescent="0.25">
      <c r="A58" s="28"/>
      <c r="B58" s="11" t="str">
        <f>CONCATENATE("          ", "6235", " - ", "COVID-19 EXPENSES")</f>
        <v xml:space="preserve">          6235 - COVID-19 EXPENSES</v>
      </c>
      <c r="C58" s="11"/>
      <c r="D58" s="6"/>
      <c r="E58" s="2"/>
      <c r="F58" s="7">
        <f t="shared" si="45"/>
        <v>0</v>
      </c>
      <c r="G58" s="2"/>
      <c r="H58" s="6"/>
      <c r="I58" s="2"/>
      <c r="J58" s="7">
        <f t="shared" si="46"/>
        <v>0</v>
      </c>
      <c r="K58" s="2"/>
      <c r="L58" s="6">
        <f t="shared" si="47"/>
        <v>0</v>
      </c>
      <c r="M58" s="2"/>
      <c r="N58" s="7">
        <f t="shared" si="48"/>
        <v>0</v>
      </c>
      <c r="O58" s="11"/>
      <c r="P58" s="6">
        <v>207.27</v>
      </c>
      <c r="Q58" s="2"/>
      <c r="R58" s="7">
        <f t="shared" si="49"/>
        <v>8.3695744345782502E-2</v>
      </c>
      <c r="S58" s="2"/>
      <c r="T58" s="6"/>
      <c r="U58" s="2"/>
      <c r="V58" s="7">
        <f t="shared" si="50"/>
        <v>0</v>
      </c>
      <c r="W58" s="2"/>
      <c r="X58" s="6">
        <f t="shared" si="51"/>
        <v>207.27</v>
      </c>
      <c r="Y58" s="2"/>
      <c r="Z58" s="7">
        <f t="shared" si="52"/>
        <v>0</v>
      </c>
    </row>
    <row r="59" spans="1:26" s="24" customFormat="1" hidden="1" outlineLevel="2" x14ac:dyDescent="0.25">
      <c r="A59" s="28"/>
      <c r="B59" s="11" t="str">
        <f>CONCATENATE("          ", "6237", " - ", "JANITORIAL SUPPLIES")</f>
        <v xml:space="preserve">          6237 - JANITORIAL SUPPLIES</v>
      </c>
      <c r="C59" s="11"/>
      <c r="D59" s="6"/>
      <c r="E59" s="2"/>
      <c r="F59" s="7">
        <f t="shared" si="45"/>
        <v>0</v>
      </c>
      <c r="G59" s="2"/>
      <c r="H59" s="6"/>
      <c r="I59" s="2"/>
      <c r="J59" s="7">
        <f t="shared" si="46"/>
        <v>0</v>
      </c>
      <c r="K59" s="2"/>
      <c r="L59" s="6">
        <f t="shared" si="47"/>
        <v>0</v>
      </c>
      <c r="M59" s="2"/>
      <c r="N59" s="7">
        <f t="shared" si="48"/>
        <v>0</v>
      </c>
      <c r="O59" s="11"/>
      <c r="P59" s="6"/>
      <c r="Q59" s="2"/>
      <c r="R59" s="7">
        <f t="shared" si="49"/>
        <v>0</v>
      </c>
      <c r="S59" s="2"/>
      <c r="T59" s="6">
        <v>20.93</v>
      </c>
      <c r="U59" s="2"/>
      <c r="V59" s="7">
        <f t="shared" si="50"/>
        <v>1.5597746561583713E-4</v>
      </c>
      <c r="W59" s="2"/>
      <c r="X59" s="6">
        <f t="shared" si="51"/>
        <v>-20.93</v>
      </c>
      <c r="Y59" s="2"/>
      <c r="Z59" s="7">
        <f t="shared" si="52"/>
        <v>-1</v>
      </c>
    </row>
    <row r="60" spans="1:26" s="24" customFormat="1" hidden="1" outlineLevel="2" x14ac:dyDescent="0.25">
      <c r="A60" s="28"/>
      <c r="B60" s="11" t="str">
        <f>CONCATENATE("          ", "6247", " - ", "STORE SUPPLIES")</f>
        <v xml:space="preserve">          6247 - STORE SUPPLIES</v>
      </c>
      <c r="C60" s="11"/>
      <c r="D60" s="6">
        <v>41</v>
      </c>
      <c r="E60" s="2"/>
      <c r="F60" s="7">
        <f t="shared" si="45"/>
        <v>0</v>
      </c>
      <c r="G60" s="2"/>
      <c r="H60" s="6">
        <v>1446</v>
      </c>
      <c r="I60" s="2"/>
      <c r="J60" s="7">
        <f t="shared" si="46"/>
        <v>2.3228639531032078E-2</v>
      </c>
      <c r="K60" s="2"/>
      <c r="L60" s="6">
        <f t="shared" si="47"/>
        <v>-1405</v>
      </c>
      <c r="M60" s="2"/>
      <c r="N60" s="7">
        <f t="shared" si="48"/>
        <v>-0.97164591977869985</v>
      </c>
      <c r="O60" s="11"/>
      <c r="P60" s="6">
        <v>121.28</v>
      </c>
      <c r="Q60" s="2"/>
      <c r="R60" s="7">
        <f t="shared" si="49"/>
        <v>4.8972933247727606E-2</v>
      </c>
      <c r="S60" s="2"/>
      <c r="T60" s="6">
        <v>4563.9799999999996</v>
      </c>
      <c r="U60" s="2"/>
      <c r="V60" s="7">
        <f t="shared" si="50"/>
        <v>3.4012328405225431E-2</v>
      </c>
      <c r="W60" s="2"/>
      <c r="X60" s="6">
        <f t="shared" si="51"/>
        <v>-4442.7</v>
      </c>
      <c r="Y60" s="2"/>
      <c r="Z60" s="7">
        <f t="shared" si="52"/>
        <v>-0.9734267021327877</v>
      </c>
    </row>
    <row r="61" spans="1:26" s="29" customFormat="1" outlineLevel="1" collapsed="1" x14ac:dyDescent="0.25">
      <c r="A61" s="27"/>
      <c r="B61" s="14" t="str">
        <f>CONCATENATE("     ","Telephone/Data Lines                              ")</f>
        <v xml:space="preserve">     Telephone/Data Lines                              </v>
      </c>
      <c r="C61" s="14"/>
      <c r="D61" s="1">
        <f>SUM(OSRRefD22_10x_0)</f>
        <v>101.5</v>
      </c>
      <c r="E61" s="1"/>
      <c r="F61" s="5">
        <f t="shared" ref="F61:F64" si="53">IF(D$12=0,0,D61/D$12)</f>
        <v>0</v>
      </c>
      <c r="G61" s="1"/>
      <c r="H61" s="1">
        <f>SUM(OSRRefH22_10x_0)</f>
        <v>52.5</v>
      </c>
      <c r="I61" s="1"/>
      <c r="J61" s="5">
        <f t="shared" ref="J61:J64" si="54">IF(H$12=0,0,H61/H$12)</f>
        <v>8.4336346845033481E-4</v>
      </c>
      <c r="K61" s="1"/>
      <c r="L61" s="1">
        <f t="shared" ref="L61:L64" si="55">+D61-H61</f>
        <v>49</v>
      </c>
      <c r="M61" s="1"/>
      <c r="N61" s="5">
        <f t="shared" ref="N61:N64" si="56">IF(H61=0,0,L61/H61)</f>
        <v>0.93333333333333335</v>
      </c>
      <c r="O61" s="14"/>
      <c r="P61" s="1">
        <f>SUM(OSRRefP22_10x_0)</f>
        <v>429.5</v>
      </c>
      <c r="Q61" s="1"/>
      <c r="R61" s="5">
        <f t="shared" ref="R61:R64" si="57">IF(P$12=0,0,P61/P$12)</f>
        <v>0.17343234523333614</v>
      </c>
      <c r="S61" s="1"/>
      <c r="T61" s="1">
        <f>SUM(OSRRefT22_10x_0)</f>
        <v>225</v>
      </c>
      <c r="U61" s="1"/>
      <c r="V61" s="5">
        <f t="shared" ref="V61:V64" si="58">IF(T$12=0,0,T61/T$12)</f>
        <v>1.676776386218985E-3</v>
      </c>
      <c r="W61" s="1"/>
      <c r="X61" s="1">
        <f t="shared" ref="X61:X64" si="59">+P61-T61</f>
        <v>204.5</v>
      </c>
      <c r="Y61" s="1"/>
      <c r="Z61" s="5">
        <f t="shared" ref="Z61:Z64" si="60">IF(T61=0,0,X61/T61)</f>
        <v>0.90888888888888886</v>
      </c>
    </row>
    <row r="62" spans="1:26" s="24" customFormat="1" hidden="1" outlineLevel="2" x14ac:dyDescent="0.25">
      <c r="A62" s="28"/>
      <c r="B62" s="11" t="str">
        <f>CONCATENATE("          ", "6309", " - ", "TELEPHONE")</f>
        <v xml:space="preserve">          6309 - TELEPHONE</v>
      </c>
      <c r="C62" s="11"/>
      <c r="D62" s="6">
        <v>101.5</v>
      </c>
      <c r="E62" s="2"/>
      <c r="F62" s="7">
        <f t="shared" si="53"/>
        <v>0</v>
      </c>
      <c r="G62" s="2"/>
      <c r="H62" s="6">
        <v>52.5</v>
      </c>
      <c r="I62" s="2"/>
      <c r="J62" s="7">
        <f t="shared" si="54"/>
        <v>8.4336346845033481E-4</v>
      </c>
      <c r="K62" s="2"/>
      <c r="L62" s="6">
        <f t="shared" si="55"/>
        <v>49</v>
      </c>
      <c r="M62" s="2"/>
      <c r="N62" s="7">
        <f t="shared" si="56"/>
        <v>0.93333333333333335</v>
      </c>
      <c r="O62" s="11"/>
      <c r="P62" s="6">
        <v>429.5</v>
      </c>
      <c r="Q62" s="2"/>
      <c r="R62" s="7">
        <f t="shared" si="57"/>
        <v>0.17343234523333614</v>
      </c>
      <c r="S62" s="2"/>
      <c r="T62" s="6">
        <v>225</v>
      </c>
      <c r="U62" s="2"/>
      <c r="V62" s="7">
        <f t="shared" si="58"/>
        <v>1.676776386218985E-3</v>
      </c>
      <c r="W62" s="2"/>
      <c r="X62" s="6">
        <f t="shared" si="59"/>
        <v>204.5</v>
      </c>
      <c r="Y62" s="2"/>
      <c r="Z62" s="7">
        <f t="shared" si="60"/>
        <v>0.90888888888888886</v>
      </c>
    </row>
    <row r="63" spans="1:26" s="29" customFormat="1" outlineLevel="1" collapsed="1" x14ac:dyDescent="0.25">
      <c r="A63" s="27"/>
      <c r="B63" s="14" t="str">
        <f>CONCATENATE("     ","Utilities                                         ")</f>
        <v xml:space="preserve">     Utilities                                         </v>
      </c>
      <c r="C63" s="14"/>
      <c r="D63" s="1">
        <f>SUM(OSRRefD22_11x_0)</f>
        <v>50</v>
      </c>
      <c r="E63" s="1"/>
      <c r="F63" s="5">
        <f t="shared" si="53"/>
        <v>0</v>
      </c>
      <c r="G63" s="1"/>
      <c r="H63" s="1">
        <f>SUM(OSRRefH22_11x_0)</f>
        <v>52</v>
      </c>
      <c r="I63" s="1"/>
      <c r="J63" s="5">
        <f t="shared" si="54"/>
        <v>8.3533143541747446E-4</v>
      </c>
      <c r="K63" s="1"/>
      <c r="L63" s="1">
        <f t="shared" si="55"/>
        <v>-2</v>
      </c>
      <c r="M63" s="1"/>
      <c r="N63" s="5">
        <f t="shared" si="56"/>
        <v>-3.8461538461538464E-2</v>
      </c>
      <c r="O63" s="14"/>
      <c r="P63" s="1">
        <f>SUM(OSRRefP22_11x_0)</f>
        <v>200</v>
      </c>
      <c r="Q63" s="1"/>
      <c r="R63" s="5">
        <f t="shared" si="57"/>
        <v>8.0760114194801461E-2</v>
      </c>
      <c r="S63" s="1"/>
      <c r="T63" s="1">
        <f>SUM(OSRRefT22_11x_0)</f>
        <v>-798.88</v>
      </c>
      <c r="U63" s="1"/>
      <c r="V63" s="5">
        <f t="shared" si="58"/>
        <v>-5.9535249752116562E-3</v>
      </c>
      <c r="W63" s="1"/>
      <c r="X63" s="1">
        <f t="shared" si="59"/>
        <v>998.88</v>
      </c>
      <c r="Y63" s="1"/>
      <c r="Z63" s="5">
        <f t="shared" si="60"/>
        <v>-1.2503504906869618</v>
      </c>
    </row>
    <row r="64" spans="1:26" s="24" customFormat="1" hidden="1" outlineLevel="2" x14ac:dyDescent="0.25">
      <c r="A64" s="28"/>
      <c r="B64" s="11" t="str">
        <f>CONCATENATE("          ", "6274", " - ", "UTILITIES")</f>
        <v xml:space="preserve">          6274 - UTILITIES</v>
      </c>
      <c r="C64" s="11"/>
      <c r="D64" s="6">
        <v>50</v>
      </c>
      <c r="E64" s="2"/>
      <c r="F64" s="7">
        <f t="shared" si="53"/>
        <v>0</v>
      </c>
      <c r="G64" s="2"/>
      <c r="H64" s="6">
        <v>52</v>
      </c>
      <c r="I64" s="2"/>
      <c r="J64" s="7">
        <f t="shared" si="54"/>
        <v>8.3533143541747446E-4</v>
      </c>
      <c r="K64" s="2"/>
      <c r="L64" s="6">
        <f t="shared" si="55"/>
        <v>-2</v>
      </c>
      <c r="M64" s="2"/>
      <c r="N64" s="7">
        <f t="shared" si="56"/>
        <v>-3.8461538461538464E-2</v>
      </c>
      <c r="O64" s="11"/>
      <c r="P64" s="6">
        <v>200</v>
      </c>
      <c r="Q64" s="2"/>
      <c r="R64" s="7">
        <f t="shared" si="57"/>
        <v>8.0760114194801461E-2</v>
      </c>
      <c r="S64" s="2"/>
      <c r="T64" s="6">
        <v>-798.88</v>
      </c>
      <c r="U64" s="2"/>
      <c r="V64" s="7">
        <f t="shared" si="58"/>
        <v>-5.9535249752116562E-3</v>
      </c>
      <c r="W64" s="2"/>
      <c r="X64" s="6">
        <f t="shared" si="59"/>
        <v>998.88</v>
      </c>
      <c r="Y64" s="2"/>
      <c r="Z64" s="7">
        <f t="shared" si="60"/>
        <v>-1.2503504906869618</v>
      </c>
    </row>
    <row r="65" spans="1:26" s="57" customFormat="1" x14ac:dyDescent="0.25">
      <c r="A65" s="37"/>
      <c r="B65" s="37"/>
      <c r="C65" s="37"/>
      <c r="D65" s="1"/>
      <c r="E65" s="1"/>
      <c r="F65" s="5"/>
      <c r="G65" s="1"/>
      <c r="H65" s="1"/>
      <c r="I65" s="1"/>
      <c r="J65" s="5"/>
      <c r="K65" s="1"/>
      <c r="L65" s="1"/>
      <c r="M65" s="1"/>
      <c r="N65" s="5"/>
      <c r="O65" s="37"/>
      <c r="P65" s="1"/>
      <c r="Q65" s="1"/>
      <c r="R65" s="5"/>
      <c r="S65" s="1"/>
      <c r="T65" s="1"/>
      <c r="U65" s="1"/>
      <c r="V65" s="5"/>
      <c r="W65" s="1"/>
      <c r="X65" s="1"/>
      <c r="Y65" s="1"/>
      <c r="Z65" s="5"/>
    </row>
    <row r="66" spans="1:26" s="23" customFormat="1" x14ac:dyDescent="0.25">
      <c r="A66" s="10"/>
      <c r="B66" s="26" t="s">
        <v>0</v>
      </c>
      <c r="C66" s="10"/>
      <c r="D66" s="4">
        <f>SUM(0)</f>
        <v>0</v>
      </c>
      <c r="E66" s="4"/>
      <c r="F66" s="12">
        <f>IF(D$12=0,0,D66/D$12)</f>
        <v>0</v>
      </c>
      <c r="G66" s="4"/>
      <c r="H66" s="4">
        <f>SUM(0)</f>
        <v>0</v>
      </c>
      <c r="I66" s="4"/>
      <c r="J66" s="12">
        <f>IF(H$12=0,0,H66/H$12)</f>
        <v>0</v>
      </c>
      <c r="K66" s="4"/>
      <c r="L66" s="4">
        <f>+D66-H66</f>
        <v>0</v>
      </c>
      <c r="M66" s="4"/>
      <c r="N66" s="12">
        <f>IF(H66=0,0,L66/H66)</f>
        <v>0</v>
      </c>
      <c r="O66" s="10"/>
      <c r="P66" s="4">
        <f>SUM(0)</f>
        <v>0</v>
      </c>
      <c r="Q66" s="4"/>
      <c r="R66" s="12">
        <f>IF(P$12=0,0,P66/P$12)</f>
        <v>0</v>
      </c>
      <c r="S66" s="4"/>
      <c r="T66" s="4">
        <f>SUM(0)</f>
        <v>0</v>
      </c>
      <c r="U66" s="4"/>
      <c r="V66" s="12">
        <f>IF(T$12=0,0,T66/T$12)</f>
        <v>0</v>
      </c>
      <c r="W66" s="4"/>
      <c r="X66" s="4">
        <f>+P66-T66</f>
        <v>0</v>
      </c>
      <c r="Y66" s="4"/>
      <c r="Z66" s="12">
        <f>IF(T66=0,0,X66/T66)</f>
        <v>0</v>
      </c>
    </row>
    <row r="67" spans="1:26" x14ac:dyDescent="0.25">
      <c r="A67" s="9"/>
      <c r="B67" s="10"/>
      <c r="C67" s="10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O67" s="10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3" customFormat="1" x14ac:dyDescent="0.25">
      <c r="A68" s="10"/>
      <c r="B68" s="25" t="s">
        <v>3</v>
      </c>
      <c r="C68" s="25"/>
      <c r="D68" s="20">
        <f>+D20-D22+D66</f>
        <v>-4381.6699999999992</v>
      </c>
      <c r="E68" s="13"/>
      <c r="F68" s="21">
        <f>IF(D$12=0,0,D68/D$12)</f>
        <v>0</v>
      </c>
      <c r="G68" s="13"/>
      <c r="H68" s="20">
        <f>+H20-H22+H66</f>
        <v>14189.180000000004</v>
      </c>
      <c r="I68" s="13"/>
      <c r="J68" s="21">
        <f>IF(H$12=0,0,H68/H$12)</f>
        <v>0.2279359249384024</v>
      </c>
      <c r="K68" s="15"/>
      <c r="L68" s="20">
        <f>+D68-H68</f>
        <v>-18570.850000000002</v>
      </c>
      <c r="M68" s="15"/>
      <c r="N68" s="21">
        <f>IF(H68=0,0,L68/H68)</f>
        <v>-1.3088036095109088</v>
      </c>
      <c r="O68" s="26"/>
      <c r="P68" s="20">
        <f>+P20-P22+P66</f>
        <v>-24961.510000000002</v>
      </c>
      <c r="Q68" s="13"/>
      <c r="R68" s="21">
        <f>IF(P$12=0,0,P68/P$12)</f>
        <v>-10.079471990373394</v>
      </c>
      <c r="S68" s="13"/>
      <c r="T68" s="20">
        <f>+T20-T22+T66</f>
        <v>15243.96</v>
      </c>
      <c r="U68" s="13"/>
      <c r="V68" s="21">
        <f>IF(T$12=0,0,T68/T$12)</f>
        <v>0.11360316515763003</v>
      </c>
      <c r="W68" s="15"/>
      <c r="X68" s="20">
        <f>+P68-T68</f>
        <v>-40205.47</v>
      </c>
      <c r="Y68" s="15"/>
      <c r="Z68" s="21">
        <f>IF(T68=0,0,X68/T68)</f>
        <v>-2.6374688729175362</v>
      </c>
    </row>
    <row r="69" spans="1:26" x14ac:dyDescent="0.25">
      <c r="A69" s="9"/>
      <c r="B69" s="10"/>
      <c r="C69" s="9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x14ac:dyDescent="0.25">
      <c r="A70" s="51"/>
      <c r="B70" s="10" t="s">
        <v>13</v>
      </c>
      <c r="C70" s="10"/>
      <c r="D70" s="4">
        <v>77.680000000000007</v>
      </c>
      <c r="E70" s="4"/>
      <c r="F70" s="12">
        <f>IF(D$12=0,0,D70/D$12)</f>
        <v>0</v>
      </c>
      <c r="G70" s="4"/>
      <c r="H70" s="4">
        <v>5780.7</v>
      </c>
      <c r="I70" s="4"/>
      <c r="J70" s="12">
        <f>IF(H$12=0,0,H70/H$12)</f>
        <v>9.2861546706111436E-2</v>
      </c>
      <c r="K70" s="4"/>
      <c r="L70" s="4">
        <f>+D70-H70</f>
        <v>-5703.0199999999995</v>
      </c>
      <c r="M70" s="4"/>
      <c r="N70" s="12">
        <f>IF(H70=0,0,L70/H70)</f>
        <v>-0.98656218105073779</v>
      </c>
      <c r="O70" s="10"/>
      <c r="P70" s="4">
        <v>536.46</v>
      </c>
      <c r="Q70" s="4"/>
      <c r="R70" s="12">
        <f>IF(P$12=0,0,P70/P$12)</f>
        <v>0.21662285430471598</v>
      </c>
      <c r="S70" s="4"/>
      <c r="T70" s="4">
        <v>13507.51</v>
      </c>
      <c r="U70" s="4"/>
      <c r="V70" s="12">
        <f>IF(T$12=0,0,T70/T$12)</f>
        <v>0.10066255024274134</v>
      </c>
      <c r="W70" s="4"/>
      <c r="X70" s="4">
        <f>+P70-T70</f>
        <v>-12971.05</v>
      </c>
      <c r="Y70" s="4"/>
      <c r="Z70" s="12">
        <f>IF(T70=0,0,X70/T70)</f>
        <v>-0.96028431591018615</v>
      </c>
    </row>
    <row r="71" spans="1:26" x14ac:dyDescent="0.25">
      <c r="A71" s="9"/>
      <c r="B71" s="10"/>
      <c r="C71" s="10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O71" s="10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ht="15.75" thickBot="1" x14ac:dyDescent="0.3">
      <c r="A72" s="10"/>
      <c r="B72" s="25" t="s">
        <v>4</v>
      </c>
      <c r="C72" s="25"/>
      <c r="D72" s="30">
        <f>+D68-D70</f>
        <v>-4459.3499999999995</v>
      </c>
      <c r="E72" s="13"/>
      <c r="F72" s="33">
        <f>IF(D$12=0,0,D72/D$12)</f>
        <v>0</v>
      </c>
      <c r="G72" s="13"/>
      <c r="H72" s="30">
        <f>+H68-H70</f>
        <v>8408.4800000000032</v>
      </c>
      <c r="I72" s="13"/>
      <c r="J72" s="33">
        <f>IF(H$12=0,0,H72/H$12)</f>
        <v>0.13507437823229093</v>
      </c>
      <c r="K72" s="15"/>
      <c r="L72" s="30">
        <f>D72-H72</f>
        <v>-12867.830000000002</v>
      </c>
      <c r="M72" s="15"/>
      <c r="N72" s="33">
        <f>IF(H72=0,0,L72/H72)</f>
        <v>-1.5303396095370385</v>
      </c>
      <c r="O72" s="26"/>
      <c r="P72" s="30">
        <f>+P68-P70</f>
        <v>-25497.97</v>
      </c>
      <c r="Q72" s="13"/>
      <c r="R72" s="33">
        <f>IF(P$12=0,0,P72/P$12)</f>
        <v>-10.296094844678111</v>
      </c>
      <c r="S72" s="13"/>
      <c r="T72" s="30">
        <f>+T68-T70</f>
        <v>1736.4499999999989</v>
      </c>
      <c r="U72" s="13"/>
      <c r="V72" s="33">
        <f>IF(T$12=0,0,T72/T$12)</f>
        <v>1.2940614914888687E-2</v>
      </c>
      <c r="W72" s="15"/>
      <c r="X72" s="30">
        <f>P72-T72</f>
        <v>-27234.42</v>
      </c>
      <c r="Y72" s="15"/>
      <c r="Z72" s="33">
        <f>IF(T72=0,0,X72/T72)</f>
        <v>-15.683964410147148</v>
      </c>
    </row>
    <row r="73" spans="1:26" ht="15.75" thickTop="1" x14ac:dyDescent="0.25">
      <c r="A73" s="9"/>
      <c r="B73" s="9"/>
      <c r="C73" s="9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x14ac:dyDescent="0.25">
      <c r="A74" s="9"/>
      <c r="B74" s="9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ht="15.75" thickBot="1" x14ac:dyDescent="0.3">
      <c r="A75" s="10"/>
      <c r="B75" s="25" t="s">
        <v>5</v>
      </c>
      <c r="C75" s="25"/>
      <c r="D75" s="34">
        <f>SUM(D72:D74)</f>
        <v>-4459.3499999999995</v>
      </c>
      <c r="E75" s="13"/>
      <c r="F75" s="35">
        <f>IF(D$12=0,0,D75/D$12)</f>
        <v>0</v>
      </c>
      <c r="G75" s="13"/>
      <c r="H75" s="34">
        <f>SUM(H72:H74)</f>
        <v>8408.4800000000032</v>
      </c>
      <c r="I75" s="13"/>
      <c r="J75" s="35">
        <f>IF(H$12=0,0,H75/H$12)</f>
        <v>0.13507437823229093</v>
      </c>
      <c r="K75" s="15"/>
      <c r="L75" s="34">
        <f>+D75-H75</f>
        <v>-12867.830000000002</v>
      </c>
      <c r="M75" s="15"/>
      <c r="N75" s="35">
        <f>IF(H75=0,0,L75/H75)</f>
        <v>-1.5303396095370385</v>
      </c>
      <c r="O75" s="26"/>
      <c r="P75" s="34">
        <f>SUM(P72:P74)</f>
        <v>-25497.97</v>
      </c>
      <c r="Q75" s="13"/>
      <c r="R75" s="35">
        <f>IF(P$12=0,0,P75/P$12)</f>
        <v>-10.296094844678111</v>
      </c>
      <c r="S75" s="13"/>
      <c r="T75" s="34">
        <f>SUM(T72:T74)</f>
        <v>1736.4499999999989</v>
      </c>
      <c r="U75" s="13"/>
      <c r="V75" s="35">
        <f>IF(T$12=0,0,T75/T$12)</f>
        <v>1.2940614914888687E-2</v>
      </c>
      <c r="W75" s="15"/>
      <c r="X75" s="34">
        <f>+P75-T75</f>
        <v>-27234.42</v>
      </c>
      <c r="Y75" s="15"/>
      <c r="Z75" s="35">
        <f>IF(T75=0,0,X75/T75)</f>
        <v>-15.683964410147148</v>
      </c>
    </row>
    <row r="76" spans="1:26" ht="15.75" thickTop="1" x14ac:dyDescent="0.25">
      <c r="A76" s="9"/>
      <c r="C76" s="9"/>
      <c r="D76" s="18"/>
      <c r="E76" s="18"/>
      <c r="G76" s="18"/>
      <c r="H76" s="18"/>
      <c r="I76" s="18"/>
      <c r="J76" s="43"/>
      <c r="K76" s="18"/>
      <c r="L76" s="18"/>
      <c r="M76" s="18"/>
      <c r="P76" s="18"/>
      <c r="Q76" s="18"/>
      <c r="R76" s="43"/>
      <c r="S76" s="18"/>
      <c r="T76" s="18"/>
      <c r="U76" s="18"/>
      <c r="V76" s="43"/>
      <c r="W76" s="18"/>
      <c r="X76" s="18"/>
    </row>
    <row r="77" spans="1:26" x14ac:dyDescent="0.25">
      <c r="A77" s="9"/>
      <c r="B77" s="56">
        <v>44151.57254479167</v>
      </c>
      <c r="D77" s="18"/>
      <c r="E77" s="18"/>
      <c r="G77" s="18"/>
      <c r="H77" s="18"/>
      <c r="I77" s="18"/>
      <c r="J77" s="43"/>
      <c r="K77" s="18"/>
      <c r="L77" s="18"/>
      <c r="M77" s="18"/>
      <c r="P77" s="18"/>
      <c r="Q77" s="18"/>
      <c r="R77" s="43"/>
      <c r="S77" s="18"/>
      <c r="T77" s="18"/>
      <c r="U77" s="18"/>
      <c r="V77" s="43"/>
      <c r="W77" s="18"/>
      <c r="X77" s="18"/>
    </row>
    <row r="78" spans="1:26" x14ac:dyDescent="0.25">
      <c r="A78" s="9"/>
      <c r="B78" s="62" t="s">
        <v>313</v>
      </c>
      <c r="D78" s="18"/>
      <c r="E78" s="18"/>
      <c r="G78" s="18"/>
      <c r="H78" s="18"/>
      <c r="I78" s="18"/>
      <c r="J78" s="43"/>
      <c r="K78" s="18"/>
      <c r="L78" s="18"/>
      <c r="M78" s="18"/>
      <c r="P78" s="18"/>
      <c r="Q78" s="18"/>
      <c r="R78" s="43"/>
      <c r="S78" s="18"/>
      <c r="T78" s="18"/>
      <c r="U78" s="18"/>
      <c r="V78" s="43"/>
      <c r="W78" s="18"/>
      <c r="X78" s="18"/>
    </row>
    <row r="79" spans="1:26" x14ac:dyDescent="0.25">
      <c r="A79" s="9"/>
      <c r="B79" s="54"/>
      <c r="D79" s="18"/>
      <c r="E79" s="18"/>
      <c r="G79" s="18"/>
      <c r="H79" s="18"/>
      <c r="I79" s="18"/>
      <c r="J79" s="43"/>
      <c r="K79" s="18"/>
      <c r="L79" s="18"/>
      <c r="M79" s="18"/>
      <c r="P79" s="18"/>
      <c r="Q79" s="18"/>
      <c r="R79" s="43"/>
      <c r="S79" s="18"/>
      <c r="T79" s="18"/>
      <c r="U79" s="18"/>
      <c r="V79" s="43"/>
      <c r="W79" s="18"/>
      <c r="X79" s="18"/>
    </row>
    <row r="80" spans="1:26" x14ac:dyDescent="0.25">
      <c r="D80" s="18"/>
      <c r="E80" s="18"/>
      <c r="G80" s="18"/>
      <c r="H80" s="18"/>
      <c r="I80" s="18"/>
      <c r="J80" s="43"/>
      <c r="K80" s="18"/>
      <c r="L80" s="18"/>
      <c r="M80" s="18"/>
      <c r="P80" s="18"/>
      <c r="Q80" s="18"/>
      <c r="R80" s="43"/>
      <c r="S80" s="18"/>
      <c r="T80" s="18"/>
      <c r="U80" s="18"/>
      <c r="V80" s="43"/>
      <c r="W80" s="18"/>
      <c r="X80" s="18"/>
    </row>
  </sheetData>
  <pageMargins left="0.25" right="0.25" top="0.75" bottom="0.75" header="0.3" footer="0.3"/>
  <pageSetup scale="55" fitToWidth="2" orientation="landscape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",RIGHT(202104,2),", ",2021)</f>
        <v>Period 04,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44135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","322", " - ", "Beach Hut")</f>
        <v>Department 322 - Beach Hut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61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50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50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2"/>
      <c r="F10" s="31" t="s">
        <v>14</v>
      </c>
      <c r="G10" s="32"/>
      <c r="H10" s="49" t="s">
        <v>306</v>
      </c>
      <c r="I10" s="32"/>
      <c r="J10" s="31" t="s">
        <v>14</v>
      </c>
      <c r="K10" s="10"/>
      <c r="L10" s="42" t="s">
        <v>11</v>
      </c>
      <c r="M10" s="10"/>
      <c r="N10" s="31" t="s">
        <v>15</v>
      </c>
      <c r="O10" s="10"/>
      <c r="P10" s="59" t="s">
        <v>10</v>
      </c>
      <c r="Q10" s="32"/>
      <c r="R10" s="31" t="s">
        <v>14</v>
      </c>
      <c r="S10" s="32"/>
      <c r="T10" s="49" t="s">
        <v>306</v>
      </c>
      <c r="U10" s="32"/>
      <c r="V10" s="31" t="s">
        <v>14</v>
      </c>
      <c r="W10" s="10"/>
      <c r="X10" s="42" t="s">
        <v>11</v>
      </c>
      <c r="Y10" s="10"/>
      <c r="Z10" s="31" t="s">
        <v>15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160518.82</v>
      </c>
      <c r="I12" s="4"/>
      <c r="J12" s="12"/>
      <c r="K12" s="4"/>
      <c r="L12" s="4">
        <f t="shared" ref="L12:L14" si="0">+D12-H12</f>
        <v>-160518.82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322630.39</v>
      </c>
      <c r="U12" s="4"/>
      <c r="V12" s="12"/>
      <c r="W12" s="4"/>
      <c r="X12" s="4">
        <f t="shared" ref="X12:X14" si="2">+P12-T12</f>
        <v>-322630.39</v>
      </c>
      <c r="Y12" s="4"/>
      <c r="Z12" s="12">
        <f t="shared" ref="Z12:Z14" si="3">IF(T12=0,0,X12/T12)</f>
        <v>-1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 t="shared" ref="D13:D14" si="4">0</f>
        <v>0</v>
      </c>
      <c r="E13" s="2"/>
      <c r="F13" s="19"/>
      <c r="G13" s="2"/>
      <c r="H13" s="2">
        <f>--19988.01</f>
        <v>19988.009999999998</v>
      </c>
      <c r="I13" s="2"/>
      <c r="J13" s="19"/>
      <c r="K13" s="2"/>
      <c r="L13" s="2">
        <f t="shared" si="0"/>
        <v>-19988.009999999998</v>
      </c>
      <c r="M13" s="2"/>
      <c r="N13" s="19">
        <f t="shared" si="1"/>
        <v>-1</v>
      </c>
      <c r="O13" s="11"/>
      <c r="P13" s="2">
        <f t="shared" ref="P13:P14" si="5">0</f>
        <v>0</v>
      </c>
      <c r="Q13" s="2"/>
      <c r="R13" s="19"/>
      <c r="S13" s="2"/>
      <c r="T13" s="2">
        <f>--43246.11</f>
        <v>43246.11</v>
      </c>
      <c r="U13" s="2"/>
      <c r="V13" s="19"/>
      <c r="W13" s="2"/>
      <c r="X13" s="2">
        <f t="shared" si="2"/>
        <v>-43246.11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 t="shared" si="4"/>
        <v>0</v>
      </c>
      <c r="E14" s="2"/>
      <c r="F14" s="19"/>
      <c r="G14" s="2"/>
      <c r="H14" s="2">
        <f>--140530.81</f>
        <v>140530.81</v>
      </c>
      <c r="I14" s="2"/>
      <c r="J14" s="19"/>
      <c r="K14" s="2"/>
      <c r="L14" s="2">
        <f t="shared" si="0"/>
        <v>-140530.81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f>--279384.28</f>
        <v>279384.28000000003</v>
      </c>
      <c r="U14" s="2"/>
      <c r="V14" s="19"/>
      <c r="W14" s="2"/>
      <c r="X14" s="2">
        <f t="shared" si="2"/>
        <v>-279384.28000000003</v>
      </c>
      <c r="Y14" s="2"/>
      <c r="Z14" s="19">
        <f t="shared" si="3"/>
        <v>-1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6" t="s">
        <v>8</v>
      </c>
      <c r="C16" s="10"/>
      <c r="D16" s="4">
        <f>SUM(OSRRefD16x_0)</f>
        <v>0</v>
      </c>
      <c r="E16" s="4"/>
      <c r="F16" s="12">
        <f t="shared" ref="F16:F18" si="6">IF(D$12=0,0,D16/D$12)</f>
        <v>0</v>
      </c>
      <c r="G16" s="4"/>
      <c r="H16" s="4">
        <f>SUM(OSRRefH16x_0)</f>
        <v>83981.89</v>
      </c>
      <c r="I16" s="4"/>
      <c r="J16" s="12">
        <f t="shared" ref="J16:J18" si="7">IF(H$12=0,0,H16/H$12)</f>
        <v>0.52319030254520926</v>
      </c>
      <c r="K16" s="4"/>
      <c r="L16" s="4">
        <f t="shared" ref="L16:L18" si="8">+D16-H16</f>
        <v>-83981.89</v>
      </c>
      <c r="M16" s="4"/>
      <c r="N16" s="12">
        <f t="shared" ref="N16:N18" si="9">IF(H16=0,0,L16/H16)</f>
        <v>-1</v>
      </c>
      <c r="O16" s="10"/>
      <c r="P16" s="4">
        <f>SUM(OSRRefP16x_0)</f>
        <v>-1222.33</v>
      </c>
      <c r="Q16" s="4"/>
      <c r="R16" s="12">
        <f t="shared" ref="R16:R18" si="10">IF(P$12=0,0,P16/P$12)</f>
        <v>0</v>
      </c>
      <c r="S16" s="4"/>
      <c r="T16" s="4">
        <f>SUM(OSRRefT16x_0)</f>
        <v>164482.16</v>
      </c>
      <c r="U16" s="4"/>
      <c r="V16" s="12">
        <f t="shared" ref="V16:V18" si="11">IF(T$12=0,0,T16/T$12)</f>
        <v>0.50981607777246274</v>
      </c>
      <c r="W16" s="4"/>
      <c r="X16" s="4">
        <f t="shared" ref="X16:X18" si="12">+P16-T16</f>
        <v>-165704.49</v>
      </c>
      <c r="Y16" s="4"/>
      <c r="Z16" s="12">
        <f t="shared" ref="Z16:Z18" si="13">IF(T16=0,0,X16/T16)</f>
        <v>-1.0074313834400035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6"/>
        <v>0</v>
      </c>
      <c r="G17" s="2"/>
      <c r="H17" s="2">
        <v>80257.929999999993</v>
      </c>
      <c r="I17" s="2"/>
      <c r="J17" s="19">
        <f t="shared" si="7"/>
        <v>0.49999077989733531</v>
      </c>
      <c r="K17" s="2"/>
      <c r="L17" s="2">
        <f t="shared" si="8"/>
        <v>-80257.929999999993</v>
      </c>
      <c r="M17" s="2"/>
      <c r="N17" s="19">
        <f t="shared" si="9"/>
        <v>-1</v>
      </c>
      <c r="O17" s="11"/>
      <c r="P17" s="2">
        <v>-1222.33</v>
      </c>
      <c r="Q17" s="2"/>
      <c r="R17" s="19">
        <f t="shared" si="10"/>
        <v>0</v>
      </c>
      <c r="S17" s="2"/>
      <c r="T17" s="2">
        <v>181640.14</v>
      </c>
      <c r="U17" s="2"/>
      <c r="V17" s="19">
        <f t="shared" si="11"/>
        <v>0.56299761470083465</v>
      </c>
      <c r="W17" s="2"/>
      <c r="X17" s="2">
        <f t="shared" si="12"/>
        <v>-182862.47</v>
      </c>
      <c r="Y17" s="2"/>
      <c r="Z17" s="19">
        <f t="shared" si="13"/>
        <v>-1.0067294046349005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/>
      <c r="E18" s="2"/>
      <c r="F18" s="19">
        <f t="shared" si="6"/>
        <v>0</v>
      </c>
      <c r="G18" s="2"/>
      <c r="H18" s="2">
        <v>3723.96</v>
      </c>
      <c r="I18" s="2"/>
      <c r="J18" s="19">
        <f t="shared" si="7"/>
        <v>2.3199522647873939E-2</v>
      </c>
      <c r="K18" s="2"/>
      <c r="L18" s="2">
        <f t="shared" si="8"/>
        <v>-3723.96</v>
      </c>
      <c r="M18" s="2"/>
      <c r="N18" s="19">
        <f t="shared" si="9"/>
        <v>-1</v>
      </c>
      <c r="O18" s="11"/>
      <c r="P18" s="2"/>
      <c r="Q18" s="2"/>
      <c r="R18" s="19">
        <f t="shared" si="10"/>
        <v>0</v>
      </c>
      <c r="S18" s="2"/>
      <c r="T18" s="2">
        <v>-17157.98</v>
      </c>
      <c r="U18" s="2"/>
      <c r="V18" s="19">
        <f t="shared" si="11"/>
        <v>-5.3181536928371811E-2</v>
      </c>
      <c r="W18" s="2"/>
      <c r="X18" s="2">
        <f t="shared" si="12"/>
        <v>17157.98</v>
      </c>
      <c r="Y18" s="2"/>
      <c r="Z18" s="19">
        <f t="shared" si="13"/>
        <v>-1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5" t="s">
        <v>6</v>
      </c>
      <c r="C20" s="25"/>
      <c r="D20" s="20">
        <f>D12-D16</f>
        <v>0</v>
      </c>
      <c r="E20" s="13"/>
      <c r="F20" s="21">
        <f>IF(D$12=0,0,D20/D$12)</f>
        <v>0</v>
      </c>
      <c r="G20" s="13"/>
      <c r="H20" s="20">
        <f>H12-H16</f>
        <v>76536.930000000008</v>
      </c>
      <c r="I20" s="13"/>
      <c r="J20" s="21">
        <f>IF(H$12=0,0,H20/H$12)</f>
        <v>0.47680969745479068</v>
      </c>
      <c r="K20" s="15"/>
      <c r="L20" s="20">
        <f>+D20-H20</f>
        <v>-76536.930000000008</v>
      </c>
      <c r="M20" s="15"/>
      <c r="N20" s="21">
        <f>IF(H20=0,0,L20/H20)</f>
        <v>-1</v>
      </c>
      <c r="O20" s="26"/>
      <c r="P20" s="20">
        <f>P12-P16</f>
        <v>1222.33</v>
      </c>
      <c r="Q20" s="13"/>
      <c r="R20" s="21">
        <f>IF(P$12=0,0,P20/P$12)</f>
        <v>0</v>
      </c>
      <c r="S20" s="13"/>
      <c r="T20" s="20">
        <f>T12-T16</f>
        <v>158148.23000000001</v>
      </c>
      <c r="U20" s="13"/>
      <c r="V20" s="21">
        <f>IF(T$12=0,0,T20/T$12)</f>
        <v>0.49018392222753721</v>
      </c>
      <c r="W20" s="15"/>
      <c r="X20" s="20">
        <f>+P20-T20</f>
        <v>-156925.90000000002</v>
      </c>
      <c r="Y20" s="15"/>
      <c r="Z20" s="21">
        <f>IF(T20=0,0,X20/T20)</f>
        <v>-0.99227098526489999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6" t="s">
        <v>9</v>
      </c>
      <c r="C22" s="10"/>
      <c r="D22" s="22">
        <f>SUM(OSRRefD22x_0)</f>
        <v>2238.54</v>
      </c>
      <c r="E22" s="22"/>
      <c r="F22" s="36">
        <f t="shared" ref="F22:F31" si="14">IF(D$12=0,0,D22/D$12)</f>
        <v>0</v>
      </c>
      <c r="G22" s="22"/>
      <c r="H22" s="22">
        <f>SUM(OSRRefH22x_0)</f>
        <v>40200.589999999997</v>
      </c>
      <c r="I22" s="22"/>
      <c r="J22" s="36">
        <f t="shared" ref="J22:J31" si="15">IF(H$12=0,0,H22/H$12)</f>
        <v>0.25044159930904047</v>
      </c>
      <c r="K22" s="4"/>
      <c r="L22" s="22">
        <f t="shared" ref="L22:L31" si="16">+D22-H22</f>
        <v>-37962.049999999996</v>
      </c>
      <c r="M22" s="4"/>
      <c r="N22" s="36">
        <f t="shared" ref="N22:N31" si="17">IF(H22=0,0,L22/H22)</f>
        <v>-0.9443157426296479</v>
      </c>
      <c r="O22" s="10"/>
      <c r="P22" s="22">
        <f>SUM(OSRRefP22x_0)</f>
        <v>11267.26</v>
      </c>
      <c r="Q22" s="22"/>
      <c r="R22" s="36">
        <f t="shared" ref="R22:R31" si="18">IF(P$12=0,0,P22/P$12)</f>
        <v>0</v>
      </c>
      <c r="S22" s="22"/>
      <c r="T22" s="22">
        <f>SUM(OSRRefT22x_0)</f>
        <v>116335.38000000002</v>
      </c>
      <c r="U22" s="22"/>
      <c r="V22" s="36">
        <f t="shared" ref="V22:V31" si="19">IF(T$12=0,0,T22/T$12)</f>
        <v>0.3605840726907345</v>
      </c>
      <c r="W22" s="4"/>
      <c r="X22" s="22">
        <f t="shared" ref="X22:X31" si="20">+P22-T22</f>
        <v>-105068.12000000002</v>
      </c>
      <c r="Y22" s="4"/>
      <c r="Z22" s="36">
        <f t="shared" ref="Z22:Z31" si="21">IF(T22=0,0,X22/T22)</f>
        <v>-0.90314846609861943</v>
      </c>
    </row>
    <row r="23" spans="1:26" s="29" customFormat="1" outlineLevel="1" collapsed="1" x14ac:dyDescent="0.25">
      <c r="A23" s="27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0</v>
      </c>
      <c r="E23" s="1"/>
      <c r="F23" s="5">
        <f t="shared" si="14"/>
        <v>0</v>
      </c>
      <c r="G23" s="1"/>
      <c r="H23" s="1">
        <f>SUM(OSRRefH22_0x_0)</f>
        <v>2591.04</v>
      </c>
      <c r="I23" s="1"/>
      <c r="J23" s="5">
        <f t="shared" si="15"/>
        <v>1.6141658654106727E-2</v>
      </c>
      <c r="K23" s="1"/>
      <c r="L23" s="1">
        <f t="shared" si="16"/>
        <v>-2591.04</v>
      </c>
      <c r="M23" s="1"/>
      <c r="N23" s="5">
        <f t="shared" si="17"/>
        <v>-1</v>
      </c>
      <c r="O23" s="14"/>
      <c r="P23" s="1">
        <f>SUM(OSRRefP22_0x_0)</f>
        <v>1595.9699999999998</v>
      </c>
      <c r="Q23" s="1"/>
      <c r="R23" s="5">
        <f t="shared" si="18"/>
        <v>0</v>
      </c>
      <c r="S23" s="1"/>
      <c r="T23" s="1">
        <f>SUM(OSRRefT22_0x_0)</f>
        <v>9777.82</v>
      </c>
      <c r="U23" s="1"/>
      <c r="V23" s="5">
        <f t="shared" si="19"/>
        <v>3.0306568454385216E-2</v>
      </c>
      <c r="W23" s="1"/>
      <c r="X23" s="1">
        <f t="shared" si="20"/>
        <v>-8181.85</v>
      </c>
      <c r="Y23" s="1"/>
      <c r="Z23" s="5">
        <f t="shared" si="21"/>
        <v>-0.83677650028329431</v>
      </c>
    </row>
    <row r="24" spans="1:26" s="24" customFormat="1" hidden="1" outlineLevel="2" x14ac:dyDescent="0.25">
      <c r="A24" s="28"/>
      <c r="B24" s="11" t="str">
        <f>CONCATENATE("          ", "6111", " - ", "F.I.C.A.")</f>
        <v xml:space="preserve">          6111 - F.I.C.A.</v>
      </c>
      <c r="C24" s="11"/>
      <c r="D24" s="6"/>
      <c r="E24" s="2"/>
      <c r="F24" s="7">
        <f t="shared" si="14"/>
        <v>0</v>
      </c>
      <c r="G24" s="2"/>
      <c r="H24" s="6">
        <v>868.61</v>
      </c>
      <c r="I24" s="2"/>
      <c r="J24" s="7">
        <f t="shared" si="15"/>
        <v>5.4112657942539076E-3</v>
      </c>
      <c r="K24" s="2"/>
      <c r="L24" s="6">
        <f t="shared" si="16"/>
        <v>-868.61</v>
      </c>
      <c r="M24" s="2"/>
      <c r="N24" s="7">
        <f t="shared" si="17"/>
        <v>-1</v>
      </c>
      <c r="O24" s="11"/>
      <c r="P24" s="6">
        <v>159.12</v>
      </c>
      <c r="Q24" s="2"/>
      <c r="R24" s="7">
        <f t="shared" si="18"/>
        <v>0</v>
      </c>
      <c r="S24" s="2"/>
      <c r="T24" s="6">
        <v>2808.11</v>
      </c>
      <c r="U24" s="2"/>
      <c r="V24" s="7">
        <f t="shared" si="19"/>
        <v>8.7037987958914851E-3</v>
      </c>
      <c r="W24" s="2"/>
      <c r="X24" s="6">
        <f t="shared" si="20"/>
        <v>-2648.9900000000002</v>
      </c>
      <c r="Y24" s="2"/>
      <c r="Z24" s="7">
        <f t="shared" si="21"/>
        <v>-0.94333555309443007</v>
      </c>
    </row>
    <row r="25" spans="1:26" s="24" customFormat="1" hidden="1" outlineLevel="2" x14ac:dyDescent="0.25">
      <c r="A25" s="28"/>
      <c r="B25" s="11" t="str">
        <f>CONCATENATE("          ", "6112", " - ", "COMPENSATION INSURANCE")</f>
        <v xml:space="preserve">          6112 - COMPENSATION INSURANCE</v>
      </c>
      <c r="C25" s="11"/>
      <c r="D25" s="6"/>
      <c r="E25" s="2"/>
      <c r="F25" s="7">
        <f t="shared" si="14"/>
        <v>0</v>
      </c>
      <c r="G25" s="2"/>
      <c r="H25" s="6">
        <v>111.03</v>
      </c>
      <c r="I25" s="2"/>
      <c r="J25" s="7">
        <f t="shared" si="15"/>
        <v>6.9169459381772174E-4</v>
      </c>
      <c r="K25" s="2"/>
      <c r="L25" s="6">
        <f t="shared" si="16"/>
        <v>-111.03</v>
      </c>
      <c r="M25" s="2"/>
      <c r="N25" s="7">
        <f t="shared" si="17"/>
        <v>-1</v>
      </c>
      <c r="O25" s="11"/>
      <c r="P25" s="6"/>
      <c r="Q25" s="2"/>
      <c r="R25" s="7">
        <f t="shared" si="18"/>
        <v>0</v>
      </c>
      <c r="S25" s="2"/>
      <c r="T25" s="6">
        <v>890.31</v>
      </c>
      <c r="U25" s="2"/>
      <c r="V25" s="7">
        <f t="shared" si="19"/>
        <v>2.7595354547970507E-3</v>
      </c>
      <c r="W25" s="2"/>
      <c r="X25" s="6">
        <f t="shared" si="20"/>
        <v>-890.31</v>
      </c>
      <c r="Y25" s="2"/>
      <c r="Z25" s="7">
        <f t="shared" si="21"/>
        <v>-1</v>
      </c>
    </row>
    <row r="26" spans="1:26" s="24" customFormat="1" hidden="1" outlineLevel="2" x14ac:dyDescent="0.25">
      <c r="A26" s="28"/>
      <c r="B26" s="11" t="str">
        <f>CONCATENATE("          ", "6113", " - ", "GROUP INSURANCE")</f>
        <v xml:space="preserve">          6113 - GROUP INSURANCE</v>
      </c>
      <c r="C26" s="11"/>
      <c r="D26" s="6"/>
      <c r="E26" s="2"/>
      <c r="F26" s="7">
        <f t="shared" si="14"/>
        <v>0</v>
      </c>
      <c r="G26" s="2"/>
      <c r="H26" s="6">
        <v>641.14</v>
      </c>
      <c r="I26" s="2"/>
      <c r="J26" s="7">
        <f t="shared" si="15"/>
        <v>3.9941733934999021E-3</v>
      </c>
      <c r="K26" s="2"/>
      <c r="L26" s="6">
        <f t="shared" si="16"/>
        <v>-641.14</v>
      </c>
      <c r="M26" s="2"/>
      <c r="N26" s="7">
        <f t="shared" si="17"/>
        <v>-1</v>
      </c>
      <c r="O26" s="11"/>
      <c r="P26" s="6">
        <v>683.68</v>
      </c>
      <c r="Q26" s="2"/>
      <c r="R26" s="7">
        <f t="shared" si="18"/>
        <v>0</v>
      </c>
      <c r="S26" s="2"/>
      <c r="T26" s="6">
        <v>2564.56</v>
      </c>
      <c r="U26" s="2"/>
      <c r="V26" s="7">
        <f t="shared" si="19"/>
        <v>7.9489102065059651E-3</v>
      </c>
      <c r="W26" s="2"/>
      <c r="X26" s="6">
        <f t="shared" si="20"/>
        <v>-1880.88</v>
      </c>
      <c r="Y26" s="2"/>
      <c r="Z26" s="7">
        <f t="shared" si="21"/>
        <v>-0.7334123592351125</v>
      </c>
    </row>
    <row r="27" spans="1:26" s="24" customFormat="1" hidden="1" outlineLevel="2" x14ac:dyDescent="0.25">
      <c r="A27" s="28"/>
      <c r="B27" s="11" t="str">
        <f>CONCATENATE("          ", "6114", " - ", "STATE UNEMPLOYMENT INSURANCE")</f>
        <v xml:space="preserve">          6114 - STATE UNEMPLOYMENT INSURANCE</v>
      </c>
      <c r="C27" s="11"/>
      <c r="D27" s="6"/>
      <c r="E27" s="2"/>
      <c r="F27" s="7">
        <f t="shared" si="14"/>
        <v>0</v>
      </c>
      <c r="G27" s="2"/>
      <c r="H27" s="6">
        <v>64.180000000000007</v>
      </c>
      <c r="I27" s="2"/>
      <c r="J27" s="7">
        <f t="shared" si="15"/>
        <v>3.9982850609043851E-4</v>
      </c>
      <c r="K27" s="2"/>
      <c r="L27" s="6">
        <f t="shared" si="16"/>
        <v>-64.180000000000007</v>
      </c>
      <c r="M27" s="2"/>
      <c r="N27" s="7">
        <f t="shared" si="17"/>
        <v>-1</v>
      </c>
      <c r="O27" s="11"/>
      <c r="P27" s="6"/>
      <c r="Q27" s="2"/>
      <c r="R27" s="7">
        <f t="shared" si="18"/>
        <v>0</v>
      </c>
      <c r="S27" s="2"/>
      <c r="T27" s="6">
        <v>167</v>
      </c>
      <c r="U27" s="2"/>
      <c r="V27" s="7">
        <f t="shared" si="19"/>
        <v>5.1762017830992303E-4</v>
      </c>
      <c r="W27" s="2"/>
      <c r="X27" s="6">
        <f t="shared" si="20"/>
        <v>-167</v>
      </c>
      <c r="Y27" s="2"/>
      <c r="Z27" s="7">
        <f t="shared" si="21"/>
        <v>-1</v>
      </c>
    </row>
    <row r="28" spans="1:26" s="24" customFormat="1" hidden="1" outlineLevel="2" x14ac:dyDescent="0.25">
      <c r="A28" s="28"/>
      <c r="B28" s="11" t="str">
        <f>CONCATENATE("          ", "6115", " - ", "P.E.R.S.")</f>
        <v xml:space="preserve">          6115 - P.E.R.S.</v>
      </c>
      <c r="C28" s="11"/>
      <c r="D28" s="6"/>
      <c r="E28" s="2"/>
      <c r="F28" s="7">
        <f t="shared" si="14"/>
        <v>0</v>
      </c>
      <c r="G28" s="2"/>
      <c r="H28" s="6">
        <v>134.11000000000001</v>
      </c>
      <c r="I28" s="2"/>
      <c r="J28" s="7">
        <f t="shared" si="15"/>
        <v>8.3547835699265675E-4</v>
      </c>
      <c r="K28" s="2"/>
      <c r="L28" s="6">
        <f t="shared" si="16"/>
        <v>-134.11000000000001</v>
      </c>
      <c r="M28" s="2"/>
      <c r="N28" s="7">
        <f t="shared" si="17"/>
        <v>-1</v>
      </c>
      <c r="O28" s="11"/>
      <c r="P28" s="6">
        <v>321.57</v>
      </c>
      <c r="Q28" s="2"/>
      <c r="R28" s="7">
        <f t="shared" si="18"/>
        <v>0</v>
      </c>
      <c r="S28" s="2"/>
      <c r="T28" s="6">
        <v>938.77</v>
      </c>
      <c r="U28" s="2"/>
      <c r="V28" s="7">
        <f t="shared" si="19"/>
        <v>2.909738292167703E-3</v>
      </c>
      <c r="W28" s="2"/>
      <c r="X28" s="6">
        <f t="shared" si="20"/>
        <v>-617.20000000000005</v>
      </c>
      <c r="Y28" s="2"/>
      <c r="Z28" s="7">
        <f t="shared" si="21"/>
        <v>-0.65745603289410615</v>
      </c>
    </row>
    <row r="29" spans="1:26" s="24" customFormat="1" hidden="1" outlineLevel="2" x14ac:dyDescent="0.25">
      <c r="A29" s="28"/>
      <c r="B29" s="11" t="str">
        <f>CONCATENATE("          ", "6118", " - ", "VACATION")</f>
        <v xml:space="preserve">          6118 - VACATION</v>
      </c>
      <c r="C29" s="11"/>
      <c r="D29" s="6"/>
      <c r="E29" s="2"/>
      <c r="F29" s="7">
        <f t="shared" si="14"/>
        <v>0</v>
      </c>
      <c r="G29" s="2"/>
      <c r="H29" s="6">
        <v>331.92</v>
      </c>
      <c r="I29" s="2"/>
      <c r="J29" s="7">
        <f t="shared" si="15"/>
        <v>2.0677949165088553E-3</v>
      </c>
      <c r="K29" s="2"/>
      <c r="L29" s="6">
        <f t="shared" si="16"/>
        <v>-331.92</v>
      </c>
      <c r="M29" s="2"/>
      <c r="N29" s="7">
        <f t="shared" si="17"/>
        <v>-1</v>
      </c>
      <c r="O29" s="11"/>
      <c r="P29" s="6">
        <v>239.72</v>
      </c>
      <c r="Q29" s="2"/>
      <c r="R29" s="7">
        <f t="shared" si="18"/>
        <v>0</v>
      </c>
      <c r="S29" s="2"/>
      <c r="T29" s="6">
        <v>995.76</v>
      </c>
      <c r="U29" s="2"/>
      <c r="V29" s="7">
        <f t="shared" si="19"/>
        <v>3.0863800524184963E-3</v>
      </c>
      <c r="W29" s="2"/>
      <c r="X29" s="6">
        <f t="shared" si="20"/>
        <v>-756.04</v>
      </c>
      <c r="Y29" s="2"/>
      <c r="Z29" s="7">
        <f t="shared" si="21"/>
        <v>-0.75925925925925919</v>
      </c>
    </row>
    <row r="30" spans="1:26" s="24" customFormat="1" hidden="1" outlineLevel="2" x14ac:dyDescent="0.25">
      <c r="A30" s="28"/>
      <c r="B30" s="11" t="str">
        <f>CONCATENATE("          ", "6119", " - ", "SICK LEAVE")</f>
        <v xml:space="preserve">          6119 - SICK LEAVE</v>
      </c>
      <c r="C30" s="11"/>
      <c r="D30" s="6"/>
      <c r="E30" s="2"/>
      <c r="F30" s="7">
        <f t="shared" si="14"/>
        <v>0</v>
      </c>
      <c r="G30" s="2"/>
      <c r="H30" s="6">
        <v>265.68</v>
      </c>
      <c r="I30" s="2"/>
      <c r="J30" s="7">
        <f t="shared" si="15"/>
        <v>1.6551330242771532E-3</v>
      </c>
      <c r="K30" s="2"/>
      <c r="L30" s="6">
        <f t="shared" si="16"/>
        <v>-265.68</v>
      </c>
      <c r="M30" s="2"/>
      <c r="N30" s="7">
        <f t="shared" si="17"/>
        <v>-1</v>
      </c>
      <c r="O30" s="11"/>
      <c r="P30" s="6">
        <v>191.88</v>
      </c>
      <c r="Q30" s="2"/>
      <c r="R30" s="7">
        <f t="shared" si="18"/>
        <v>0</v>
      </c>
      <c r="S30" s="2"/>
      <c r="T30" s="6">
        <v>797.04</v>
      </c>
      <c r="U30" s="2"/>
      <c r="V30" s="7">
        <f t="shared" si="19"/>
        <v>2.470443035449946E-3</v>
      </c>
      <c r="W30" s="2"/>
      <c r="X30" s="6">
        <f t="shared" si="20"/>
        <v>-605.16</v>
      </c>
      <c r="Y30" s="2"/>
      <c r="Z30" s="7">
        <f t="shared" si="21"/>
        <v>-0.7592592592592593</v>
      </c>
    </row>
    <row r="31" spans="1:26" s="24" customFormat="1" hidden="1" outlineLevel="2" x14ac:dyDescent="0.25">
      <c r="A31" s="28"/>
      <c r="B31" s="11" t="str">
        <f>CONCATENATE("          ", "6156", " - ", "EMPLOYEE MEALS")</f>
        <v xml:space="preserve">          6156 - EMPLOYEE MEALS</v>
      </c>
      <c r="C31" s="11"/>
      <c r="D31" s="6"/>
      <c r="E31" s="2"/>
      <c r="F31" s="7">
        <f t="shared" si="14"/>
        <v>0</v>
      </c>
      <c r="G31" s="2"/>
      <c r="H31" s="6">
        <v>174.37</v>
      </c>
      <c r="I31" s="2"/>
      <c r="J31" s="7">
        <f t="shared" si="15"/>
        <v>1.0862900686660916E-3</v>
      </c>
      <c r="K31" s="2"/>
      <c r="L31" s="6">
        <f t="shared" si="16"/>
        <v>-174.37</v>
      </c>
      <c r="M31" s="2"/>
      <c r="N31" s="7">
        <f t="shared" si="17"/>
        <v>-1</v>
      </c>
      <c r="O31" s="11"/>
      <c r="P31" s="6"/>
      <c r="Q31" s="2"/>
      <c r="R31" s="7">
        <f t="shared" si="18"/>
        <v>0</v>
      </c>
      <c r="S31" s="2"/>
      <c r="T31" s="6">
        <v>616.27</v>
      </c>
      <c r="U31" s="2"/>
      <c r="V31" s="7">
        <f t="shared" si="19"/>
        <v>1.910142438844648E-3</v>
      </c>
      <c r="W31" s="2"/>
      <c r="X31" s="6">
        <f t="shared" si="20"/>
        <v>-616.27</v>
      </c>
      <c r="Y31" s="2"/>
      <c r="Z31" s="7">
        <f t="shared" si="21"/>
        <v>-1</v>
      </c>
    </row>
    <row r="32" spans="1:26" s="29" customFormat="1" outlineLevel="1" collapsed="1" x14ac:dyDescent="0.25">
      <c r="A32" s="27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0</v>
      </c>
      <c r="E32" s="1"/>
      <c r="F32" s="5">
        <f t="shared" ref="F32:F36" si="22">IF(D$12=0,0,D32/D$12)</f>
        <v>0</v>
      </c>
      <c r="G32" s="1"/>
      <c r="H32" s="1">
        <f>SUM(OSRRefH22_1x_0)</f>
        <v>25481.08</v>
      </c>
      <c r="I32" s="1"/>
      <c r="J32" s="5">
        <f t="shared" ref="J32:J36" si="23">IF(H$12=0,0,H32/H$12)</f>
        <v>0.15874200919244236</v>
      </c>
      <c r="K32" s="1"/>
      <c r="L32" s="1">
        <f t="shared" ref="L32:L36" si="24">+D32-H32</f>
        <v>-25481.08</v>
      </c>
      <c r="M32" s="1"/>
      <c r="N32" s="5">
        <f t="shared" ref="N32:N36" si="25">IF(H32=0,0,L32/H32)</f>
        <v>-1</v>
      </c>
      <c r="O32" s="14"/>
      <c r="P32" s="1">
        <f>SUM(OSRRefP22_1x_0)</f>
        <v>2080</v>
      </c>
      <c r="Q32" s="1"/>
      <c r="R32" s="5">
        <f t="shared" ref="R32:R36" si="26">IF(P$12=0,0,P32/P$12)</f>
        <v>0</v>
      </c>
      <c r="S32" s="1"/>
      <c r="T32" s="1">
        <f>SUM(OSRRefT22_1x_0)</f>
        <v>68998.070000000007</v>
      </c>
      <c r="U32" s="1"/>
      <c r="V32" s="5">
        <f t="shared" ref="V32:V36" si="27">IF(T$12=0,0,T32/T$12)</f>
        <v>0.21386103770323683</v>
      </c>
      <c r="W32" s="1"/>
      <c r="X32" s="1">
        <f t="shared" ref="X32:X36" si="28">+P32-T32</f>
        <v>-66918.070000000007</v>
      </c>
      <c r="Y32" s="1"/>
      <c r="Z32" s="5">
        <f t="shared" ref="Z32:Z36" si="29">IF(T32=0,0,X32/T32)</f>
        <v>-0.96985422925597775</v>
      </c>
    </row>
    <row r="33" spans="1:26" s="24" customFormat="1" hidden="1" outlineLevel="2" x14ac:dyDescent="0.25">
      <c r="A33" s="28"/>
      <c r="B33" s="11" t="str">
        <f>CONCATENATE("          ", "6002", " - ", "STAFF SALARIES")</f>
        <v xml:space="preserve">          6002 - STAFF SALARIES</v>
      </c>
      <c r="C33" s="11"/>
      <c r="D33" s="6"/>
      <c r="E33" s="2"/>
      <c r="F33" s="7">
        <f t="shared" si="22"/>
        <v>0</v>
      </c>
      <c r="G33" s="2"/>
      <c r="H33" s="6">
        <v>4800</v>
      </c>
      <c r="I33" s="2"/>
      <c r="J33" s="7">
        <f t="shared" si="23"/>
        <v>2.9903035668963924E-2</v>
      </c>
      <c r="K33" s="2"/>
      <c r="L33" s="6">
        <f t="shared" si="24"/>
        <v>-4800</v>
      </c>
      <c r="M33" s="2"/>
      <c r="N33" s="7">
        <f t="shared" si="25"/>
        <v>-1</v>
      </c>
      <c r="O33" s="11"/>
      <c r="P33" s="6">
        <v>2080</v>
      </c>
      <c r="Q33" s="2"/>
      <c r="R33" s="7">
        <f t="shared" si="26"/>
        <v>0</v>
      </c>
      <c r="S33" s="2"/>
      <c r="T33" s="6">
        <v>15552</v>
      </c>
      <c r="U33" s="2"/>
      <c r="V33" s="7">
        <f t="shared" si="27"/>
        <v>4.8203766545364804E-2</v>
      </c>
      <c r="W33" s="2"/>
      <c r="X33" s="6">
        <f t="shared" si="28"/>
        <v>-13472</v>
      </c>
      <c r="Y33" s="2"/>
      <c r="Z33" s="7">
        <f t="shared" si="29"/>
        <v>-0.86625514403292181</v>
      </c>
    </row>
    <row r="34" spans="1:26" s="24" customFormat="1" hidden="1" outlineLevel="2" x14ac:dyDescent="0.25">
      <c r="A34" s="28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22"/>
        <v>0</v>
      </c>
      <c r="G34" s="2"/>
      <c r="H34" s="6">
        <v>2100</v>
      </c>
      <c r="I34" s="2"/>
      <c r="J34" s="7">
        <f t="shared" si="23"/>
        <v>1.3082578105171718E-2</v>
      </c>
      <c r="K34" s="2"/>
      <c r="L34" s="6">
        <f t="shared" si="24"/>
        <v>-2100</v>
      </c>
      <c r="M34" s="2"/>
      <c r="N34" s="7">
        <f t="shared" si="25"/>
        <v>-1</v>
      </c>
      <c r="O34" s="11"/>
      <c r="P34" s="6"/>
      <c r="Q34" s="2"/>
      <c r="R34" s="7">
        <f t="shared" si="26"/>
        <v>0</v>
      </c>
      <c r="S34" s="2"/>
      <c r="T34" s="6">
        <v>5831</v>
      </c>
      <c r="U34" s="2"/>
      <c r="V34" s="7">
        <f t="shared" si="27"/>
        <v>1.8073312932485992E-2</v>
      </c>
      <c r="W34" s="2"/>
      <c r="X34" s="6">
        <f t="shared" si="28"/>
        <v>-5831</v>
      </c>
      <c r="Y34" s="2"/>
      <c r="Z34" s="7">
        <f t="shared" si="29"/>
        <v>-1</v>
      </c>
    </row>
    <row r="35" spans="1:26" s="24" customFormat="1" hidden="1" outlineLevel="2" x14ac:dyDescent="0.25">
      <c r="A35" s="28"/>
      <c r="B35" s="11" t="str">
        <f>CONCATENATE("          ", "6007", " - ", "STUDENT HOURLY")</f>
        <v xml:space="preserve">          6007 - STUDENT HOURLY</v>
      </c>
      <c r="C35" s="11"/>
      <c r="D35" s="6"/>
      <c r="E35" s="2"/>
      <c r="F35" s="7">
        <f t="shared" si="22"/>
        <v>0</v>
      </c>
      <c r="G35" s="2"/>
      <c r="H35" s="6">
        <v>17954.080000000002</v>
      </c>
      <c r="I35" s="2"/>
      <c r="J35" s="7">
        <f t="shared" si="23"/>
        <v>0.1118503113840483</v>
      </c>
      <c r="K35" s="2"/>
      <c r="L35" s="6">
        <f t="shared" si="24"/>
        <v>-17954.080000000002</v>
      </c>
      <c r="M35" s="2"/>
      <c r="N35" s="7">
        <f t="shared" si="25"/>
        <v>-1</v>
      </c>
      <c r="O35" s="11"/>
      <c r="P35" s="6"/>
      <c r="Q35" s="2"/>
      <c r="R35" s="7">
        <f t="shared" si="26"/>
        <v>0</v>
      </c>
      <c r="S35" s="2"/>
      <c r="T35" s="6">
        <v>46523.07</v>
      </c>
      <c r="U35" s="2"/>
      <c r="V35" s="7">
        <f t="shared" si="27"/>
        <v>0.14419928017320377</v>
      </c>
      <c r="W35" s="2"/>
      <c r="X35" s="6">
        <f t="shared" si="28"/>
        <v>-46523.07</v>
      </c>
      <c r="Y35" s="2"/>
      <c r="Z35" s="7">
        <f t="shared" si="29"/>
        <v>-1</v>
      </c>
    </row>
    <row r="36" spans="1:26" s="24" customFormat="1" hidden="1" outlineLevel="2" x14ac:dyDescent="0.25">
      <c r="A36" s="28"/>
      <c r="B36" s="11" t="str">
        <f>CONCATENATE("          ", "6008", " - ", "STUDENT HOURLY-FICA EXEMPT")</f>
        <v xml:space="preserve">          6008 - STUDENT HOURLY-FICA EXEMPT</v>
      </c>
      <c r="C36" s="11"/>
      <c r="D36" s="6"/>
      <c r="E36" s="2"/>
      <c r="F36" s="7">
        <f t="shared" si="22"/>
        <v>0</v>
      </c>
      <c r="G36" s="2"/>
      <c r="H36" s="6">
        <v>627</v>
      </c>
      <c r="I36" s="2"/>
      <c r="J36" s="7">
        <f t="shared" si="23"/>
        <v>3.9060840342584127E-3</v>
      </c>
      <c r="K36" s="2"/>
      <c r="L36" s="6">
        <f t="shared" si="24"/>
        <v>-627</v>
      </c>
      <c r="M36" s="2"/>
      <c r="N36" s="7">
        <f t="shared" si="25"/>
        <v>-1</v>
      </c>
      <c r="O36" s="11"/>
      <c r="P36" s="6"/>
      <c r="Q36" s="2"/>
      <c r="R36" s="7">
        <f t="shared" si="26"/>
        <v>0</v>
      </c>
      <c r="S36" s="2"/>
      <c r="T36" s="6">
        <v>1092</v>
      </c>
      <c r="U36" s="2"/>
      <c r="V36" s="7">
        <f t="shared" si="27"/>
        <v>3.384678052182251E-3</v>
      </c>
      <c r="W36" s="2"/>
      <c r="X36" s="6">
        <f t="shared" si="28"/>
        <v>-1092</v>
      </c>
      <c r="Y36" s="2"/>
      <c r="Z36" s="7">
        <f t="shared" si="29"/>
        <v>-1</v>
      </c>
    </row>
    <row r="37" spans="1:26" s="29" customFormat="1" outlineLevel="1" collapsed="1" x14ac:dyDescent="0.25">
      <c r="A37" s="27"/>
      <c r="B37" s="14" t="str">
        <f>CONCATENATE("     ","Advertising/Promo                                 ")</f>
        <v xml:space="preserve">     Advertising/Promo                                 </v>
      </c>
      <c r="C37" s="14"/>
      <c r="D37" s="1">
        <f>SUM(OSRRefD22_2x_0)</f>
        <v>0</v>
      </c>
      <c r="E37" s="1"/>
      <c r="F37" s="5">
        <f t="shared" ref="F37:F51" si="30">IF(D$12=0,0,D37/D$12)</f>
        <v>0</v>
      </c>
      <c r="G37" s="1"/>
      <c r="H37" s="1">
        <f>SUM(OSRRefH22_2x_0)</f>
        <v>90</v>
      </c>
      <c r="I37" s="1"/>
      <c r="J37" s="5">
        <f t="shared" ref="J37:J51" si="31">IF(H$12=0,0,H37/H$12)</f>
        <v>5.6068191879307357E-4</v>
      </c>
      <c r="K37" s="1"/>
      <c r="L37" s="1">
        <f t="shared" ref="L37:L51" si="32">+D37-H37</f>
        <v>-90</v>
      </c>
      <c r="M37" s="1"/>
      <c r="N37" s="5">
        <f t="shared" ref="N37:N51" si="33">IF(H37=0,0,L37/H37)</f>
        <v>-1</v>
      </c>
      <c r="O37" s="14"/>
      <c r="P37" s="1">
        <f>SUM(OSRRefP22_2x_0)</f>
        <v>0</v>
      </c>
      <c r="Q37" s="1"/>
      <c r="R37" s="5">
        <f t="shared" ref="R37:R51" si="34">IF(P$12=0,0,P37/P$12)</f>
        <v>0</v>
      </c>
      <c r="S37" s="1"/>
      <c r="T37" s="1">
        <f>SUM(OSRRefT22_2x_0)</f>
        <v>150</v>
      </c>
      <c r="U37" s="1"/>
      <c r="V37" s="5">
        <f t="shared" ref="V37:V51" si="35">IF(T$12=0,0,T37/T$12)</f>
        <v>4.6492830387118833E-4</v>
      </c>
      <c r="W37" s="1"/>
      <c r="X37" s="1">
        <f t="shared" ref="X37:X51" si="36">+P37-T37</f>
        <v>-150</v>
      </c>
      <c r="Y37" s="1"/>
      <c r="Z37" s="5">
        <f t="shared" ref="Z37:Z51" si="37">IF(T37=0,0,X37/T37)</f>
        <v>-1</v>
      </c>
    </row>
    <row r="38" spans="1:26" s="24" customFormat="1" hidden="1" outlineLevel="2" x14ac:dyDescent="0.25">
      <c r="A38" s="28"/>
      <c r="B38" s="11" t="str">
        <f>CONCATENATE("          ", "6362", " - ", "ADVERTISING EXPENSE")</f>
        <v xml:space="preserve">          6362 - ADVERTISING EXPENSE</v>
      </c>
      <c r="C38" s="11"/>
      <c r="D38" s="6"/>
      <c r="E38" s="2"/>
      <c r="F38" s="7">
        <f t="shared" si="30"/>
        <v>0</v>
      </c>
      <c r="G38" s="2"/>
      <c r="H38" s="6">
        <v>90</v>
      </c>
      <c r="I38" s="2"/>
      <c r="J38" s="7">
        <f t="shared" si="31"/>
        <v>5.6068191879307357E-4</v>
      </c>
      <c r="K38" s="2"/>
      <c r="L38" s="6">
        <f t="shared" si="32"/>
        <v>-90</v>
      </c>
      <c r="M38" s="2"/>
      <c r="N38" s="7">
        <f t="shared" si="33"/>
        <v>-1</v>
      </c>
      <c r="O38" s="11"/>
      <c r="P38" s="6"/>
      <c r="Q38" s="2"/>
      <c r="R38" s="7">
        <f t="shared" si="34"/>
        <v>0</v>
      </c>
      <c r="S38" s="2"/>
      <c r="T38" s="6">
        <v>150</v>
      </c>
      <c r="U38" s="2"/>
      <c r="V38" s="7">
        <f t="shared" si="35"/>
        <v>4.6492830387118833E-4</v>
      </c>
      <c r="W38" s="2"/>
      <c r="X38" s="6">
        <f t="shared" si="36"/>
        <v>-150</v>
      </c>
      <c r="Y38" s="2"/>
      <c r="Z38" s="7">
        <f t="shared" si="37"/>
        <v>-1</v>
      </c>
    </row>
    <row r="39" spans="1:26" s="29" customFormat="1" outlineLevel="1" collapsed="1" x14ac:dyDescent="0.25">
      <c r="A39" s="27"/>
      <c r="B39" s="14" t="str">
        <f>CONCATENATE("     ","Bad Debts/Over/Short                              ")</f>
        <v xml:space="preserve">     Bad Debts/Over/Short                              </v>
      </c>
      <c r="C39" s="14"/>
      <c r="D39" s="1">
        <f>SUM(OSRRefD22_3x_0)</f>
        <v>0</v>
      </c>
      <c r="E39" s="1"/>
      <c r="F39" s="5">
        <f t="shared" si="30"/>
        <v>0</v>
      </c>
      <c r="G39" s="1"/>
      <c r="H39" s="1">
        <f>SUM(OSRRefH22_3x_0)</f>
        <v>-6.73</v>
      </c>
      <c r="I39" s="1"/>
      <c r="J39" s="5">
        <f t="shared" si="31"/>
        <v>-4.1926547927526503E-5</v>
      </c>
      <c r="K39" s="1"/>
      <c r="L39" s="1">
        <f t="shared" si="32"/>
        <v>6.73</v>
      </c>
      <c r="M39" s="1"/>
      <c r="N39" s="5">
        <f t="shared" si="33"/>
        <v>-1</v>
      </c>
      <c r="O39" s="14"/>
      <c r="P39" s="1">
        <f>SUM(OSRRefP22_3x_0)</f>
        <v>0</v>
      </c>
      <c r="Q39" s="1"/>
      <c r="R39" s="5">
        <f t="shared" si="34"/>
        <v>0</v>
      </c>
      <c r="S39" s="1"/>
      <c r="T39" s="1">
        <f>SUM(OSRRefT22_3x_0)</f>
        <v>-31.81</v>
      </c>
      <c r="U39" s="1"/>
      <c r="V39" s="5">
        <f t="shared" si="35"/>
        <v>-9.8595795640950002E-5</v>
      </c>
      <c r="W39" s="1"/>
      <c r="X39" s="1">
        <f t="shared" si="36"/>
        <v>31.81</v>
      </c>
      <c r="Y39" s="1"/>
      <c r="Z39" s="5">
        <f t="shared" si="37"/>
        <v>-1</v>
      </c>
    </row>
    <row r="40" spans="1:26" s="24" customFormat="1" hidden="1" outlineLevel="2" x14ac:dyDescent="0.25">
      <c r="A40" s="28"/>
      <c r="B40" s="11" t="str">
        <f>CONCATENATE("          ", "6272", " - ", "CASH (OVER/SHORT)")</f>
        <v xml:space="preserve">          6272 - CASH (OVER/SHORT)</v>
      </c>
      <c r="C40" s="11"/>
      <c r="D40" s="6"/>
      <c r="E40" s="2"/>
      <c r="F40" s="7">
        <f t="shared" si="30"/>
        <v>0</v>
      </c>
      <c r="G40" s="2"/>
      <c r="H40" s="6">
        <v>-6.73</v>
      </c>
      <c r="I40" s="2"/>
      <c r="J40" s="7">
        <f t="shared" si="31"/>
        <v>-4.1926547927526503E-5</v>
      </c>
      <c r="K40" s="2"/>
      <c r="L40" s="6">
        <f t="shared" si="32"/>
        <v>6.73</v>
      </c>
      <c r="M40" s="2"/>
      <c r="N40" s="7">
        <f t="shared" si="33"/>
        <v>-1</v>
      </c>
      <c r="O40" s="11"/>
      <c r="P40" s="6"/>
      <c r="Q40" s="2"/>
      <c r="R40" s="7">
        <f t="shared" si="34"/>
        <v>0</v>
      </c>
      <c r="S40" s="2"/>
      <c r="T40" s="6">
        <v>-31.81</v>
      </c>
      <c r="U40" s="2"/>
      <c r="V40" s="7">
        <f t="shared" si="35"/>
        <v>-9.8595795640950002E-5</v>
      </c>
      <c r="W40" s="2"/>
      <c r="X40" s="6">
        <f t="shared" si="36"/>
        <v>31.81</v>
      </c>
      <c r="Y40" s="2"/>
      <c r="Z40" s="7">
        <f t="shared" si="37"/>
        <v>-1</v>
      </c>
    </row>
    <row r="41" spans="1:26" s="29" customFormat="1" outlineLevel="1" collapsed="1" x14ac:dyDescent="0.25">
      <c r="A41" s="27"/>
      <c r="B41" s="14" t="str">
        <f>CONCATENATE("     ","Bank/card Fees                                    ")</f>
        <v xml:space="preserve">     Bank/card Fees                                    </v>
      </c>
      <c r="C41" s="14"/>
      <c r="D41" s="1">
        <f>SUM(OSRRefD22_4x_0)</f>
        <v>0</v>
      </c>
      <c r="E41" s="1"/>
      <c r="F41" s="5">
        <f t="shared" si="30"/>
        <v>0</v>
      </c>
      <c r="G41" s="1"/>
      <c r="H41" s="1">
        <f>SUM(OSRRefH22_4x_0)</f>
        <v>5365.54</v>
      </c>
      <c r="I41" s="1"/>
      <c r="J41" s="5">
        <f t="shared" si="31"/>
        <v>3.3426236250677643E-2</v>
      </c>
      <c r="K41" s="1"/>
      <c r="L41" s="1">
        <f t="shared" si="32"/>
        <v>-5365.54</v>
      </c>
      <c r="M41" s="1"/>
      <c r="N41" s="5">
        <f t="shared" si="33"/>
        <v>-1</v>
      </c>
      <c r="O41" s="14"/>
      <c r="P41" s="1">
        <f>SUM(OSRRefP22_4x_0)</f>
        <v>0</v>
      </c>
      <c r="Q41" s="1"/>
      <c r="R41" s="5">
        <f t="shared" si="34"/>
        <v>0</v>
      </c>
      <c r="S41" s="1"/>
      <c r="T41" s="1">
        <f>SUM(OSRRefT22_4x_0)</f>
        <v>10759.96</v>
      </c>
      <c r="U41" s="1"/>
      <c r="V41" s="5">
        <f t="shared" si="35"/>
        <v>3.3350733016812205E-2</v>
      </c>
      <c r="W41" s="1"/>
      <c r="X41" s="1">
        <f t="shared" si="36"/>
        <v>-10759.96</v>
      </c>
      <c r="Y41" s="1"/>
      <c r="Z41" s="5">
        <f t="shared" si="37"/>
        <v>-1</v>
      </c>
    </row>
    <row r="42" spans="1:26" s="24" customFormat="1" hidden="1" outlineLevel="2" x14ac:dyDescent="0.25">
      <c r="A42" s="28"/>
      <c r="B42" s="11" t="str">
        <f>CONCATENATE("          ", "6381", " - ", "BANK/CREDIT CARD FEES")</f>
        <v xml:space="preserve">          6381 - BANK/CREDIT CARD FEES</v>
      </c>
      <c r="C42" s="11"/>
      <c r="D42" s="6"/>
      <c r="E42" s="2"/>
      <c r="F42" s="7">
        <f t="shared" si="30"/>
        <v>0</v>
      </c>
      <c r="G42" s="2"/>
      <c r="H42" s="6">
        <v>5365.54</v>
      </c>
      <c r="I42" s="2"/>
      <c r="J42" s="7">
        <f t="shared" si="31"/>
        <v>3.3426236250677643E-2</v>
      </c>
      <c r="K42" s="2"/>
      <c r="L42" s="6">
        <f t="shared" si="32"/>
        <v>-5365.54</v>
      </c>
      <c r="M42" s="2"/>
      <c r="N42" s="7">
        <f t="shared" si="33"/>
        <v>-1</v>
      </c>
      <c r="O42" s="11"/>
      <c r="P42" s="6"/>
      <c r="Q42" s="2"/>
      <c r="R42" s="7">
        <f t="shared" si="34"/>
        <v>0</v>
      </c>
      <c r="S42" s="2"/>
      <c r="T42" s="6">
        <v>10759.96</v>
      </c>
      <c r="U42" s="2"/>
      <c r="V42" s="7">
        <f t="shared" si="35"/>
        <v>3.3350733016812205E-2</v>
      </c>
      <c r="W42" s="2"/>
      <c r="X42" s="6">
        <f t="shared" si="36"/>
        <v>-10759.96</v>
      </c>
      <c r="Y42" s="2"/>
      <c r="Z42" s="7">
        <f t="shared" si="37"/>
        <v>-1</v>
      </c>
    </row>
    <row r="43" spans="1:26" s="29" customFormat="1" outlineLevel="1" collapsed="1" x14ac:dyDescent="0.25">
      <c r="A43" s="27"/>
      <c r="B43" s="14" t="str">
        <f>CONCATENATE("     ","Depreciation                                      ")</f>
        <v xml:space="preserve">     Depreciation                                      </v>
      </c>
      <c r="C43" s="14"/>
      <c r="D43" s="1">
        <f>SUM(OSRRefD22_5x_0)</f>
        <v>2017.34</v>
      </c>
      <c r="E43" s="1"/>
      <c r="F43" s="5">
        <f t="shared" si="30"/>
        <v>0</v>
      </c>
      <c r="G43" s="1"/>
      <c r="H43" s="1">
        <f>SUM(OSRRefH22_5x_0)</f>
        <v>1857.58</v>
      </c>
      <c r="I43" s="1"/>
      <c r="J43" s="5">
        <f t="shared" si="31"/>
        <v>1.1572350207907084E-2</v>
      </c>
      <c r="K43" s="1"/>
      <c r="L43" s="1">
        <f t="shared" si="32"/>
        <v>159.76</v>
      </c>
      <c r="M43" s="1"/>
      <c r="N43" s="5">
        <f t="shared" si="33"/>
        <v>8.6004371278760539E-2</v>
      </c>
      <c r="O43" s="14"/>
      <c r="P43" s="1">
        <f>SUM(OSRRefP22_5x_0)</f>
        <v>8069.36</v>
      </c>
      <c r="Q43" s="1"/>
      <c r="R43" s="5">
        <f t="shared" si="34"/>
        <v>0</v>
      </c>
      <c r="S43" s="1"/>
      <c r="T43" s="1">
        <f>SUM(OSRRefT22_5x_0)</f>
        <v>7430.32</v>
      </c>
      <c r="U43" s="1"/>
      <c r="V43" s="5">
        <f t="shared" si="35"/>
        <v>2.3030440498801118E-2</v>
      </c>
      <c r="W43" s="1"/>
      <c r="X43" s="1">
        <f t="shared" si="36"/>
        <v>639.04</v>
      </c>
      <c r="Y43" s="1"/>
      <c r="Z43" s="5">
        <f t="shared" si="37"/>
        <v>8.6004371278760539E-2</v>
      </c>
    </row>
    <row r="44" spans="1:26" s="24" customFormat="1" hidden="1" outlineLevel="2" x14ac:dyDescent="0.25">
      <c r="A44" s="28"/>
      <c r="B44" s="11" t="str">
        <f>CONCATENATE("          ", "6322", " - ", "EQUIPMENT DEPRECIATION EXPENSE")</f>
        <v xml:space="preserve">          6322 - EQUIPMENT DEPRECIATION EXPENSE</v>
      </c>
      <c r="C44" s="11"/>
      <c r="D44" s="6">
        <v>2017.34</v>
      </c>
      <c r="E44" s="2"/>
      <c r="F44" s="7">
        <f t="shared" si="30"/>
        <v>0</v>
      </c>
      <c r="G44" s="2"/>
      <c r="H44" s="6">
        <v>1857.58</v>
      </c>
      <c r="I44" s="2"/>
      <c r="J44" s="7">
        <f t="shared" si="31"/>
        <v>1.1572350207907084E-2</v>
      </c>
      <c r="K44" s="2"/>
      <c r="L44" s="6">
        <f t="shared" si="32"/>
        <v>159.76</v>
      </c>
      <c r="M44" s="2"/>
      <c r="N44" s="7">
        <f t="shared" si="33"/>
        <v>8.6004371278760539E-2</v>
      </c>
      <c r="O44" s="11"/>
      <c r="P44" s="6">
        <v>8069.36</v>
      </c>
      <c r="Q44" s="2"/>
      <c r="R44" s="7">
        <f t="shared" si="34"/>
        <v>0</v>
      </c>
      <c r="S44" s="2"/>
      <c r="T44" s="6">
        <v>7430.32</v>
      </c>
      <c r="U44" s="2"/>
      <c r="V44" s="7">
        <f t="shared" si="35"/>
        <v>2.3030440498801118E-2</v>
      </c>
      <c r="W44" s="2"/>
      <c r="X44" s="6">
        <f t="shared" si="36"/>
        <v>639.04</v>
      </c>
      <c r="Y44" s="2"/>
      <c r="Z44" s="7">
        <f t="shared" si="37"/>
        <v>8.6004371278760539E-2</v>
      </c>
    </row>
    <row r="45" spans="1:26" s="29" customFormat="1" outlineLevel="1" collapsed="1" x14ac:dyDescent="0.25">
      <c r="A45" s="27"/>
      <c r="B45" s="14" t="str">
        <f>CONCATENATE("     ","General                                           ")</f>
        <v xml:space="preserve">     General                                           </v>
      </c>
      <c r="C45" s="14"/>
      <c r="D45" s="1">
        <f>SUM(OSRRefD22_6x_0)</f>
        <v>0</v>
      </c>
      <c r="E45" s="1"/>
      <c r="F45" s="5">
        <f t="shared" si="30"/>
        <v>0</v>
      </c>
      <c r="G45" s="1"/>
      <c r="H45" s="1">
        <f>SUM(OSRRefH22_6x_0)</f>
        <v>67.5</v>
      </c>
      <c r="I45" s="1"/>
      <c r="J45" s="5">
        <f t="shared" si="31"/>
        <v>4.2051143909480521E-4</v>
      </c>
      <c r="K45" s="1"/>
      <c r="L45" s="1">
        <f t="shared" si="32"/>
        <v>-67.5</v>
      </c>
      <c r="M45" s="1"/>
      <c r="N45" s="5">
        <f t="shared" si="33"/>
        <v>-1</v>
      </c>
      <c r="O45" s="14"/>
      <c r="P45" s="1">
        <f>SUM(OSRRefP22_6x_0)</f>
        <v>0</v>
      </c>
      <c r="Q45" s="1"/>
      <c r="R45" s="5">
        <f t="shared" si="34"/>
        <v>0</v>
      </c>
      <c r="S45" s="1"/>
      <c r="T45" s="1">
        <f>SUM(OSRRefT22_6x_0)</f>
        <v>927.55</v>
      </c>
      <c r="U45" s="1"/>
      <c r="V45" s="5">
        <f t="shared" si="35"/>
        <v>2.874961655038138E-3</v>
      </c>
      <c r="W45" s="1"/>
      <c r="X45" s="1">
        <f t="shared" si="36"/>
        <v>-927.55</v>
      </c>
      <c r="Y45" s="1"/>
      <c r="Z45" s="5">
        <f t="shared" si="37"/>
        <v>-1</v>
      </c>
    </row>
    <row r="46" spans="1:26" s="24" customFormat="1" hidden="1" outlineLevel="2" x14ac:dyDescent="0.25">
      <c r="A46" s="28"/>
      <c r="B46" s="11" t="str">
        <f>CONCATENATE("          ", "6279", " - ", "GENERAL EXPENSE")</f>
        <v xml:space="preserve">          6279 - GENERAL EXPENSE</v>
      </c>
      <c r="C46" s="11"/>
      <c r="D46" s="6"/>
      <c r="E46" s="2"/>
      <c r="F46" s="7">
        <f t="shared" si="30"/>
        <v>0</v>
      </c>
      <c r="G46" s="2"/>
      <c r="H46" s="6">
        <v>67.5</v>
      </c>
      <c r="I46" s="2"/>
      <c r="J46" s="7">
        <f t="shared" si="31"/>
        <v>4.2051143909480521E-4</v>
      </c>
      <c r="K46" s="2"/>
      <c r="L46" s="6">
        <f t="shared" si="32"/>
        <v>-67.5</v>
      </c>
      <c r="M46" s="2"/>
      <c r="N46" s="7">
        <f t="shared" si="33"/>
        <v>-1</v>
      </c>
      <c r="O46" s="11"/>
      <c r="P46" s="6"/>
      <c r="Q46" s="2"/>
      <c r="R46" s="7">
        <f t="shared" si="34"/>
        <v>0</v>
      </c>
      <c r="S46" s="2"/>
      <c r="T46" s="6">
        <v>927.55</v>
      </c>
      <c r="U46" s="2"/>
      <c r="V46" s="7">
        <f t="shared" si="35"/>
        <v>2.874961655038138E-3</v>
      </c>
      <c r="W46" s="2"/>
      <c r="X46" s="6">
        <f t="shared" si="36"/>
        <v>-927.55</v>
      </c>
      <c r="Y46" s="2"/>
      <c r="Z46" s="7">
        <f t="shared" si="37"/>
        <v>-1</v>
      </c>
    </row>
    <row r="47" spans="1:26" s="29" customFormat="1" outlineLevel="1" collapsed="1" x14ac:dyDescent="0.25">
      <c r="A47" s="27"/>
      <c r="B47" s="14" t="str">
        <f>CONCATENATE("     ","Rent                                              ")</f>
        <v xml:space="preserve">     Rent                                              </v>
      </c>
      <c r="C47" s="14"/>
      <c r="D47" s="1">
        <f>SUM(OSRRefD22_7x_0)</f>
        <v>0</v>
      </c>
      <c r="E47" s="1"/>
      <c r="F47" s="5">
        <f t="shared" si="30"/>
        <v>0</v>
      </c>
      <c r="G47" s="1"/>
      <c r="H47" s="1">
        <f>SUM(OSRRefH22_7x_0)</f>
        <v>1150</v>
      </c>
      <c r="I47" s="1"/>
      <c r="J47" s="5">
        <f t="shared" si="31"/>
        <v>7.1642689623559403E-3</v>
      </c>
      <c r="K47" s="1"/>
      <c r="L47" s="1">
        <f t="shared" si="32"/>
        <v>-1150</v>
      </c>
      <c r="M47" s="1"/>
      <c r="N47" s="5">
        <f t="shared" si="33"/>
        <v>-1</v>
      </c>
      <c r="O47" s="14"/>
      <c r="P47" s="1">
        <f>SUM(OSRRefP22_7x_0)</f>
        <v>0</v>
      </c>
      <c r="Q47" s="1"/>
      <c r="R47" s="5">
        <f t="shared" si="34"/>
        <v>0</v>
      </c>
      <c r="S47" s="1"/>
      <c r="T47" s="1">
        <f>SUM(OSRRefT22_7x_0)</f>
        <v>4600</v>
      </c>
      <c r="U47" s="1"/>
      <c r="V47" s="5">
        <f t="shared" si="35"/>
        <v>1.4257801318716441E-2</v>
      </c>
      <c r="W47" s="1"/>
      <c r="X47" s="1">
        <f t="shared" si="36"/>
        <v>-4600</v>
      </c>
      <c r="Y47" s="1"/>
      <c r="Z47" s="5">
        <f t="shared" si="37"/>
        <v>-1</v>
      </c>
    </row>
    <row r="48" spans="1:26" s="24" customFormat="1" hidden="1" outlineLevel="2" x14ac:dyDescent="0.25">
      <c r="A48" s="28"/>
      <c r="B48" s="11" t="str">
        <f>CONCATENATE("          ", "6273", " - ", "RENT")</f>
        <v xml:space="preserve">          6273 - RENT</v>
      </c>
      <c r="C48" s="11"/>
      <c r="D48" s="6"/>
      <c r="E48" s="2"/>
      <c r="F48" s="7">
        <f t="shared" si="30"/>
        <v>0</v>
      </c>
      <c r="G48" s="2"/>
      <c r="H48" s="6">
        <v>1150</v>
      </c>
      <c r="I48" s="2"/>
      <c r="J48" s="7">
        <f t="shared" si="31"/>
        <v>7.1642689623559403E-3</v>
      </c>
      <c r="K48" s="2"/>
      <c r="L48" s="6">
        <f t="shared" si="32"/>
        <v>-1150</v>
      </c>
      <c r="M48" s="2"/>
      <c r="N48" s="7">
        <f t="shared" si="33"/>
        <v>-1</v>
      </c>
      <c r="O48" s="11"/>
      <c r="P48" s="6"/>
      <c r="Q48" s="2"/>
      <c r="R48" s="7">
        <f t="shared" si="34"/>
        <v>0</v>
      </c>
      <c r="S48" s="2"/>
      <c r="T48" s="6">
        <v>4600</v>
      </c>
      <c r="U48" s="2"/>
      <c r="V48" s="7">
        <f t="shared" si="35"/>
        <v>1.4257801318716441E-2</v>
      </c>
      <c r="W48" s="2"/>
      <c r="X48" s="6">
        <f t="shared" si="36"/>
        <v>-4600</v>
      </c>
      <c r="Y48" s="2"/>
      <c r="Z48" s="7">
        <f t="shared" si="37"/>
        <v>-1</v>
      </c>
    </row>
    <row r="49" spans="1:26" s="29" customFormat="1" outlineLevel="1" collapsed="1" x14ac:dyDescent="0.25">
      <c r="A49" s="27"/>
      <c r="B49" s="14" t="str">
        <f>CONCATENATE("     ","Repair and Maintenance                            ")</f>
        <v xml:space="preserve">     Repair and Maintenance                            </v>
      </c>
      <c r="C49" s="14"/>
      <c r="D49" s="1">
        <f>SUM(OSRRefD22_8x_0)</f>
        <v>0</v>
      </c>
      <c r="E49" s="1"/>
      <c r="F49" s="5">
        <f t="shared" si="30"/>
        <v>0</v>
      </c>
      <c r="G49" s="1"/>
      <c r="H49" s="1">
        <f>SUM(OSRRefH22_8x_0)</f>
        <v>389.01</v>
      </c>
      <c r="I49" s="1"/>
      <c r="J49" s="5">
        <f t="shared" si="31"/>
        <v>2.4234541469965948E-3</v>
      </c>
      <c r="K49" s="1"/>
      <c r="L49" s="1">
        <f t="shared" si="32"/>
        <v>-389.01</v>
      </c>
      <c r="M49" s="1"/>
      <c r="N49" s="5">
        <f t="shared" si="33"/>
        <v>-1</v>
      </c>
      <c r="O49" s="14"/>
      <c r="P49" s="1">
        <f>SUM(OSRRefP22_8x_0)</f>
        <v>150.94999999999999</v>
      </c>
      <c r="Q49" s="1"/>
      <c r="R49" s="5">
        <f t="shared" si="34"/>
        <v>0</v>
      </c>
      <c r="S49" s="1"/>
      <c r="T49" s="1">
        <f>SUM(OSRRefT22_8x_0)</f>
        <v>1538.28</v>
      </c>
      <c r="U49" s="1"/>
      <c r="V49" s="5">
        <f t="shared" si="35"/>
        <v>4.7679327418598105E-3</v>
      </c>
      <c r="W49" s="1"/>
      <c r="X49" s="1">
        <f t="shared" si="36"/>
        <v>-1387.33</v>
      </c>
      <c r="Y49" s="1"/>
      <c r="Z49" s="5">
        <f t="shared" si="37"/>
        <v>-0.90187092076865072</v>
      </c>
    </row>
    <row r="50" spans="1:26" s="24" customFormat="1" hidden="1" outlineLevel="2" x14ac:dyDescent="0.25">
      <c r="A50" s="28"/>
      <c r="B50" s="11" t="str">
        <f>CONCATENATE("          ", "6373", " - ", "MAINTENANCE CONTRACTS")</f>
        <v xml:space="preserve">          6373 - MAINTENANCE CONTRACTS</v>
      </c>
      <c r="C50" s="11"/>
      <c r="D50" s="6"/>
      <c r="E50" s="2"/>
      <c r="F50" s="7">
        <f t="shared" si="30"/>
        <v>0</v>
      </c>
      <c r="G50" s="2"/>
      <c r="H50" s="6">
        <v>68.48</v>
      </c>
      <c r="I50" s="2"/>
      <c r="J50" s="7">
        <f t="shared" si="31"/>
        <v>4.2661664221055204E-4</v>
      </c>
      <c r="K50" s="2"/>
      <c r="L50" s="6">
        <f t="shared" si="32"/>
        <v>-68.48</v>
      </c>
      <c r="M50" s="2"/>
      <c r="N50" s="7">
        <f t="shared" si="33"/>
        <v>-1</v>
      </c>
      <c r="O50" s="11"/>
      <c r="P50" s="6">
        <v>150.94999999999999</v>
      </c>
      <c r="Q50" s="2"/>
      <c r="R50" s="7">
        <f t="shared" si="34"/>
        <v>0</v>
      </c>
      <c r="S50" s="2"/>
      <c r="T50" s="6">
        <v>68.48</v>
      </c>
      <c r="U50" s="2"/>
      <c r="V50" s="7">
        <f t="shared" si="35"/>
        <v>2.1225526832732651E-4</v>
      </c>
      <c r="W50" s="2"/>
      <c r="X50" s="6">
        <f t="shared" si="36"/>
        <v>82.469999999999985</v>
      </c>
      <c r="Y50" s="2"/>
      <c r="Z50" s="7">
        <f t="shared" si="37"/>
        <v>1.2042932242990652</v>
      </c>
    </row>
    <row r="51" spans="1:26" s="24" customFormat="1" hidden="1" outlineLevel="2" x14ac:dyDescent="0.25">
      <c r="A51" s="28"/>
      <c r="B51" s="11" t="str">
        <f>CONCATENATE("          ", "6375", " - ", "OUTSIDE REPAIRS &amp; MAINTENANCE")</f>
        <v xml:space="preserve">          6375 - OUTSIDE REPAIRS &amp; MAINTENANCE</v>
      </c>
      <c r="C51" s="11"/>
      <c r="D51" s="6"/>
      <c r="E51" s="2"/>
      <c r="F51" s="7">
        <f t="shared" si="30"/>
        <v>0</v>
      </c>
      <c r="G51" s="2"/>
      <c r="H51" s="6">
        <v>320.52999999999997</v>
      </c>
      <c r="I51" s="2"/>
      <c r="J51" s="7">
        <f t="shared" si="31"/>
        <v>1.9968375047860428E-3</v>
      </c>
      <c r="K51" s="2"/>
      <c r="L51" s="6">
        <f t="shared" si="32"/>
        <v>-320.52999999999997</v>
      </c>
      <c r="M51" s="2"/>
      <c r="N51" s="7">
        <f t="shared" si="33"/>
        <v>-1</v>
      </c>
      <c r="O51" s="11"/>
      <c r="P51" s="6"/>
      <c r="Q51" s="2"/>
      <c r="R51" s="7">
        <f t="shared" si="34"/>
        <v>0</v>
      </c>
      <c r="S51" s="2"/>
      <c r="T51" s="6">
        <v>1469.8</v>
      </c>
      <c r="U51" s="2"/>
      <c r="V51" s="7">
        <f t="shared" si="35"/>
        <v>4.5556774735324834E-3</v>
      </c>
      <c r="W51" s="2"/>
      <c r="X51" s="6">
        <f t="shared" si="36"/>
        <v>-1469.8</v>
      </c>
      <c r="Y51" s="2"/>
      <c r="Z51" s="7">
        <f t="shared" si="37"/>
        <v>-1</v>
      </c>
    </row>
    <row r="52" spans="1:26" s="29" customFormat="1" outlineLevel="1" collapsed="1" x14ac:dyDescent="0.25">
      <c r="A52" s="27"/>
      <c r="B52" s="14" t="str">
        <f>CONCATENATE("     ","Services                                          ")</f>
        <v xml:space="preserve">     Services                                          </v>
      </c>
      <c r="C52" s="14"/>
      <c r="D52" s="1">
        <f>SUM(OSRRefD22_9x_0)</f>
        <v>0</v>
      </c>
      <c r="E52" s="1"/>
      <c r="F52" s="5">
        <f t="shared" ref="F52:F55" si="38">IF(D$12=0,0,D52/D$12)</f>
        <v>0</v>
      </c>
      <c r="G52" s="1"/>
      <c r="H52" s="1">
        <f>SUM(OSRRefH22_9x_0)</f>
        <v>502.85</v>
      </c>
      <c r="I52" s="1"/>
      <c r="J52" s="5">
        <f t="shared" ref="J52:J55" si="39">IF(H$12=0,0,H52/H$12)</f>
        <v>3.1326544762788561E-3</v>
      </c>
      <c r="K52" s="1"/>
      <c r="L52" s="1">
        <f t="shared" ref="L52:L55" si="40">+D52-H52</f>
        <v>-502.85</v>
      </c>
      <c r="M52" s="1"/>
      <c r="N52" s="5">
        <f t="shared" ref="N52:N55" si="41">IF(H52=0,0,L52/H52)</f>
        <v>-1</v>
      </c>
      <c r="O52" s="14"/>
      <c r="P52" s="1">
        <f>SUM(OSRRefP22_9x_0)</f>
        <v>-1053.52</v>
      </c>
      <c r="Q52" s="1"/>
      <c r="R52" s="5">
        <f t="shared" ref="R52:R55" si="42">IF(P$12=0,0,P52/P$12)</f>
        <v>0</v>
      </c>
      <c r="S52" s="1"/>
      <c r="T52" s="1">
        <f>SUM(OSRRefT22_9x_0)</f>
        <v>2001.6599999999999</v>
      </c>
      <c r="U52" s="1"/>
      <c r="V52" s="5">
        <f t="shared" ref="V52:V55" si="43">IF(T$12=0,0,T52/T$12)</f>
        <v>6.2041892581786847E-3</v>
      </c>
      <c r="W52" s="1"/>
      <c r="X52" s="1">
        <f t="shared" ref="X52:X55" si="44">+P52-T52</f>
        <v>-3055.18</v>
      </c>
      <c r="Y52" s="1"/>
      <c r="Z52" s="5">
        <f t="shared" ref="Z52:Z55" si="45">IF(T52=0,0,X52/T52)</f>
        <v>-1.5263231517840192</v>
      </c>
    </row>
    <row r="53" spans="1:26" s="24" customFormat="1" hidden="1" outlineLevel="2" x14ac:dyDescent="0.25">
      <c r="A53" s="28"/>
      <c r="B53" s="11" t="str">
        <f>CONCATENATE("          ", "6282", " - ", "JANITORIAL/EXTERMINATOR EXPENS")</f>
        <v xml:space="preserve">          6282 - JANITORIAL/EXTERMINATOR EXPENS</v>
      </c>
      <c r="C53" s="11"/>
      <c r="D53" s="6"/>
      <c r="E53" s="2"/>
      <c r="F53" s="7">
        <f t="shared" si="38"/>
        <v>0</v>
      </c>
      <c r="G53" s="2"/>
      <c r="H53" s="6">
        <v>116.81</v>
      </c>
      <c r="I53" s="2"/>
      <c r="J53" s="7">
        <f t="shared" si="39"/>
        <v>7.2770283260243252E-4</v>
      </c>
      <c r="K53" s="2"/>
      <c r="L53" s="6">
        <f t="shared" si="40"/>
        <v>-116.81</v>
      </c>
      <c r="M53" s="2"/>
      <c r="N53" s="7">
        <f t="shared" si="41"/>
        <v>-1</v>
      </c>
      <c r="O53" s="11"/>
      <c r="P53" s="6">
        <v>-567.28</v>
      </c>
      <c r="Q53" s="2"/>
      <c r="R53" s="7">
        <f t="shared" si="42"/>
        <v>0</v>
      </c>
      <c r="S53" s="2"/>
      <c r="T53" s="6">
        <v>584.04999999999995</v>
      </c>
      <c r="U53" s="2"/>
      <c r="V53" s="7">
        <f t="shared" si="43"/>
        <v>1.8102758391731167E-3</v>
      </c>
      <c r="W53" s="2"/>
      <c r="X53" s="6">
        <f t="shared" si="44"/>
        <v>-1151.33</v>
      </c>
      <c r="Y53" s="2"/>
      <c r="Z53" s="7">
        <f t="shared" si="45"/>
        <v>-1.9712867049054019</v>
      </c>
    </row>
    <row r="54" spans="1:26" s="24" customFormat="1" hidden="1" outlineLevel="2" x14ac:dyDescent="0.25">
      <c r="A54" s="28"/>
      <c r="B54" s="11" t="str">
        <f>CONCATENATE("          ", "6285", " - ", "JANITORIAL SERVICES")</f>
        <v xml:space="preserve">          6285 - JANITORIAL SERVICES</v>
      </c>
      <c r="C54" s="11"/>
      <c r="D54" s="6"/>
      <c r="E54" s="2"/>
      <c r="F54" s="7">
        <f t="shared" si="38"/>
        <v>0</v>
      </c>
      <c r="G54" s="2"/>
      <c r="H54" s="6">
        <v>75.680000000000007</v>
      </c>
      <c r="I54" s="2"/>
      <c r="J54" s="7">
        <f t="shared" si="39"/>
        <v>4.714711957139979E-4</v>
      </c>
      <c r="K54" s="2"/>
      <c r="L54" s="6">
        <f t="shared" si="40"/>
        <v>-75.680000000000007</v>
      </c>
      <c r="M54" s="2"/>
      <c r="N54" s="7">
        <f t="shared" si="41"/>
        <v>-1</v>
      </c>
      <c r="O54" s="11"/>
      <c r="P54" s="6">
        <v>-486.24</v>
      </c>
      <c r="Q54" s="2"/>
      <c r="R54" s="7">
        <f t="shared" si="42"/>
        <v>0</v>
      </c>
      <c r="S54" s="2"/>
      <c r="T54" s="6">
        <v>127.04</v>
      </c>
      <c r="U54" s="2"/>
      <c r="V54" s="7">
        <f t="shared" si="43"/>
        <v>3.9376327815863842E-4</v>
      </c>
      <c r="W54" s="2"/>
      <c r="X54" s="6">
        <f t="shared" si="44"/>
        <v>-613.28</v>
      </c>
      <c r="Y54" s="2"/>
      <c r="Z54" s="7">
        <f t="shared" si="45"/>
        <v>-4.8274559193954651</v>
      </c>
    </row>
    <row r="55" spans="1:26" s="24" customFormat="1" hidden="1" outlineLevel="2" x14ac:dyDescent="0.25">
      <c r="A55" s="28"/>
      <c r="B55" s="11" t="str">
        <f>CONCATENATE("          ", "6286", " - ", "LAUNDRY EXPENSE")</f>
        <v xml:space="preserve">          6286 - LAUNDRY EXPENSE</v>
      </c>
      <c r="C55" s="11"/>
      <c r="D55" s="6"/>
      <c r="E55" s="2"/>
      <c r="F55" s="7">
        <f t="shared" si="38"/>
        <v>0</v>
      </c>
      <c r="G55" s="2"/>
      <c r="H55" s="6">
        <v>310.36</v>
      </c>
      <c r="I55" s="2"/>
      <c r="J55" s="7">
        <f t="shared" si="39"/>
        <v>1.9334804479624258E-3</v>
      </c>
      <c r="K55" s="2"/>
      <c r="L55" s="6">
        <f t="shared" si="40"/>
        <v>-310.36</v>
      </c>
      <c r="M55" s="2"/>
      <c r="N55" s="7">
        <f t="shared" si="41"/>
        <v>-1</v>
      </c>
      <c r="O55" s="11"/>
      <c r="P55" s="6"/>
      <c r="Q55" s="2"/>
      <c r="R55" s="7">
        <f t="shared" si="42"/>
        <v>0</v>
      </c>
      <c r="S55" s="2"/>
      <c r="T55" s="6">
        <v>1290.57</v>
      </c>
      <c r="U55" s="2"/>
      <c r="V55" s="7">
        <f t="shared" si="43"/>
        <v>4.0001501408469297E-3</v>
      </c>
      <c r="W55" s="2"/>
      <c r="X55" s="6">
        <f t="shared" si="44"/>
        <v>-1290.57</v>
      </c>
      <c r="Y55" s="2"/>
      <c r="Z55" s="7">
        <f t="shared" si="45"/>
        <v>-1</v>
      </c>
    </row>
    <row r="56" spans="1:26" s="29" customFormat="1" outlineLevel="1" collapsed="1" x14ac:dyDescent="0.25">
      <c r="A56" s="27"/>
      <c r="B56" s="14" t="str">
        <f>CONCATENATE("     ","Supplies                                          ")</f>
        <v xml:space="preserve">     Supplies                                          </v>
      </c>
      <c r="C56" s="14"/>
      <c r="D56" s="1">
        <f>SUM(OSRRefD22_10x_0)</f>
        <v>0</v>
      </c>
      <c r="E56" s="1"/>
      <c r="F56" s="5">
        <f t="shared" ref="F56:F61" si="46">IF(D$12=0,0,D56/D$12)</f>
        <v>0</v>
      </c>
      <c r="G56" s="1"/>
      <c r="H56" s="1">
        <f>SUM(OSRRefH22_10x_0)</f>
        <v>2494.7200000000003</v>
      </c>
      <c r="I56" s="1"/>
      <c r="J56" s="5">
        <f t="shared" ref="J56:J61" si="47">IF(H$12=0,0,H56/H$12)</f>
        <v>1.5541604405016186E-2</v>
      </c>
      <c r="K56" s="1"/>
      <c r="L56" s="1">
        <f t="shared" ref="L56:L61" si="48">+D56-H56</f>
        <v>-2494.7200000000003</v>
      </c>
      <c r="M56" s="1"/>
      <c r="N56" s="5">
        <f t="shared" ref="N56:N61" si="49">IF(H56=0,0,L56/H56)</f>
        <v>-1</v>
      </c>
      <c r="O56" s="14"/>
      <c r="P56" s="1">
        <f>SUM(OSRRefP22_10x_0)</f>
        <v>131.30000000000001</v>
      </c>
      <c r="Q56" s="1"/>
      <c r="R56" s="5">
        <f t="shared" ref="R56:R61" si="50">IF(P$12=0,0,P56/P$12)</f>
        <v>0</v>
      </c>
      <c r="S56" s="1"/>
      <c r="T56" s="1">
        <f>SUM(OSRRefT22_10x_0)</f>
        <v>9478.5300000000007</v>
      </c>
      <c r="U56" s="1"/>
      <c r="V56" s="5">
        <f t="shared" ref="V56:V61" si="51">IF(T$12=0,0,T56/T$12)</f>
        <v>2.9378912507281165E-2</v>
      </c>
      <c r="W56" s="1"/>
      <c r="X56" s="1">
        <f t="shared" ref="X56:X61" si="52">+P56-T56</f>
        <v>-9347.2300000000014</v>
      </c>
      <c r="Y56" s="1"/>
      <c r="Z56" s="5">
        <f t="shared" ref="Z56:Z61" si="53">IF(T56=0,0,X56/T56)</f>
        <v>-0.98614764103716512</v>
      </c>
    </row>
    <row r="57" spans="1:26" s="24" customFormat="1" hidden="1" outlineLevel="2" x14ac:dyDescent="0.25">
      <c r="A57" s="28"/>
      <c r="B57" s="11" t="str">
        <f>CONCATENATE("          ", "6234", " - ", "EXPENDABLE SUPPLIES &amp; EQUIPMEN")</f>
        <v xml:space="preserve">          6234 - EXPENDABLE SUPPLIES &amp; EQUIPMEN</v>
      </c>
      <c r="C57" s="11"/>
      <c r="D57" s="6"/>
      <c r="E57" s="2"/>
      <c r="F57" s="7">
        <f t="shared" si="46"/>
        <v>0</v>
      </c>
      <c r="G57" s="2"/>
      <c r="H57" s="6"/>
      <c r="I57" s="2"/>
      <c r="J57" s="7">
        <f t="shared" si="47"/>
        <v>0</v>
      </c>
      <c r="K57" s="2"/>
      <c r="L57" s="6">
        <f t="shared" si="48"/>
        <v>0</v>
      </c>
      <c r="M57" s="2"/>
      <c r="N57" s="7">
        <f t="shared" si="49"/>
        <v>0</v>
      </c>
      <c r="O57" s="11"/>
      <c r="P57" s="6"/>
      <c r="Q57" s="2"/>
      <c r="R57" s="7">
        <f t="shared" si="50"/>
        <v>0</v>
      </c>
      <c r="S57" s="2"/>
      <c r="T57" s="6">
        <v>354.71</v>
      </c>
      <c r="U57" s="2"/>
      <c r="V57" s="7">
        <f t="shared" si="51"/>
        <v>1.0994314577743279E-3</v>
      </c>
      <c r="W57" s="2"/>
      <c r="X57" s="6">
        <f t="shared" si="52"/>
        <v>-354.71</v>
      </c>
      <c r="Y57" s="2"/>
      <c r="Z57" s="7">
        <f t="shared" si="53"/>
        <v>-1</v>
      </c>
    </row>
    <row r="58" spans="1:26" s="24" customFormat="1" hidden="1" outlineLevel="2" x14ac:dyDescent="0.25">
      <c r="A58" s="28"/>
      <c r="B58" s="11" t="str">
        <f>CONCATENATE("          ", "6237", " - ", "JANITORIAL SUPPLIES")</f>
        <v xml:space="preserve">          6237 - JANITORIAL SUPPLIES</v>
      </c>
      <c r="C58" s="11"/>
      <c r="D58" s="6"/>
      <c r="E58" s="2"/>
      <c r="F58" s="7">
        <f t="shared" si="46"/>
        <v>0</v>
      </c>
      <c r="G58" s="2"/>
      <c r="H58" s="6">
        <v>338.09</v>
      </c>
      <c r="I58" s="2"/>
      <c r="J58" s="7">
        <f t="shared" si="47"/>
        <v>2.1062327769416694E-3</v>
      </c>
      <c r="K58" s="2"/>
      <c r="L58" s="6">
        <f t="shared" si="48"/>
        <v>-338.09</v>
      </c>
      <c r="M58" s="2"/>
      <c r="N58" s="7">
        <f t="shared" si="49"/>
        <v>-1</v>
      </c>
      <c r="O58" s="11"/>
      <c r="P58" s="6"/>
      <c r="Q58" s="2"/>
      <c r="R58" s="7">
        <f t="shared" si="50"/>
        <v>0</v>
      </c>
      <c r="S58" s="2"/>
      <c r="T58" s="6">
        <v>663.92</v>
      </c>
      <c r="U58" s="2"/>
      <c r="V58" s="7">
        <f t="shared" si="51"/>
        <v>2.0578346633743955E-3</v>
      </c>
      <c r="W58" s="2"/>
      <c r="X58" s="6">
        <f t="shared" si="52"/>
        <v>-663.92</v>
      </c>
      <c r="Y58" s="2"/>
      <c r="Z58" s="7">
        <f t="shared" si="53"/>
        <v>-1</v>
      </c>
    </row>
    <row r="59" spans="1:26" s="24" customFormat="1" hidden="1" outlineLevel="2" x14ac:dyDescent="0.25">
      <c r="A59" s="28"/>
      <c r="B59" s="11" t="str">
        <f>CONCATENATE("          ", "6241", " - ", "OFFICE EXPENSE")</f>
        <v xml:space="preserve">          6241 - OFFICE EXPENSE</v>
      </c>
      <c r="C59" s="11"/>
      <c r="D59" s="6"/>
      <c r="E59" s="2"/>
      <c r="F59" s="7">
        <f t="shared" si="46"/>
        <v>0</v>
      </c>
      <c r="G59" s="2"/>
      <c r="H59" s="6">
        <v>337.46</v>
      </c>
      <c r="I59" s="2"/>
      <c r="J59" s="7">
        <f t="shared" si="47"/>
        <v>2.1023080035101178E-3</v>
      </c>
      <c r="K59" s="2"/>
      <c r="L59" s="6">
        <f t="shared" si="48"/>
        <v>-337.46</v>
      </c>
      <c r="M59" s="2"/>
      <c r="N59" s="7">
        <f t="shared" si="49"/>
        <v>-1</v>
      </c>
      <c r="O59" s="11"/>
      <c r="P59" s="6">
        <v>131.30000000000001</v>
      </c>
      <c r="Q59" s="2"/>
      <c r="R59" s="7">
        <f t="shared" si="50"/>
        <v>0</v>
      </c>
      <c r="S59" s="2"/>
      <c r="T59" s="6">
        <v>872.95</v>
      </c>
      <c r="U59" s="2"/>
      <c r="V59" s="7">
        <f t="shared" si="51"/>
        <v>2.7057277524290256E-3</v>
      </c>
      <c r="W59" s="2"/>
      <c r="X59" s="6">
        <f t="shared" si="52"/>
        <v>-741.65000000000009</v>
      </c>
      <c r="Y59" s="2"/>
      <c r="Z59" s="7">
        <f t="shared" si="53"/>
        <v>-0.84959046909903213</v>
      </c>
    </row>
    <row r="60" spans="1:26" s="24" customFormat="1" hidden="1" outlineLevel="2" x14ac:dyDescent="0.25">
      <c r="A60" s="28"/>
      <c r="B60" s="11" t="str">
        <f>CONCATENATE("          ", "6243", " - ", "PAPER SUPPLIES")</f>
        <v xml:space="preserve">          6243 - PAPER SUPPLIES</v>
      </c>
      <c r="C60" s="11"/>
      <c r="D60" s="6"/>
      <c r="E60" s="2"/>
      <c r="F60" s="7">
        <f t="shared" si="46"/>
        <v>0</v>
      </c>
      <c r="G60" s="2"/>
      <c r="H60" s="6">
        <v>1436.33</v>
      </c>
      <c r="I60" s="2"/>
      <c r="J60" s="7">
        <f t="shared" si="47"/>
        <v>8.9480473380006142E-3</v>
      </c>
      <c r="K60" s="2"/>
      <c r="L60" s="6">
        <f t="shared" si="48"/>
        <v>-1436.33</v>
      </c>
      <c r="M60" s="2"/>
      <c r="N60" s="7">
        <f t="shared" si="49"/>
        <v>-1</v>
      </c>
      <c r="O60" s="11"/>
      <c r="P60" s="6"/>
      <c r="Q60" s="2"/>
      <c r="R60" s="7">
        <f t="shared" si="50"/>
        <v>0</v>
      </c>
      <c r="S60" s="2"/>
      <c r="T60" s="6">
        <v>1591.98</v>
      </c>
      <c r="U60" s="2"/>
      <c r="V60" s="7">
        <f t="shared" si="51"/>
        <v>4.9343770746456961E-3</v>
      </c>
      <c r="W60" s="2"/>
      <c r="X60" s="6">
        <f t="shared" si="52"/>
        <v>-1591.98</v>
      </c>
      <c r="Y60" s="2"/>
      <c r="Z60" s="7">
        <f t="shared" si="53"/>
        <v>-1</v>
      </c>
    </row>
    <row r="61" spans="1:26" s="24" customFormat="1" hidden="1" outlineLevel="2" x14ac:dyDescent="0.25">
      <c r="A61" s="28"/>
      <c r="B61" s="11" t="str">
        <f>CONCATENATE("          ", "6247", " - ", "STORE SUPPLIES")</f>
        <v xml:space="preserve">          6247 - STORE SUPPLIES</v>
      </c>
      <c r="C61" s="11"/>
      <c r="D61" s="6"/>
      <c r="E61" s="2"/>
      <c r="F61" s="7">
        <f t="shared" si="46"/>
        <v>0</v>
      </c>
      <c r="G61" s="2"/>
      <c r="H61" s="6">
        <v>382.84</v>
      </c>
      <c r="I61" s="2"/>
      <c r="J61" s="7">
        <f t="shared" si="47"/>
        <v>2.3850162865637807E-3</v>
      </c>
      <c r="K61" s="2"/>
      <c r="L61" s="6">
        <f t="shared" si="48"/>
        <v>-382.84</v>
      </c>
      <c r="M61" s="2"/>
      <c r="N61" s="7">
        <f t="shared" si="49"/>
        <v>-1</v>
      </c>
      <c r="O61" s="11"/>
      <c r="P61" s="6"/>
      <c r="Q61" s="2"/>
      <c r="R61" s="7">
        <f t="shared" si="50"/>
        <v>0</v>
      </c>
      <c r="S61" s="2"/>
      <c r="T61" s="6">
        <v>5994.97</v>
      </c>
      <c r="U61" s="2"/>
      <c r="V61" s="7">
        <f t="shared" si="51"/>
        <v>1.858154155905772E-2</v>
      </c>
      <c r="W61" s="2"/>
      <c r="X61" s="6">
        <f t="shared" si="52"/>
        <v>-5994.97</v>
      </c>
      <c r="Y61" s="2"/>
      <c r="Z61" s="7">
        <f t="shared" si="53"/>
        <v>-1</v>
      </c>
    </row>
    <row r="62" spans="1:26" s="29" customFormat="1" outlineLevel="1" collapsed="1" x14ac:dyDescent="0.25">
      <c r="A62" s="27"/>
      <c r="B62" s="14" t="str">
        <f>CONCATENATE("     ","Telephone/Data Lines                              ")</f>
        <v xml:space="preserve">     Telephone/Data Lines                              </v>
      </c>
      <c r="C62" s="14"/>
      <c r="D62" s="1">
        <f>SUM(OSRRefD22_11x_0)</f>
        <v>13.2</v>
      </c>
      <c r="E62" s="1"/>
      <c r="F62" s="5">
        <f t="shared" ref="F62:F65" si="54">IF(D$12=0,0,D62/D$12)</f>
        <v>0</v>
      </c>
      <c r="G62" s="1"/>
      <c r="H62" s="1">
        <f>SUM(OSRRefH22_11x_0)</f>
        <v>36</v>
      </c>
      <c r="I62" s="1"/>
      <c r="J62" s="5">
        <f t="shared" ref="J62:J65" si="55">IF(H$12=0,0,H62/H$12)</f>
        <v>2.2427276751722943E-4</v>
      </c>
      <c r="K62" s="1"/>
      <c r="L62" s="1">
        <f t="shared" ref="L62:L65" si="56">+D62-H62</f>
        <v>-22.8</v>
      </c>
      <c r="M62" s="1"/>
      <c r="N62" s="5">
        <f t="shared" ref="N62:N65" si="57">IF(H62=0,0,L62/H62)</f>
        <v>-0.6333333333333333</v>
      </c>
      <c r="O62" s="14"/>
      <c r="P62" s="1">
        <f>SUM(OSRRefP22_11x_0)</f>
        <v>85.2</v>
      </c>
      <c r="Q62" s="1"/>
      <c r="R62" s="5">
        <f t="shared" ref="R62:R65" si="58">IF(P$12=0,0,P62/P$12)</f>
        <v>0</v>
      </c>
      <c r="S62" s="1"/>
      <c r="T62" s="1">
        <f>SUM(OSRRefT22_11x_0)</f>
        <v>159</v>
      </c>
      <c r="U62" s="1"/>
      <c r="V62" s="5">
        <f t="shared" ref="V62:V65" si="59">IF(T$12=0,0,T62/T$12)</f>
        <v>4.9282400210345966E-4</v>
      </c>
      <c r="W62" s="1"/>
      <c r="X62" s="1">
        <f t="shared" ref="X62:X65" si="60">+P62-T62</f>
        <v>-73.8</v>
      </c>
      <c r="Y62" s="1"/>
      <c r="Z62" s="5">
        <f t="shared" ref="Z62:Z65" si="61">IF(T62=0,0,X62/T62)</f>
        <v>-0.46415094339622642</v>
      </c>
    </row>
    <row r="63" spans="1:26" s="24" customFormat="1" hidden="1" outlineLevel="2" x14ac:dyDescent="0.25">
      <c r="A63" s="28"/>
      <c r="B63" s="11" t="str">
        <f>CONCATENATE("          ", "6309", " - ", "TELEPHONE")</f>
        <v xml:space="preserve">          6309 - TELEPHONE</v>
      </c>
      <c r="C63" s="11"/>
      <c r="D63" s="6">
        <v>13.2</v>
      </c>
      <c r="E63" s="2"/>
      <c r="F63" s="7">
        <f t="shared" si="54"/>
        <v>0</v>
      </c>
      <c r="G63" s="2"/>
      <c r="H63" s="6">
        <v>36</v>
      </c>
      <c r="I63" s="2"/>
      <c r="J63" s="7">
        <f t="shared" si="55"/>
        <v>2.2427276751722943E-4</v>
      </c>
      <c r="K63" s="2"/>
      <c r="L63" s="6">
        <f t="shared" si="56"/>
        <v>-22.8</v>
      </c>
      <c r="M63" s="2"/>
      <c r="N63" s="7">
        <f t="shared" si="57"/>
        <v>-0.6333333333333333</v>
      </c>
      <c r="O63" s="11"/>
      <c r="P63" s="6">
        <v>85.2</v>
      </c>
      <c r="Q63" s="2"/>
      <c r="R63" s="7">
        <f t="shared" si="58"/>
        <v>0</v>
      </c>
      <c r="S63" s="2"/>
      <c r="T63" s="6">
        <v>159</v>
      </c>
      <c r="U63" s="2"/>
      <c r="V63" s="7">
        <f t="shared" si="59"/>
        <v>4.9282400210345966E-4</v>
      </c>
      <c r="W63" s="2"/>
      <c r="X63" s="6">
        <f t="shared" si="60"/>
        <v>-73.8</v>
      </c>
      <c r="Y63" s="2"/>
      <c r="Z63" s="7">
        <f t="shared" si="61"/>
        <v>-0.46415094339622642</v>
      </c>
    </row>
    <row r="64" spans="1:26" s="29" customFormat="1" outlineLevel="1" collapsed="1" x14ac:dyDescent="0.25">
      <c r="A64" s="27"/>
      <c r="B64" s="14" t="str">
        <f>CONCATENATE("     ","Utilities                                         ")</f>
        <v xml:space="preserve">     Utilities                                         </v>
      </c>
      <c r="C64" s="14"/>
      <c r="D64" s="1">
        <f>SUM(OSRRefD22_12x_0)</f>
        <v>208</v>
      </c>
      <c r="E64" s="1"/>
      <c r="F64" s="5">
        <f t="shared" si="54"/>
        <v>0</v>
      </c>
      <c r="G64" s="1"/>
      <c r="H64" s="1">
        <f>SUM(OSRRefH22_12x_0)</f>
        <v>182</v>
      </c>
      <c r="I64" s="1"/>
      <c r="J64" s="5">
        <f t="shared" si="55"/>
        <v>1.1338234357815488E-3</v>
      </c>
      <c r="K64" s="1"/>
      <c r="L64" s="1">
        <f t="shared" si="56"/>
        <v>26</v>
      </c>
      <c r="M64" s="1"/>
      <c r="N64" s="5">
        <f t="shared" si="57"/>
        <v>0.14285714285714285</v>
      </c>
      <c r="O64" s="14"/>
      <c r="P64" s="1">
        <f>SUM(OSRRefP22_12x_0)</f>
        <v>208</v>
      </c>
      <c r="Q64" s="1"/>
      <c r="R64" s="5">
        <f t="shared" si="58"/>
        <v>0</v>
      </c>
      <c r="S64" s="1"/>
      <c r="T64" s="1">
        <f>SUM(OSRRefT22_12x_0)</f>
        <v>546</v>
      </c>
      <c r="U64" s="1"/>
      <c r="V64" s="5">
        <f t="shared" si="59"/>
        <v>1.6923390260911255E-3</v>
      </c>
      <c r="W64" s="1"/>
      <c r="X64" s="1">
        <f t="shared" si="60"/>
        <v>-338</v>
      </c>
      <c r="Y64" s="1"/>
      <c r="Z64" s="5">
        <f t="shared" si="61"/>
        <v>-0.61904761904761907</v>
      </c>
    </row>
    <row r="65" spans="1:26" s="24" customFormat="1" hidden="1" outlineLevel="2" x14ac:dyDescent="0.25">
      <c r="A65" s="28"/>
      <c r="B65" s="11" t="str">
        <f>CONCATENATE("          ", "6274", " - ", "UTILITIES")</f>
        <v xml:space="preserve">          6274 - UTILITIES</v>
      </c>
      <c r="C65" s="11"/>
      <c r="D65" s="6">
        <v>208</v>
      </c>
      <c r="E65" s="2"/>
      <c r="F65" s="7">
        <f t="shared" si="54"/>
        <v>0</v>
      </c>
      <c r="G65" s="2"/>
      <c r="H65" s="6">
        <v>182</v>
      </c>
      <c r="I65" s="2"/>
      <c r="J65" s="7">
        <f t="shared" si="55"/>
        <v>1.1338234357815488E-3</v>
      </c>
      <c r="K65" s="2"/>
      <c r="L65" s="6">
        <f t="shared" si="56"/>
        <v>26</v>
      </c>
      <c r="M65" s="2"/>
      <c r="N65" s="7">
        <f t="shared" si="57"/>
        <v>0.14285714285714285</v>
      </c>
      <c r="O65" s="11"/>
      <c r="P65" s="6">
        <v>208</v>
      </c>
      <c r="Q65" s="2"/>
      <c r="R65" s="7">
        <f t="shared" si="58"/>
        <v>0</v>
      </c>
      <c r="S65" s="2"/>
      <c r="T65" s="6">
        <v>546</v>
      </c>
      <c r="U65" s="2"/>
      <c r="V65" s="7">
        <f t="shared" si="59"/>
        <v>1.6923390260911255E-3</v>
      </c>
      <c r="W65" s="2"/>
      <c r="X65" s="6">
        <f t="shared" si="60"/>
        <v>-338</v>
      </c>
      <c r="Y65" s="2"/>
      <c r="Z65" s="7">
        <f t="shared" si="61"/>
        <v>-0.61904761904761907</v>
      </c>
    </row>
    <row r="66" spans="1:26" s="57" customFormat="1" x14ac:dyDescent="0.25">
      <c r="A66" s="37"/>
      <c r="B66" s="37"/>
      <c r="C66" s="37"/>
      <c r="D66" s="1"/>
      <c r="E66" s="1"/>
      <c r="F66" s="5"/>
      <c r="G66" s="1"/>
      <c r="H66" s="1"/>
      <c r="I66" s="1"/>
      <c r="J66" s="5"/>
      <c r="K66" s="1"/>
      <c r="L66" s="1"/>
      <c r="M66" s="1"/>
      <c r="N66" s="5"/>
      <c r="O66" s="37"/>
      <c r="P66" s="1"/>
      <c r="Q66" s="1"/>
      <c r="R66" s="5"/>
      <c r="S66" s="1"/>
      <c r="T66" s="1"/>
      <c r="U66" s="1"/>
      <c r="V66" s="5"/>
      <c r="W66" s="1"/>
      <c r="X66" s="1"/>
      <c r="Y66" s="1"/>
      <c r="Z66" s="5"/>
    </row>
    <row r="67" spans="1:26" s="23" customFormat="1" x14ac:dyDescent="0.25">
      <c r="A67" s="10"/>
      <c r="B67" s="26" t="s">
        <v>0</v>
      </c>
      <c r="C67" s="10"/>
      <c r="D67" s="4">
        <f>SUM(0)</f>
        <v>0</v>
      </c>
      <c r="E67" s="4"/>
      <c r="F67" s="12">
        <f>IF(D$12=0,0,D67/D$12)</f>
        <v>0</v>
      </c>
      <c r="G67" s="4"/>
      <c r="H67" s="4">
        <f>SUM(0)</f>
        <v>0</v>
      </c>
      <c r="I67" s="4"/>
      <c r="J67" s="12">
        <f>IF(H$12=0,0,H67/H$12)</f>
        <v>0</v>
      </c>
      <c r="K67" s="4"/>
      <c r="L67" s="4">
        <f>+D67-H67</f>
        <v>0</v>
      </c>
      <c r="M67" s="4"/>
      <c r="N67" s="12">
        <f>IF(H67=0,0,L67/H67)</f>
        <v>0</v>
      </c>
      <c r="O67" s="10"/>
      <c r="P67" s="4">
        <f>SUM(0)</f>
        <v>0</v>
      </c>
      <c r="Q67" s="4"/>
      <c r="R67" s="12">
        <f>IF(P$12=0,0,P67/P$12)</f>
        <v>0</v>
      </c>
      <c r="S67" s="4"/>
      <c r="T67" s="4">
        <f>SUM(0)</f>
        <v>0</v>
      </c>
      <c r="U67" s="4"/>
      <c r="V67" s="12">
        <f>IF(T$12=0,0,T67/T$12)</f>
        <v>0</v>
      </c>
      <c r="W67" s="4"/>
      <c r="X67" s="4">
        <f>+P67-T67</f>
        <v>0</v>
      </c>
      <c r="Y67" s="4"/>
      <c r="Z67" s="12">
        <f>IF(T67=0,0,X67/T67)</f>
        <v>0</v>
      </c>
    </row>
    <row r="68" spans="1:26" x14ac:dyDescent="0.25">
      <c r="A68" s="9"/>
      <c r="B68" s="10"/>
      <c r="C68" s="10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O68" s="10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x14ac:dyDescent="0.25">
      <c r="A69" s="10"/>
      <c r="B69" s="25" t="s">
        <v>3</v>
      </c>
      <c r="C69" s="25"/>
      <c r="D69" s="20">
        <f>+D20-D22+D67</f>
        <v>-2238.54</v>
      </c>
      <c r="E69" s="13"/>
      <c r="F69" s="21">
        <f>IF(D$12=0,0,D69/D$12)</f>
        <v>0</v>
      </c>
      <c r="G69" s="13"/>
      <c r="H69" s="20">
        <f>+H20-H22+H67</f>
        <v>36336.340000000011</v>
      </c>
      <c r="I69" s="13"/>
      <c r="J69" s="21">
        <f>IF(H$12=0,0,H69/H$12)</f>
        <v>0.22636809814575021</v>
      </c>
      <c r="K69" s="15"/>
      <c r="L69" s="20">
        <f>+D69-H69</f>
        <v>-38574.880000000012</v>
      </c>
      <c r="M69" s="15"/>
      <c r="N69" s="21">
        <f>IF(H69=0,0,L69/H69)</f>
        <v>-1.0616060946149226</v>
      </c>
      <c r="O69" s="26"/>
      <c r="P69" s="20">
        <f>+P20-P22+P67</f>
        <v>-10044.93</v>
      </c>
      <c r="Q69" s="13"/>
      <c r="R69" s="21">
        <f>IF(P$12=0,0,P69/P$12)</f>
        <v>0</v>
      </c>
      <c r="S69" s="13"/>
      <c r="T69" s="20">
        <f>+T20-T22+T67</f>
        <v>41812.849999999991</v>
      </c>
      <c r="U69" s="13"/>
      <c r="V69" s="21">
        <f>IF(T$12=0,0,T69/T$12)</f>
        <v>0.12959984953680276</v>
      </c>
      <c r="W69" s="15"/>
      <c r="X69" s="20">
        <f>+P69-T69</f>
        <v>-51857.779999999992</v>
      </c>
      <c r="Y69" s="15"/>
      <c r="Z69" s="21">
        <f>IF(T69=0,0,X69/T69)</f>
        <v>-1.2402354778495128</v>
      </c>
    </row>
    <row r="70" spans="1:26" x14ac:dyDescent="0.25">
      <c r="A70" s="9"/>
      <c r="B70" s="10"/>
      <c r="C70" s="9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x14ac:dyDescent="0.25">
      <c r="A71" s="51"/>
      <c r="B71" s="10" t="s">
        <v>13</v>
      </c>
      <c r="C71" s="10"/>
      <c r="D71" s="4"/>
      <c r="E71" s="4"/>
      <c r="F71" s="12">
        <f>IF(D$12=0,0,D71/D$12)</f>
        <v>0</v>
      </c>
      <c r="G71" s="4"/>
      <c r="H71" s="4">
        <v>15063.87</v>
      </c>
      <c r="I71" s="4"/>
      <c r="J71" s="12">
        <f>IF(H$12=0,0,H71/H$12)</f>
        <v>9.3844883733882417E-2</v>
      </c>
      <c r="K71" s="4"/>
      <c r="L71" s="4">
        <f>+D71-H71</f>
        <v>-15063.87</v>
      </c>
      <c r="M71" s="4"/>
      <c r="N71" s="12">
        <f>IF(H71=0,0,L71/H71)</f>
        <v>-1</v>
      </c>
      <c r="O71" s="10"/>
      <c r="P71" s="4"/>
      <c r="Q71" s="4"/>
      <c r="R71" s="12">
        <f>IF(P$12=0,0,P71/P$12)</f>
        <v>0</v>
      </c>
      <c r="S71" s="4"/>
      <c r="T71" s="4">
        <v>32476.799999999999</v>
      </c>
      <c r="U71" s="4"/>
      <c r="V71" s="12">
        <f>IF(T$12=0,0,T71/T$12)</f>
        <v>0.10066255692775872</v>
      </c>
      <c r="W71" s="4"/>
      <c r="X71" s="4">
        <f>+P71-T71</f>
        <v>-32476.799999999999</v>
      </c>
      <c r="Y71" s="4"/>
      <c r="Z71" s="12">
        <f>IF(T71=0,0,X71/T71)</f>
        <v>-1</v>
      </c>
    </row>
    <row r="72" spans="1:26" x14ac:dyDescent="0.25">
      <c r="A72" s="9"/>
      <c r="B72" s="10"/>
      <c r="C72" s="10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0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ht="15.75" thickBot="1" x14ac:dyDescent="0.3">
      <c r="A73" s="10"/>
      <c r="B73" s="25" t="s">
        <v>4</v>
      </c>
      <c r="C73" s="25"/>
      <c r="D73" s="30">
        <f>+D69-D71</f>
        <v>-2238.54</v>
      </c>
      <c r="E73" s="13"/>
      <c r="F73" s="33">
        <f>IF(D$12=0,0,D73/D$12)</f>
        <v>0</v>
      </c>
      <c r="G73" s="13"/>
      <c r="H73" s="30">
        <f>+H69-H71</f>
        <v>21272.470000000008</v>
      </c>
      <c r="I73" s="13"/>
      <c r="J73" s="33">
        <f>IF(H$12=0,0,H73/H$12)</f>
        <v>0.13252321441186776</v>
      </c>
      <c r="K73" s="15"/>
      <c r="L73" s="30">
        <f>D73-H73</f>
        <v>-23511.010000000009</v>
      </c>
      <c r="M73" s="15"/>
      <c r="N73" s="33">
        <f>IF(H73=0,0,L73/H73)</f>
        <v>-1.1052317854955254</v>
      </c>
      <c r="O73" s="26"/>
      <c r="P73" s="30">
        <f>+P69-P71</f>
        <v>-10044.93</v>
      </c>
      <c r="Q73" s="13"/>
      <c r="R73" s="33">
        <f>IF(P$12=0,0,P73/P$12)</f>
        <v>0</v>
      </c>
      <c r="S73" s="13"/>
      <c r="T73" s="30">
        <f>+T69-T71</f>
        <v>9336.049999999992</v>
      </c>
      <c r="U73" s="13"/>
      <c r="V73" s="33">
        <f>IF(T$12=0,0,T73/T$12)</f>
        <v>2.8937292609044027E-2</v>
      </c>
      <c r="W73" s="15"/>
      <c r="X73" s="30">
        <f>P73-T73</f>
        <v>-19380.979999999992</v>
      </c>
      <c r="Y73" s="15"/>
      <c r="Z73" s="33">
        <f>IF(T73=0,0,X73/T73)</f>
        <v>-2.0759293277135416</v>
      </c>
    </row>
    <row r="74" spans="1:26" ht="15.75" thickTop="1" x14ac:dyDescent="0.25">
      <c r="A74" s="9"/>
      <c r="B74" s="9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x14ac:dyDescent="0.25">
      <c r="A75" s="9"/>
      <c r="B75" s="9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ht="15.75" thickBot="1" x14ac:dyDescent="0.3">
      <c r="A76" s="10"/>
      <c r="B76" s="25" t="s">
        <v>5</v>
      </c>
      <c r="C76" s="25"/>
      <c r="D76" s="34">
        <f>SUM(D73:D75)</f>
        <v>-2238.54</v>
      </c>
      <c r="E76" s="13"/>
      <c r="F76" s="35">
        <f>IF(D$12=0,0,D76/D$12)</f>
        <v>0</v>
      </c>
      <c r="G76" s="13"/>
      <c r="H76" s="34">
        <f>SUM(H73:H75)</f>
        <v>21272.470000000008</v>
      </c>
      <c r="I76" s="13"/>
      <c r="J76" s="35">
        <f>IF(H$12=0,0,H76/H$12)</f>
        <v>0.13252321441186776</v>
      </c>
      <c r="K76" s="15"/>
      <c r="L76" s="34">
        <f>+D76-H76</f>
        <v>-23511.010000000009</v>
      </c>
      <c r="M76" s="15"/>
      <c r="N76" s="35">
        <f>IF(H76=0,0,L76/H76)</f>
        <v>-1.1052317854955254</v>
      </c>
      <c r="O76" s="26"/>
      <c r="P76" s="34">
        <f>SUM(P73:P75)</f>
        <v>-10044.93</v>
      </c>
      <c r="Q76" s="13"/>
      <c r="R76" s="35">
        <f>IF(P$12=0,0,P76/P$12)</f>
        <v>0</v>
      </c>
      <c r="S76" s="13"/>
      <c r="T76" s="34">
        <f>SUM(T73:T75)</f>
        <v>9336.049999999992</v>
      </c>
      <c r="U76" s="13"/>
      <c r="V76" s="35">
        <f>IF(T$12=0,0,T76/T$12)</f>
        <v>2.8937292609044027E-2</v>
      </c>
      <c r="W76" s="15"/>
      <c r="X76" s="34">
        <f>+P76-T76</f>
        <v>-19380.979999999992</v>
      </c>
      <c r="Y76" s="15"/>
      <c r="Z76" s="35">
        <f>IF(T76=0,0,X76/T76)</f>
        <v>-2.0759293277135416</v>
      </c>
    </row>
    <row r="77" spans="1:26" ht="15.75" thickTop="1" x14ac:dyDescent="0.25">
      <c r="A77" s="9"/>
      <c r="C77" s="9"/>
      <c r="D77" s="18"/>
      <c r="E77" s="18"/>
      <c r="G77" s="18"/>
      <c r="H77" s="18"/>
      <c r="I77" s="18"/>
      <c r="J77" s="43"/>
      <c r="K77" s="18"/>
      <c r="L77" s="18"/>
      <c r="M77" s="18"/>
      <c r="P77" s="18"/>
      <c r="Q77" s="18"/>
      <c r="R77" s="43"/>
      <c r="S77" s="18"/>
      <c r="T77" s="18"/>
      <c r="U77" s="18"/>
      <c r="V77" s="43"/>
      <c r="W77" s="18"/>
      <c r="X77" s="18"/>
    </row>
    <row r="78" spans="1:26" x14ac:dyDescent="0.25">
      <c r="A78" s="9"/>
      <c r="B78" s="56">
        <v>44151.572562118054</v>
      </c>
      <c r="D78" s="18"/>
      <c r="E78" s="18"/>
      <c r="G78" s="18"/>
      <c r="H78" s="18"/>
      <c r="I78" s="18"/>
      <c r="J78" s="43"/>
      <c r="K78" s="18"/>
      <c r="L78" s="18"/>
      <c r="M78" s="18"/>
      <c r="P78" s="18"/>
      <c r="Q78" s="18"/>
      <c r="R78" s="43"/>
      <c r="S78" s="18"/>
      <c r="T78" s="18"/>
      <c r="U78" s="18"/>
      <c r="V78" s="43"/>
      <c r="W78" s="18"/>
      <c r="X78" s="18"/>
    </row>
    <row r="79" spans="1:26" x14ac:dyDescent="0.25">
      <c r="A79" s="9"/>
      <c r="B79" s="62" t="s">
        <v>313</v>
      </c>
      <c r="D79" s="18"/>
      <c r="E79" s="18"/>
      <c r="G79" s="18"/>
      <c r="H79" s="18"/>
      <c r="I79" s="18"/>
      <c r="J79" s="43"/>
      <c r="K79" s="18"/>
      <c r="L79" s="18"/>
      <c r="M79" s="18"/>
      <c r="P79" s="18"/>
      <c r="Q79" s="18"/>
      <c r="R79" s="43"/>
      <c r="S79" s="18"/>
      <c r="T79" s="18"/>
      <c r="U79" s="18"/>
      <c r="V79" s="43"/>
      <c r="W79" s="18"/>
      <c r="X79" s="18"/>
    </row>
    <row r="80" spans="1:26" x14ac:dyDescent="0.25">
      <c r="A80" s="9"/>
      <c r="B80" s="54"/>
      <c r="D80" s="18"/>
      <c r="E80" s="18"/>
      <c r="G80" s="18"/>
      <c r="H80" s="18"/>
      <c r="I80" s="18"/>
      <c r="J80" s="43"/>
      <c r="K80" s="18"/>
      <c r="L80" s="18"/>
      <c r="M80" s="18"/>
      <c r="P80" s="18"/>
      <c r="Q80" s="18"/>
      <c r="R80" s="43"/>
      <c r="S80" s="18"/>
      <c r="T80" s="18"/>
      <c r="U80" s="18"/>
      <c r="V80" s="43"/>
      <c r="W80" s="18"/>
      <c r="X80" s="18"/>
    </row>
    <row r="81" spans="4:24" x14ac:dyDescent="0.25"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</sheetData>
  <pageMargins left="0.25" right="0.25" top="0.75" bottom="0.75" header="0.3" footer="0.3"/>
  <pageSetup scale="55" fitToWidth="2" orientation="landscape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",RIGHT(202104,2),", ",2021)</f>
        <v>Period 04,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44135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","325", " - ", "Outpost C-Store")</f>
        <v>Department 325 - Outpost C-Store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61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50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50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2"/>
      <c r="F10" s="31" t="s">
        <v>14</v>
      </c>
      <c r="G10" s="32"/>
      <c r="H10" s="49" t="s">
        <v>306</v>
      </c>
      <c r="I10" s="32"/>
      <c r="J10" s="31" t="s">
        <v>14</v>
      </c>
      <c r="K10" s="10"/>
      <c r="L10" s="42" t="s">
        <v>11</v>
      </c>
      <c r="M10" s="10"/>
      <c r="N10" s="31" t="s">
        <v>15</v>
      </c>
      <c r="O10" s="10"/>
      <c r="P10" s="59" t="s">
        <v>10</v>
      </c>
      <c r="Q10" s="32"/>
      <c r="R10" s="31" t="s">
        <v>14</v>
      </c>
      <c r="S10" s="32"/>
      <c r="T10" s="49" t="s">
        <v>306</v>
      </c>
      <c r="U10" s="32"/>
      <c r="V10" s="31" t="s">
        <v>14</v>
      </c>
      <c r="W10" s="10"/>
      <c r="X10" s="42" t="s">
        <v>11</v>
      </c>
      <c r="Y10" s="10"/>
      <c r="Z10" s="31" t="s">
        <v>15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133160.82</v>
      </c>
      <c r="I12" s="4"/>
      <c r="J12" s="12"/>
      <c r="K12" s="4"/>
      <c r="L12" s="4">
        <f t="shared" ref="L12:L14" si="0">+D12-H12</f>
        <v>-133160.82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276077.87</v>
      </c>
      <c r="U12" s="4"/>
      <c r="V12" s="12"/>
      <c r="W12" s="4"/>
      <c r="X12" s="4">
        <f t="shared" ref="X12:X14" si="2">+P12-T12</f>
        <v>-276077.87</v>
      </c>
      <c r="Y12" s="4"/>
      <c r="Z12" s="12">
        <f t="shared" ref="Z12:Z14" si="3">IF(T12=0,0,X12/T12)</f>
        <v>-1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 t="shared" ref="D13:D14" si="4">0</f>
        <v>0</v>
      </c>
      <c r="E13" s="2"/>
      <c r="F13" s="19"/>
      <c r="G13" s="2"/>
      <c r="H13" s="2">
        <f>--23652.96</f>
        <v>23652.959999999999</v>
      </c>
      <c r="I13" s="2"/>
      <c r="J13" s="19"/>
      <c r="K13" s="2"/>
      <c r="L13" s="2">
        <f t="shared" si="0"/>
        <v>-23652.959999999999</v>
      </c>
      <c r="M13" s="2"/>
      <c r="N13" s="19">
        <f t="shared" si="1"/>
        <v>-1</v>
      </c>
      <c r="O13" s="11"/>
      <c r="P13" s="2">
        <f t="shared" ref="P13:P14" si="5">0</f>
        <v>0</v>
      </c>
      <c r="Q13" s="2"/>
      <c r="R13" s="19"/>
      <c r="S13" s="2"/>
      <c r="T13" s="2">
        <f>--50625.08</f>
        <v>50625.08</v>
      </c>
      <c r="U13" s="2"/>
      <c r="V13" s="19"/>
      <c r="W13" s="2"/>
      <c r="X13" s="2">
        <f t="shared" si="2"/>
        <v>-50625.08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"4132", " - ", "NON-TAXABLE SALES-JUICE")</f>
        <v xml:space="preserve">          4132 - NON-TAXABLE SALES-JUICE</v>
      </c>
      <c r="C14" s="11"/>
      <c r="D14" s="2">
        <f t="shared" si="4"/>
        <v>0</v>
      </c>
      <c r="E14" s="2"/>
      <c r="F14" s="19"/>
      <c r="G14" s="2"/>
      <c r="H14" s="2">
        <f>--109507.86</f>
        <v>109507.86</v>
      </c>
      <c r="I14" s="2"/>
      <c r="J14" s="19"/>
      <c r="K14" s="2"/>
      <c r="L14" s="2">
        <f t="shared" si="0"/>
        <v>-109507.86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f>--225452.79</f>
        <v>225452.79</v>
      </c>
      <c r="U14" s="2"/>
      <c r="V14" s="19"/>
      <c r="W14" s="2"/>
      <c r="X14" s="2">
        <f t="shared" si="2"/>
        <v>-225452.79</v>
      </c>
      <c r="Y14" s="2"/>
      <c r="Z14" s="19">
        <f t="shared" si="3"/>
        <v>-1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6" t="s">
        <v>8</v>
      </c>
      <c r="C16" s="10"/>
      <c r="D16" s="4">
        <f>SUM(OSRRefD16x_0)</f>
        <v>11536.83</v>
      </c>
      <c r="E16" s="4"/>
      <c r="F16" s="12">
        <f t="shared" ref="F16:F18" si="6">IF(D$12=0,0,D16/D$12)</f>
        <v>0</v>
      </c>
      <c r="G16" s="4"/>
      <c r="H16" s="4">
        <f>SUM(OSRRefH16x_0)</f>
        <v>59675.900000000009</v>
      </c>
      <c r="I16" s="4"/>
      <c r="J16" s="12">
        <f t="shared" ref="J16:J18" si="7">IF(H$12=0,0,H16/H$12)</f>
        <v>0.44814908769711698</v>
      </c>
      <c r="K16" s="4"/>
      <c r="L16" s="4">
        <f t="shared" ref="L16:L18" si="8">+D16-H16</f>
        <v>-48139.070000000007</v>
      </c>
      <c r="M16" s="4"/>
      <c r="N16" s="12">
        <f t="shared" ref="N16:N18" si="9">IF(H16=0,0,L16/H16)</f>
        <v>-0.80667522400164893</v>
      </c>
      <c r="O16" s="10"/>
      <c r="P16" s="4">
        <f>SUM(OSRRefP16x_0)</f>
        <v>10847.87</v>
      </c>
      <c r="Q16" s="4"/>
      <c r="R16" s="12">
        <f t="shared" ref="R16:R18" si="10">IF(P$12=0,0,P16/P$12)</f>
        <v>0</v>
      </c>
      <c r="S16" s="4"/>
      <c r="T16" s="4">
        <f>SUM(OSRRefT16x_0)</f>
        <v>121642.18</v>
      </c>
      <c r="U16" s="4"/>
      <c r="V16" s="12">
        <f t="shared" ref="V16:V18" si="11">IF(T$12=0,0,T16/T$12)</f>
        <v>0.44060822404925104</v>
      </c>
      <c r="W16" s="4"/>
      <c r="X16" s="4">
        <f t="shared" ref="X16:X18" si="12">+P16-T16</f>
        <v>-110794.31</v>
      </c>
      <c r="Y16" s="4"/>
      <c r="Z16" s="12">
        <f t="shared" ref="Z16:Z18" si="13">IF(T16=0,0,X16/T16)</f>
        <v>-0.91082147656347501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-92.17</v>
      </c>
      <c r="E17" s="2"/>
      <c r="F17" s="19">
        <f t="shared" si="6"/>
        <v>0</v>
      </c>
      <c r="G17" s="2"/>
      <c r="H17" s="2">
        <v>59821.490000000005</v>
      </c>
      <c r="I17" s="2"/>
      <c r="J17" s="19">
        <f t="shared" si="7"/>
        <v>0.44924242731458097</v>
      </c>
      <c r="K17" s="2"/>
      <c r="L17" s="2">
        <f t="shared" si="8"/>
        <v>-59913.66</v>
      </c>
      <c r="M17" s="2"/>
      <c r="N17" s="19">
        <f t="shared" si="9"/>
        <v>-1.001540750656662</v>
      </c>
      <c r="O17" s="11"/>
      <c r="P17" s="2">
        <v>-781.13</v>
      </c>
      <c r="Q17" s="2"/>
      <c r="R17" s="19">
        <f t="shared" si="10"/>
        <v>0</v>
      </c>
      <c r="S17" s="2"/>
      <c r="T17" s="2">
        <v>133604.06</v>
      </c>
      <c r="U17" s="2"/>
      <c r="V17" s="19">
        <f t="shared" si="11"/>
        <v>0.48393614453777117</v>
      </c>
      <c r="W17" s="2"/>
      <c r="X17" s="2">
        <f t="shared" si="12"/>
        <v>-134385.19</v>
      </c>
      <c r="Y17" s="2"/>
      <c r="Z17" s="19">
        <f t="shared" si="13"/>
        <v>-1.0058466037633886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11629</v>
      </c>
      <c r="E18" s="2"/>
      <c r="F18" s="19">
        <f t="shared" si="6"/>
        <v>0</v>
      </c>
      <c r="G18" s="2"/>
      <c r="H18" s="2">
        <v>-145.59</v>
      </c>
      <c r="I18" s="2"/>
      <c r="J18" s="19">
        <f t="shared" si="7"/>
        <v>-1.0933396174640558E-3</v>
      </c>
      <c r="K18" s="2"/>
      <c r="L18" s="2">
        <f t="shared" si="8"/>
        <v>11774.59</v>
      </c>
      <c r="M18" s="2"/>
      <c r="N18" s="19">
        <f t="shared" si="9"/>
        <v>-80.874991414245486</v>
      </c>
      <c r="O18" s="11"/>
      <c r="P18" s="2">
        <v>11629</v>
      </c>
      <c r="Q18" s="2"/>
      <c r="R18" s="19">
        <f t="shared" si="10"/>
        <v>0</v>
      </c>
      <c r="S18" s="2"/>
      <c r="T18" s="2">
        <v>-11961.88</v>
      </c>
      <c r="U18" s="2"/>
      <c r="V18" s="19">
        <f t="shared" si="11"/>
        <v>-4.332792048852014E-2</v>
      </c>
      <c r="W18" s="2"/>
      <c r="X18" s="2">
        <f t="shared" si="12"/>
        <v>23590.879999999997</v>
      </c>
      <c r="Y18" s="2"/>
      <c r="Z18" s="19">
        <f t="shared" si="13"/>
        <v>-1.9721715984443915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5" t="s">
        <v>6</v>
      </c>
      <c r="C20" s="25"/>
      <c r="D20" s="20">
        <f>D12-D16</f>
        <v>-11536.83</v>
      </c>
      <c r="E20" s="13"/>
      <c r="F20" s="21">
        <f>IF(D$12=0,0,D20/D$12)</f>
        <v>0</v>
      </c>
      <c r="G20" s="13"/>
      <c r="H20" s="20">
        <f>H12-H16</f>
        <v>73484.92</v>
      </c>
      <c r="I20" s="13"/>
      <c r="J20" s="21">
        <f>IF(H$12=0,0,H20/H$12)</f>
        <v>0.55185091230288308</v>
      </c>
      <c r="K20" s="15"/>
      <c r="L20" s="20">
        <f>+D20-H20</f>
        <v>-85021.75</v>
      </c>
      <c r="M20" s="15"/>
      <c r="N20" s="21">
        <f>IF(H20=0,0,L20/H20)</f>
        <v>-1.1569958843256549</v>
      </c>
      <c r="O20" s="26"/>
      <c r="P20" s="20">
        <f>P12-P16</f>
        <v>-10847.87</v>
      </c>
      <c r="Q20" s="13"/>
      <c r="R20" s="21">
        <f>IF(P$12=0,0,P20/P$12)</f>
        <v>0</v>
      </c>
      <c r="S20" s="13"/>
      <c r="T20" s="20">
        <f>T12-T16</f>
        <v>154435.69</v>
      </c>
      <c r="U20" s="13"/>
      <c r="V20" s="21">
        <f>IF(T$12=0,0,T20/T$12)</f>
        <v>0.55939177595074896</v>
      </c>
      <c r="W20" s="15"/>
      <c r="X20" s="20">
        <f>+P20-T20</f>
        <v>-165283.56</v>
      </c>
      <c r="Y20" s="15"/>
      <c r="Z20" s="21">
        <f>IF(T20=0,0,X20/T20)</f>
        <v>-1.0702419887527292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6" t="s">
        <v>9</v>
      </c>
      <c r="C22" s="10"/>
      <c r="D22" s="22">
        <f>SUM(OSRRefD22x_0)</f>
        <v>11361.830000000002</v>
      </c>
      <c r="E22" s="22"/>
      <c r="F22" s="36">
        <f t="shared" ref="F22:F31" si="14">IF(D$12=0,0,D22/D$12)</f>
        <v>0</v>
      </c>
      <c r="G22" s="22"/>
      <c r="H22" s="22">
        <f>SUM(OSRRefH22x_0)</f>
        <v>36369.700000000004</v>
      </c>
      <c r="I22" s="22"/>
      <c r="J22" s="36">
        <f t="shared" ref="J22:J31" si="15">IF(H$12=0,0,H22/H$12)</f>
        <v>0.27312613424879784</v>
      </c>
      <c r="K22" s="4"/>
      <c r="L22" s="22">
        <f t="shared" ref="L22:L31" si="16">+D22-H22</f>
        <v>-25007.870000000003</v>
      </c>
      <c r="M22" s="4"/>
      <c r="N22" s="36">
        <f t="shared" ref="N22:N31" si="17">IF(H22=0,0,L22/H22)</f>
        <v>-0.68760176740528511</v>
      </c>
      <c r="O22" s="10"/>
      <c r="P22" s="22">
        <f>SUM(OSRRefP22x_0)</f>
        <v>46437.85</v>
      </c>
      <c r="Q22" s="22"/>
      <c r="R22" s="36">
        <f t="shared" ref="R22:R31" si="18">IF(P$12=0,0,P22/P$12)</f>
        <v>0</v>
      </c>
      <c r="S22" s="22"/>
      <c r="T22" s="22">
        <f>SUM(OSRRefT22x_0)</f>
        <v>121618.05000000005</v>
      </c>
      <c r="U22" s="22"/>
      <c r="V22" s="36">
        <f t="shared" ref="V22:V31" si="19">IF(T$12=0,0,T22/T$12)</f>
        <v>0.44052082117266428</v>
      </c>
      <c r="W22" s="4"/>
      <c r="X22" s="22">
        <f t="shared" ref="X22:X31" si="20">+P22-T22</f>
        <v>-75180.200000000041</v>
      </c>
      <c r="Y22" s="4"/>
      <c r="Z22" s="36">
        <f t="shared" ref="Z22:Z31" si="21">IF(T22=0,0,X22/T22)</f>
        <v>-0.61816646459962166</v>
      </c>
    </row>
    <row r="23" spans="1:26" s="29" customFormat="1" outlineLevel="1" collapsed="1" x14ac:dyDescent="0.25">
      <c r="A23" s="27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0</v>
      </c>
      <c r="E23" s="1"/>
      <c r="F23" s="5">
        <f t="shared" si="14"/>
        <v>0</v>
      </c>
      <c r="G23" s="1"/>
      <c r="H23" s="1">
        <f>SUM(OSRRefH22_0x_0)</f>
        <v>4290.5300000000007</v>
      </c>
      <c r="I23" s="1"/>
      <c r="J23" s="5">
        <f t="shared" si="15"/>
        <v>3.2220663705735668E-2</v>
      </c>
      <c r="K23" s="1"/>
      <c r="L23" s="1">
        <f t="shared" si="16"/>
        <v>-4290.5300000000007</v>
      </c>
      <c r="M23" s="1"/>
      <c r="N23" s="5">
        <f t="shared" si="17"/>
        <v>-1</v>
      </c>
      <c r="O23" s="14"/>
      <c r="P23" s="1">
        <f>SUM(OSRRefP22_0x_0)</f>
        <v>2889.72</v>
      </c>
      <c r="Q23" s="1"/>
      <c r="R23" s="5">
        <f t="shared" si="18"/>
        <v>0</v>
      </c>
      <c r="S23" s="1"/>
      <c r="T23" s="1">
        <f>SUM(OSRRefT22_0x_0)</f>
        <v>15460.07</v>
      </c>
      <c r="U23" s="1"/>
      <c r="V23" s="5">
        <f t="shared" si="19"/>
        <v>5.5998946963767865E-2</v>
      </c>
      <c r="W23" s="1"/>
      <c r="X23" s="1">
        <f t="shared" si="20"/>
        <v>-12570.35</v>
      </c>
      <c r="Y23" s="1"/>
      <c r="Z23" s="5">
        <f t="shared" si="21"/>
        <v>-0.81308493428554984</v>
      </c>
    </row>
    <row r="24" spans="1:26" s="24" customFormat="1" hidden="1" outlineLevel="2" x14ac:dyDescent="0.25">
      <c r="A24" s="28"/>
      <c r="B24" s="11" t="str">
        <f>CONCATENATE("          ", "6111", " - ", "F.I.C.A.")</f>
        <v xml:space="preserve">          6111 - F.I.C.A.</v>
      </c>
      <c r="C24" s="11"/>
      <c r="D24" s="6"/>
      <c r="E24" s="2"/>
      <c r="F24" s="7">
        <f t="shared" si="14"/>
        <v>0</v>
      </c>
      <c r="G24" s="2"/>
      <c r="H24" s="6">
        <v>1002.86</v>
      </c>
      <c r="I24" s="2"/>
      <c r="J24" s="7">
        <f t="shared" si="15"/>
        <v>7.531194235661811E-3</v>
      </c>
      <c r="K24" s="2"/>
      <c r="L24" s="6">
        <f t="shared" si="16"/>
        <v>-1002.86</v>
      </c>
      <c r="M24" s="2"/>
      <c r="N24" s="7">
        <f t="shared" si="17"/>
        <v>-1</v>
      </c>
      <c r="O24" s="11"/>
      <c r="P24" s="6">
        <v>159.12</v>
      </c>
      <c r="Q24" s="2"/>
      <c r="R24" s="7">
        <f t="shared" si="18"/>
        <v>0</v>
      </c>
      <c r="S24" s="2"/>
      <c r="T24" s="6">
        <v>2523.09</v>
      </c>
      <c r="U24" s="2"/>
      <c r="V24" s="7">
        <f t="shared" si="19"/>
        <v>9.1390519638535322E-3</v>
      </c>
      <c r="W24" s="2"/>
      <c r="X24" s="6">
        <f t="shared" si="20"/>
        <v>-2363.9700000000003</v>
      </c>
      <c r="Y24" s="2"/>
      <c r="Z24" s="7">
        <f t="shared" si="21"/>
        <v>-0.93693447320547429</v>
      </c>
    </row>
    <row r="25" spans="1:26" s="24" customFormat="1" hidden="1" outlineLevel="2" x14ac:dyDescent="0.25">
      <c r="A25" s="28"/>
      <c r="B25" s="11" t="str">
        <f>CONCATENATE("          ", "6112", " - ", "COMPENSATION INSURANCE")</f>
        <v xml:space="preserve">          6112 - COMPENSATION INSURANCE</v>
      </c>
      <c r="C25" s="11"/>
      <c r="D25" s="6"/>
      <c r="E25" s="2"/>
      <c r="F25" s="7">
        <f t="shared" si="14"/>
        <v>0</v>
      </c>
      <c r="G25" s="2"/>
      <c r="H25" s="6">
        <v>-105.59</v>
      </c>
      <c r="I25" s="2"/>
      <c r="J25" s="7">
        <f t="shared" si="15"/>
        <v>-7.9295095959907723E-4</v>
      </c>
      <c r="K25" s="2"/>
      <c r="L25" s="6">
        <f t="shared" si="16"/>
        <v>105.59</v>
      </c>
      <c r="M25" s="2"/>
      <c r="N25" s="7">
        <f t="shared" si="17"/>
        <v>-1</v>
      </c>
      <c r="O25" s="11"/>
      <c r="P25" s="6"/>
      <c r="Q25" s="2"/>
      <c r="R25" s="7">
        <f t="shared" si="18"/>
        <v>0</v>
      </c>
      <c r="S25" s="2"/>
      <c r="T25" s="6">
        <v>541.51</v>
      </c>
      <c r="U25" s="2"/>
      <c r="V25" s="7">
        <f t="shared" si="19"/>
        <v>1.9614393576710804E-3</v>
      </c>
      <c r="W25" s="2"/>
      <c r="X25" s="6">
        <f t="shared" si="20"/>
        <v>-541.51</v>
      </c>
      <c r="Y25" s="2"/>
      <c r="Z25" s="7">
        <f t="shared" si="21"/>
        <v>-1</v>
      </c>
    </row>
    <row r="26" spans="1:26" s="24" customFormat="1" hidden="1" outlineLevel="2" x14ac:dyDescent="0.25">
      <c r="A26" s="28"/>
      <c r="B26" s="11" t="str">
        <f>CONCATENATE("          ", "6113", " - ", "GROUP INSURANCE")</f>
        <v xml:space="preserve">          6113 - GROUP INSURANCE</v>
      </c>
      <c r="C26" s="11"/>
      <c r="D26" s="6"/>
      <c r="E26" s="2"/>
      <c r="F26" s="7">
        <f t="shared" si="14"/>
        <v>0</v>
      </c>
      <c r="G26" s="2"/>
      <c r="H26" s="6">
        <v>1815.82</v>
      </c>
      <c r="I26" s="2"/>
      <c r="J26" s="7">
        <f t="shared" si="15"/>
        <v>1.3636293318109635E-2</v>
      </c>
      <c r="K26" s="2"/>
      <c r="L26" s="6">
        <f t="shared" si="16"/>
        <v>-1815.82</v>
      </c>
      <c r="M26" s="2"/>
      <c r="N26" s="7">
        <f t="shared" si="17"/>
        <v>-1</v>
      </c>
      <c r="O26" s="11"/>
      <c r="P26" s="6">
        <v>1915.63</v>
      </c>
      <c r="Q26" s="2"/>
      <c r="R26" s="7">
        <f t="shared" si="18"/>
        <v>0</v>
      </c>
      <c r="S26" s="2"/>
      <c r="T26" s="6">
        <v>7730.93</v>
      </c>
      <c r="U26" s="2"/>
      <c r="V26" s="7">
        <f t="shared" si="19"/>
        <v>2.8002715320862192E-2</v>
      </c>
      <c r="W26" s="2"/>
      <c r="X26" s="6">
        <f t="shared" si="20"/>
        <v>-5815.3</v>
      </c>
      <c r="Y26" s="2"/>
      <c r="Z26" s="7">
        <f t="shared" si="21"/>
        <v>-0.75221221767626922</v>
      </c>
    </row>
    <row r="27" spans="1:26" s="24" customFormat="1" hidden="1" outlineLevel="2" x14ac:dyDescent="0.25">
      <c r="A27" s="28"/>
      <c r="B27" s="11" t="str">
        <f>CONCATENATE("          ", "6114", " - ", "STATE UNEMPLOYMENT INSURANCE")</f>
        <v xml:space="preserve">          6114 - STATE UNEMPLOYMENT INSURANCE</v>
      </c>
      <c r="C27" s="11"/>
      <c r="D27" s="6"/>
      <c r="E27" s="2"/>
      <c r="F27" s="7">
        <f t="shared" si="14"/>
        <v>0</v>
      </c>
      <c r="G27" s="2"/>
      <c r="H27" s="6">
        <v>42.77</v>
      </c>
      <c r="I27" s="2"/>
      <c r="J27" s="7">
        <f t="shared" si="15"/>
        <v>3.2119057242212837E-4</v>
      </c>
      <c r="K27" s="2"/>
      <c r="L27" s="6">
        <f t="shared" si="16"/>
        <v>-42.77</v>
      </c>
      <c r="M27" s="2"/>
      <c r="N27" s="7">
        <f t="shared" si="17"/>
        <v>-1</v>
      </c>
      <c r="O27" s="11"/>
      <c r="P27" s="6"/>
      <c r="Q27" s="2"/>
      <c r="R27" s="7">
        <f t="shared" si="18"/>
        <v>0</v>
      </c>
      <c r="S27" s="2"/>
      <c r="T27" s="6">
        <v>110.36</v>
      </c>
      <c r="U27" s="2"/>
      <c r="V27" s="7">
        <f t="shared" si="19"/>
        <v>3.9974229010097766E-4</v>
      </c>
      <c r="W27" s="2"/>
      <c r="X27" s="6">
        <f t="shared" si="20"/>
        <v>-110.36</v>
      </c>
      <c r="Y27" s="2"/>
      <c r="Z27" s="7">
        <f t="shared" si="21"/>
        <v>-1</v>
      </c>
    </row>
    <row r="28" spans="1:26" s="24" customFormat="1" hidden="1" outlineLevel="2" x14ac:dyDescent="0.25">
      <c r="A28" s="28"/>
      <c r="B28" s="11" t="str">
        <f>CONCATENATE("          ", "6115", " - ", "P.E.R.S.")</f>
        <v xml:space="preserve">          6115 - P.E.R.S.</v>
      </c>
      <c r="C28" s="11"/>
      <c r="D28" s="6"/>
      <c r="E28" s="2"/>
      <c r="F28" s="7">
        <f t="shared" si="14"/>
        <v>0</v>
      </c>
      <c r="G28" s="2"/>
      <c r="H28" s="6">
        <v>673.11</v>
      </c>
      <c r="I28" s="2"/>
      <c r="J28" s="7">
        <f t="shared" si="15"/>
        <v>5.0548652373873931E-3</v>
      </c>
      <c r="K28" s="2"/>
      <c r="L28" s="6">
        <f t="shared" si="16"/>
        <v>-673.11</v>
      </c>
      <c r="M28" s="2"/>
      <c r="N28" s="7">
        <f t="shared" si="17"/>
        <v>-1</v>
      </c>
      <c r="O28" s="11"/>
      <c r="P28" s="6">
        <v>458.89</v>
      </c>
      <c r="Q28" s="2"/>
      <c r="R28" s="7">
        <f t="shared" si="18"/>
        <v>0</v>
      </c>
      <c r="S28" s="2"/>
      <c r="T28" s="6">
        <v>1850.58</v>
      </c>
      <c r="U28" s="2"/>
      <c r="V28" s="7">
        <f t="shared" si="19"/>
        <v>6.7031088004264883E-3</v>
      </c>
      <c r="W28" s="2"/>
      <c r="X28" s="6">
        <f t="shared" si="20"/>
        <v>-1391.69</v>
      </c>
      <c r="Y28" s="2"/>
      <c r="Z28" s="7">
        <f t="shared" si="21"/>
        <v>-0.75202909358147185</v>
      </c>
    </row>
    <row r="29" spans="1:26" s="24" customFormat="1" hidden="1" outlineLevel="2" x14ac:dyDescent="0.25">
      <c r="A29" s="28"/>
      <c r="B29" s="11" t="str">
        <f>CONCATENATE("          ", "6118", " - ", "VACATION")</f>
        <v xml:space="preserve">          6118 - VACATION</v>
      </c>
      <c r="C29" s="11"/>
      <c r="D29" s="6"/>
      <c r="E29" s="2"/>
      <c r="F29" s="7">
        <f t="shared" si="14"/>
        <v>0</v>
      </c>
      <c r="G29" s="2"/>
      <c r="H29" s="6">
        <v>421.2</v>
      </c>
      <c r="I29" s="2"/>
      <c r="J29" s="7">
        <f t="shared" si="15"/>
        <v>3.1630925673182242E-3</v>
      </c>
      <c r="K29" s="2"/>
      <c r="L29" s="6">
        <f t="shared" si="16"/>
        <v>-421.2</v>
      </c>
      <c r="M29" s="2"/>
      <c r="N29" s="7">
        <f t="shared" si="17"/>
        <v>-1</v>
      </c>
      <c r="O29" s="11"/>
      <c r="P29" s="6">
        <v>152.1</v>
      </c>
      <c r="Q29" s="2"/>
      <c r="R29" s="7">
        <f t="shared" si="18"/>
        <v>0</v>
      </c>
      <c r="S29" s="2"/>
      <c r="T29" s="6">
        <v>1263.5999999999999</v>
      </c>
      <c r="U29" s="2"/>
      <c r="V29" s="7">
        <f t="shared" si="19"/>
        <v>4.576969533994159E-3</v>
      </c>
      <c r="W29" s="2"/>
      <c r="X29" s="6">
        <f t="shared" si="20"/>
        <v>-1111.5</v>
      </c>
      <c r="Y29" s="2"/>
      <c r="Z29" s="7">
        <f t="shared" si="21"/>
        <v>-0.87962962962962965</v>
      </c>
    </row>
    <row r="30" spans="1:26" s="24" customFormat="1" hidden="1" outlineLevel="2" x14ac:dyDescent="0.25">
      <c r="A30" s="28"/>
      <c r="B30" s="11" t="str">
        <f>CONCATENATE("          ", "6119", " - ", "SICK LEAVE")</f>
        <v xml:space="preserve">          6119 - SICK LEAVE</v>
      </c>
      <c r="C30" s="11"/>
      <c r="D30" s="6"/>
      <c r="E30" s="2"/>
      <c r="F30" s="7">
        <f t="shared" si="14"/>
        <v>0</v>
      </c>
      <c r="G30" s="2"/>
      <c r="H30" s="6">
        <v>265.68</v>
      </c>
      <c r="I30" s="2"/>
      <c r="J30" s="7">
        <f t="shared" si="15"/>
        <v>1.9951814655391879E-3</v>
      </c>
      <c r="K30" s="2"/>
      <c r="L30" s="6">
        <f t="shared" si="16"/>
        <v>-265.68</v>
      </c>
      <c r="M30" s="2"/>
      <c r="N30" s="7">
        <f t="shared" si="17"/>
        <v>-1</v>
      </c>
      <c r="O30" s="11"/>
      <c r="P30" s="6">
        <v>203.98</v>
      </c>
      <c r="Q30" s="2"/>
      <c r="R30" s="7">
        <f t="shared" si="18"/>
        <v>0</v>
      </c>
      <c r="S30" s="2"/>
      <c r="T30" s="6">
        <v>797.04</v>
      </c>
      <c r="U30" s="2"/>
      <c r="V30" s="7">
        <f t="shared" si="19"/>
        <v>2.8870115522117001E-3</v>
      </c>
      <c r="W30" s="2"/>
      <c r="X30" s="6">
        <f t="shared" si="20"/>
        <v>-593.05999999999995</v>
      </c>
      <c r="Y30" s="2"/>
      <c r="Z30" s="7">
        <f t="shared" si="21"/>
        <v>-0.74407808892903737</v>
      </c>
    </row>
    <row r="31" spans="1:26" s="24" customFormat="1" hidden="1" outlineLevel="2" x14ac:dyDescent="0.25">
      <c r="A31" s="28"/>
      <c r="B31" s="11" t="str">
        <f>CONCATENATE("          ", "6156", " - ", "EMPLOYEE MEALS")</f>
        <v xml:space="preserve">          6156 - EMPLOYEE MEALS</v>
      </c>
      <c r="C31" s="11"/>
      <c r="D31" s="6"/>
      <c r="E31" s="2"/>
      <c r="F31" s="7">
        <f t="shared" si="14"/>
        <v>0</v>
      </c>
      <c r="G31" s="2"/>
      <c r="H31" s="6">
        <v>174.68</v>
      </c>
      <c r="I31" s="2"/>
      <c r="J31" s="7">
        <f t="shared" si="15"/>
        <v>1.3117972688963615E-3</v>
      </c>
      <c r="K31" s="2"/>
      <c r="L31" s="6">
        <f t="shared" si="16"/>
        <v>-174.68</v>
      </c>
      <c r="M31" s="2"/>
      <c r="N31" s="7">
        <f t="shared" si="17"/>
        <v>-1</v>
      </c>
      <c r="O31" s="11"/>
      <c r="P31" s="6"/>
      <c r="Q31" s="2"/>
      <c r="R31" s="7">
        <f t="shared" si="18"/>
        <v>0</v>
      </c>
      <c r="S31" s="2"/>
      <c r="T31" s="6">
        <v>642.96</v>
      </c>
      <c r="U31" s="2"/>
      <c r="V31" s="7">
        <f t="shared" si="19"/>
        <v>2.3289081446477402E-3</v>
      </c>
      <c r="W31" s="2"/>
      <c r="X31" s="6">
        <f t="shared" si="20"/>
        <v>-642.96</v>
      </c>
      <c r="Y31" s="2"/>
      <c r="Z31" s="7">
        <f t="shared" si="21"/>
        <v>-1</v>
      </c>
    </row>
    <row r="32" spans="1:26" s="29" customFormat="1" outlineLevel="1" collapsed="1" x14ac:dyDescent="0.25">
      <c r="A32" s="27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0</v>
      </c>
      <c r="E32" s="1"/>
      <c r="F32" s="5">
        <f t="shared" ref="F32:F37" si="22">IF(D$12=0,0,D32/D$12)</f>
        <v>0</v>
      </c>
      <c r="G32" s="1"/>
      <c r="H32" s="1">
        <f>SUM(OSRRefH22_1x_0)</f>
        <v>14823.92</v>
      </c>
      <c r="I32" s="1"/>
      <c r="J32" s="5">
        <f t="shared" ref="J32:J37" si="23">IF(H$12=0,0,H32/H$12)</f>
        <v>0.11132343582744533</v>
      </c>
      <c r="K32" s="1"/>
      <c r="L32" s="1">
        <f t="shared" ref="L32:L37" si="24">+D32-H32</f>
        <v>-14823.92</v>
      </c>
      <c r="M32" s="1"/>
      <c r="N32" s="5">
        <f t="shared" ref="N32:N37" si="25">IF(H32=0,0,L32/H32)</f>
        <v>-1</v>
      </c>
      <c r="O32" s="14"/>
      <c r="P32" s="1">
        <f>SUM(OSRRefP22_1x_0)</f>
        <v>884</v>
      </c>
      <c r="Q32" s="1"/>
      <c r="R32" s="5">
        <f t="shared" ref="R32:R37" si="26">IF(P$12=0,0,P32/P$12)</f>
        <v>0</v>
      </c>
      <c r="S32" s="1"/>
      <c r="T32" s="1">
        <f>SUM(OSRRefT22_1x_0)</f>
        <v>42620.89</v>
      </c>
      <c r="U32" s="1"/>
      <c r="V32" s="5">
        <f t="shared" ref="V32:V37" si="27">IF(T$12=0,0,T32/T$12)</f>
        <v>0.15437995808936081</v>
      </c>
      <c r="W32" s="1"/>
      <c r="X32" s="1">
        <f t="shared" ref="X32:X37" si="28">+P32-T32</f>
        <v>-41736.89</v>
      </c>
      <c r="Y32" s="1"/>
      <c r="Z32" s="5">
        <f t="shared" ref="Z32:Z37" si="29">IF(T32=0,0,X32/T32)</f>
        <v>-0.9792589971725133</v>
      </c>
    </row>
    <row r="33" spans="1:26" s="24" customFormat="1" hidden="1" outlineLevel="2" x14ac:dyDescent="0.25">
      <c r="A33" s="28"/>
      <c r="B33" s="11" t="str">
        <f>CONCATENATE("          ", "6002", " - ", "STAFF SALARIES")</f>
        <v xml:space="preserve">          6002 - STAFF SALARIES</v>
      </c>
      <c r="C33" s="11"/>
      <c r="D33" s="6"/>
      <c r="E33" s="2"/>
      <c r="F33" s="7">
        <f t="shared" si="22"/>
        <v>0</v>
      </c>
      <c r="G33" s="2"/>
      <c r="H33" s="6">
        <v>3456</v>
      </c>
      <c r="I33" s="2"/>
      <c r="J33" s="7">
        <f t="shared" si="23"/>
        <v>2.5953580039534151E-2</v>
      </c>
      <c r="K33" s="2"/>
      <c r="L33" s="6">
        <f t="shared" si="24"/>
        <v>-3456</v>
      </c>
      <c r="M33" s="2"/>
      <c r="N33" s="7">
        <f t="shared" si="25"/>
        <v>-1</v>
      </c>
      <c r="O33" s="11"/>
      <c r="P33" s="6">
        <v>884</v>
      </c>
      <c r="Q33" s="2"/>
      <c r="R33" s="7">
        <f t="shared" si="26"/>
        <v>0</v>
      </c>
      <c r="S33" s="2"/>
      <c r="T33" s="6">
        <v>15168</v>
      </c>
      <c r="U33" s="2"/>
      <c r="V33" s="7">
        <f t="shared" si="27"/>
        <v>5.4941020806919441E-2</v>
      </c>
      <c r="W33" s="2"/>
      <c r="X33" s="6">
        <f t="shared" si="28"/>
        <v>-14284</v>
      </c>
      <c r="Y33" s="2"/>
      <c r="Z33" s="7">
        <f t="shared" si="29"/>
        <v>-0.94171940928270037</v>
      </c>
    </row>
    <row r="34" spans="1:26" s="24" customFormat="1" hidden="1" outlineLevel="2" x14ac:dyDescent="0.25">
      <c r="A34" s="28"/>
      <c r="B34" s="11" t="str">
        <f>CONCATENATE("          ", "6004", " - ", "STAFF HOURLY")</f>
        <v xml:space="preserve">          6004 - STAFF HOURLY</v>
      </c>
      <c r="C34" s="11"/>
      <c r="D34" s="6"/>
      <c r="E34" s="2"/>
      <c r="F34" s="7">
        <f t="shared" si="22"/>
        <v>0</v>
      </c>
      <c r="G34" s="2"/>
      <c r="H34" s="6"/>
      <c r="I34" s="2"/>
      <c r="J34" s="7">
        <f t="shared" si="23"/>
        <v>0</v>
      </c>
      <c r="K34" s="2"/>
      <c r="L34" s="6">
        <f t="shared" si="24"/>
        <v>0</v>
      </c>
      <c r="M34" s="2"/>
      <c r="N34" s="7">
        <f t="shared" si="25"/>
        <v>0</v>
      </c>
      <c r="O34" s="11"/>
      <c r="P34" s="6"/>
      <c r="Q34" s="2"/>
      <c r="R34" s="7">
        <f t="shared" si="26"/>
        <v>0</v>
      </c>
      <c r="S34" s="2"/>
      <c r="T34" s="6">
        <v>254.64</v>
      </c>
      <c r="U34" s="2"/>
      <c r="V34" s="7">
        <f t="shared" si="27"/>
        <v>9.2234846639464439E-4</v>
      </c>
      <c r="W34" s="2"/>
      <c r="X34" s="6">
        <f t="shared" si="28"/>
        <v>-254.64</v>
      </c>
      <c r="Y34" s="2"/>
      <c r="Z34" s="7">
        <f t="shared" si="29"/>
        <v>-1</v>
      </c>
    </row>
    <row r="35" spans="1:26" s="24" customFormat="1" hidden="1" outlineLevel="2" x14ac:dyDescent="0.25">
      <c r="A35" s="28"/>
      <c r="B35" s="11" t="str">
        <f>CONCATENATE("          ", "6005", " - ", "TEMPORARY WAGES-HOURLY")</f>
        <v xml:space="preserve">          6005 - TEMPORARY WAGES-HOURLY</v>
      </c>
      <c r="C35" s="11"/>
      <c r="D35" s="6"/>
      <c r="E35" s="2"/>
      <c r="F35" s="7">
        <f t="shared" si="22"/>
        <v>0</v>
      </c>
      <c r="G35" s="2"/>
      <c r="H35" s="6">
        <v>4603.6000000000004</v>
      </c>
      <c r="I35" s="2"/>
      <c r="J35" s="7">
        <f t="shared" si="23"/>
        <v>3.4571730633680388E-2</v>
      </c>
      <c r="K35" s="2"/>
      <c r="L35" s="6">
        <f t="shared" si="24"/>
        <v>-4603.6000000000004</v>
      </c>
      <c r="M35" s="2"/>
      <c r="N35" s="7">
        <f t="shared" si="25"/>
        <v>-1</v>
      </c>
      <c r="O35" s="11"/>
      <c r="P35" s="6"/>
      <c r="Q35" s="2"/>
      <c r="R35" s="7">
        <f t="shared" si="26"/>
        <v>0</v>
      </c>
      <c r="S35" s="2"/>
      <c r="T35" s="6">
        <v>8593.73</v>
      </c>
      <c r="U35" s="2"/>
      <c r="V35" s="7">
        <f t="shared" si="27"/>
        <v>3.1127920539230469E-2</v>
      </c>
      <c r="W35" s="2"/>
      <c r="X35" s="6">
        <f t="shared" si="28"/>
        <v>-8593.73</v>
      </c>
      <c r="Y35" s="2"/>
      <c r="Z35" s="7">
        <f t="shared" si="29"/>
        <v>-1</v>
      </c>
    </row>
    <row r="36" spans="1:26" s="24" customFormat="1" hidden="1" outlineLevel="2" x14ac:dyDescent="0.25">
      <c r="A36" s="28"/>
      <c r="B36" s="11" t="str">
        <f>CONCATENATE("          ", "6007", " - ", "STUDENT HOURLY")</f>
        <v xml:space="preserve">          6007 - STUDENT HOURLY</v>
      </c>
      <c r="C36" s="11"/>
      <c r="D36" s="6"/>
      <c r="E36" s="2"/>
      <c r="F36" s="7">
        <f t="shared" si="22"/>
        <v>0</v>
      </c>
      <c r="G36" s="2"/>
      <c r="H36" s="6">
        <v>6386.32</v>
      </c>
      <c r="I36" s="2"/>
      <c r="J36" s="7">
        <f t="shared" si="23"/>
        <v>4.7959452337406748E-2</v>
      </c>
      <c r="K36" s="2"/>
      <c r="L36" s="6">
        <f t="shared" si="24"/>
        <v>-6386.32</v>
      </c>
      <c r="M36" s="2"/>
      <c r="N36" s="7">
        <f t="shared" si="25"/>
        <v>-1</v>
      </c>
      <c r="O36" s="11"/>
      <c r="P36" s="6"/>
      <c r="Q36" s="2"/>
      <c r="R36" s="7">
        <f t="shared" si="26"/>
        <v>0</v>
      </c>
      <c r="S36" s="2"/>
      <c r="T36" s="6">
        <v>16990.52</v>
      </c>
      <c r="U36" s="2"/>
      <c r="V36" s="7">
        <f t="shared" si="27"/>
        <v>6.1542491616586294E-2</v>
      </c>
      <c r="W36" s="2"/>
      <c r="X36" s="6">
        <f t="shared" si="28"/>
        <v>-16990.52</v>
      </c>
      <c r="Y36" s="2"/>
      <c r="Z36" s="7">
        <f t="shared" si="29"/>
        <v>-1</v>
      </c>
    </row>
    <row r="37" spans="1:26" s="24" customFormat="1" hidden="1" outlineLevel="2" x14ac:dyDescent="0.25">
      <c r="A37" s="28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22"/>
        <v>0</v>
      </c>
      <c r="G37" s="2"/>
      <c r="H37" s="6">
        <v>378</v>
      </c>
      <c r="I37" s="2"/>
      <c r="J37" s="7">
        <f t="shared" si="23"/>
        <v>2.8386728168240476E-3</v>
      </c>
      <c r="K37" s="2"/>
      <c r="L37" s="6">
        <f t="shared" si="24"/>
        <v>-378</v>
      </c>
      <c r="M37" s="2"/>
      <c r="N37" s="7">
        <f t="shared" si="25"/>
        <v>-1</v>
      </c>
      <c r="O37" s="11"/>
      <c r="P37" s="6"/>
      <c r="Q37" s="2"/>
      <c r="R37" s="7">
        <f t="shared" si="26"/>
        <v>0</v>
      </c>
      <c r="S37" s="2"/>
      <c r="T37" s="6">
        <v>1614</v>
      </c>
      <c r="U37" s="2"/>
      <c r="V37" s="7">
        <f t="shared" si="27"/>
        <v>5.8461766602299564E-3</v>
      </c>
      <c r="W37" s="2"/>
      <c r="X37" s="6">
        <f t="shared" si="28"/>
        <v>-1614</v>
      </c>
      <c r="Y37" s="2"/>
      <c r="Z37" s="7">
        <f t="shared" si="29"/>
        <v>-1</v>
      </c>
    </row>
    <row r="38" spans="1:26" s="29" customFormat="1" outlineLevel="1" collapsed="1" x14ac:dyDescent="0.25">
      <c r="A38" s="27"/>
      <c r="B38" s="14" t="str">
        <f>CONCATENATE("     ","Advertising/Promo                                 ")</f>
        <v xml:space="preserve">     Advertising/Promo                                 </v>
      </c>
      <c r="C38" s="14"/>
      <c r="D38" s="1">
        <f>SUM(OSRRefD22_2x_0)</f>
        <v>0</v>
      </c>
      <c r="E38" s="1"/>
      <c r="F38" s="5">
        <f t="shared" ref="F38:F46" si="30">IF(D$12=0,0,D38/D$12)</f>
        <v>0</v>
      </c>
      <c r="G38" s="1"/>
      <c r="H38" s="1">
        <f>SUM(OSRRefH22_2x_0)</f>
        <v>221.52</v>
      </c>
      <c r="I38" s="1"/>
      <c r="J38" s="5">
        <f t="shared" ref="J38:J46" si="31">IF(H$12=0,0,H38/H$12)</f>
        <v>1.6635523872562516E-3</v>
      </c>
      <c r="K38" s="1"/>
      <c r="L38" s="1">
        <f t="shared" ref="L38:L46" si="32">+D38-H38</f>
        <v>-221.52</v>
      </c>
      <c r="M38" s="1"/>
      <c r="N38" s="5">
        <f t="shared" ref="N38:N46" si="33">IF(H38=0,0,L38/H38)</f>
        <v>-1</v>
      </c>
      <c r="O38" s="14"/>
      <c r="P38" s="1">
        <f>SUM(OSRRefP22_2x_0)</f>
        <v>0</v>
      </c>
      <c r="Q38" s="1"/>
      <c r="R38" s="5">
        <f t="shared" ref="R38:R46" si="34">IF(P$12=0,0,P38/P$12)</f>
        <v>0</v>
      </c>
      <c r="S38" s="1"/>
      <c r="T38" s="1">
        <f>SUM(OSRRefT22_2x_0)</f>
        <v>301.3</v>
      </c>
      <c r="U38" s="1"/>
      <c r="V38" s="5">
        <f t="shared" ref="V38:V46" si="35">IF(T$12=0,0,T38/T$12)</f>
        <v>1.0913587532387148E-3</v>
      </c>
      <c r="W38" s="1"/>
      <c r="X38" s="1">
        <f t="shared" ref="X38:X46" si="36">+P38-T38</f>
        <v>-301.3</v>
      </c>
      <c r="Y38" s="1"/>
      <c r="Z38" s="5">
        <f t="shared" ref="Z38:Z46" si="37">IF(T38=0,0,X38/T38)</f>
        <v>-1</v>
      </c>
    </row>
    <row r="39" spans="1:26" s="24" customFormat="1" hidden="1" outlineLevel="2" x14ac:dyDescent="0.25">
      <c r="A39" s="28"/>
      <c r="B39" s="11" t="str">
        <f>CONCATENATE("          ", "6362", " - ", "ADVERTISING EXPENSE")</f>
        <v xml:space="preserve">          6362 - ADVERTISING EXPENSE</v>
      </c>
      <c r="C39" s="11"/>
      <c r="D39" s="6"/>
      <c r="E39" s="2"/>
      <c r="F39" s="7">
        <f t="shared" si="30"/>
        <v>0</v>
      </c>
      <c r="G39" s="2"/>
      <c r="H39" s="6">
        <v>221.52</v>
      </c>
      <c r="I39" s="2"/>
      <c r="J39" s="7">
        <f t="shared" si="31"/>
        <v>1.6635523872562516E-3</v>
      </c>
      <c r="K39" s="2"/>
      <c r="L39" s="6">
        <f t="shared" si="32"/>
        <v>-221.52</v>
      </c>
      <c r="M39" s="2"/>
      <c r="N39" s="7">
        <f t="shared" si="33"/>
        <v>-1</v>
      </c>
      <c r="O39" s="11"/>
      <c r="P39" s="6"/>
      <c r="Q39" s="2"/>
      <c r="R39" s="7">
        <f t="shared" si="34"/>
        <v>0</v>
      </c>
      <c r="S39" s="2"/>
      <c r="T39" s="6">
        <v>301.3</v>
      </c>
      <c r="U39" s="2"/>
      <c r="V39" s="7">
        <f t="shared" si="35"/>
        <v>1.0913587532387148E-3</v>
      </c>
      <c r="W39" s="2"/>
      <c r="X39" s="6">
        <f t="shared" si="36"/>
        <v>-301.3</v>
      </c>
      <c r="Y39" s="2"/>
      <c r="Z39" s="7">
        <f t="shared" si="37"/>
        <v>-1</v>
      </c>
    </row>
    <row r="40" spans="1:26" s="29" customFormat="1" outlineLevel="1" collapsed="1" x14ac:dyDescent="0.25">
      <c r="A40" s="27"/>
      <c r="B40" s="14" t="str">
        <f>CONCATENATE("     ","Bad Debts/Over/Short                              ")</f>
        <v xml:space="preserve">     Bad Debts/Over/Short                              </v>
      </c>
      <c r="C40" s="14"/>
      <c r="D40" s="1">
        <f>SUM(OSRRefD22_3x_0)</f>
        <v>0</v>
      </c>
      <c r="E40" s="1"/>
      <c r="F40" s="5">
        <f t="shared" si="30"/>
        <v>0</v>
      </c>
      <c r="G40" s="1"/>
      <c r="H40" s="1">
        <f>SUM(OSRRefH22_3x_0)</f>
        <v>-15.11</v>
      </c>
      <c r="I40" s="1"/>
      <c r="J40" s="5">
        <f t="shared" si="31"/>
        <v>-1.1347181550849565E-4</v>
      </c>
      <c r="K40" s="1"/>
      <c r="L40" s="1">
        <f t="shared" si="32"/>
        <v>15.11</v>
      </c>
      <c r="M40" s="1"/>
      <c r="N40" s="5">
        <f t="shared" si="33"/>
        <v>-1</v>
      </c>
      <c r="O40" s="14"/>
      <c r="P40" s="1">
        <f>SUM(OSRRefP22_3x_0)</f>
        <v>0</v>
      </c>
      <c r="Q40" s="1"/>
      <c r="R40" s="5">
        <f t="shared" si="34"/>
        <v>0</v>
      </c>
      <c r="S40" s="1"/>
      <c r="T40" s="1">
        <f>SUM(OSRRefT22_3x_0)</f>
        <v>-37.17</v>
      </c>
      <c r="U40" s="1"/>
      <c r="V40" s="5">
        <f t="shared" si="35"/>
        <v>-1.3463592717518431E-4</v>
      </c>
      <c r="W40" s="1"/>
      <c r="X40" s="1">
        <f t="shared" si="36"/>
        <v>37.17</v>
      </c>
      <c r="Y40" s="1"/>
      <c r="Z40" s="5">
        <f t="shared" si="37"/>
        <v>-1</v>
      </c>
    </row>
    <row r="41" spans="1:26" s="24" customFormat="1" hidden="1" outlineLevel="2" x14ac:dyDescent="0.25">
      <c r="A41" s="28"/>
      <c r="B41" s="11" t="str">
        <f>CONCATENATE("          ", "6272", " - ", "CASH (OVER/SHORT)")</f>
        <v xml:space="preserve">          6272 - CASH (OVER/SHORT)</v>
      </c>
      <c r="C41" s="11"/>
      <c r="D41" s="6"/>
      <c r="E41" s="2"/>
      <c r="F41" s="7">
        <f t="shared" si="30"/>
        <v>0</v>
      </c>
      <c r="G41" s="2"/>
      <c r="H41" s="6">
        <v>-15.11</v>
      </c>
      <c r="I41" s="2"/>
      <c r="J41" s="7">
        <f t="shared" si="31"/>
        <v>-1.1347181550849565E-4</v>
      </c>
      <c r="K41" s="2"/>
      <c r="L41" s="6">
        <f t="shared" si="32"/>
        <v>15.11</v>
      </c>
      <c r="M41" s="2"/>
      <c r="N41" s="7">
        <f t="shared" si="33"/>
        <v>-1</v>
      </c>
      <c r="O41" s="11"/>
      <c r="P41" s="6"/>
      <c r="Q41" s="2"/>
      <c r="R41" s="7">
        <f t="shared" si="34"/>
        <v>0</v>
      </c>
      <c r="S41" s="2"/>
      <c r="T41" s="6">
        <v>-37.17</v>
      </c>
      <c r="U41" s="2"/>
      <c r="V41" s="7">
        <f t="shared" si="35"/>
        <v>-1.3463592717518431E-4</v>
      </c>
      <c r="W41" s="2"/>
      <c r="X41" s="6">
        <f t="shared" si="36"/>
        <v>37.17</v>
      </c>
      <c r="Y41" s="2"/>
      <c r="Z41" s="7">
        <f t="shared" si="37"/>
        <v>-1</v>
      </c>
    </row>
    <row r="42" spans="1:26" s="29" customFormat="1" outlineLevel="1" collapsed="1" x14ac:dyDescent="0.25">
      <c r="A42" s="27"/>
      <c r="B42" s="14" t="str">
        <f>CONCATENATE("     ","Bank/card Fees                                    ")</f>
        <v xml:space="preserve">     Bank/card Fees                                    </v>
      </c>
      <c r="C42" s="14"/>
      <c r="D42" s="1">
        <f>SUM(OSRRefD22_4x_0)</f>
        <v>0</v>
      </c>
      <c r="E42" s="1"/>
      <c r="F42" s="5">
        <f t="shared" si="30"/>
        <v>0</v>
      </c>
      <c r="G42" s="1"/>
      <c r="H42" s="1">
        <f>SUM(OSRRefH22_4x_0)</f>
        <v>4611.9399999999996</v>
      </c>
      <c r="I42" s="1"/>
      <c r="J42" s="5">
        <f t="shared" si="31"/>
        <v>3.4634361668845232E-2</v>
      </c>
      <c r="K42" s="1"/>
      <c r="L42" s="1">
        <f t="shared" si="32"/>
        <v>-4611.9399999999996</v>
      </c>
      <c r="M42" s="1"/>
      <c r="N42" s="5">
        <f t="shared" si="33"/>
        <v>-1</v>
      </c>
      <c r="O42" s="14"/>
      <c r="P42" s="1">
        <f>SUM(OSRRefP22_4x_0)</f>
        <v>0</v>
      </c>
      <c r="Q42" s="1"/>
      <c r="R42" s="5">
        <f t="shared" si="34"/>
        <v>0</v>
      </c>
      <c r="S42" s="1"/>
      <c r="T42" s="1">
        <f>SUM(OSRRefT22_4x_0)</f>
        <v>9618.33</v>
      </c>
      <c r="U42" s="1"/>
      <c r="V42" s="5">
        <f t="shared" si="35"/>
        <v>3.4839192290204213E-2</v>
      </c>
      <c r="W42" s="1"/>
      <c r="X42" s="1">
        <f t="shared" si="36"/>
        <v>-9618.33</v>
      </c>
      <c r="Y42" s="1"/>
      <c r="Z42" s="5">
        <f t="shared" si="37"/>
        <v>-1</v>
      </c>
    </row>
    <row r="43" spans="1:26" s="24" customFormat="1" hidden="1" outlineLevel="2" x14ac:dyDescent="0.25">
      <c r="A43" s="28"/>
      <c r="B43" s="11" t="str">
        <f>CONCATENATE("          ", "6381", " - ", "BANK/CREDIT CARD FEES")</f>
        <v xml:space="preserve">          6381 - BANK/CREDIT CARD FEES</v>
      </c>
      <c r="C43" s="11"/>
      <c r="D43" s="6"/>
      <c r="E43" s="2"/>
      <c r="F43" s="7">
        <f t="shared" si="30"/>
        <v>0</v>
      </c>
      <c r="G43" s="2"/>
      <c r="H43" s="6">
        <v>4611.9399999999996</v>
      </c>
      <c r="I43" s="2"/>
      <c r="J43" s="7">
        <f t="shared" si="31"/>
        <v>3.4634361668845232E-2</v>
      </c>
      <c r="K43" s="2"/>
      <c r="L43" s="6">
        <f t="shared" si="32"/>
        <v>-4611.9399999999996</v>
      </c>
      <c r="M43" s="2"/>
      <c r="N43" s="7">
        <f t="shared" si="33"/>
        <v>-1</v>
      </c>
      <c r="O43" s="11"/>
      <c r="P43" s="6"/>
      <c r="Q43" s="2"/>
      <c r="R43" s="7">
        <f t="shared" si="34"/>
        <v>0</v>
      </c>
      <c r="S43" s="2"/>
      <c r="T43" s="6">
        <v>9618.33</v>
      </c>
      <c r="U43" s="2"/>
      <c r="V43" s="7">
        <f t="shared" si="35"/>
        <v>3.4839192290204213E-2</v>
      </c>
      <c r="W43" s="2"/>
      <c r="X43" s="6">
        <f t="shared" si="36"/>
        <v>-9618.33</v>
      </c>
      <c r="Y43" s="2"/>
      <c r="Z43" s="7">
        <f t="shared" si="37"/>
        <v>-1</v>
      </c>
    </row>
    <row r="44" spans="1:26" s="29" customFormat="1" outlineLevel="1" collapsed="1" x14ac:dyDescent="0.25">
      <c r="A44" s="27"/>
      <c r="B44" s="14" t="str">
        <f>CONCATENATE("     ","Depreciation                                      ")</f>
        <v xml:space="preserve">     Depreciation                                      </v>
      </c>
      <c r="C44" s="14"/>
      <c r="D44" s="1">
        <f>SUM(OSRRefD22_5x_0)</f>
        <v>5582.5700000000006</v>
      </c>
      <c r="E44" s="1"/>
      <c r="F44" s="5">
        <f t="shared" si="30"/>
        <v>0</v>
      </c>
      <c r="G44" s="1"/>
      <c r="H44" s="1">
        <f>SUM(OSRRefH22_5x_0)</f>
        <v>5421.37</v>
      </c>
      <c r="I44" s="1"/>
      <c r="J44" s="5">
        <f t="shared" si="31"/>
        <v>4.0712951452236475E-2</v>
      </c>
      <c r="K44" s="1"/>
      <c r="L44" s="1">
        <f t="shared" si="32"/>
        <v>161.20000000000073</v>
      </c>
      <c r="M44" s="1"/>
      <c r="N44" s="5">
        <f t="shared" si="33"/>
        <v>2.9734181581408524E-2</v>
      </c>
      <c r="O44" s="14"/>
      <c r="P44" s="1">
        <f>SUM(OSRRefP22_5x_0)</f>
        <v>22330.34</v>
      </c>
      <c r="Q44" s="1"/>
      <c r="R44" s="5">
        <f t="shared" si="34"/>
        <v>0</v>
      </c>
      <c r="S44" s="1"/>
      <c r="T44" s="1">
        <f>SUM(OSRRefT22_5x_0)</f>
        <v>21685.48</v>
      </c>
      <c r="U44" s="1"/>
      <c r="V44" s="5">
        <f t="shared" si="35"/>
        <v>7.8548418241563514E-2</v>
      </c>
      <c r="W44" s="1"/>
      <c r="X44" s="1">
        <f t="shared" si="36"/>
        <v>644.86000000000058</v>
      </c>
      <c r="Y44" s="1"/>
      <c r="Z44" s="5">
        <f t="shared" si="37"/>
        <v>2.9736948409719341E-2</v>
      </c>
    </row>
    <row r="45" spans="1:26" s="24" customFormat="1" hidden="1" outlineLevel="2" x14ac:dyDescent="0.25">
      <c r="A45" s="28"/>
      <c r="B45" s="11" t="str">
        <f>CONCATENATE("          ", "6321", " - ", "BUILDING DEPRECIATION")</f>
        <v xml:space="preserve">          6321 - BUILDING DEPRECIATION</v>
      </c>
      <c r="C45" s="11"/>
      <c r="D45" s="6">
        <v>5080.51</v>
      </c>
      <c r="E45" s="2"/>
      <c r="F45" s="7">
        <f t="shared" si="30"/>
        <v>0</v>
      </c>
      <c r="G45" s="2"/>
      <c r="H45" s="6">
        <v>5080.51</v>
      </c>
      <c r="I45" s="2"/>
      <c r="J45" s="7">
        <f t="shared" si="31"/>
        <v>3.8153189504240063E-2</v>
      </c>
      <c r="K45" s="2"/>
      <c r="L45" s="6">
        <f t="shared" si="32"/>
        <v>0</v>
      </c>
      <c r="M45" s="2"/>
      <c r="N45" s="7">
        <f t="shared" si="33"/>
        <v>0</v>
      </c>
      <c r="O45" s="11"/>
      <c r="P45" s="6">
        <v>20322.04</v>
      </c>
      <c r="Q45" s="2"/>
      <c r="R45" s="7">
        <f t="shared" si="34"/>
        <v>0</v>
      </c>
      <c r="S45" s="2"/>
      <c r="T45" s="6">
        <v>20322.04</v>
      </c>
      <c r="U45" s="2"/>
      <c r="V45" s="7">
        <f t="shared" si="35"/>
        <v>7.3609811608587108E-2</v>
      </c>
      <c r="W45" s="2"/>
      <c r="X45" s="6">
        <f t="shared" si="36"/>
        <v>0</v>
      </c>
      <c r="Y45" s="2"/>
      <c r="Z45" s="7">
        <f t="shared" si="37"/>
        <v>0</v>
      </c>
    </row>
    <row r="46" spans="1:26" s="24" customFormat="1" hidden="1" outlineLevel="2" x14ac:dyDescent="0.25">
      <c r="A46" s="28"/>
      <c r="B46" s="11" t="str">
        <f>CONCATENATE("          ", "6322", " - ", "EQUIPMENT DEPRECIATION EXPENSE")</f>
        <v xml:space="preserve">          6322 - EQUIPMENT DEPRECIATION EXPENSE</v>
      </c>
      <c r="C46" s="11"/>
      <c r="D46" s="6">
        <v>502.06</v>
      </c>
      <c r="E46" s="2"/>
      <c r="F46" s="7">
        <f t="shared" si="30"/>
        <v>0</v>
      </c>
      <c r="G46" s="2"/>
      <c r="H46" s="6">
        <v>340.86</v>
      </c>
      <c r="I46" s="2"/>
      <c r="J46" s="7">
        <f t="shared" si="31"/>
        <v>2.5597619479964151E-3</v>
      </c>
      <c r="K46" s="2"/>
      <c r="L46" s="6">
        <f t="shared" si="32"/>
        <v>161.19999999999999</v>
      </c>
      <c r="M46" s="2"/>
      <c r="N46" s="7">
        <f t="shared" si="33"/>
        <v>0.47292143401983211</v>
      </c>
      <c r="O46" s="11"/>
      <c r="P46" s="6">
        <v>2008.3</v>
      </c>
      <c r="Q46" s="2"/>
      <c r="R46" s="7">
        <f t="shared" si="34"/>
        <v>0</v>
      </c>
      <c r="S46" s="2"/>
      <c r="T46" s="6">
        <v>1363.44</v>
      </c>
      <c r="U46" s="2"/>
      <c r="V46" s="7">
        <f t="shared" si="35"/>
        <v>4.9386066329764134E-3</v>
      </c>
      <c r="W46" s="2"/>
      <c r="X46" s="6">
        <f t="shared" si="36"/>
        <v>644.8599999999999</v>
      </c>
      <c r="Y46" s="2"/>
      <c r="Z46" s="7">
        <f t="shared" si="37"/>
        <v>0.47296544035674459</v>
      </c>
    </row>
    <row r="47" spans="1:26" s="29" customFormat="1" outlineLevel="1" collapsed="1" x14ac:dyDescent="0.25">
      <c r="A47" s="27"/>
      <c r="B47" s="14" t="str">
        <f>CONCATENATE("     ","Employees' Appreciation                           ")</f>
        <v xml:space="preserve">     Employees' Appreciation                           </v>
      </c>
      <c r="C47" s="14"/>
      <c r="D47" s="1">
        <f>SUM(OSRRefD22_6x_0)</f>
        <v>0</v>
      </c>
      <c r="E47" s="1"/>
      <c r="F47" s="5">
        <f t="shared" ref="F47:F60" si="38">IF(D$12=0,0,D47/D$12)</f>
        <v>0</v>
      </c>
      <c r="G47" s="1"/>
      <c r="H47" s="1">
        <f>SUM(OSRRefH22_6x_0)</f>
        <v>33.28</v>
      </c>
      <c r="I47" s="1"/>
      <c r="J47" s="5">
        <f t="shared" ref="J47:J60" si="39">IF(H$12=0,0,H47/H$12)</f>
        <v>2.4992336334366222E-4</v>
      </c>
      <c r="K47" s="1"/>
      <c r="L47" s="1">
        <f t="shared" ref="L47:L60" si="40">+D47-H47</f>
        <v>-33.28</v>
      </c>
      <c r="M47" s="1"/>
      <c r="N47" s="5">
        <f t="shared" ref="N47:N60" si="41">IF(H47=0,0,L47/H47)</f>
        <v>-1</v>
      </c>
      <c r="O47" s="14"/>
      <c r="P47" s="1">
        <f>SUM(OSRRefP22_6x_0)</f>
        <v>0</v>
      </c>
      <c r="Q47" s="1"/>
      <c r="R47" s="5">
        <f t="shared" ref="R47:R60" si="42">IF(P$12=0,0,P47/P$12)</f>
        <v>0</v>
      </c>
      <c r="S47" s="1"/>
      <c r="T47" s="1">
        <f>SUM(OSRRefT22_6x_0)</f>
        <v>33.28</v>
      </c>
      <c r="U47" s="1"/>
      <c r="V47" s="5">
        <f t="shared" ref="V47:V60" si="43">IF(T$12=0,0,T47/T$12)</f>
        <v>1.2054569966075151E-4</v>
      </c>
      <c r="W47" s="1"/>
      <c r="X47" s="1">
        <f t="shared" ref="X47:X60" si="44">+P47-T47</f>
        <v>-33.28</v>
      </c>
      <c r="Y47" s="1"/>
      <c r="Z47" s="5">
        <f t="shared" ref="Z47:Z60" si="45">IF(T47=0,0,X47/T47)</f>
        <v>-1</v>
      </c>
    </row>
    <row r="48" spans="1:26" s="24" customFormat="1" hidden="1" outlineLevel="2" x14ac:dyDescent="0.25">
      <c r="A48" s="28"/>
      <c r="B48" s="11" t="str">
        <f>CONCATENATE("          ", "6277", " - ", "EMPLOYEE APPRECIATION")</f>
        <v xml:space="preserve">          6277 - EMPLOYEE APPRECIATION</v>
      </c>
      <c r="C48" s="11"/>
      <c r="D48" s="6"/>
      <c r="E48" s="2"/>
      <c r="F48" s="7">
        <f t="shared" si="38"/>
        <v>0</v>
      </c>
      <c r="G48" s="2"/>
      <c r="H48" s="6">
        <v>33.28</v>
      </c>
      <c r="I48" s="2"/>
      <c r="J48" s="7">
        <f t="shared" si="39"/>
        <v>2.4992336334366222E-4</v>
      </c>
      <c r="K48" s="2"/>
      <c r="L48" s="6">
        <f t="shared" si="40"/>
        <v>-33.28</v>
      </c>
      <c r="M48" s="2"/>
      <c r="N48" s="7">
        <f t="shared" si="41"/>
        <v>-1</v>
      </c>
      <c r="O48" s="11"/>
      <c r="P48" s="6"/>
      <c r="Q48" s="2"/>
      <c r="R48" s="7">
        <f t="shared" si="42"/>
        <v>0</v>
      </c>
      <c r="S48" s="2"/>
      <c r="T48" s="6">
        <v>33.28</v>
      </c>
      <c r="U48" s="2"/>
      <c r="V48" s="7">
        <f t="shared" si="43"/>
        <v>1.2054569966075151E-4</v>
      </c>
      <c r="W48" s="2"/>
      <c r="X48" s="6">
        <f t="shared" si="44"/>
        <v>-33.28</v>
      </c>
      <c r="Y48" s="2"/>
      <c r="Z48" s="7">
        <f t="shared" si="45"/>
        <v>-1</v>
      </c>
    </row>
    <row r="49" spans="1:26" s="29" customFormat="1" outlineLevel="1" collapsed="1" x14ac:dyDescent="0.25">
      <c r="A49" s="27"/>
      <c r="B49" s="14" t="str">
        <f>CONCATENATE("     ","Equipment Rental                                  ")</f>
        <v xml:space="preserve">     Equipment Rental                                  </v>
      </c>
      <c r="C49" s="14"/>
      <c r="D49" s="1">
        <f>SUM(OSRRefD22_7x_0)</f>
        <v>0</v>
      </c>
      <c r="E49" s="1"/>
      <c r="F49" s="5">
        <f t="shared" si="38"/>
        <v>0</v>
      </c>
      <c r="G49" s="1"/>
      <c r="H49" s="1">
        <f>SUM(OSRRefH22_7x_0)</f>
        <v>123.73</v>
      </c>
      <c r="I49" s="1"/>
      <c r="J49" s="5">
        <f t="shared" si="39"/>
        <v>9.2917721594084506E-4</v>
      </c>
      <c r="K49" s="1"/>
      <c r="L49" s="1">
        <f t="shared" si="40"/>
        <v>-123.73</v>
      </c>
      <c r="M49" s="1"/>
      <c r="N49" s="5">
        <f t="shared" si="41"/>
        <v>-1</v>
      </c>
      <c r="O49" s="14"/>
      <c r="P49" s="1">
        <f>SUM(OSRRefP22_7x_0)</f>
        <v>0</v>
      </c>
      <c r="Q49" s="1"/>
      <c r="R49" s="5">
        <f t="shared" si="42"/>
        <v>0</v>
      </c>
      <c r="S49" s="1"/>
      <c r="T49" s="1">
        <f>SUM(OSRRefT22_7x_0)</f>
        <v>472.94</v>
      </c>
      <c r="U49" s="1"/>
      <c r="V49" s="5">
        <f t="shared" si="43"/>
        <v>1.713067403772711E-3</v>
      </c>
      <c r="W49" s="1"/>
      <c r="X49" s="1">
        <f t="shared" si="44"/>
        <v>-472.94</v>
      </c>
      <c r="Y49" s="1"/>
      <c r="Z49" s="5">
        <f t="shared" si="45"/>
        <v>-1</v>
      </c>
    </row>
    <row r="50" spans="1:26" s="24" customFormat="1" hidden="1" outlineLevel="2" x14ac:dyDescent="0.25">
      <c r="A50" s="28"/>
      <c r="B50" s="11" t="str">
        <f>CONCATENATE("          ", "6351", " - ", "EQUIPMENT RENTAL")</f>
        <v xml:space="preserve">          6351 - EQUIPMENT RENTAL</v>
      </c>
      <c r="C50" s="11"/>
      <c r="D50" s="6"/>
      <c r="E50" s="2"/>
      <c r="F50" s="7">
        <f t="shared" si="38"/>
        <v>0</v>
      </c>
      <c r="G50" s="2"/>
      <c r="H50" s="6">
        <v>123.73</v>
      </c>
      <c r="I50" s="2"/>
      <c r="J50" s="7">
        <f t="shared" si="39"/>
        <v>9.2917721594084506E-4</v>
      </c>
      <c r="K50" s="2"/>
      <c r="L50" s="6">
        <f t="shared" si="40"/>
        <v>-123.73</v>
      </c>
      <c r="M50" s="2"/>
      <c r="N50" s="7">
        <f t="shared" si="41"/>
        <v>-1</v>
      </c>
      <c r="O50" s="11"/>
      <c r="P50" s="6"/>
      <c r="Q50" s="2"/>
      <c r="R50" s="7">
        <f t="shared" si="42"/>
        <v>0</v>
      </c>
      <c r="S50" s="2"/>
      <c r="T50" s="6">
        <v>472.94</v>
      </c>
      <c r="U50" s="2"/>
      <c r="V50" s="7">
        <f t="shared" si="43"/>
        <v>1.713067403772711E-3</v>
      </c>
      <c r="W50" s="2"/>
      <c r="X50" s="6">
        <f t="shared" si="44"/>
        <v>-472.94</v>
      </c>
      <c r="Y50" s="2"/>
      <c r="Z50" s="7">
        <f t="shared" si="45"/>
        <v>-1</v>
      </c>
    </row>
    <row r="51" spans="1:26" s="29" customFormat="1" outlineLevel="1" collapsed="1" x14ac:dyDescent="0.25">
      <c r="A51" s="27"/>
      <c r="B51" s="14" t="str">
        <f>CONCATENATE("     ","General                                           ")</f>
        <v xml:space="preserve">     General                                           </v>
      </c>
      <c r="C51" s="14"/>
      <c r="D51" s="1">
        <f>SUM(OSRRefD22_8x_0)</f>
        <v>0</v>
      </c>
      <c r="E51" s="1"/>
      <c r="F51" s="5">
        <f t="shared" si="38"/>
        <v>0</v>
      </c>
      <c r="G51" s="1"/>
      <c r="H51" s="1">
        <f>SUM(OSRRefH22_8x_0)</f>
        <v>207.5</v>
      </c>
      <c r="I51" s="1"/>
      <c r="J51" s="5">
        <f t="shared" si="39"/>
        <v>1.5582661626745765E-3</v>
      </c>
      <c r="K51" s="1"/>
      <c r="L51" s="1">
        <f t="shared" si="40"/>
        <v>-207.5</v>
      </c>
      <c r="M51" s="1"/>
      <c r="N51" s="5">
        <f t="shared" si="41"/>
        <v>-1</v>
      </c>
      <c r="O51" s="14"/>
      <c r="P51" s="1">
        <f>SUM(OSRRefP22_8x_0)</f>
        <v>754.55</v>
      </c>
      <c r="Q51" s="1"/>
      <c r="R51" s="5">
        <f t="shared" si="42"/>
        <v>0</v>
      </c>
      <c r="S51" s="1"/>
      <c r="T51" s="1">
        <f>SUM(OSRRefT22_8x_0)</f>
        <v>1027.23</v>
      </c>
      <c r="U51" s="1"/>
      <c r="V51" s="5">
        <f t="shared" si="43"/>
        <v>3.7207980487534188E-3</v>
      </c>
      <c r="W51" s="1"/>
      <c r="X51" s="1">
        <f t="shared" si="44"/>
        <v>-272.68000000000006</v>
      </c>
      <c r="Y51" s="1"/>
      <c r="Z51" s="5">
        <f t="shared" si="45"/>
        <v>-0.26545174887805073</v>
      </c>
    </row>
    <row r="52" spans="1:26" s="24" customFormat="1" hidden="1" outlineLevel="2" x14ac:dyDescent="0.25">
      <c r="A52" s="28"/>
      <c r="B52" s="11" t="str">
        <f>CONCATENATE("          ", "6279", " - ", "GENERAL EXPENSE")</f>
        <v xml:space="preserve">          6279 - GENERAL EXPENSE</v>
      </c>
      <c r="C52" s="11"/>
      <c r="D52" s="6"/>
      <c r="E52" s="2"/>
      <c r="F52" s="7">
        <f t="shared" si="38"/>
        <v>0</v>
      </c>
      <c r="G52" s="2"/>
      <c r="H52" s="6">
        <v>207.5</v>
      </c>
      <c r="I52" s="2"/>
      <c r="J52" s="7">
        <f t="shared" si="39"/>
        <v>1.5582661626745765E-3</v>
      </c>
      <c r="K52" s="2"/>
      <c r="L52" s="6">
        <f t="shared" si="40"/>
        <v>-207.5</v>
      </c>
      <c r="M52" s="2"/>
      <c r="N52" s="7">
        <f t="shared" si="41"/>
        <v>-1</v>
      </c>
      <c r="O52" s="11"/>
      <c r="P52" s="6">
        <v>754.55</v>
      </c>
      <c r="Q52" s="2"/>
      <c r="R52" s="7">
        <f t="shared" si="42"/>
        <v>0</v>
      </c>
      <c r="S52" s="2"/>
      <c r="T52" s="6">
        <v>1027.23</v>
      </c>
      <c r="U52" s="2"/>
      <c r="V52" s="7">
        <f t="shared" si="43"/>
        <v>3.7207980487534188E-3</v>
      </c>
      <c r="W52" s="2"/>
      <c r="X52" s="6">
        <f t="shared" si="44"/>
        <v>-272.68000000000006</v>
      </c>
      <c r="Y52" s="2"/>
      <c r="Z52" s="7">
        <f t="shared" si="45"/>
        <v>-0.26545174887805073</v>
      </c>
    </row>
    <row r="53" spans="1:26" s="29" customFormat="1" outlineLevel="1" collapsed="1" x14ac:dyDescent="0.25">
      <c r="A53" s="27"/>
      <c r="B53" s="14" t="str">
        <f>CONCATENATE("     ","Insurance                                         ")</f>
        <v xml:space="preserve">     Insurance                                         </v>
      </c>
      <c r="C53" s="14"/>
      <c r="D53" s="1">
        <f>SUM(OSRRefD22_9x_0)</f>
        <v>243.54</v>
      </c>
      <c r="E53" s="1"/>
      <c r="F53" s="5">
        <f t="shared" si="38"/>
        <v>0</v>
      </c>
      <c r="G53" s="1"/>
      <c r="H53" s="1">
        <f>SUM(OSRRefH22_9x_0)</f>
        <v>243.54</v>
      </c>
      <c r="I53" s="1"/>
      <c r="J53" s="5">
        <f t="shared" si="39"/>
        <v>1.828916343410922E-3</v>
      </c>
      <c r="K53" s="1"/>
      <c r="L53" s="1">
        <f t="shared" si="40"/>
        <v>0</v>
      </c>
      <c r="M53" s="1"/>
      <c r="N53" s="5">
        <f t="shared" si="41"/>
        <v>0</v>
      </c>
      <c r="O53" s="14"/>
      <c r="P53" s="1">
        <f>SUM(OSRRefP22_9x_0)</f>
        <v>974.16</v>
      </c>
      <c r="Q53" s="1"/>
      <c r="R53" s="5">
        <f t="shared" si="42"/>
        <v>0</v>
      </c>
      <c r="S53" s="1"/>
      <c r="T53" s="1">
        <f>SUM(OSRRefT22_9x_0)</f>
        <v>974.16</v>
      </c>
      <c r="U53" s="1"/>
      <c r="V53" s="5">
        <f t="shared" si="43"/>
        <v>3.5285696749254112E-3</v>
      </c>
      <c r="W53" s="1"/>
      <c r="X53" s="1">
        <f t="shared" si="44"/>
        <v>0</v>
      </c>
      <c r="Y53" s="1"/>
      <c r="Z53" s="5">
        <f t="shared" si="45"/>
        <v>0</v>
      </c>
    </row>
    <row r="54" spans="1:26" s="24" customFormat="1" hidden="1" outlineLevel="2" x14ac:dyDescent="0.25">
      <c r="A54" s="28"/>
      <c r="B54" s="11" t="str">
        <f>CONCATENATE("          ", "6314", " - ", "LIABILITY INSURANCE")</f>
        <v xml:space="preserve">          6314 - LIABILITY INSURANCE</v>
      </c>
      <c r="C54" s="11"/>
      <c r="D54" s="6">
        <v>243.54</v>
      </c>
      <c r="E54" s="2"/>
      <c r="F54" s="7">
        <f t="shared" si="38"/>
        <v>0</v>
      </c>
      <c r="G54" s="2"/>
      <c r="H54" s="6">
        <v>243.54</v>
      </c>
      <c r="I54" s="2"/>
      <c r="J54" s="7">
        <f t="shared" si="39"/>
        <v>1.828916343410922E-3</v>
      </c>
      <c r="K54" s="2"/>
      <c r="L54" s="6">
        <f t="shared" si="40"/>
        <v>0</v>
      </c>
      <c r="M54" s="2"/>
      <c r="N54" s="7">
        <f t="shared" si="41"/>
        <v>0</v>
      </c>
      <c r="O54" s="11"/>
      <c r="P54" s="6">
        <v>974.16</v>
      </c>
      <c r="Q54" s="2"/>
      <c r="R54" s="7">
        <f t="shared" si="42"/>
        <v>0</v>
      </c>
      <c r="S54" s="2"/>
      <c r="T54" s="6">
        <v>974.16</v>
      </c>
      <c r="U54" s="2"/>
      <c r="V54" s="7">
        <f t="shared" si="43"/>
        <v>3.5285696749254112E-3</v>
      </c>
      <c r="W54" s="2"/>
      <c r="X54" s="6">
        <f t="shared" si="44"/>
        <v>0</v>
      </c>
      <c r="Y54" s="2"/>
      <c r="Z54" s="7">
        <f t="shared" si="45"/>
        <v>0</v>
      </c>
    </row>
    <row r="55" spans="1:26" s="29" customFormat="1" outlineLevel="1" collapsed="1" x14ac:dyDescent="0.25">
      <c r="A55" s="27"/>
      <c r="B55" s="14" t="str">
        <f>CONCATENATE("     ","Interest                                          ")</f>
        <v xml:space="preserve">     Interest                                          </v>
      </c>
      <c r="C55" s="14"/>
      <c r="D55" s="1">
        <f>SUM(OSRRefD22_10x_0)</f>
        <v>3781.85</v>
      </c>
      <c r="E55" s="1"/>
      <c r="F55" s="5">
        <f t="shared" si="38"/>
        <v>0</v>
      </c>
      <c r="G55" s="1"/>
      <c r="H55" s="1">
        <f>SUM(OSRRefH22_10x_0)</f>
        <v>4163.95</v>
      </c>
      <c r="I55" s="1"/>
      <c r="J55" s="5">
        <f t="shared" si="39"/>
        <v>3.1270083797921941E-2</v>
      </c>
      <c r="K55" s="1"/>
      <c r="L55" s="1">
        <f t="shared" si="40"/>
        <v>-382.09999999999991</v>
      </c>
      <c r="M55" s="1"/>
      <c r="N55" s="5">
        <f t="shared" si="41"/>
        <v>-9.1763830017171172E-2</v>
      </c>
      <c r="O55" s="14"/>
      <c r="P55" s="1">
        <f>SUM(OSRRefP22_10x_0)</f>
        <v>15913.849999999999</v>
      </c>
      <c r="Q55" s="1"/>
      <c r="R55" s="5">
        <f t="shared" si="42"/>
        <v>0</v>
      </c>
      <c r="S55" s="1"/>
      <c r="T55" s="1">
        <f>SUM(OSRRefT22_10x_0)</f>
        <v>16493.95</v>
      </c>
      <c r="U55" s="1"/>
      <c r="V55" s="5">
        <f t="shared" si="43"/>
        <v>5.9743832419454704E-2</v>
      </c>
      <c r="W55" s="1"/>
      <c r="X55" s="1">
        <f t="shared" si="44"/>
        <v>-580.10000000000218</v>
      </c>
      <c r="Y55" s="1"/>
      <c r="Z55" s="5">
        <f t="shared" si="45"/>
        <v>-3.5170471597161516E-2</v>
      </c>
    </row>
    <row r="56" spans="1:26" s="24" customFormat="1" hidden="1" outlineLevel="2" x14ac:dyDescent="0.25">
      <c r="A56" s="28"/>
      <c r="B56" s="11" t="str">
        <f>CONCATENATE("          ", "6401", " - ", "INTEREST EXPENSE")</f>
        <v xml:space="preserve">          6401 - INTEREST EXPENSE</v>
      </c>
      <c r="C56" s="11"/>
      <c r="D56" s="6">
        <v>3781.85</v>
      </c>
      <c r="E56" s="2"/>
      <c r="F56" s="7">
        <f t="shared" si="38"/>
        <v>0</v>
      </c>
      <c r="G56" s="2"/>
      <c r="H56" s="6">
        <v>4163.95</v>
      </c>
      <c r="I56" s="2"/>
      <c r="J56" s="7">
        <f t="shared" si="39"/>
        <v>3.1270083797921941E-2</v>
      </c>
      <c r="K56" s="2"/>
      <c r="L56" s="6">
        <f t="shared" si="40"/>
        <v>-382.09999999999991</v>
      </c>
      <c r="M56" s="2"/>
      <c r="N56" s="7">
        <f t="shared" si="41"/>
        <v>-9.1763830017171172E-2</v>
      </c>
      <c r="O56" s="11"/>
      <c r="P56" s="6">
        <v>15913.849999999999</v>
      </c>
      <c r="Q56" s="2"/>
      <c r="R56" s="7">
        <f t="shared" si="42"/>
        <v>0</v>
      </c>
      <c r="S56" s="2"/>
      <c r="T56" s="6">
        <v>16493.95</v>
      </c>
      <c r="U56" s="2"/>
      <c r="V56" s="7">
        <f t="shared" si="43"/>
        <v>5.9743832419454704E-2</v>
      </c>
      <c r="W56" s="2"/>
      <c r="X56" s="6">
        <f t="shared" si="44"/>
        <v>-580.10000000000218</v>
      </c>
      <c r="Y56" s="2"/>
      <c r="Z56" s="7">
        <f t="shared" si="45"/>
        <v>-3.5170471597161516E-2</v>
      </c>
    </row>
    <row r="57" spans="1:26" s="29" customFormat="1" outlineLevel="1" collapsed="1" x14ac:dyDescent="0.25">
      <c r="A57" s="27"/>
      <c r="B57" s="14" t="str">
        <f>CONCATENATE("     ","Repair and Maintenance                            ")</f>
        <v xml:space="preserve">     Repair and Maintenance                            </v>
      </c>
      <c r="C57" s="14"/>
      <c r="D57" s="1">
        <f>SUM(OSRRefD22_11x_0)</f>
        <v>0</v>
      </c>
      <c r="E57" s="1"/>
      <c r="F57" s="5">
        <f t="shared" si="38"/>
        <v>0</v>
      </c>
      <c r="G57" s="1"/>
      <c r="H57" s="1">
        <f>SUM(OSRRefH22_11x_0)</f>
        <v>102.71</v>
      </c>
      <c r="I57" s="1"/>
      <c r="J57" s="5">
        <f t="shared" si="39"/>
        <v>7.7132297623279877E-4</v>
      </c>
      <c r="K57" s="1"/>
      <c r="L57" s="1">
        <f t="shared" si="40"/>
        <v>-102.71</v>
      </c>
      <c r="M57" s="1"/>
      <c r="N57" s="5">
        <f t="shared" si="41"/>
        <v>-1</v>
      </c>
      <c r="O57" s="14"/>
      <c r="P57" s="1">
        <f>SUM(OSRRefP22_11x_0)</f>
        <v>187.12</v>
      </c>
      <c r="Q57" s="1"/>
      <c r="R57" s="5">
        <f t="shared" si="42"/>
        <v>0</v>
      </c>
      <c r="S57" s="1"/>
      <c r="T57" s="1">
        <f>SUM(OSRRefT22_11x_0)</f>
        <v>624.08999999999992</v>
      </c>
      <c r="U57" s="1"/>
      <c r="V57" s="5">
        <f t="shared" si="43"/>
        <v>2.2605578636201444E-3</v>
      </c>
      <c r="W57" s="1"/>
      <c r="X57" s="1">
        <f t="shared" si="44"/>
        <v>-436.96999999999991</v>
      </c>
      <c r="Y57" s="1"/>
      <c r="Z57" s="5">
        <f t="shared" si="45"/>
        <v>-0.70017144963066225</v>
      </c>
    </row>
    <row r="58" spans="1:26" s="24" customFormat="1" hidden="1" outlineLevel="2" x14ac:dyDescent="0.25">
      <c r="A58" s="28"/>
      <c r="B58" s="11" t="str">
        <f>CONCATENATE("          ", "6371", " - ", "COMPUTER SOFTWARE MAINTENANCE")</f>
        <v xml:space="preserve">          6371 - COMPUTER SOFTWARE MAINTENANCE</v>
      </c>
      <c r="C58" s="11"/>
      <c r="D58" s="6"/>
      <c r="E58" s="2"/>
      <c r="F58" s="7">
        <f t="shared" si="38"/>
        <v>0</v>
      </c>
      <c r="G58" s="2"/>
      <c r="H58" s="6"/>
      <c r="I58" s="2"/>
      <c r="J58" s="7">
        <f t="shared" si="39"/>
        <v>0</v>
      </c>
      <c r="K58" s="2"/>
      <c r="L58" s="6">
        <f t="shared" si="40"/>
        <v>0</v>
      </c>
      <c r="M58" s="2"/>
      <c r="N58" s="7">
        <f t="shared" si="41"/>
        <v>0</v>
      </c>
      <c r="O58" s="11"/>
      <c r="P58" s="6"/>
      <c r="Q58" s="2"/>
      <c r="R58" s="7">
        <f t="shared" si="42"/>
        <v>0</v>
      </c>
      <c r="S58" s="2"/>
      <c r="T58" s="6">
        <v>437.31</v>
      </c>
      <c r="U58" s="2"/>
      <c r="V58" s="7">
        <f t="shared" si="43"/>
        <v>1.5840096129400014E-3</v>
      </c>
      <c r="W58" s="2"/>
      <c r="X58" s="6">
        <f t="shared" si="44"/>
        <v>-437.31</v>
      </c>
      <c r="Y58" s="2"/>
      <c r="Z58" s="7">
        <f t="shared" si="45"/>
        <v>-1</v>
      </c>
    </row>
    <row r="59" spans="1:26" s="24" customFormat="1" hidden="1" outlineLevel="2" x14ac:dyDescent="0.25">
      <c r="A59" s="28"/>
      <c r="B59" s="11" t="str">
        <f>CONCATENATE("          ", "6373", " - ", "MAINTENANCE CONTRACTS")</f>
        <v xml:space="preserve">          6373 - MAINTENANCE CONTRACTS</v>
      </c>
      <c r="C59" s="11"/>
      <c r="D59" s="6"/>
      <c r="E59" s="2"/>
      <c r="F59" s="7">
        <f t="shared" si="38"/>
        <v>0</v>
      </c>
      <c r="G59" s="2"/>
      <c r="H59" s="6">
        <v>102.71</v>
      </c>
      <c r="I59" s="2"/>
      <c r="J59" s="7">
        <f t="shared" si="39"/>
        <v>7.7132297623279877E-4</v>
      </c>
      <c r="K59" s="2"/>
      <c r="L59" s="6">
        <f t="shared" si="40"/>
        <v>-102.71</v>
      </c>
      <c r="M59" s="2"/>
      <c r="N59" s="7">
        <f t="shared" si="41"/>
        <v>-1</v>
      </c>
      <c r="O59" s="11"/>
      <c r="P59" s="6">
        <v>187.12</v>
      </c>
      <c r="Q59" s="2"/>
      <c r="R59" s="7">
        <f t="shared" si="42"/>
        <v>0</v>
      </c>
      <c r="S59" s="2"/>
      <c r="T59" s="6">
        <v>102.71</v>
      </c>
      <c r="U59" s="2"/>
      <c r="V59" s="7">
        <f t="shared" si="43"/>
        <v>3.7203271671141185E-4</v>
      </c>
      <c r="W59" s="2"/>
      <c r="X59" s="6">
        <f t="shared" si="44"/>
        <v>84.410000000000011</v>
      </c>
      <c r="Y59" s="2"/>
      <c r="Z59" s="7">
        <f t="shared" si="45"/>
        <v>0.82182844903125318</v>
      </c>
    </row>
    <row r="60" spans="1:26" s="24" customFormat="1" hidden="1" outlineLevel="2" x14ac:dyDescent="0.25">
      <c r="A60" s="28"/>
      <c r="B60" s="11" t="str">
        <f>CONCATENATE("          ", "6375", " - ", "OUTSIDE REPAIRS &amp; MAINTENANCE")</f>
        <v xml:space="preserve">          6375 - OUTSIDE REPAIRS &amp; MAINTENANCE</v>
      </c>
      <c r="C60" s="11"/>
      <c r="D60" s="6"/>
      <c r="E60" s="2"/>
      <c r="F60" s="7">
        <f t="shared" si="38"/>
        <v>0</v>
      </c>
      <c r="G60" s="2"/>
      <c r="H60" s="6"/>
      <c r="I60" s="2"/>
      <c r="J60" s="7">
        <f t="shared" si="39"/>
        <v>0</v>
      </c>
      <c r="K60" s="2"/>
      <c r="L60" s="6">
        <f t="shared" si="40"/>
        <v>0</v>
      </c>
      <c r="M60" s="2"/>
      <c r="N60" s="7">
        <f t="shared" si="41"/>
        <v>0</v>
      </c>
      <c r="O60" s="11"/>
      <c r="P60" s="6"/>
      <c r="Q60" s="2"/>
      <c r="R60" s="7">
        <f t="shared" si="42"/>
        <v>0</v>
      </c>
      <c r="S60" s="2"/>
      <c r="T60" s="6">
        <v>84.07</v>
      </c>
      <c r="U60" s="2"/>
      <c r="V60" s="7">
        <f t="shared" si="43"/>
        <v>3.0451553396873131E-4</v>
      </c>
      <c r="W60" s="2"/>
      <c r="X60" s="6">
        <f t="shared" si="44"/>
        <v>-84.07</v>
      </c>
      <c r="Y60" s="2"/>
      <c r="Z60" s="7">
        <f t="shared" si="45"/>
        <v>-1</v>
      </c>
    </row>
    <row r="61" spans="1:26" s="29" customFormat="1" outlineLevel="1" collapsed="1" x14ac:dyDescent="0.25">
      <c r="A61" s="27"/>
      <c r="B61" s="14" t="str">
        <f>CONCATENATE("     ","Services                                          ")</f>
        <v xml:space="preserve">     Services                                          </v>
      </c>
      <c r="C61" s="14"/>
      <c r="D61" s="1">
        <f>SUM(OSRRefD22_12x_0)</f>
        <v>0</v>
      </c>
      <c r="E61" s="1"/>
      <c r="F61" s="5">
        <f t="shared" ref="F61:F64" si="46">IF(D$12=0,0,D61/D$12)</f>
        <v>0</v>
      </c>
      <c r="G61" s="1"/>
      <c r="H61" s="1">
        <f>SUM(OSRRefH22_12x_0)</f>
        <v>325.5</v>
      </c>
      <c r="I61" s="1"/>
      <c r="J61" s="5">
        <f t="shared" ref="J61:J64" si="47">IF(H$12=0,0,H61/H$12)</f>
        <v>2.4444127033762635E-3</v>
      </c>
      <c r="K61" s="1"/>
      <c r="L61" s="1">
        <f t="shared" ref="L61:L64" si="48">+D61-H61</f>
        <v>-325.5</v>
      </c>
      <c r="M61" s="1"/>
      <c r="N61" s="5">
        <f t="shared" ref="N61:N64" si="49">IF(H61=0,0,L61/H61)</f>
        <v>-1</v>
      </c>
      <c r="O61" s="14"/>
      <c r="P61" s="1">
        <f>SUM(OSRRefP22_12x_0)</f>
        <v>0</v>
      </c>
      <c r="Q61" s="1"/>
      <c r="R61" s="5">
        <f t="shared" ref="R61:R64" si="50">IF(P$12=0,0,P61/P$12)</f>
        <v>0</v>
      </c>
      <c r="S61" s="1"/>
      <c r="T61" s="1">
        <f>SUM(OSRRefT22_12x_0)</f>
        <v>1402.48</v>
      </c>
      <c r="U61" s="1"/>
      <c r="V61" s="5">
        <f t="shared" ref="V61:V64" si="51">IF(T$12=0,0,T61/T$12)</f>
        <v>5.0800160114246031E-3</v>
      </c>
      <c r="W61" s="1"/>
      <c r="X61" s="1">
        <f t="shared" ref="X61:X64" si="52">+P61-T61</f>
        <v>-1402.48</v>
      </c>
      <c r="Y61" s="1"/>
      <c r="Z61" s="5">
        <f t="shared" ref="Z61:Z64" si="53">IF(T61=0,0,X61/T61)</f>
        <v>-1</v>
      </c>
    </row>
    <row r="62" spans="1:26" s="24" customFormat="1" hidden="1" outlineLevel="2" x14ac:dyDescent="0.25">
      <c r="A62" s="28"/>
      <c r="B62" s="11" t="str">
        <f>CONCATENATE("          ", "6282", " - ", "JANITORIAL/EXTERMINATOR EXPENS")</f>
        <v xml:space="preserve">          6282 - JANITORIAL/EXTERMINATOR EXPENS</v>
      </c>
      <c r="C62" s="11"/>
      <c r="D62" s="6"/>
      <c r="E62" s="2"/>
      <c r="F62" s="7">
        <f t="shared" si="46"/>
        <v>0</v>
      </c>
      <c r="G62" s="2"/>
      <c r="H62" s="6"/>
      <c r="I62" s="2"/>
      <c r="J62" s="7">
        <f t="shared" si="47"/>
        <v>0</v>
      </c>
      <c r="K62" s="2"/>
      <c r="L62" s="6">
        <f t="shared" si="48"/>
        <v>0</v>
      </c>
      <c r="M62" s="2"/>
      <c r="N62" s="7">
        <f t="shared" si="49"/>
        <v>0</v>
      </c>
      <c r="O62" s="11"/>
      <c r="P62" s="6"/>
      <c r="Q62" s="2"/>
      <c r="R62" s="7">
        <f t="shared" si="50"/>
        <v>0</v>
      </c>
      <c r="S62" s="2"/>
      <c r="T62" s="6">
        <v>314.7</v>
      </c>
      <c r="U62" s="2"/>
      <c r="V62" s="7">
        <f t="shared" si="51"/>
        <v>1.1398957837511568E-3</v>
      </c>
      <c r="W62" s="2"/>
      <c r="X62" s="6">
        <f t="shared" si="52"/>
        <v>-314.7</v>
      </c>
      <c r="Y62" s="2"/>
      <c r="Z62" s="7">
        <f t="shared" si="53"/>
        <v>-1</v>
      </c>
    </row>
    <row r="63" spans="1:26" s="24" customFormat="1" hidden="1" outlineLevel="2" x14ac:dyDescent="0.25">
      <c r="A63" s="28"/>
      <c r="B63" s="11" t="str">
        <f>CONCATENATE("          ", "6284", " - ", "TRASH REMOVAL EXPENSE")</f>
        <v xml:space="preserve">          6284 - TRASH REMOVAL EXPENSE</v>
      </c>
      <c r="C63" s="11"/>
      <c r="D63" s="6"/>
      <c r="E63" s="2"/>
      <c r="F63" s="7">
        <f t="shared" si="46"/>
        <v>0</v>
      </c>
      <c r="G63" s="2"/>
      <c r="H63" s="6">
        <v>237</v>
      </c>
      <c r="I63" s="2"/>
      <c r="J63" s="7">
        <f t="shared" si="47"/>
        <v>1.7798027978499981E-3</v>
      </c>
      <c r="K63" s="2"/>
      <c r="L63" s="6">
        <f t="shared" si="48"/>
        <v>-237</v>
      </c>
      <c r="M63" s="2"/>
      <c r="N63" s="7">
        <f t="shared" si="49"/>
        <v>-1</v>
      </c>
      <c r="O63" s="11"/>
      <c r="P63" s="6"/>
      <c r="Q63" s="2"/>
      <c r="R63" s="7">
        <f t="shared" si="50"/>
        <v>0</v>
      </c>
      <c r="S63" s="2"/>
      <c r="T63" s="6">
        <v>711</v>
      </c>
      <c r="U63" s="2"/>
      <c r="V63" s="7">
        <f t="shared" si="51"/>
        <v>2.5753603503243486E-3</v>
      </c>
      <c r="W63" s="2"/>
      <c r="X63" s="6">
        <f t="shared" si="52"/>
        <v>-711</v>
      </c>
      <c r="Y63" s="2"/>
      <c r="Z63" s="7">
        <f t="shared" si="53"/>
        <v>-1</v>
      </c>
    </row>
    <row r="64" spans="1:26" s="24" customFormat="1" hidden="1" outlineLevel="2" x14ac:dyDescent="0.25">
      <c r="A64" s="28"/>
      <c r="B64" s="11" t="str">
        <f>CONCATENATE("          ", "6286", " - ", "LAUNDRY EXPENSE")</f>
        <v xml:space="preserve">          6286 - LAUNDRY EXPENSE</v>
      </c>
      <c r="C64" s="11"/>
      <c r="D64" s="6"/>
      <c r="E64" s="2"/>
      <c r="F64" s="7">
        <f t="shared" si="46"/>
        <v>0</v>
      </c>
      <c r="G64" s="2"/>
      <c r="H64" s="6">
        <v>88.5</v>
      </c>
      <c r="I64" s="2"/>
      <c r="J64" s="7">
        <f t="shared" si="47"/>
        <v>6.6460990552626512E-4</v>
      </c>
      <c r="K64" s="2"/>
      <c r="L64" s="6">
        <f t="shared" si="48"/>
        <v>-88.5</v>
      </c>
      <c r="M64" s="2"/>
      <c r="N64" s="7">
        <f t="shared" si="49"/>
        <v>-1</v>
      </c>
      <c r="O64" s="11"/>
      <c r="P64" s="6"/>
      <c r="Q64" s="2"/>
      <c r="R64" s="7">
        <f t="shared" si="50"/>
        <v>0</v>
      </c>
      <c r="S64" s="2"/>
      <c r="T64" s="6">
        <v>376.78</v>
      </c>
      <c r="U64" s="2"/>
      <c r="V64" s="7">
        <f t="shared" si="51"/>
        <v>1.3647598773490971E-3</v>
      </c>
      <c r="W64" s="2"/>
      <c r="X64" s="6">
        <f t="shared" si="52"/>
        <v>-376.78</v>
      </c>
      <c r="Y64" s="2"/>
      <c r="Z64" s="7">
        <f t="shared" si="53"/>
        <v>-1</v>
      </c>
    </row>
    <row r="65" spans="1:26" s="29" customFormat="1" outlineLevel="1" collapsed="1" x14ac:dyDescent="0.25">
      <c r="A65" s="27"/>
      <c r="B65" s="14" t="str">
        <f>CONCATENATE("     ","Subscriptions &amp; Dues                              ")</f>
        <v xml:space="preserve">     Subscriptions &amp; Dues                              </v>
      </c>
      <c r="C65" s="14"/>
      <c r="D65" s="1">
        <f>SUM(OSRRefD22_13x_0)</f>
        <v>0</v>
      </c>
      <c r="E65" s="1"/>
      <c r="F65" s="5">
        <f t="shared" ref="F65:F72" si="54">IF(D$12=0,0,D65/D$12)</f>
        <v>0</v>
      </c>
      <c r="G65" s="1"/>
      <c r="H65" s="1">
        <f>SUM(OSRRefH22_13x_0)</f>
        <v>176.4</v>
      </c>
      <c r="I65" s="1"/>
      <c r="J65" s="5">
        <f t="shared" ref="J65:J72" si="55">IF(H$12=0,0,H65/H$12)</f>
        <v>1.3247139811845556E-3</v>
      </c>
      <c r="K65" s="1"/>
      <c r="L65" s="1">
        <f t="shared" ref="L65:L72" si="56">+D65-H65</f>
        <v>-176.4</v>
      </c>
      <c r="M65" s="1"/>
      <c r="N65" s="5">
        <f t="shared" ref="N65:N72" si="57">IF(H65=0,0,L65/H65)</f>
        <v>-1</v>
      </c>
      <c r="O65" s="14"/>
      <c r="P65" s="1">
        <f>SUM(OSRRefP22_13x_0)</f>
        <v>0</v>
      </c>
      <c r="Q65" s="1"/>
      <c r="R65" s="5">
        <f t="shared" ref="R65:R72" si="58">IF(P$12=0,0,P65/P$12)</f>
        <v>0</v>
      </c>
      <c r="S65" s="1"/>
      <c r="T65" s="1">
        <f>SUM(OSRRefT22_13x_0)</f>
        <v>705.6</v>
      </c>
      <c r="U65" s="1"/>
      <c r="V65" s="5">
        <f t="shared" ref="V65:V72" si="59">IF(T$12=0,0,T65/T$12)</f>
        <v>2.5558006514611259E-3</v>
      </c>
      <c r="W65" s="1"/>
      <c r="X65" s="1">
        <f t="shared" ref="X65:X72" si="60">+P65-T65</f>
        <v>-705.6</v>
      </c>
      <c r="Y65" s="1"/>
      <c r="Z65" s="5">
        <f t="shared" ref="Z65:Z72" si="61">IF(T65=0,0,X65/T65)</f>
        <v>-1</v>
      </c>
    </row>
    <row r="66" spans="1:26" s="24" customFormat="1" hidden="1" outlineLevel="2" x14ac:dyDescent="0.25">
      <c r="A66" s="28"/>
      <c r="B66" s="11" t="str">
        <f>CONCATENATE("          ", "6275", " - ", "SUBSCRIPTIONS")</f>
        <v xml:space="preserve">          6275 - SUBSCRIPTIONS</v>
      </c>
      <c r="C66" s="11"/>
      <c r="D66" s="6"/>
      <c r="E66" s="2"/>
      <c r="F66" s="7">
        <f t="shared" si="54"/>
        <v>0</v>
      </c>
      <c r="G66" s="2"/>
      <c r="H66" s="6">
        <v>176.4</v>
      </c>
      <c r="I66" s="2"/>
      <c r="J66" s="7">
        <f t="shared" si="55"/>
        <v>1.3247139811845556E-3</v>
      </c>
      <c r="K66" s="2"/>
      <c r="L66" s="6">
        <f t="shared" si="56"/>
        <v>-176.4</v>
      </c>
      <c r="M66" s="2"/>
      <c r="N66" s="7">
        <f t="shared" si="57"/>
        <v>-1</v>
      </c>
      <c r="O66" s="11"/>
      <c r="P66" s="6"/>
      <c r="Q66" s="2"/>
      <c r="R66" s="7">
        <f t="shared" si="58"/>
        <v>0</v>
      </c>
      <c r="S66" s="2"/>
      <c r="T66" s="6">
        <v>705.6</v>
      </c>
      <c r="U66" s="2"/>
      <c r="V66" s="7">
        <f t="shared" si="59"/>
        <v>2.5558006514611259E-3</v>
      </c>
      <c r="W66" s="2"/>
      <c r="X66" s="6">
        <f t="shared" si="60"/>
        <v>-705.6</v>
      </c>
      <c r="Y66" s="2"/>
      <c r="Z66" s="7">
        <f t="shared" si="61"/>
        <v>-1</v>
      </c>
    </row>
    <row r="67" spans="1:26" s="29" customFormat="1" outlineLevel="1" collapsed="1" x14ac:dyDescent="0.25">
      <c r="A67" s="27"/>
      <c r="B67" s="14" t="str">
        <f>CONCATENATE("     ","Supplies                                          ")</f>
        <v xml:space="preserve">     Supplies                                          </v>
      </c>
      <c r="C67" s="14"/>
      <c r="D67" s="1">
        <f>SUM(OSRRefD22_14x_0)</f>
        <v>0</v>
      </c>
      <c r="E67" s="1"/>
      <c r="F67" s="5">
        <f t="shared" si="54"/>
        <v>0</v>
      </c>
      <c r="G67" s="1"/>
      <c r="H67" s="1">
        <f>SUM(OSRRefH22_14x_0)</f>
        <v>829.77</v>
      </c>
      <c r="I67" s="1"/>
      <c r="J67" s="5">
        <f t="shared" si="55"/>
        <v>6.2313374159155823E-3</v>
      </c>
      <c r="K67" s="1"/>
      <c r="L67" s="1">
        <f t="shared" si="56"/>
        <v>-829.77</v>
      </c>
      <c r="M67" s="1"/>
      <c r="N67" s="5">
        <f t="shared" si="57"/>
        <v>-1</v>
      </c>
      <c r="O67" s="14"/>
      <c r="P67" s="1">
        <f>SUM(OSRRefP22_14x_0)</f>
        <v>634.24</v>
      </c>
      <c r="Q67" s="1"/>
      <c r="R67" s="5">
        <f t="shared" si="58"/>
        <v>0</v>
      </c>
      <c r="S67" s="1"/>
      <c r="T67" s="1">
        <f>SUM(OSRRefT22_14x_0)</f>
        <v>7766.82</v>
      </c>
      <c r="U67" s="1"/>
      <c r="V67" s="5">
        <f t="shared" si="59"/>
        <v>2.81327148749735E-2</v>
      </c>
      <c r="W67" s="1"/>
      <c r="X67" s="1">
        <f t="shared" si="60"/>
        <v>-7132.58</v>
      </c>
      <c r="Y67" s="1"/>
      <c r="Z67" s="5">
        <f t="shared" si="61"/>
        <v>-0.91833980960032546</v>
      </c>
    </row>
    <row r="68" spans="1:26" s="24" customFormat="1" hidden="1" outlineLevel="2" x14ac:dyDescent="0.25">
      <c r="A68" s="28"/>
      <c r="B68" s="11" t="str">
        <f>CONCATENATE("          ", "6234", " - ", "EXPENDABLE SUPPLIES &amp; EQUIPMEN")</f>
        <v xml:space="preserve">          6234 - EXPENDABLE SUPPLIES &amp; EQUIPMEN</v>
      </c>
      <c r="C68" s="11"/>
      <c r="D68" s="6"/>
      <c r="E68" s="2"/>
      <c r="F68" s="7">
        <f t="shared" si="54"/>
        <v>0</v>
      </c>
      <c r="G68" s="2"/>
      <c r="H68" s="6"/>
      <c r="I68" s="2"/>
      <c r="J68" s="7">
        <f t="shared" si="55"/>
        <v>0</v>
      </c>
      <c r="K68" s="2"/>
      <c r="L68" s="6">
        <f t="shared" si="56"/>
        <v>0</v>
      </c>
      <c r="M68" s="2"/>
      <c r="N68" s="7">
        <f t="shared" si="57"/>
        <v>0</v>
      </c>
      <c r="O68" s="11"/>
      <c r="P68" s="6">
        <v>316.67</v>
      </c>
      <c r="Q68" s="2"/>
      <c r="R68" s="7">
        <f t="shared" si="58"/>
        <v>0</v>
      </c>
      <c r="S68" s="2"/>
      <c r="T68" s="6"/>
      <c r="U68" s="2"/>
      <c r="V68" s="7">
        <f t="shared" si="59"/>
        <v>0</v>
      </c>
      <c r="W68" s="2"/>
      <c r="X68" s="6">
        <f t="shared" si="60"/>
        <v>316.67</v>
      </c>
      <c r="Y68" s="2"/>
      <c r="Z68" s="7">
        <f t="shared" si="61"/>
        <v>0</v>
      </c>
    </row>
    <row r="69" spans="1:26" s="24" customFormat="1" hidden="1" outlineLevel="2" x14ac:dyDescent="0.25">
      <c r="A69" s="28"/>
      <c r="B69" s="11" t="str">
        <f>CONCATENATE("          ", "6237", " - ", "JANITORIAL SUPPLIES")</f>
        <v xml:space="preserve">          6237 - JANITORIAL SUPPLIES</v>
      </c>
      <c r="C69" s="11"/>
      <c r="D69" s="6"/>
      <c r="E69" s="2"/>
      <c r="F69" s="7">
        <f t="shared" si="54"/>
        <v>0</v>
      </c>
      <c r="G69" s="2"/>
      <c r="H69" s="6">
        <v>145.84</v>
      </c>
      <c r="I69" s="2"/>
      <c r="J69" s="7">
        <f t="shared" si="55"/>
        <v>1.0952170465757119E-3</v>
      </c>
      <c r="K69" s="2"/>
      <c r="L69" s="6">
        <f t="shared" si="56"/>
        <v>-145.84</v>
      </c>
      <c r="M69" s="2"/>
      <c r="N69" s="7">
        <f t="shared" si="57"/>
        <v>-1</v>
      </c>
      <c r="O69" s="11"/>
      <c r="P69" s="6">
        <v>317.57</v>
      </c>
      <c r="Q69" s="2"/>
      <c r="R69" s="7">
        <f t="shared" si="58"/>
        <v>0</v>
      </c>
      <c r="S69" s="2"/>
      <c r="T69" s="6">
        <v>399.39</v>
      </c>
      <c r="U69" s="2"/>
      <c r="V69" s="7">
        <f t="shared" si="59"/>
        <v>1.4466570609227027E-3</v>
      </c>
      <c r="W69" s="2"/>
      <c r="X69" s="6">
        <f t="shared" si="60"/>
        <v>-81.819999999999993</v>
      </c>
      <c r="Y69" s="2"/>
      <c r="Z69" s="7">
        <f t="shared" si="61"/>
        <v>-0.20486241518315429</v>
      </c>
    </row>
    <row r="70" spans="1:26" s="24" customFormat="1" hidden="1" outlineLevel="2" x14ac:dyDescent="0.25">
      <c r="A70" s="28"/>
      <c r="B70" s="11" t="str">
        <f>CONCATENATE("          ", "6241", " - ", "OFFICE EXPENSE")</f>
        <v xml:space="preserve">          6241 - OFFICE EXPENSE</v>
      </c>
      <c r="C70" s="11"/>
      <c r="D70" s="6"/>
      <c r="E70" s="2"/>
      <c r="F70" s="7">
        <f t="shared" si="54"/>
        <v>0</v>
      </c>
      <c r="G70" s="2"/>
      <c r="H70" s="6">
        <v>35.549999999999997</v>
      </c>
      <c r="I70" s="2"/>
      <c r="J70" s="7">
        <f t="shared" si="55"/>
        <v>2.6697041967749968E-4</v>
      </c>
      <c r="K70" s="2"/>
      <c r="L70" s="6">
        <f t="shared" si="56"/>
        <v>-35.549999999999997</v>
      </c>
      <c r="M70" s="2"/>
      <c r="N70" s="7">
        <f t="shared" si="57"/>
        <v>-1</v>
      </c>
      <c r="O70" s="11"/>
      <c r="P70" s="6"/>
      <c r="Q70" s="2"/>
      <c r="R70" s="7">
        <f t="shared" si="58"/>
        <v>0</v>
      </c>
      <c r="S70" s="2"/>
      <c r="T70" s="6">
        <v>328.13</v>
      </c>
      <c r="U70" s="2"/>
      <c r="V70" s="7">
        <f t="shared" si="59"/>
        <v>1.1885414792572834E-3</v>
      </c>
      <c r="W70" s="2"/>
      <c r="X70" s="6">
        <f t="shared" si="60"/>
        <v>-328.13</v>
      </c>
      <c r="Y70" s="2"/>
      <c r="Z70" s="7">
        <f t="shared" si="61"/>
        <v>-1</v>
      </c>
    </row>
    <row r="71" spans="1:26" s="24" customFormat="1" hidden="1" outlineLevel="2" x14ac:dyDescent="0.25">
      <c r="A71" s="28"/>
      <c r="B71" s="11" t="str">
        <f>CONCATENATE("          ", "6243", " - ", "PAPER SUPPLIES")</f>
        <v xml:space="preserve">          6243 - PAPER SUPPLIES</v>
      </c>
      <c r="C71" s="11"/>
      <c r="D71" s="6"/>
      <c r="E71" s="2"/>
      <c r="F71" s="7">
        <f t="shared" si="54"/>
        <v>0</v>
      </c>
      <c r="G71" s="2"/>
      <c r="H71" s="6">
        <v>85.26</v>
      </c>
      <c r="I71" s="2"/>
      <c r="J71" s="7">
        <f t="shared" si="55"/>
        <v>6.4027842423920191E-4</v>
      </c>
      <c r="K71" s="2"/>
      <c r="L71" s="6">
        <f t="shared" si="56"/>
        <v>-85.26</v>
      </c>
      <c r="M71" s="2"/>
      <c r="N71" s="7">
        <f t="shared" si="57"/>
        <v>-1</v>
      </c>
      <c r="O71" s="11"/>
      <c r="P71" s="6"/>
      <c r="Q71" s="2"/>
      <c r="R71" s="7">
        <f t="shared" si="58"/>
        <v>0</v>
      </c>
      <c r="S71" s="2"/>
      <c r="T71" s="6">
        <v>430.34</v>
      </c>
      <c r="U71" s="2"/>
      <c r="V71" s="7">
        <f t="shared" si="59"/>
        <v>1.558763112740619E-3</v>
      </c>
      <c r="W71" s="2"/>
      <c r="X71" s="6">
        <f t="shared" si="60"/>
        <v>-430.34</v>
      </c>
      <c r="Y71" s="2"/>
      <c r="Z71" s="7">
        <f t="shared" si="61"/>
        <v>-1</v>
      </c>
    </row>
    <row r="72" spans="1:26" s="24" customFormat="1" hidden="1" outlineLevel="2" x14ac:dyDescent="0.25">
      <c r="A72" s="28"/>
      <c r="B72" s="11" t="str">
        <f>CONCATENATE("          ", "6247", " - ", "STORE SUPPLIES")</f>
        <v xml:space="preserve">          6247 - STORE SUPPLIES</v>
      </c>
      <c r="C72" s="11"/>
      <c r="D72" s="6"/>
      <c r="E72" s="2"/>
      <c r="F72" s="7">
        <f t="shared" si="54"/>
        <v>0</v>
      </c>
      <c r="G72" s="2"/>
      <c r="H72" s="6">
        <v>563.12</v>
      </c>
      <c r="I72" s="2"/>
      <c r="J72" s="7">
        <f t="shared" si="55"/>
        <v>4.2288715254231689E-3</v>
      </c>
      <c r="K72" s="2"/>
      <c r="L72" s="6">
        <f t="shared" si="56"/>
        <v>-563.12</v>
      </c>
      <c r="M72" s="2"/>
      <c r="N72" s="7">
        <f t="shared" si="57"/>
        <v>-1</v>
      </c>
      <c r="O72" s="11"/>
      <c r="P72" s="6"/>
      <c r="Q72" s="2"/>
      <c r="R72" s="7">
        <f t="shared" si="58"/>
        <v>0</v>
      </c>
      <c r="S72" s="2"/>
      <c r="T72" s="6">
        <v>6608.96</v>
      </c>
      <c r="U72" s="2"/>
      <c r="V72" s="7">
        <f t="shared" si="59"/>
        <v>2.3938753222052894E-2</v>
      </c>
      <c r="W72" s="2"/>
      <c r="X72" s="6">
        <f t="shared" si="60"/>
        <v>-6608.96</v>
      </c>
      <c r="Y72" s="2"/>
      <c r="Z72" s="7">
        <f t="shared" si="61"/>
        <v>-1</v>
      </c>
    </row>
    <row r="73" spans="1:26" s="29" customFormat="1" outlineLevel="1" collapsed="1" x14ac:dyDescent="0.25">
      <c r="A73" s="27"/>
      <c r="B73" s="14" t="str">
        <f>CONCATENATE("     ","Telephone/Data Lines                              ")</f>
        <v xml:space="preserve">     Telephone/Data Lines                              </v>
      </c>
      <c r="C73" s="14"/>
      <c r="D73" s="1">
        <f>SUM(OSRRefD22_15x_0)</f>
        <v>875.87</v>
      </c>
      <c r="E73" s="1"/>
      <c r="F73" s="5">
        <f t="shared" ref="F73:F76" si="62">IF(D$12=0,0,D73/D$12)</f>
        <v>0</v>
      </c>
      <c r="G73" s="1"/>
      <c r="H73" s="1">
        <f>SUM(OSRRefH22_15x_0)</f>
        <v>38.15</v>
      </c>
      <c r="I73" s="1"/>
      <c r="J73" s="5">
        <f t="shared" ref="J73:J76" si="63">IF(H$12=0,0,H73/H$12)</f>
        <v>2.8649568243872332E-4</v>
      </c>
      <c r="K73" s="1"/>
      <c r="L73" s="1">
        <f t="shared" ref="L73:L76" si="64">+D73-H73</f>
        <v>837.72</v>
      </c>
      <c r="M73" s="1"/>
      <c r="N73" s="5">
        <f t="shared" ref="N73:N76" si="65">IF(H73=0,0,L73/H73)</f>
        <v>21.958584534731326</v>
      </c>
      <c r="O73" s="14"/>
      <c r="P73" s="1">
        <f>SUM(OSRRefP22_15x_0)</f>
        <v>991.87</v>
      </c>
      <c r="Q73" s="1"/>
      <c r="R73" s="5">
        <f t="shared" ref="R73:R76" si="66">IF(P$12=0,0,P73/P$12)</f>
        <v>0</v>
      </c>
      <c r="S73" s="1"/>
      <c r="T73" s="1">
        <f>SUM(OSRRefT22_15x_0)</f>
        <v>155.6</v>
      </c>
      <c r="U73" s="1"/>
      <c r="V73" s="5">
        <f t="shared" ref="V73:V76" si="67">IF(T$12=0,0,T73/T$12)</f>
        <v>5.6360910057731174E-4</v>
      </c>
      <c r="W73" s="1"/>
      <c r="X73" s="1">
        <f t="shared" ref="X73:X76" si="68">+P73-T73</f>
        <v>836.27</v>
      </c>
      <c r="Y73" s="1"/>
      <c r="Z73" s="5">
        <f t="shared" ref="Z73:Z76" si="69">IF(T73=0,0,X73/T73)</f>
        <v>5.374485861182519</v>
      </c>
    </row>
    <row r="74" spans="1:26" s="24" customFormat="1" hidden="1" outlineLevel="2" x14ac:dyDescent="0.25">
      <c r="A74" s="28"/>
      <c r="B74" s="11" t="str">
        <f>CONCATENATE("          ", "6309", " - ", "TELEPHONE")</f>
        <v xml:space="preserve">          6309 - TELEPHONE</v>
      </c>
      <c r="C74" s="11"/>
      <c r="D74" s="6">
        <v>875.87</v>
      </c>
      <c r="E74" s="2"/>
      <c r="F74" s="7">
        <f t="shared" si="62"/>
        <v>0</v>
      </c>
      <c r="G74" s="2"/>
      <c r="H74" s="6">
        <v>38.15</v>
      </c>
      <c r="I74" s="2"/>
      <c r="J74" s="7">
        <f t="shared" si="63"/>
        <v>2.8649568243872332E-4</v>
      </c>
      <c r="K74" s="2"/>
      <c r="L74" s="6">
        <f t="shared" si="64"/>
        <v>837.72</v>
      </c>
      <c r="M74" s="2"/>
      <c r="N74" s="7">
        <f t="shared" si="65"/>
        <v>21.958584534731326</v>
      </c>
      <c r="O74" s="11"/>
      <c r="P74" s="6">
        <v>991.87</v>
      </c>
      <c r="Q74" s="2"/>
      <c r="R74" s="7">
        <f t="shared" si="66"/>
        <v>0</v>
      </c>
      <c r="S74" s="2"/>
      <c r="T74" s="6">
        <v>155.6</v>
      </c>
      <c r="U74" s="2"/>
      <c r="V74" s="7">
        <f t="shared" si="67"/>
        <v>5.6360910057731174E-4</v>
      </c>
      <c r="W74" s="2"/>
      <c r="X74" s="6">
        <f t="shared" si="68"/>
        <v>836.27</v>
      </c>
      <c r="Y74" s="2"/>
      <c r="Z74" s="7">
        <f t="shared" si="69"/>
        <v>5.374485861182519</v>
      </c>
    </row>
    <row r="75" spans="1:26" s="29" customFormat="1" outlineLevel="1" collapsed="1" x14ac:dyDescent="0.25">
      <c r="A75" s="27"/>
      <c r="B75" s="14" t="str">
        <f>CONCATENATE("     ","Utilities                                         ")</f>
        <v xml:space="preserve">     Utilities                                         </v>
      </c>
      <c r="C75" s="14"/>
      <c r="D75" s="1">
        <f>SUM(OSRRefD22_16x_0)</f>
        <v>878</v>
      </c>
      <c r="E75" s="1"/>
      <c r="F75" s="5">
        <f t="shared" si="62"/>
        <v>0</v>
      </c>
      <c r="G75" s="1"/>
      <c r="H75" s="1">
        <f>SUM(OSRRefH22_16x_0)</f>
        <v>771</v>
      </c>
      <c r="I75" s="1"/>
      <c r="J75" s="5">
        <f t="shared" si="63"/>
        <v>5.7899913803474623E-3</v>
      </c>
      <c r="K75" s="1"/>
      <c r="L75" s="1">
        <f t="shared" si="64"/>
        <v>107</v>
      </c>
      <c r="M75" s="1"/>
      <c r="N75" s="5">
        <f t="shared" si="65"/>
        <v>0.13878080415045396</v>
      </c>
      <c r="O75" s="14"/>
      <c r="P75" s="1">
        <f>SUM(OSRRefP22_16x_0)</f>
        <v>878</v>
      </c>
      <c r="Q75" s="1"/>
      <c r="R75" s="5">
        <f t="shared" si="66"/>
        <v>0</v>
      </c>
      <c r="S75" s="1"/>
      <c r="T75" s="1">
        <f>SUM(OSRRefT22_16x_0)</f>
        <v>2313</v>
      </c>
      <c r="U75" s="1"/>
      <c r="V75" s="5">
        <f t="shared" si="67"/>
        <v>8.3780710130804768E-3</v>
      </c>
      <c r="W75" s="1"/>
      <c r="X75" s="1">
        <f t="shared" si="68"/>
        <v>-1435</v>
      </c>
      <c r="Y75" s="1"/>
      <c r="Z75" s="5">
        <f t="shared" si="69"/>
        <v>-0.62040639861651536</v>
      </c>
    </row>
    <row r="76" spans="1:26" s="24" customFormat="1" hidden="1" outlineLevel="2" x14ac:dyDescent="0.25">
      <c r="A76" s="28"/>
      <c r="B76" s="11" t="str">
        <f>CONCATENATE("          ", "6274", " - ", "UTILITIES")</f>
        <v xml:space="preserve">          6274 - UTILITIES</v>
      </c>
      <c r="C76" s="11"/>
      <c r="D76" s="6">
        <v>878</v>
      </c>
      <c r="E76" s="2"/>
      <c r="F76" s="7">
        <f t="shared" si="62"/>
        <v>0</v>
      </c>
      <c r="G76" s="2"/>
      <c r="H76" s="6">
        <v>771</v>
      </c>
      <c r="I76" s="2"/>
      <c r="J76" s="7">
        <f t="shared" si="63"/>
        <v>5.7899913803474623E-3</v>
      </c>
      <c r="K76" s="2"/>
      <c r="L76" s="6">
        <f t="shared" si="64"/>
        <v>107</v>
      </c>
      <c r="M76" s="2"/>
      <c r="N76" s="7">
        <f t="shared" si="65"/>
        <v>0.13878080415045396</v>
      </c>
      <c r="O76" s="11"/>
      <c r="P76" s="6">
        <v>878</v>
      </c>
      <c r="Q76" s="2"/>
      <c r="R76" s="7">
        <f t="shared" si="66"/>
        <v>0</v>
      </c>
      <c r="S76" s="2"/>
      <c r="T76" s="6">
        <v>2313</v>
      </c>
      <c r="U76" s="2"/>
      <c r="V76" s="7">
        <f t="shared" si="67"/>
        <v>8.3780710130804768E-3</v>
      </c>
      <c r="W76" s="2"/>
      <c r="X76" s="6">
        <f t="shared" si="68"/>
        <v>-1435</v>
      </c>
      <c r="Y76" s="2"/>
      <c r="Z76" s="7">
        <f t="shared" si="69"/>
        <v>-0.62040639861651536</v>
      </c>
    </row>
    <row r="77" spans="1:26" s="57" customFormat="1" x14ac:dyDescent="0.25">
      <c r="A77" s="37"/>
      <c r="B77" s="37"/>
      <c r="C77" s="37"/>
      <c r="D77" s="1"/>
      <c r="E77" s="1"/>
      <c r="F77" s="5"/>
      <c r="G77" s="1"/>
      <c r="H77" s="1"/>
      <c r="I77" s="1"/>
      <c r="J77" s="5"/>
      <c r="K77" s="1"/>
      <c r="L77" s="1"/>
      <c r="M77" s="1"/>
      <c r="N77" s="5"/>
      <c r="O77" s="37"/>
      <c r="P77" s="1"/>
      <c r="Q77" s="1"/>
      <c r="R77" s="5"/>
      <c r="S77" s="1"/>
      <c r="T77" s="1"/>
      <c r="U77" s="1"/>
      <c r="V77" s="5"/>
      <c r="W77" s="1"/>
      <c r="X77" s="1"/>
      <c r="Y77" s="1"/>
      <c r="Z77" s="5"/>
    </row>
    <row r="78" spans="1:26" s="23" customFormat="1" x14ac:dyDescent="0.25">
      <c r="A78" s="10"/>
      <c r="B78" s="26" t="s">
        <v>0</v>
      </c>
      <c r="C78" s="10"/>
      <c r="D78" s="4">
        <f>SUM(0)</f>
        <v>0</v>
      </c>
      <c r="E78" s="4"/>
      <c r="F78" s="12">
        <f>IF(D$12=0,0,D78/D$12)</f>
        <v>0</v>
      </c>
      <c r="G78" s="4"/>
      <c r="H78" s="4">
        <f>SUM(0)</f>
        <v>0</v>
      </c>
      <c r="I78" s="4"/>
      <c r="J78" s="12">
        <f>IF(H$12=0,0,H78/H$12)</f>
        <v>0</v>
      </c>
      <c r="K78" s="4"/>
      <c r="L78" s="4">
        <f>+D78-H78</f>
        <v>0</v>
      </c>
      <c r="M78" s="4"/>
      <c r="N78" s="12">
        <f>IF(H78=0,0,L78/H78)</f>
        <v>0</v>
      </c>
      <c r="O78" s="10"/>
      <c r="P78" s="4">
        <f>SUM(0)</f>
        <v>0</v>
      </c>
      <c r="Q78" s="4"/>
      <c r="R78" s="12">
        <f>IF(P$12=0,0,P78/P$12)</f>
        <v>0</v>
      </c>
      <c r="S78" s="4"/>
      <c r="T78" s="4">
        <f>SUM(0)</f>
        <v>0</v>
      </c>
      <c r="U78" s="4"/>
      <c r="V78" s="12">
        <f>IF(T$12=0,0,T78/T$12)</f>
        <v>0</v>
      </c>
      <c r="W78" s="4"/>
      <c r="X78" s="4">
        <f>+P78-T78</f>
        <v>0</v>
      </c>
      <c r="Y78" s="4"/>
      <c r="Z78" s="12">
        <f>IF(T78=0,0,X78/T78)</f>
        <v>0</v>
      </c>
    </row>
    <row r="79" spans="1:26" x14ac:dyDescent="0.2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25">
      <c r="A80" s="10"/>
      <c r="B80" s="25" t="s">
        <v>3</v>
      </c>
      <c r="C80" s="25"/>
      <c r="D80" s="20">
        <f>+D20-D22+D78</f>
        <v>-22898.660000000003</v>
      </c>
      <c r="E80" s="13"/>
      <c r="F80" s="21">
        <f>IF(D$12=0,0,D80/D$12)</f>
        <v>0</v>
      </c>
      <c r="G80" s="13"/>
      <c r="H80" s="20">
        <f>+H20-H22+H78</f>
        <v>37115.219999999994</v>
      </c>
      <c r="I80" s="13"/>
      <c r="J80" s="21">
        <f>IF(H$12=0,0,H80/H$12)</f>
        <v>0.27872477805408524</v>
      </c>
      <c r="K80" s="15"/>
      <c r="L80" s="20">
        <f>+D80-H80</f>
        <v>-60013.88</v>
      </c>
      <c r="M80" s="15"/>
      <c r="N80" s="21">
        <f>IF(H80=0,0,L80/H80)</f>
        <v>-1.6169614513937949</v>
      </c>
      <c r="O80" s="26"/>
      <c r="P80" s="20">
        <f>+P20-P22+P78</f>
        <v>-57285.72</v>
      </c>
      <c r="Q80" s="13"/>
      <c r="R80" s="21">
        <f>IF(P$12=0,0,P80/P$12)</f>
        <v>0</v>
      </c>
      <c r="S80" s="13"/>
      <c r="T80" s="20">
        <f>+T20-T22+T78</f>
        <v>32817.639999999956</v>
      </c>
      <c r="U80" s="13"/>
      <c r="V80" s="21">
        <f>IF(T$12=0,0,T80/T$12)</f>
        <v>0.11887095477808474</v>
      </c>
      <c r="W80" s="15"/>
      <c r="X80" s="20">
        <f>+P80-T80</f>
        <v>-90103.359999999957</v>
      </c>
      <c r="Y80" s="15"/>
      <c r="Z80" s="21">
        <f>IF(T80=0,0,X80/T80)</f>
        <v>-2.745577073793243</v>
      </c>
    </row>
    <row r="81" spans="1:26" x14ac:dyDescent="0.25">
      <c r="A81" s="9"/>
      <c r="B81" s="10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25">
      <c r="A82" s="51"/>
      <c r="B82" s="10" t="s">
        <v>13</v>
      </c>
      <c r="C82" s="10"/>
      <c r="D82" s="4"/>
      <c r="E82" s="4"/>
      <c r="F82" s="12">
        <f>IF(D$12=0,0,D82/D$12)</f>
        <v>0</v>
      </c>
      <c r="G82" s="4"/>
      <c r="H82" s="4">
        <v>12439.52</v>
      </c>
      <c r="I82" s="4"/>
      <c r="J82" s="12">
        <f>IF(H$12=0,0,H82/H$12)</f>
        <v>9.3417267932113968E-2</v>
      </c>
      <c r="K82" s="4"/>
      <c r="L82" s="4">
        <f>+D82-H82</f>
        <v>-12439.52</v>
      </c>
      <c r="M82" s="4"/>
      <c r="N82" s="12">
        <f>IF(H82=0,0,L82/H82)</f>
        <v>-1</v>
      </c>
      <c r="O82" s="10"/>
      <c r="P82" s="4"/>
      <c r="Q82" s="4"/>
      <c r="R82" s="12">
        <f>IF(P$12=0,0,P82/P$12)</f>
        <v>0</v>
      </c>
      <c r="S82" s="4"/>
      <c r="T82" s="4">
        <v>27790.7</v>
      </c>
      <c r="U82" s="4"/>
      <c r="V82" s="12">
        <f>IF(T$12=0,0,T82/T$12)</f>
        <v>0.10066254133299421</v>
      </c>
      <c r="W82" s="4"/>
      <c r="X82" s="4">
        <f>+P82-T82</f>
        <v>-27790.7</v>
      </c>
      <c r="Y82" s="4"/>
      <c r="Z82" s="12">
        <f>IF(T82=0,0,X82/T82)</f>
        <v>-1</v>
      </c>
    </row>
    <row r="83" spans="1:26" x14ac:dyDescent="0.25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ht="15.75" thickBot="1" x14ac:dyDescent="0.3">
      <c r="A84" s="10"/>
      <c r="B84" s="25" t="s">
        <v>4</v>
      </c>
      <c r="C84" s="25"/>
      <c r="D84" s="30">
        <f>+D80-D82</f>
        <v>-22898.660000000003</v>
      </c>
      <c r="E84" s="13"/>
      <c r="F84" s="33">
        <f>IF(D$12=0,0,D84/D$12)</f>
        <v>0</v>
      </c>
      <c r="G84" s="13"/>
      <c r="H84" s="30">
        <f>+H80-H82</f>
        <v>24675.699999999993</v>
      </c>
      <c r="I84" s="13"/>
      <c r="J84" s="33">
        <f>IF(H$12=0,0,H84/H$12)</f>
        <v>0.18530751012197125</v>
      </c>
      <c r="K84" s="15"/>
      <c r="L84" s="30">
        <f>D84-H84</f>
        <v>-47574.36</v>
      </c>
      <c r="M84" s="15"/>
      <c r="N84" s="33">
        <f>IF(H84=0,0,L84/H84)</f>
        <v>-1.9279842111875252</v>
      </c>
      <c r="O84" s="26"/>
      <c r="P84" s="30">
        <f>+P80-P82</f>
        <v>-57285.72</v>
      </c>
      <c r="Q84" s="13"/>
      <c r="R84" s="33">
        <f>IF(P$12=0,0,P84/P$12)</f>
        <v>0</v>
      </c>
      <c r="S84" s="13"/>
      <c r="T84" s="30">
        <f>+T80-T82</f>
        <v>5026.939999999955</v>
      </c>
      <c r="U84" s="13"/>
      <c r="V84" s="33">
        <f>IF(T$12=0,0,T84/T$12)</f>
        <v>1.820841344509053E-2</v>
      </c>
      <c r="W84" s="15"/>
      <c r="X84" s="30">
        <f>P84-T84</f>
        <v>-62312.65999999996</v>
      </c>
      <c r="Y84" s="15"/>
      <c r="Z84" s="33">
        <f>IF(T84=0,0,X84/T84)</f>
        <v>-12.395743732767949</v>
      </c>
    </row>
    <row r="85" spans="1:26" ht="15.75" thickTop="1" x14ac:dyDescent="0.25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x14ac:dyDescent="0.25">
      <c r="A86" s="9"/>
      <c r="B86" s="9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ht="15.75" thickBot="1" x14ac:dyDescent="0.3">
      <c r="A87" s="10"/>
      <c r="B87" s="25" t="s">
        <v>5</v>
      </c>
      <c r="C87" s="25"/>
      <c r="D87" s="34">
        <f>SUM(D84:D86)</f>
        <v>-22898.660000000003</v>
      </c>
      <c r="E87" s="13"/>
      <c r="F87" s="35">
        <f>IF(D$12=0,0,D87/D$12)</f>
        <v>0</v>
      </c>
      <c r="G87" s="13"/>
      <c r="H87" s="34">
        <f>SUM(H84:H86)</f>
        <v>24675.699999999993</v>
      </c>
      <c r="I87" s="13"/>
      <c r="J87" s="35">
        <f>IF(H$12=0,0,H87/H$12)</f>
        <v>0.18530751012197125</v>
      </c>
      <c r="K87" s="15"/>
      <c r="L87" s="34">
        <f>+D87-H87</f>
        <v>-47574.36</v>
      </c>
      <c r="M87" s="15"/>
      <c r="N87" s="35">
        <f>IF(H87=0,0,L87/H87)</f>
        <v>-1.9279842111875252</v>
      </c>
      <c r="O87" s="26"/>
      <c r="P87" s="34">
        <f>SUM(P84:P86)</f>
        <v>-57285.72</v>
      </c>
      <c r="Q87" s="13"/>
      <c r="R87" s="35">
        <f>IF(P$12=0,0,P87/P$12)</f>
        <v>0</v>
      </c>
      <c r="S87" s="13"/>
      <c r="T87" s="34">
        <f>SUM(T84:T86)</f>
        <v>5026.939999999955</v>
      </c>
      <c r="U87" s="13"/>
      <c r="V87" s="35">
        <f>IF(T$12=0,0,T87/T$12)</f>
        <v>1.820841344509053E-2</v>
      </c>
      <c r="W87" s="15"/>
      <c r="X87" s="34">
        <f>+P87-T87</f>
        <v>-62312.65999999996</v>
      </c>
      <c r="Y87" s="15"/>
      <c r="Z87" s="35">
        <f>IF(T87=0,0,X87/T87)</f>
        <v>-12.395743732767949</v>
      </c>
    </row>
    <row r="88" spans="1:26" ht="15.75" thickTop="1" x14ac:dyDescent="0.25">
      <c r="A88" s="9"/>
      <c r="C88" s="9"/>
      <c r="D88" s="18"/>
      <c r="E88" s="18"/>
      <c r="G88" s="18"/>
      <c r="H88" s="18"/>
      <c r="I88" s="18"/>
      <c r="J88" s="43"/>
      <c r="K88" s="18"/>
      <c r="L88" s="18"/>
      <c r="M88" s="18"/>
      <c r="P88" s="18"/>
      <c r="Q88" s="18"/>
      <c r="R88" s="43"/>
      <c r="S88" s="18"/>
      <c r="T88" s="18"/>
      <c r="U88" s="18"/>
      <c r="V88" s="43"/>
      <c r="W88" s="18"/>
      <c r="X88" s="18"/>
    </row>
    <row r="89" spans="1:26" x14ac:dyDescent="0.25">
      <c r="A89" s="9"/>
      <c r="B89" s="56">
        <v>44151.572613275464</v>
      </c>
      <c r="D89" s="18"/>
      <c r="E89" s="18"/>
      <c r="G89" s="18"/>
      <c r="H89" s="18"/>
      <c r="I89" s="18"/>
      <c r="J89" s="43"/>
      <c r="K89" s="18"/>
      <c r="L89" s="18"/>
      <c r="M89" s="18"/>
      <c r="P89" s="18"/>
      <c r="Q89" s="18"/>
      <c r="R89" s="43"/>
      <c r="S89" s="18"/>
      <c r="T89" s="18"/>
      <c r="U89" s="18"/>
      <c r="V89" s="43"/>
      <c r="W89" s="18"/>
      <c r="X89" s="18"/>
    </row>
    <row r="90" spans="1:26" x14ac:dyDescent="0.25">
      <c r="A90" s="9"/>
      <c r="B90" s="62" t="s">
        <v>313</v>
      </c>
      <c r="D90" s="18"/>
      <c r="E90" s="18"/>
      <c r="G90" s="18"/>
      <c r="H90" s="18"/>
      <c r="I90" s="18"/>
      <c r="J90" s="43"/>
      <c r="K90" s="18"/>
      <c r="L90" s="18"/>
      <c r="M90" s="18"/>
      <c r="P90" s="18"/>
      <c r="Q90" s="18"/>
      <c r="R90" s="43"/>
      <c r="S90" s="18"/>
      <c r="T90" s="18"/>
      <c r="U90" s="18"/>
      <c r="V90" s="43"/>
      <c r="W90" s="18"/>
      <c r="X90" s="18"/>
    </row>
    <row r="91" spans="1:26" x14ac:dyDescent="0.25">
      <c r="A91" s="9"/>
      <c r="B91" s="54"/>
      <c r="D91" s="18"/>
      <c r="E91" s="18"/>
      <c r="G91" s="18"/>
      <c r="H91" s="18"/>
      <c r="I91" s="18"/>
      <c r="J91" s="43"/>
      <c r="K91" s="18"/>
      <c r="L91" s="18"/>
      <c r="M91" s="18"/>
      <c r="P91" s="18"/>
      <c r="Q91" s="18"/>
      <c r="R91" s="43"/>
      <c r="S91" s="18"/>
      <c r="T91" s="18"/>
      <c r="U91" s="18"/>
      <c r="V91" s="43"/>
      <c r="W91" s="18"/>
      <c r="X91" s="18"/>
    </row>
    <row r="92" spans="1:26" x14ac:dyDescent="0.25">
      <c r="D92" s="18"/>
      <c r="E92" s="18"/>
      <c r="G92" s="18"/>
      <c r="H92" s="18"/>
      <c r="I92" s="18"/>
      <c r="J92" s="43"/>
      <c r="K92" s="18"/>
      <c r="L92" s="18"/>
      <c r="M92" s="18"/>
      <c r="P92" s="18"/>
      <c r="Q92" s="18"/>
      <c r="R92" s="43"/>
      <c r="S92" s="18"/>
      <c r="T92" s="18"/>
      <c r="U92" s="18"/>
      <c r="V92" s="43"/>
      <c r="W92" s="18"/>
      <c r="X92" s="18"/>
    </row>
  </sheetData>
  <pageMargins left="0.25" right="0.25" top="0.75" bottom="0.75" header="0.3" footer="0.3"/>
  <pageSetup scale="55" fitToWidth="2" orientation="landscape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",RIGHT(202104,2),", ",2021)</f>
        <v>Period 04,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44135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","327", " - ", "C-Store Vending Machine(s)")</f>
        <v>Department 327 - C-Store Vending Machine(s)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61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50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50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2"/>
      <c r="F10" s="31" t="s">
        <v>14</v>
      </c>
      <c r="G10" s="32"/>
      <c r="H10" s="49" t="s">
        <v>306</v>
      </c>
      <c r="I10" s="32"/>
      <c r="J10" s="31" t="s">
        <v>14</v>
      </c>
      <c r="K10" s="10"/>
      <c r="L10" s="42" t="s">
        <v>11</v>
      </c>
      <c r="M10" s="10"/>
      <c r="N10" s="31" t="s">
        <v>15</v>
      </c>
      <c r="O10" s="10"/>
      <c r="P10" s="59" t="s">
        <v>10</v>
      </c>
      <c r="Q10" s="32"/>
      <c r="R10" s="31" t="s">
        <v>14</v>
      </c>
      <c r="S10" s="32"/>
      <c r="T10" s="49" t="s">
        <v>306</v>
      </c>
      <c r="U10" s="32"/>
      <c r="V10" s="31" t="s">
        <v>14</v>
      </c>
      <c r="W10" s="10"/>
      <c r="X10" s="42" t="s">
        <v>11</v>
      </c>
      <c r="Y10" s="10"/>
      <c r="Z10" s="31" t="s">
        <v>15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2874</v>
      </c>
      <c r="I12" s="4"/>
      <c r="J12" s="12"/>
      <c r="K12" s="4"/>
      <c r="L12" s="4">
        <f t="shared" ref="L12:L13" si="0">+D12-H12</f>
        <v>-2874</v>
      </c>
      <c r="M12" s="4"/>
      <c r="N12" s="12">
        <f t="shared" ref="N12:N13" si="1">IF(H12=0,0,L12/H12)</f>
        <v>-1</v>
      </c>
      <c r="O12" s="10"/>
      <c r="P12" s="4">
        <f>SUM(OSRRefP13x_0)</f>
        <v>110</v>
      </c>
      <c r="Q12" s="4"/>
      <c r="R12" s="12"/>
      <c r="S12" s="4"/>
      <c r="T12" s="4">
        <f>SUM(OSRRefT13x_0)</f>
        <v>5280.5</v>
      </c>
      <c r="U12" s="4"/>
      <c r="V12" s="12"/>
      <c r="W12" s="4"/>
      <c r="X12" s="4">
        <f t="shared" ref="X12:X13" si="2">+P12-T12</f>
        <v>-5170.5</v>
      </c>
      <c r="Y12" s="4"/>
      <c r="Z12" s="12">
        <f t="shared" ref="Z12:Z13" si="3">IF(T12=0,0,X12/T12)</f>
        <v>-0.97916863933339648</v>
      </c>
    </row>
    <row r="13" spans="1:26" s="24" customFormat="1" hidden="1" outlineLevel="1" x14ac:dyDescent="0.25">
      <c r="A13" s="44"/>
      <c r="B13" s="11" t="str">
        <f>CONCATENATE("          ", "4153", " - ", "NON-TAXABLE SALES-FOOD")</f>
        <v xml:space="preserve">          4153 - NON-TAXABLE SALES-FOOD</v>
      </c>
      <c r="C13" s="11"/>
      <c r="D13" s="2">
        <f>0</f>
        <v>0</v>
      </c>
      <c r="E13" s="2"/>
      <c r="F13" s="19"/>
      <c r="G13" s="2"/>
      <c r="H13" s="2">
        <f>--2874</f>
        <v>2874</v>
      </c>
      <c r="I13" s="2"/>
      <c r="J13" s="19"/>
      <c r="K13" s="2"/>
      <c r="L13" s="2">
        <f t="shared" si="0"/>
        <v>-2874</v>
      </c>
      <c r="M13" s="2"/>
      <c r="N13" s="19">
        <f t="shared" si="1"/>
        <v>-1</v>
      </c>
      <c r="O13" s="11"/>
      <c r="P13" s="2">
        <f>--110</f>
        <v>110</v>
      </c>
      <c r="Q13" s="2"/>
      <c r="R13" s="19"/>
      <c r="S13" s="2"/>
      <c r="T13" s="2">
        <f>--5280.5</f>
        <v>5280.5</v>
      </c>
      <c r="U13" s="2"/>
      <c r="V13" s="19"/>
      <c r="W13" s="2"/>
      <c r="X13" s="2">
        <f t="shared" si="2"/>
        <v>-5170.5</v>
      </c>
      <c r="Y13" s="2"/>
      <c r="Z13" s="19">
        <f t="shared" si="3"/>
        <v>-0.97916863933339648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>
        <f>SUM(OSRRefD16x_0)</f>
        <v>0</v>
      </c>
      <c r="E15" s="4"/>
      <c r="F15" s="12">
        <f t="shared" ref="F15:F16" si="4">IF(D$12=0,0,D15/D$12)</f>
        <v>0</v>
      </c>
      <c r="G15" s="4"/>
      <c r="H15" s="4">
        <f>SUM(OSRRefH16x_0)</f>
        <v>1779</v>
      </c>
      <c r="I15" s="4"/>
      <c r="J15" s="12">
        <f t="shared" ref="J15:J16" si="5">IF(H$12=0,0,H15/H$12)</f>
        <v>0.61899791231732781</v>
      </c>
      <c r="K15" s="4"/>
      <c r="L15" s="4">
        <f t="shared" ref="L15:L16" si="6">+D15-H15</f>
        <v>-1779</v>
      </c>
      <c r="M15" s="4"/>
      <c r="N15" s="12">
        <f t="shared" ref="N15:N16" si="7">IF(H15=0,0,L15/H15)</f>
        <v>-1</v>
      </c>
      <c r="O15" s="10"/>
      <c r="P15" s="4">
        <f>SUM(OSRRefP16x_0)</f>
        <v>68.91</v>
      </c>
      <c r="Q15" s="4"/>
      <c r="R15" s="12">
        <f t="shared" ref="R15:R16" si="8">IF(P$12=0,0,P15/P$12)</f>
        <v>0.62645454545454538</v>
      </c>
      <c r="S15" s="4"/>
      <c r="T15" s="4">
        <f>SUM(OSRRefT16x_0)</f>
        <v>2648.96</v>
      </c>
      <c r="U15" s="4"/>
      <c r="V15" s="12">
        <f t="shared" ref="V15:V16" si="9">IF(T$12=0,0,T15/T$12)</f>
        <v>0.50164946501278285</v>
      </c>
      <c r="W15" s="4"/>
      <c r="X15" s="4">
        <f t="shared" ref="X15:X16" si="10">+P15-T15</f>
        <v>-2580.0500000000002</v>
      </c>
      <c r="Y15" s="4"/>
      <c r="Z15" s="12">
        <f t="shared" ref="Z15:Z16" si="11">IF(T15=0,0,X15/T15)</f>
        <v>-0.97398601715390198</v>
      </c>
    </row>
    <row r="16" spans="1:26" s="24" customFormat="1" hidden="1" outlineLevel="1" x14ac:dyDescent="0.25">
      <c r="A16" s="44"/>
      <c r="B16" s="11" t="str">
        <f>CONCATENATE("          ", "5059", " - ", "PURCHASES @ COST-FOOD")</f>
        <v xml:space="preserve">          5059 - PURCHASES @ COST-FOOD</v>
      </c>
      <c r="C16" s="11"/>
      <c r="D16" s="2"/>
      <c r="E16" s="2"/>
      <c r="F16" s="19">
        <f t="shared" si="4"/>
        <v>0</v>
      </c>
      <c r="G16" s="2"/>
      <c r="H16" s="2">
        <v>1779</v>
      </c>
      <c r="I16" s="2"/>
      <c r="J16" s="19">
        <f t="shared" si="5"/>
        <v>0.61899791231732781</v>
      </c>
      <c r="K16" s="2"/>
      <c r="L16" s="2">
        <f t="shared" si="6"/>
        <v>-1779</v>
      </c>
      <c r="M16" s="2"/>
      <c r="N16" s="19">
        <f t="shared" si="7"/>
        <v>-1</v>
      </c>
      <c r="O16" s="11"/>
      <c r="P16" s="2">
        <v>68.91</v>
      </c>
      <c r="Q16" s="2"/>
      <c r="R16" s="19">
        <f t="shared" si="8"/>
        <v>0.62645454545454538</v>
      </c>
      <c r="S16" s="2"/>
      <c r="T16" s="2">
        <v>2648.96</v>
      </c>
      <c r="U16" s="2"/>
      <c r="V16" s="19">
        <f t="shared" si="9"/>
        <v>0.50164946501278285</v>
      </c>
      <c r="W16" s="2"/>
      <c r="X16" s="2">
        <f t="shared" si="10"/>
        <v>-2580.0500000000002</v>
      </c>
      <c r="Y16" s="2"/>
      <c r="Z16" s="19">
        <f t="shared" si="11"/>
        <v>-0.97398601715390198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0">
        <f>D12-D15</f>
        <v>0</v>
      </c>
      <c r="E18" s="13"/>
      <c r="F18" s="21">
        <f>IF(D$12=0,0,D18/D$12)</f>
        <v>0</v>
      </c>
      <c r="G18" s="13"/>
      <c r="H18" s="20">
        <f>H12-H15</f>
        <v>1095</v>
      </c>
      <c r="I18" s="13"/>
      <c r="J18" s="21">
        <f>IF(H$12=0,0,H18/H$12)</f>
        <v>0.38100208768267224</v>
      </c>
      <c r="K18" s="15"/>
      <c r="L18" s="20">
        <f>+D18-H18</f>
        <v>-1095</v>
      </c>
      <c r="M18" s="15"/>
      <c r="N18" s="21">
        <f>IF(H18=0,0,L18/H18)</f>
        <v>-1</v>
      </c>
      <c r="O18" s="26"/>
      <c r="P18" s="20">
        <f>P12-P15</f>
        <v>41.09</v>
      </c>
      <c r="Q18" s="13"/>
      <c r="R18" s="21">
        <f>IF(P$12=0,0,P18/P$12)</f>
        <v>0.37354545454545457</v>
      </c>
      <c r="S18" s="13"/>
      <c r="T18" s="20">
        <f>T12-T15</f>
        <v>2631.54</v>
      </c>
      <c r="U18" s="13"/>
      <c r="V18" s="21">
        <f>IF(T$12=0,0,T18/T$12)</f>
        <v>0.4983505349872171</v>
      </c>
      <c r="W18" s="15"/>
      <c r="X18" s="20">
        <f>+P18-T18</f>
        <v>-2590.4499999999998</v>
      </c>
      <c r="Y18" s="15"/>
      <c r="Z18" s="21">
        <f>IF(T18=0,0,X18/T18)</f>
        <v>-0.98438556890641971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2">
        <f>SUM(OSRRefD22x_0)</f>
        <v>0</v>
      </c>
      <c r="E20" s="22"/>
      <c r="F20" s="36">
        <f t="shared" ref="F20:F26" si="12">IF(D$12=0,0,D20/D$12)</f>
        <v>0</v>
      </c>
      <c r="G20" s="22"/>
      <c r="H20" s="22">
        <f>SUM(OSRRefH22x_0)</f>
        <v>523.46</v>
      </c>
      <c r="I20" s="22"/>
      <c r="J20" s="36">
        <f t="shared" ref="J20:J26" si="13">IF(H$12=0,0,H20/H$12)</f>
        <v>0.18213639526791928</v>
      </c>
      <c r="K20" s="4"/>
      <c r="L20" s="22">
        <f t="shared" ref="L20:L26" si="14">+D20-H20</f>
        <v>-523.46</v>
      </c>
      <c r="M20" s="4"/>
      <c r="N20" s="36">
        <f t="shared" ref="N20:N26" si="15">IF(H20=0,0,L20/H20)</f>
        <v>-1</v>
      </c>
      <c r="O20" s="10"/>
      <c r="P20" s="22">
        <f>SUM(OSRRefP22x_0)</f>
        <v>0</v>
      </c>
      <c r="Q20" s="22"/>
      <c r="R20" s="36">
        <f t="shared" ref="R20:R26" si="16">IF(P$12=0,0,P20/P$12)</f>
        <v>0</v>
      </c>
      <c r="S20" s="22"/>
      <c r="T20" s="22">
        <f>SUM(OSRRefT22x_0)</f>
        <v>741.2</v>
      </c>
      <c r="U20" s="22"/>
      <c r="V20" s="36">
        <f t="shared" ref="V20:V26" si="17">IF(T$12=0,0,T20/T$12)</f>
        <v>0.14036549569169587</v>
      </c>
      <c r="W20" s="4"/>
      <c r="X20" s="22">
        <f t="shared" ref="X20:X26" si="18">+P20-T20</f>
        <v>-741.2</v>
      </c>
      <c r="Y20" s="4"/>
      <c r="Z20" s="36">
        <f t="shared" ref="Z20:Z26" si="19">IF(T20=0,0,X20/T20)</f>
        <v>-1</v>
      </c>
    </row>
    <row r="21" spans="1:26" s="29" customFormat="1" outlineLevel="1" collapsed="1" x14ac:dyDescent="0.25">
      <c r="A21" s="27"/>
      <c r="B21" s="14" t="str">
        <f>CONCATENATE("     ","Bank/card Fees                                    ")</f>
        <v xml:space="preserve">     Bank/card Fees                                    </v>
      </c>
      <c r="C21" s="14"/>
      <c r="D21" s="1">
        <f>SUM(OSRRefD22_0x_0)</f>
        <v>0</v>
      </c>
      <c r="E21" s="1"/>
      <c r="F21" s="5">
        <f t="shared" si="12"/>
        <v>0</v>
      </c>
      <c r="G21" s="1"/>
      <c r="H21" s="1">
        <f>SUM(OSRRefH22_0x_0)</f>
        <v>203.01</v>
      </c>
      <c r="I21" s="1"/>
      <c r="J21" s="5">
        <f t="shared" si="13"/>
        <v>7.0636743215031314E-2</v>
      </c>
      <c r="K21" s="1"/>
      <c r="L21" s="1">
        <f t="shared" si="14"/>
        <v>-203.01</v>
      </c>
      <c r="M21" s="1"/>
      <c r="N21" s="5">
        <f t="shared" si="15"/>
        <v>-1</v>
      </c>
      <c r="O21" s="14"/>
      <c r="P21" s="1">
        <f>SUM(OSRRefP22_0x_0)</f>
        <v>0</v>
      </c>
      <c r="Q21" s="1"/>
      <c r="R21" s="5">
        <f t="shared" si="16"/>
        <v>0</v>
      </c>
      <c r="S21" s="1"/>
      <c r="T21" s="1">
        <f>SUM(OSRRefT22_0x_0)</f>
        <v>420.75</v>
      </c>
      <c r="U21" s="1"/>
      <c r="V21" s="5">
        <f t="shared" si="17"/>
        <v>7.9679954549758542E-2</v>
      </c>
      <c r="W21" s="1"/>
      <c r="X21" s="1">
        <f t="shared" si="18"/>
        <v>-420.75</v>
      </c>
      <c r="Y21" s="1"/>
      <c r="Z21" s="5">
        <f t="shared" si="19"/>
        <v>-1</v>
      </c>
    </row>
    <row r="22" spans="1:26" s="24" customFormat="1" hidden="1" outlineLevel="2" x14ac:dyDescent="0.25">
      <c r="A22" s="28"/>
      <c r="B22" s="11" t="str">
        <f>CONCATENATE("          ", "6381", " - ", "BANK/CREDIT CARD FEES")</f>
        <v xml:space="preserve">          6381 - BANK/CREDIT CARD FEES</v>
      </c>
      <c r="C22" s="11"/>
      <c r="D22" s="6"/>
      <c r="E22" s="2"/>
      <c r="F22" s="7">
        <f t="shared" si="12"/>
        <v>0</v>
      </c>
      <c r="G22" s="2"/>
      <c r="H22" s="6">
        <v>203.01</v>
      </c>
      <c r="I22" s="2"/>
      <c r="J22" s="7">
        <f t="shared" si="13"/>
        <v>7.0636743215031314E-2</v>
      </c>
      <c r="K22" s="2"/>
      <c r="L22" s="6">
        <f t="shared" si="14"/>
        <v>-203.01</v>
      </c>
      <c r="M22" s="2"/>
      <c r="N22" s="7">
        <f t="shared" si="15"/>
        <v>-1</v>
      </c>
      <c r="O22" s="11"/>
      <c r="P22" s="6"/>
      <c r="Q22" s="2"/>
      <c r="R22" s="7">
        <f t="shared" si="16"/>
        <v>0</v>
      </c>
      <c r="S22" s="2"/>
      <c r="T22" s="6">
        <v>420.75</v>
      </c>
      <c r="U22" s="2"/>
      <c r="V22" s="7">
        <f t="shared" si="17"/>
        <v>7.9679954549758542E-2</v>
      </c>
      <c r="W22" s="2"/>
      <c r="X22" s="6">
        <f t="shared" si="18"/>
        <v>-420.75</v>
      </c>
      <c r="Y22" s="2"/>
      <c r="Z22" s="7">
        <f t="shared" si="19"/>
        <v>-1</v>
      </c>
    </row>
    <row r="23" spans="1:26" s="29" customFormat="1" outlineLevel="1" collapsed="1" x14ac:dyDescent="0.25">
      <c r="A23" s="27"/>
      <c r="B23" s="14" t="str">
        <f>CONCATENATE("     ","General                                           ")</f>
        <v xml:space="preserve">     General                                           </v>
      </c>
      <c r="C23" s="14"/>
      <c r="D23" s="1">
        <f>SUM(OSRRefD22_1x_0)</f>
        <v>0</v>
      </c>
      <c r="E23" s="1"/>
      <c r="F23" s="5">
        <f t="shared" si="12"/>
        <v>0</v>
      </c>
      <c r="G23" s="1"/>
      <c r="H23" s="1">
        <f>SUM(OSRRefH22_1x_0)</f>
        <v>23.45</v>
      </c>
      <c r="I23" s="1"/>
      <c r="J23" s="5">
        <f t="shared" si="13"/>
        <v>8.1593597773138484E-3</v>
      </c>
      <c r="K23" s="1"/>
      <c r="L23" s="1">
        <f t="shared" si="14"/>
        <v>-23.45</v>
      </c>
      <c r="M23" s="1"/>
      <c r="N23" s="5">
        <f t="shared" si="15"/>
        <v>-1</v>
      </c>
      <c r="O23" s="14"/>
      <c r="P23" s="1">
        <f>SUM(OSRRefP22_1x_0)</f>
        <v>0</v>
      </c>
      <c r="Q23" s="1"/>
      <c r="R23" s="5">
        <f t="shared" si="16"/>
        <v>0</v>
      </c>
      <c r="S23" s="1"/>
      <c r="T23" s="1">
        <f>SUM(OSRRefT22_1x_0)</f>
        <v>23.45</v>
      </c>
      <c r="U23" s="1"/>
      <c r="V23" s="5">
        <f t="shared" si="17"/>
        <v>4.4408673421077547E-3</v>
      </c>
      <c r="W23" s="1"/>
      <c r="X23" s="1">
        <f t="shared" si="18"/>
        <v>-23.45</v>
      </c>
      <c r="Y23" s="1"/>
      <c r="Z23" s="5">
        <f t="shared" si="19"/>
        <v>-1</v>
      </c>
    </row>
    <row r="24" spans="1:26" s="24" customFormat="1" hidden="1" outlineLevel="2" x14ac:dyDescent="0.25">
      <c r="A24" s="28"/>
      <c r="B24" s="11" t="str">
        <f>CONCATENATE("          ", "6279", " - ", "GENERAL EXPENSE")</f>
        <v xml:space="preserve">          6279 - GENERAL EXPENSE</v>
      </c>
      <c r="C24" s="11"/>
      <c r="D24" s="6"/>
      <c r="E24" s="2"/>
      <c r="F24" s="7">
        <f t="shared" si="12"/>
        <v>0</v>
      </c>
      <c r="G24" s="2"/>
      <c r="H24" s="6">
        <v>23.45</v>
      </c>
      <c r="I24" s="2"/>
      <c r="J24" s="7">
        <f t="shared" si="13"/>
        <v>8.1593597773138484E-3</v>
      </c>
      <c r="K24" s="2"/>
      <c r="L24" s="6">
        <f t="shared" si="14"/>
        <v>-23.45</v>
      </c>
      <c r="M24" s="2"/>
      <c r="N24" s="7">
        <f t="shared" si="15"/>
        <v>-1</v>
      </c>
      <c r="O24" s="11"/>
      <c r="P24" s="6"/>
      <c r="Q24" s="2"/>
      <c r="R24" s="7">
        <f t="shared" si="16"/>
        <v>0</v>
      </c>
      <c r="S24" s="2"/>
      <c r="T24" s="6">
        <v>23.45</v>
      </c>
      <c r="U24" s="2"/>
      <c r="V24" s="7">
        <f t="shared" si="17"/>
        <v>4.4408673421077547E-3</v>
      </c>
      <c r="W24" s="2"/>
      <c r="X24" s="6">
        <f t="shared" si="18"/>
        <v>-23.45</v>
      </c>
      <c r="Y24" s="2"/>
      <c r="Z24" s="7">
        <f t="shared" si="19"/>
        <v>-1</v>
      </c>
    </row>
    <row r="25" spans="1:26" s="29" customFormat="1" outlineLevel="1" collapsed="1" x14ac:dyDescent="0.25">
      <c r="A25" s="27"/>
      <c r="B25" s="14" t="str">
        <f>CONCATENATE("     ","Supplies                                          ")</f>
        <v xml:space="preserve">     Supplies                                          </v>
      </c>
      <c r="C25" s="14"/>
      <c r="D25" s="1">
        <f>SUM(OSRRefD22_2x_0)</f>
        <v>0</v>
      </c>
      <c r="E25" s="1"/>
      <c r="F25" s="5">
        <f t="shared" si="12"/>
        <v>0</v>
      </c>
      <c r="G25" s="1"/>
      <c r="H25" s="1">
        <f>SUM(OSRRefH22_2x_0)</f>
        <v>297</v>
      </c>
      <c r="I25" s="1"/>
      <c r="J25" s="5">
        <f t="shared" si="13"/>
        <v>0.10334029227557412</v>
      </c>
      <c r="K25" s="1"/>
      <c r="L25" s="1">
        <f t="shared" si="14"/>
        <v>-297</v>
      </c>
      <c r="M25" s="1"/>
      <c r="N25" s="5">
        <f t="shared" si="15"/>
        <v>-1</v>
      </c>
      <c r="O25" s="14"/>
      <c r="P25" s="1">
        <f>SUM(OSRRefP22_2x_0)</f>
        <v>0</v>
      </c>
      <c r="Q25" s="1"/>
      <c r="R25" s="5">
        <f t="shared" si="16"/>
        <v>0</v>
      </c>
      <c r="S25" s="1"/>
      <c r="T25" s="1">
        <f>SUM(OSRRefT22_2x_0)</f>
        <v>297</v>
      </c>
      <c r="U25" s="1"/>
      <c r="V25" s="5">
        <f t="shared" si="17"/>
        <v>5.6244673799829559E-2</v>
      </c>
      <c r="W25" s="1"/>
      <c r="X25" s="1">
        <f t="shared" si="18"/>
        <v>-297</v>
      </c>
      <c r="Y25" s="1"/>
      <c r="Z25" s="5">
        <f t="shared" si="19"/>
        <v>-1</v>
      </c>
    </row>
    <row r="26" spans="1:26" s="24" customFormat="1" hidden="1" outlineLevel="2" x14ac:dyDescent="0.25">
      <c r="A26" s="28"/>
      <c r="B26" s="11" t="str">
        <f>CONCATENATE("          ", "6247", " - ", "STORE SUPPLIES")</f>
        <v xml:space="preserve">          6247 - STORE SUPPLIES</v>
      </c>
      <c r="C26" s="11"/>
      <c r="D26" s="6"/>
      <c r="E26" s="2"/>
      <c r="F26" s="7">
        <f t="shared" si="12"/>
        <v>0</v>
      </c>
      <c r="G26" s="2"/>
      <c r="H26" s="6">
        <v>297</v>
      </c>
      <c r="I26" s="2"/>
      <c r="J26" s="7">
        <f t="shared" si="13"/>
        <v>0.10334029227557412</v>
      </c>
      <c r="K26" s="2"/>
      <c r="L26" s="6">
        <f t="shared" si="14"/>
        <v>-297</v>
      </c>
      <c r="M26" s="2"/>
      <c r="N26" s="7">
        <f t="shared" si="15"/>
        <v>-1</v>
      </c>
      <c r="O26" s="11"/>
      <c r="P26" s="6"/>
      <c r="Q26" s="2"/>
      <c r="R26" s="7">
        <f t="shared" si="16"/>
        <v>0</v>
      </c>
      <c r="S26" s="2"/>
      <c r="T26" s="6">
        <v>297</v>
      </c>
      <c r="U26" s="2"/>
      <c r="V26" s="7">
        <f t="shared" si="17"/>
        <v>5.6244673799829559E-2</v>
      </c>
      <c r="W26" s="2"/>
      <c r="X26" s="6">
        <f t="shared" si="18"/>
        <v>-297</v>
      </c>
      <c r="Y26" s="2"/>
      <c r="Z26" s="7">
        <f t="shared" si="19"/>
        <v>-1</v>
      </c>
    </row>
    <row r="27" spans="1:26" s="57" customFormat="1" x14ac:dyDescent="0.25">
      <c r="A27" s="37"/>
      <c r="B27" s="37"/>
      <c r="C27" s="37"/>
      <c r="D27" s="1"/>
      <c r="E27" s="1"/>
      <c r="F27" s="5"/>
      <c r="G27" s="1"/>
      <c r="H27" s="1"/>
      <c r="I27" s="1"/>
      <c r="J27" s="5"/>
      <c r="K27" s="1"/>
      <c r="L27" s="1"/>
      <c r="M27" s="1"/>
      <c r="N27" s="5"/>
      <c r="O27" s="37"/>
      <c r="P27" s="1"/>
      <c r="Q27" s="1"/>
      <c r="R27" s="5"/>
      <c r="S27" s="1"/>
      <c r="T27" s="1"/>
      <c r="U27" s="1"/>
      <c r="V27" s="5"/>
      <c r="W27" s="1"/>
      <c r="X27" s="1"/>
      <c r="Y27" s="1"/>
      <c r="Z27" s="5"/>
    </row>
    <row r="28" spans="1:26" s="23" customFormat="1" x14ac:dyDescent="0.25">
      <c r="A28" s="10"/>
      <c r="B28" s="26" t="s">
        <v>0</v>
      </c>
      <c r="C28" s="10"/>
      <c r="D28" s="4">
        <f>SUM(0)</f>
        <v>0</v>
      </c>
      <c r="E28" s="4"/>
      <c r="F28" s="12">
        <f>IF(D$12=0,0,D28/D$12)</f>
        <v>0</v>
      </c>
      <c r="G28" s="4"/>
      <c r="H28" s="4">
        <f>SUM(0)</f>
        <v>0</v>
      </c>
      <c r="I28" s="4"/>
      <c r="J28" s="12">
        <f>IF(H$12=0,0,H28/H$12)</f>
        <v>0</v>
      </c>
      <c r="K28" s="4"/>
      <c r="L28" s="4">
        <f>+D28-H28</f>
        <v>0</v>
      </c>
      <c r="M28" s="4"/>
      <c r="N28" s="12">
        <f>IF(H28=0,0,L28/H28)</f>
        <v>0</v>
      </c>
      <c r="O28" s="10"/>
      <c r="P28" s="4">
        <f>SUM(0)</f>
        <v>0</v>
      </c>
      <c r="Q28" s="4"/>
      <c r="R28" s="12">
        <f>IF(P$12=0,0,P28/P$12)</f>
        <v>0</v>
      </c>
      <c r="S28" s="4"/>
      <c r="T28" s="4">
        <f>SUM(0)</f>
        <v>0</v>
      </c>
      <c r="U28" s="4"/>
      <c r="V28" s="12">
        <f>IF(T$12=0,0,T28/T$12)</f>
        <v>0</v>
      </c>
      <c r="W28" s="4"/>
      <c r="X28" s="4">
        <f>+P28-T28</f>
        <v>0</v>
      </c>
      <c r="Y28" s="4"/>
      <c r="Z28" s="12">
        <f>IF(T28=0,0,X28/T28)</f>
        <v>0</v>
      </c>
    </row>
    <row r="29" spans="1:26" x14ac:dyDescent="0.25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10"/>
      <c r="B30" s="25" t="s">
        <v>3</v>
      </c>
      <c r="C30" s="25"/>
      <c r="D30" s="20">
        <f>+D18-D20+D28</f>
        <v>0</v>
      </c>
      <c r="E30" s="13"/>
      <c r="F30" s="21">
        <f>IF(D$12=0,0,D30/D$12)</f>
        <v>0</v>
      </c>
      <c r="G30" s="13"/>
      <c r="H30" s="20">
        <f>+H18-H20+H28</f>
        <v>571.54</v>
      </c>
      <c r="I30" s="13"/>
      <c r="J30" s="21">
        <f>IF(H$12=0,0,H30/H$12)</f>
        <v>0.19886569241475294</v>
      </c>
      <c r="K30" s="15"/>
      <c r="L30" s="20">
        <f>+D30-H30</f>
        <v>-571.54</v>
      </c>
      <c r="M30" s="15"/>
      <c r="N30" s="21">
        <f>IF(H30=0,0,L30/H30)</f>
        <v>-1</v>
      </c>
      <c r="O30" s="26"/>
      <c r="P30" s="20">
        <f>+P18-P20+P28</f>
        <v>41.09</v>
      </c>
      <c r="Q30" s="13"/>
      <c r="R30" s="21">
        <f>IF(P$12=0,0,P30/P$12)</f>
        <v>0.37354545454545457</v>
      </c>
      <c r="S30" s="13"/>
      <c r="T30" s="20">
        <f>+T18-T20+T28</f>
        <v>1890.34</v>
      </c>
      <c r="U30" s="13"/>
      <c r="V30" s="21">
        <f>IF(T$12=0,0,T30/T$12)</f>
        <v>0.35798503929552122</v>
      </c>
      <c r="W30" s="15"/>
      <c r="X30" s="20">
        <f>+P30-T30</f>
        <v>-1849.25</v>
      </c>
      <c r="Y30" s="15"/>
      <c r="Z30" s="21">
        <f>IF(T30=0,0,X30/T30)</f>
        <v>-0.97826316958853965</v>
      </c>
    </row>
    <row r="31" spans="1:26" x14ac:dyDescent="0.25">
      <c r="A31" s="9"/>
      <c r="B31" s="10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x14ac:dyDescent="0.25">
      <c r="A32" s="51"/>
      <c r="B32" s="10" t="s">
        <v>13</v>
      </c>
      <c r="C32" s="10"/>
      <c r="D32" s="4">
        <v>3.45</v>
      </c>
      <c r="E32" s="4"/>
      <c r="F32" s="12">
        <f>IF(D$12=0,0,D32/D$12)</f>
        <v>0</v>
      </c>
      <c r="G32" s="4"/>
      <c r="H32" s="4">
        <v>273.06</v>
      </c>
      <c r="I32" s="4"/>
      <c r="J32" s="12">
        <f>IF(H$12=0,0,H32/H$12)</f>
        <v>9.5010438413361167E-2</v>
      </c>
      <c r="K32" s="4"/>
      <c r="L32" s="4">
        <f>+D32-H32</f>
        <v>-269.61</v>
      </c>
      <c r="M32" s="4"/>
      <c r="N32" s="12">
        <f>IF(H32=0,0,L32/H32)</f>
        <v>-0.98736541419468249</v>
      </c>
      <c r="O32" s="10"/>
      <c r="P32" s="4">
        <v>23.83</v>
      </c>
      <c r="Q32" s="4"/>
      <c r="R32" s="12">
        <f>IF(P$12=0,0,P32/P$12)</f>
        <v>0.21663636363636363</v>
      </c>
      <c r="S32" s="4"/>
      <c r="T32" s="4">
        <v>531.54999999999995</v>
      </c>
      <c r="U32" s="4"/>
      <c r="V32" s="12">
        <f>IF(T$12=0,0,T32/T$12)</f>
        <v>0.10066281602121011</v>
      </c>
      <c r="W32" s="4"/>
      <c r="X32" s="4">
        <f>+P32-T32</f>
        <v>-507.71999999999997</v>
      </c>
      <c r="Y32" s="4"/>
      <c r="Z32" s="12">
        <f>IF(T32=0,0,X32/T32)</f>
        <v>-0.95516884582823824</v>
      </c>
    </row>
    <row r="33" spans="1:26" x14ac:dyDescent="0.25">
      <c r="A33" s="9"/>
      <c r="B33" s="10"/>
      <c r="C33" s="10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O33" s="10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ht="15.75" thickBot="1" x14ac:dyDescent="0.3">
      <c r="A34" s="10"/>
      <c r="B34" s="25" t="s">
        <v>4</v>
      </c>
      <c r="C34" s="25"/>
      <c r="D34" s="30">
        <f>+D30-D32</f>
        <v>-3.45</v>
      </c>
      <c r="E34" s="13"/>
      <c r="F34" s="33">
        <f>IF(D$12=0,0,D34/D$12)</f>
        <v>0</v>
      </c>
      <c r="G34" s="13"/>
      <c r="H34" s="30">
        <f>+H30-H32</f>
        <v>298.47999999999996</v>
      </c>
      <c r="I34" s="13"/>
      <c r="J34" s="33">
        <f>IF(H$12=0,0,H34/H$12)</f>
        <v>0.10385525400139177</v>
      </c>
      <c r="K34" s="15"/>
      <c r="L34" s="30">
        <f>D34-H34</f>
        <v>-301.92999999999995</v>
      </c>
      <c r="M34" s="15"/>
      <c r="N34" s="33">
        <f>IF(H34=0,0,L34/H34)</f>
        <v>-1.0115585633878317</v>
      </c>
      <c r="O34" s="26"/>
      <c r="P34" s="30">
        <f>+P30-P32</f>
        <v>17.260000000000005</v>
      </c>
      <c r="Q34" s="13"/>
      <c r="R34" s="33">
        <f>IF(P$12=0,0,P34/P$12)</f>
        <v>0.15690909090909094</v>
      </c>
      <c r="S34" s="13"/>
      <c r="T34" s="30">
        <f>+T30-T32</f>
        <v>1358.79</v>
      </c>
      <c r="U34" s="13"/>
      <c r="V34" s="33">
        <f>IF(T$12=0,0,T34/T$12)</f>
        <v>0.25732222327431115</v>
      </c>
      <c r="W34" s="15"/>
      <c r="X34" s="30">
        <f>P34-T34</f>
        <v>-1341.53</v>
      </c>
      <c r="Y34" s="15"/>
      <c r="Z34" s="33">
        <f>IF(T34=0,0,X34/T34)</f>
        <v>-0.98729752206006816</v>
      </c>
    </row>
    <row r="35" spans="1:26" ht="15.75" thickTop="1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x14ac:dyDescent="0.25">
      <c r="A36" s="9"/>
      <c r="B36" s="9"/>
      <c r="C36" s="9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ht="15.75" thickBot="1" x14ac:dyDescent="0.3">
      <c r="A37" s="10"/>
      <c r="B37" s="25" t="s">
        <v>5</v>
      </c>
      <c r="C37" s="25"/>
      <c r="D37" s="34">
        <f>SUM(D34:D36)</f>
        <v>-3.45</v>
      </c>
      <c r="E37" s="13"/>
      <c r="F37" s="35">
        <f>IF(D$12=0,0,D37/D$12)</f>
        <v>0</v>
      </c>
      <c r="G37" s="13"/>
      <c r="H37" s="34">
        <f>SUM(H34:H36)</f>
        <v>298.47999999999996</v>
      </c>
      <c r="I37" s="13"/>
      <c r="J37" s="35">
        <f>IF(H$12=0,0,H37/H$12)</f>
        <v>0.10385525400139177</v>
      </c>
      <c r="K37" s="15"/>
      <c r="L37" s="34">
        <f>+D37-H37</f>
        <v>-301.92999999999995</v>
      </c>
      <c r="M37" s="15"/>
      <c r="N37" s="35">
        <f>IF(H37=0,0,L37/H37)</f>
        <v>-1.0115585633878317</v>
      </c>
      <c r="O37" s="26"/>
      <c r="P37" s="34">
        <f>SUM(P34:P36)</f>
        <v>17.260000000000005</v>
      </c>
      <c r="Q37" s="13"/>
      <c r="R37" s="35">
        <f>IF(P$12=0,0,P37/P$12)</f>
        <v>0.15690909090909094</v>
      </c>
      <c r="S37" s="13"/>
      <c r="T37" s="34">
        <f>SUM(T34:T36)</f>
        <v>1358.79</v>
      </c>
      <c r="U37" s="13"/>
      <c r="V37" s="35">
        <f>IF(T$12=0,0,T37/T$12)</f>
        <v>0.25732222327431115</v>
      </c>
      <c r="W37" s="15"/>
      <c r="X37" s="34">
        <f>+P37-T37</f>
        <v>-1341.53</v>
      </c>
      <c r="Y37" s="15"/>
      <c r="Z37" s="35">
        <f>IF(T37=0,0,X37/T37)</f>
        <v>-0.98729752206006816</v>
      </c>
    </row>
    <row r="38" spans="1:26" ht="15.75" thickTop="1" x14ac:dyDescent="0.25">
      <c r="A38" s="9"/>
      <c r="C38" s="9"/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>
        <v>44151.5726474537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2" t="s">
        <v>313</v>
      </c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A41" s="9"/>
      <c r="B41" s="54"/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  <row r="42" spans="1:26" x14ac:dyDescent="0.25">
      <c r="D42" s="18"/>
      <c r="E42" s="18"/>
      <c r="G42" s="18"/>
      <c r="H42" s="18"/>
      <c r="I42" s="18"/>
      <c r="J42" s="43"/>
      <c r="K42" s="18"/>
      <c r="L42" s="18"/>
      <c r="M42" s="18"/>
      <c r="P42" s="18"/>
      <c r="Q42" s="18"/>
      <c r="R42" s="43"/>
      <c r="S42" s="18"/>
      <c r="T42" s="18"/>
      <c r="U42" s="18"/>
      <c r="V42" s="43"/>
      <c r="W42" s="18"/>
      <c r="X42" s="18"/>
    </row>
  </sheetData>
  <pageMargins left="0.25" right="0.25" top="0.75" bottom="0.75" header="0.3" footer="0.3"/>
  <pageSetup scale="55" fitToWidth="2" orientation="landscape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33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",RIGHT(202104,2),", ",2021)</f>
        <v>Period 04,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44135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309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61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50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50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2"/>
      <c r="F10" s="31" t="s">
        <v>14</v>
      </c>
      <c r="G10" s="32"/>
      <c r="H10" s="49" t="s">
        <v>306</v>
      </c>
      <c r="I10" s="32"/>
      <c r="J10" s="31" t="s">
        <v>14</v>
      </c>
      <c r="K10" s="10"/>
      <c r="L10" s="42" t="s">
        <v>11</v>
      </c>
      <c r="M10" s="10"/>
      <c r="N10" s="31" t="s">
        <v>15</v>
      </c>
      <c r="O10" s="10"/>
      <c r="P10" s="59" t="s">
        <v>10</v>
      </c>
      <c r="Q10" s="32"/>
      <c r="R10" s="31" t="s">
        <v>14</v>
      </c>
      <c r="S10" s="32"/>
      <c r="T10" s="49" t="s">
        <v>306</v>
      </c>
      <c r="U10" s="32"/>
      <c r="V10" s="31" t="s">
        <v>14</v>
      </c>
      <c r="W10" s="10"/>
      <c r="X10" s="42" t="s">
        <v>11</v>
      </c>
      <c r="Y10" s="10"/>
      <c r="Z10" s="31" t="s">
        <v>15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195671.71999999997</v>
      </c>
      <c r="E12" s="4"/>
      <c r="F12" s="12"/>
      <c r="G12" s="4"/>
      <c r="H12" s="4">
        <f>SUM(OSRRefH13x_0)</f>
        <v>2541778.2600000002</v>
      </c>
      <c r="I12" s="4"/>
      <c r="J12" s="12"/>
      <c r="K12" s="4"/>
      <c r="L12" s="4">
        <f t="shared" ref="L12:L22" si="0">+D12-H12</f>
        <v>-2346106.54</v>
      </c>
      <c r="M12" s="4"/>
      <c r="N12" s="12">
        <f t="shared" ref="N12:N22" si="1">IF(H12=0,0,L12/H12)</f>
        <v>-0.92301778519421274</v>
      </c>
      <c r="O12" s="10"/>
      <c r="P12" s="4">
        <f>SUM(OSRRefP13x_0)</f>
        <v>501554.2</v>
      </c>
      <c r="Q12" s="4"/>
      <c r="R12" s="12"/>
      <c r="S12" s="4"/>
      <c r="T12" s="4">
        <f>SUM(OSRRefT13x_0)</f>
        <v>6256973.4099999992</v>
      </c>
      <c r="U12" s="4"/>
      <c r="V12" s="12"/>
      <c r="W12" s="4"/>
      <c r="X12" s="4">
        <f t="shared" ref="X12:X22" si="2">+P12-T12</f>
        <v>-5755419.209999999</v>
      </c>
      <c r="Y12" s="4"/>
      <c r="Z12" s="12">
        <f t="shared" ref="Z12:Z22" si="3">IF(T12=0,0,X12/T12)</f>
        <v>-0.91984076531340087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--6097.26</f>
        <v>6097.26</v>
      </c>
      <c r="E13" s="2"/>
      <c r="F13" s="19"/>
      <c r="G13" s="2"/>
      <c r="H13" s="2">
        <f>--89845.91</f>
        <v>89845.91</v>
      </c>
      <c r="I13" s="2"/>
      <c r="J13" s="19"/>
      <c r="K13" s="2"/>
      <c r="L13" s="2">
        <f t="shared" si="0"/>
        <v>-83748.650000000009</v>
      </c>
      <c r="M13" s="2"/>
      <c r="N13" s="19">
        <f t="shared" si="1"/>
        <v>-0.93213647677451328</v>
      </c>
      <c r="O13" s="11"/>
      <c r="P13" s="2">
        <f>--12749.94</f>
        <v>12749.94</v>
      </c>
      <c r="Q13" s="2"/>
      <c r="R13" s="19"/>
      <c r="S13" s="2"/>
      <c r="T13" s="2">
        <f>--225616.67</f>
        <v>225616.67</v>
      </c>
      <c r="U13" s="2"/>
      <c r="V13" s="19"/>
      <c r="W13" s="2"/>
      <c r="X13" s="2">
        <f t="shared" si="2"/>
        <v>-212866.73</v>
      </c>
      <c r="Y13" s="2"/>
      <c r="Z13" s="19">
        <f t="shared" si="3"/>
        <v>-0.94348848425074261</v>
      </c>
    </row>
    <row r="14" spans="1:26" s="24" customFormat="1" hidden="1" outlineLevel="1" x14ac:dyDescent="0.25">
      <c r="A14" s="44"/>
      <c r="B14" s="11" t="str">
        <f>CONCATENATE("          ", "4052", " - ", "TAXABLE SALES-FOOD")</f>
        <v xml:space="preserve">          4052 - TAXABLE SALES-FOOD</v>
      </c>
      <c r="C14" s="11"/>
      <c r="D14" s="2">
        <f>--30231.29</f>
        <v>30231.29</v>
      </c>
      <c r="E14" s="2"/>
      <c r="F14" s="19"/>
      <c r="G14" s="2"/>
      <c r="H14" s="2">
        <f>--115316.39</f>
        <v>115316.39</v>
      </c>
      <c r="I14" s="2"/>
      <c r="J14" s="19"/>
      <c r="K14" s="2"/>
      <c r="L14" s="2">
        <f t="shared" si="0"/>
        <v>-85085.1</v>
      </c>
      <c r="M14" s="2"/>
      <c r="N14" s="19">
        <f t="shared" si="1"/>
        <v>-0.73784047523513363</v>
      </c>
      <c r="O14" s="11"/>
      <c r="P14" s="2">
        <f>--30231.29</f>
        <v>30231.29</v>
      </c>
      <c r="Q14" s="2"/>
      <c r="R14" s="19"/>
      <c r="S14" s="2"/>
      <c r="T14" s="2">
        <f>--368822.4</f>
        <v>368822.4</v>
      </c>
      <c r="U14" s="2"/>
      <c r="V14" s="19"/>
      <c r="W14" s="2"/>
      <c r="X14" s="2">
        <f t="shared" si="2"/>
        <v>-338591.11000000004</v>
      </c>
      <c r="Y14" s="2"/>
      <c r="Z14" s="19">
        <f t="shared" si="3"/>
        <v>-0.91803293400834662</v>
      </c>
    </row>
    <row r="15" spans="1:26" s="24" customFormat="1" hidden="1" outlineLevel="1" x14ac:dyDescent="0.25">
      <c r="A15" s="44"/>
      <c r="B15" s="11" t="str">
        <f>CONCATENATE("          ", "4053", " - ", "TAXABLE SALES-FOOD")</f>
        <v xml:space="preserve">          4053 - TAXABLE SALES-FOOD</v>
      </c>
      <c r="C15" s="11"/>
      <c r="D15" s="2">
        <f t="shared" ref="D15:D17" si="4">0</f>
        <v>0</v>
      </c>
      <c r="E15" s="2"/>
      <c r="F15" s="19"/>
      <c r="G15" s="2"/>
      <c r="H15" s="2">
        <f>--19711.97</f>
        <v>19711.97</v>
      </c>
      <c r="I15" s="2"/>
      <c r="J15" s="19"/>
      <c r="K15" s="2"/>
      <c r="L15" s="2">
        <f t="shared" si="0"/>
        <v>-19711.97</v>
      </c>
      <c r="M15" s="2"/>
      <c r="N15" s="19">
        <f t="shared" si="1"/>
        <v>-1</v>
      </c>
      <c r="O15" s="11"/>
      <c r="P15" s="2">
        <f>--402.44</f>
        <v>402.44</v>
      </c>
      <c r="Q15" s="2"/>
      <c r="R15" s="19"/>
      <c r="S15" s="2"/>
      <c r="T15" s="2">
        <f>--69878.4</f>
        <v>69878.399999999994</v>
      </c>
      <c r="U15" s="2"/>
      <c r="V15" s="19"/>
      <c r="W15" s="2"/>
      <c r="X15" s="2">
        <f t="shared" si="2"/>
        <v>-69475.959999999992</v>
      </c>
      <c r="Y15" s="2"/>
      <c r="Z15" s="19">
        <f t="shared" si="3"/>
        <v>-0.99424085268122908</v>
      </c>
    </row>
    <row r="16" spans="1:26" s="24" customFormat="1" hidden="1" outlineLevel="1" x14ac:dyDescent="0.25">
      <c r="A16" s="44"/>
      <c r="B16" s="11" t="str">
        <f>CONCATENATE("          ", "4055", " - ", "TAXABLE SALES-FOOD")</f>
        <v xml:space="preserve">          4055 - TAXABLE SALES-FOOD</v>
      </c>
      <c r="C16" s="11"/>
      <c r="D16" s="2">
        <f t="shared" si="4"/>
        <v>0</v>
      </c>
      <c r="E16" s="2"/>
      <c r="F16" s="19"/>
      <c r="G16" s="2"/>
      <c r="H16" s="2">
        <f>--75527.74</f>
        <v>75527.740000000005</v>
      </c>
      <c r="I16" s="2"/>
      <c r="J16" s="19"/>
      <c r="K16" s="2"/>
      <c r="L16" s="2">
        <f t="shared" si="0"/>
        <v>-75527.740000000005</v>
      </c>
      <c r="M16" s="2"/>
      <c r="N16" s="19">
        <f t="shared" si="1"/>
        <v>-1</v>
      </c>
      <c r="O16" s="11"/>
      <c r="P16" s="2">
        <f>0</f>
        <v>0</v>
      </c>
      <c r="Q16" s="2"/>
      <c r="R16" s="19"/>
      <c r="S16" s="2"/>
      <c r="T16" s="2">
        <f>--186642.74</f>
        <v>186642.74</v>
      </c>
      <c r="U16" s="2"/>
      <c r="V16" s="19"/>
      <c r="W16" s="2"/>
      <c r="X16" s="2">
        <f t="shared" si="2"/>
        <v>-186642.74</v>
      </c>
      <c r="Y16" s="2"/>
      <c r="Z16" s="19">
        <f t="shared" si="3"/>
        <v>-1</v>
      </c>
    </row>
    <row r="17" spans="1:26" s="24" customFormat="1" hidden="1" outlineLevel="1" x14ac:dyDescent="0.25">
      <c r="A17" s="44"/>
      <c r="B17" s="11" t="str">
        <f>CONCATENATE("          ", "4058", " - ", "TAXABLE SALES-FOOD")</f>
        <v xml:space="preserve">          4058 - TAXABLE SALES-FOOD</v>
      </c>
      <c r="C17" s="11"/>
      <c r="D17" s="2">
        <f t="shared" si="4"/>
        <v>0</v>
      </c>
      <c r="E17" s="2"/>
      <c r="F17" s="19"/>
      <c r="G17" s="2"/>
      <c r="H17" s="2">
        <f>--21855.03</f>
        <v>21855.03</v>
      </c>
      <c r="I17" s="2"/>
      <c r="J17" s="19"/>
      <c r="K17" s="2"/>
      <c r="L17" s="2">
        <f t="shared" si="0"/>
        <v>-21855.03</v>
      </c>
      <c r="M17" s="2"/>
      <c r="N17" s="19">
        <f t="shared" si="1"/>
        <v>-1</v>
      </c>
      <c r="O17" s="11"/>
      <c r="P17" s="2">
        <f>--974.91</f>
        <v>974.91</v>
      </c>
      <c r="Q17" s="2"/>
      <c r="R17" s="19"/>
      <c r="S17" s="2"/>
      <c r="T17" s="2">
        <f>--64145.93</f>
        <v>64145.93</v>
      </c>
      <c r="U17" s="2"/>
      <c r="V17" s="19"/>
      <c r="W17" s="2"/>
      <c r="X17" s="2">
        <f t="shared" si="2"/>
        <v>-63171.02</v>
      </c>
      <c r="Y17" s="2"/>
      <c r="Z17" s="19">
        <f t="shared" si="3"/>
        <v>-0.98480168578115546</v>
      </c>
    </row>
    <row r="18" spans="1:26" s="24" customFormat="1" hidden="1" outlineLevel="1" x14ac:dyDescent="0.25">
      <c r="A18" s="44"/>
      <c r="B18" s="11" t="str">
        <f>CONCATENATE("          ", "4151", " - ", "NON-TAXABLE SALES-FOOD")</f>
        <v xml:space="preserve">          4151 - NON-TAXABLE SALES-FOOD</v>
      </c>
      <c r="C18" s="11"/>
      <c r="D18" s="2">
        <f>--173820.37</f>
        <v>173820.37</v>
      </c>
      <c r="E18" s="2"/>
      <c r="F18" s="19"/>
      <c r="G18" s="2"/>
      <c r="H18" s="2">
        <f>--1934030.88</f>
        <v>1934030.88</v>
      </c>
      <c r="I18" s="2"/>
      <c r="J18" s="19"/>
      <c r="K18" s="2"/>
      <c r="L18" s="2">
        <f t="shared" si="0"/>
        <v>-1760210.5099999998</v>
      </c>
      <c r="M18" s="2"/>
      <c r="N18" s="19">
        <f t="shared" si="1"/>
        <v>-0.91012533884670954</v>
      </c>
      <c r="O18" s="11"/>
      <c r="P18" s="2">
        <f>--441429.04</f>
        <v>441429.04</v>
      </c>
      <c r="Q18" s="2"/>
      <c r="R18" s="19"/>
      <c r="S18" s="2"/>
      <c r="T18" s="2">
        <f>--4585030.01</f>
        <v>4585030.01</v>
      </c>
      <c r="U18" s="2"/>
      <c r="V18" s="19"/>
      <c r="W18" s="2"/>
      <c r="X18" s="2">
        <f t="shared" si="2"/>
        <v>-4143600.9699999997</v>
      </c>
      <c r="Y18" s="2"/>
      <c r="Z18" s="19">
        <f t="shared" si="3"/>
        <v>-0.90372384934509953</v>
      </c>
    </row>
    <row r="19" spans="1:26" s="24" customFormat="1" hidden="1" outlineLevel="1" x14ac:dyDescent="0.25">
      <c r="A19" s="44"/>
      <c r="B19" s="11" t="str">
        <f>CONCATENATE("          ", "4152", " - ", "NON-TAXABLE SALES-FOOD")</f>
        <v xml:space="preserve">          4152 - NON-TAXABLE SALES-FOOD</v>
      </c>
      <c r="C19" s="11"/>
      <c r="D19" s="2">
        <f>0</f>
        <v>0</v>
      </c>
      <c r="E19" s="2"/>
      <c r="F19" s="19"/>
      <c r="G19" s="2"/>
      <c r="H19" s="2">
        <f>--9149.73</f>
        <v>9149.73</v>
      </c>
      <c r="I19" s="2"/>
      <c r="J19" s="19"/>
      <c r="K19" s="2"/>
      <c r="L19" s="2">
        <f t="shared" si="0"/>
        <v>-9149.73</v>
      </c>
      <c r="M19" s="2"/>
      <c r="N19" s="19">
        <f t="shared" si="1"/>
        <v>-1</v>
      </c>
      <c r="O19" s="11"/>
      <c r="P19" s="2">
        <f>0</f>
        <v>0</v>
      </c>
      <c r="Q19" s="2"/>
      <c r="R19" s="19"/>
      <c r="S19" s="2"/>
      <c r="T19" s="2">
        <f>--24938.79</f>
        <v>24938.79</v>
      </c>
      <c r="U19" s="2"/>
      <c r="V19" s="19"/>
      <c r="W19" s="2"/>
      <c r="X19" s="2">
        <f t="shared" si="2"/>
        <v>-24938.79</v>
      </c>
      <c r="Y19" s="2"/>
      <c r="Z19" s="19">
        <f t="shared" si="3"/>
        <v>-1</v>
      </c>
    </row>
    <row r="20" spans="1:26" s="24" customFormat="1" hidden="1" outlineLevel="1" x14ac:dyDescent="0.25">
      <c r="A20" s="44"/>
      <c r="B20" s="11" t="str">
        <f>CONCATENATE("          ", "4153", " - ", "NON-TAXABLE SALES-FOOD")</f>
        <v xml:space="preserve">          4153 - NON-TAXABLE SALES-FOOD</v>
      </c>
      <c r="C20" s="11"/>
      <c r="D20" s="2">
        <f>-14477.2</f>
        <v>-14477.2</v>
      </c>
      <c r="E20" s="2"/>
      <c r="F20" s="19"/>
      <c r="G20" s="2"/>
      <c r="H20" s="2">
        <f>--30502.48</f>
        <v>30502.48</v>
      </c>
      <c r="I20" s="2"/>
      <c r="J20" s="19"/>
      <c r="K20" s="2"/>
      <c r="L20" s="2">
        <f t="shared" si="0"/>
        <v>-44979.68</v>
      </c>
      <c r="M20" s="2"/>
      <c r="N20" s="19">
        <f t="shared" si="1"/>
        <v>-1.4746237027284339</v>
      </c>
      <c r="O20" s="11"/>
      <c r="P20" s="2">
        <f>--15766.58</f>
        <v>15766.58</v>
      </c>
      <c r="Q20" s="2"/>
      <c r="R20" s="19"/>
      <c r="S20" s="2"/>
      <c r="T20" s="2">
        <f>--189788.06</f>
        <v>189788.06</v>
      </c>
      <c r="U20" s="2"/>
      <c r="V20" s="19"/>
      <c r="W20" s="2"/>
      <c r="X20" s="2">
        <f t="shared" si="2"/>
        <v>-174021.48</v>
      </c>
      <c r="Y20" s="2"/>
      <c r="Z20" s="19">
        <f t="shared" si="3"/>
        <v>-0.9169253323944615</v>
      </c>
    </row>
    <row r="21" spans="1:26" s="24" customFormat="1" hidden="1" outlineLevel="1" x14ac:dyDescent="0.25">
      <c r="A21" s="44"/>
      <c r="B21" s="11" t="str">
        <f>CONCATENATE("          ", "4155", " - ", "NON-TAXABLE SALES-FOOD")</f>
        <v xml:space="preserve">          4155 - NON-TAXABLE SALES-FOOD</v>
      </c>
      <c r="C21" s="11"/>
      <c r="D21" s="2">
        <f t="shared" ref="D21:D22" si="5">0</f>
        <v>0</v>
      </c>
      <c r="E21" s="2"/>
      <c r="F21" s="19"/>
      <c r="G21" s="2"/>
      <c r="H21" s="2">
        <f>--150364.49</f>
        <v>150364.49</v>
      </c>
      <c r="I21" s="2"/>
      <c r="J21" s="19"/>
      <c r="K21" s="2"/>
      <c r="L21" s="2">
        <f t="shared" si="0"/>
        <v>-150364.49</v>
      </c>
      <c r="M21" s="2"/>
      <c r="N21" s="19">
        <f t="shared" si="1"/>
        <v>-1</v>
      </c>
      <c r="O21" s="11"/>
      <c r="P21" s="2">
        <f t="shared" ref="P21:P22" si="6">0</f>
        <v>0</v>
      </c>
      <c r="Q21" s="2"/>
      <c r="R21" s="19"/>
      <c r="S21" s="2"/>
      <c r="T21" s="2">
        <f>--334390.14</f>
        <v>334390.14</v>
      </c>
      <c r="U21" s="2"/>
      <c r="V21" s="19"/>
      <c r="W21" s="2"/>
      <c r="X21" s="2">
        <f t="shared" si="2"/>
        <v>-334390.14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"4158", " - ", "NON-TAXABLE SALES-FOOD")</f>
        <v xml:space="preserve">          4158 - NON-TAXABLE SALES-FOOD</v>
      </c>
      <c r="C22" s="11"/>
      <c r="D22" s="2">
        <f t="shared" si="5"/>
        <v>0</v>
      </c>
      <c r="E22" s="2"/>
      <c r="F22" s="19"/>
      <c r="G22" s="2"/>
      <c r="H22" s="2">
        <f>--95473.64</f>
        <v>95473.64</v>
      </c>
      <c r="I22" s="2"/>
      <c r="J22" s="19"/>
      <c r="K22" s="2"/>
      <c r="L22" s="2">
        <f t="shared" si="0"/>
        <v>-95473.64</v>
      </c>
      <c r="M22" s="2"/>
      <c r="N22" s="19">
        <f t="shared" si="1"/>
        <v>-1</v>
      </c>
      <c r="O22" s="11"/>
      <c r="P22" s="2">
        <f t="shared" si="6"/>
        <v>0</v>
      </c>
      <c r="Q22" s="2"/>
      <c r="R22" s="19"/>
      <c r="S22" s="2"/>
      <c r="T22" s="2">
        <f>--207720.27</f>
        <v>207720.27</v>
      </c>
      <c r="U22" s="2"/>
      <c r="V22" s="19"/>
      <c r="W22" s="2"/>
      <c r="X22" s="2">
        <f t="shared" si="2"/>
        <v>-207720.27</v>
      </c>
      <c r="Y22" s="2"/>
      <c r="Z22" s="19">
        <f t="shared" si="3"/>
        <v>-1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collapsed="1" x14ac:dyDescent="0.25">
      <c r="A24" s="10"/>
      <c r="B24" s="26" t="s">
        <v>8</v>
      </c>
      <c r="C24" s="10"/>
      <c r="D24" s="4">
        <f>SUM(OSRRefD16x_0)</f>
        <v>79382</v>
      </c>
      <c r="E24" s="4"/>
      <c r="F24" s="12">
        <f t="shared" ref="F24:F26" si="7">IF(D$12=0,0,D24/D$12)</f>
        <v>0.40568969292036688</v>
      </c>
      <c r="G24" s="4"/>
      <c r="H24" s="4">
        <f>SUM(OSRRefH16x_0)</f>
        <v>644493.49</v>
      </c>
      <c r="I24" s="4"/>
      <c r="J24" s="12">
        <f t="shared" ref="J24:J26" si="8">IF(H$12=0,0,H24/H$12)</f>
        <v>0.2535600764796847</v>
      </c>
      <c r="K24" s="4"/>
      <c r="L24" s="4">
        <f t="shared" ref="L24:L26" si="9">+D24-H24</f>
        <v>-565111.49</v>
      </c>
      <c r="M24" s="4"/>
      <c r="N24" s="12">
        <f t="shared" ref="N24:N26" si="10">IF(H24=0,0,L24/H24)</f>
        <v>-0.87683040832576908</v>
      </c>
      <c r="O24" s="10"/>
      <c r="P24" s="4">
        <f>SUM(OSRRefP16x_0)</f>
        <v>186807.24</v>
      </c>
      <c r="Q24" s="4"/>
      <c r="R24" s="12">
        <f t="shared" ref="R24:R26" si="11">IF(P$12=0,0,P24/P$12)</f>
        <v>0.37245673548342328</v>
      </c>
      <c r="S24" s="4"/>
      <c r="T24" s="4">
        <f>SUM(OSRRefT16x_0)</f>
        <v>1695475.75</v>
      </c>
      <c r="U24" s="4"/>
      <c r="V24" s="12">
        <f t="shared" ref="V24:V26" si="12">IF(T$12=0,0,T24/T$12)</f>
        <v>0.27097378219480084</v>
      </c>
      <c r="W24" s="4"/>
      <c r="X24" s="4">
        <f t="shared" ref="X24:X26" si="13">+P24-T24</f>
        <v>-1508668.51</v>
      </c>
      <c r="Y24" s="4"/>
      <c r="Z24" s="12">
        <f t="shared" ref="Z24:Z26" si="14">IF(T24=0,0,X24/T24)</f>
        <v>-0.88982016404540143</v>
      </c>
    </row>
    <row r="25" spans="1:26" s="24" customFormat="1" hidden="1" outlineLevel="1" x14ac:dyDescent="0.25">
      <c r="A25" s="44"/>
      <c r="B25" s="11" t="str">
        <f>CONCATENATE("          ", "5053", " - ", "PURCHASES @ COST-FOOD")</f>
        <v xml:space="preserve">          5053 - PURCHASES @ COST-FOOD</v>
      </c>
      <c r="C25" s="11"/>
      <c r="D25" s="2">
        <v>65171.100000000006</v>
      </c>
      <c r="E25" s="2"/>
      <c r="F25" s="19">
        <f t="shared" si="7"/>
        <v>0.33306345955358296</v>
      </c>
      <c r="G25" s="2"/>
      <c r="H25" s="2">
        <v>681644.24</v>
      </c>
      <c r="I25" s="2"/>
      <c r="J25" s="19">
        <f t="shared" si="8"/>
        <v>0.26817612327835394</v>
      </c>
      <c r="K25" s="2"/>
      <c r="L25" s="2">
        <f t="shared" si="9"/>
        <v>-616473.14</v>
      </c>
      <c r="M25" s="2"/>
      <c r="N25" s="19">
        <f t="shared" si="10"/>
        <v>-0.90439132882572293</v>
      </c>
      <c r="O25" s="11"/>
      <c r="P25" s="2">
        <v>195536.86</v>
      </c>
      <c r="Q25" s="2"/>
      <c r="R25" s="19">
        <f t="shared" si="11"/>
        <v>0.38986187335286993</v>
      </c>
      <c r="S25" s="2"/>
      <c r="T25" s="2">
        <v>1761416.41</v>
      </c>
      <c r="U25" s="2"/>
      <c r="V25" s="19">
        <f t="shared" si="12"/>
        <v>0.28151252923416215</v>
      </c>
      <c r="W25" s="2"/>
      <c r="X25" s="2">
        <f t="shared" si="13"/>
        <v>-1565879.5499999998</v>
      </c>
      <c r="Y25" s="2"/>
      <c r="Z25" s="19">
        <f t="shared" si="14"/>
        <v>-0.88898885073972933</v>
      </c>
    </row>
    <row r="26" spans="1:26" s="24" customFormat="1" hidden="1" outlineLevel="1" x14ac:dyDescent="0.25">
      <c r="A26" s="44"/>
      <c r="B26" s="11" t="str">
        <f>CONCATENATE("          ", "5059", " - ", "PURCHASES @ COST-FOOD")</f>
        <v xml:space="preserve">          5059 - PURCHASES @ COST-FOOD</v>
      </c>
      <c r="C26" s="11"/>
      <c r="D26" s="2">
        <v>14210.9</v>
      </c>
      <c r="E26" s="2"/>
      <c r="F26" s="19">
        <f t="shared" si="7"/>
        <v>7.2626233366783921E-2</v>
      </c>
      <c r="G26" s="2"/>
      <c r="H26" s="2">
        <v>-37150.75</v>
      </c>
      <c r="I26" s="2"/>
      <c r="J26" s="19">
        <f t="shared" si="8"/>
        <v>-1.4616046798669211E-2</v>
      </c>
      <c r="K26" s="2"/>
      <c r="L26" s="2">
        <f t="shared" si="9"/>
        <v>51361.65</v>
      </c>
      <c r="M26" s="2"/>
      <c r="N26" s="19">
        <f t="shared" si="10"/>
        <v>-1.3825198683741244</v>
      </c>
      <c r="O26" s="11"/>
      <c r="P26" s="2">
        <v>-8729.6200000000008</v>
      </c>
      <c r="Q26" s="2"/>
      <c r="R26" s="19">
        <f t="shared" si="11"/>
        <v>-1.7405137869446613E-2</v>
      </c>
      <c r="S26" s="2"/>
      <c r="T26" s="2">
        <v>-65940.66</v>
      </c>
      <c r="U26" s="2"/>
      <c r="V26" s="19">
        <f t="shared" si="12"/>
        <v>-1.0538747039361321E-2</v>
      </c>
      <c r="W26" s="2"/>
      <c r="X26" s="2">
        <f t="shared" si="13"/>
        <v>57211.040000000001</v>
      </c>
      <c r="Y26" s="2"/>
      <c r="Z26" s="19">
        <f t="shared" si="14"/>
        <v>-0.86761400325686755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10"/>
      <c r="B28" s="25" t="s">
        <v>6</v>
      </c>
      <c r="C28" s="25"/>
      <c r="D28" s="20">
        <f>D12-D24</f>
        <v>116289.71999999997</v>
      </c>
      <c r="E28" s="13"/>
      <c r="F28" s="21">
        <f>IF(D$12=0,0,D28/D$12)</f>
        <v>0.59431030707963306</v>
      </c>
      <c r="G28" s="13"/>
      <c r="H28" s="20">
        <f>H12-H24</f>
        <v>1897284.7700000003</v>
      </c>
      <c r="I28" s="13"/>
      <c r="J28" s="21">
        <f>IF(H$12=0,0,H28/H$12)</f>
        <v>0.7464399235203153</v>
      </c>
      <c r="K28" s="15"/>
      <c r="L28" s="20">
        <f>+D28-H28</f>
        <v>-1780995.0500000003</v>
      </c>
      <c r="M28" s="15"/>
      <c r="N28" s="21">
        <f>IF(H28=0,0,L28/H28)</f>
        <v>-0.93870729273813758</v>
      </c>
      <c r="O28" s="26"/>
      <c r="P28" s="20">
        <f>P12-P24</f>
        <v>314746.96000000002</v>
      </c>
      <c r="Q28" s="13"/>
      <c r="R28" s="21">
        <f>IF(P$12=0,0,P28/P$12)</f>
        <v>0.62754326451657672</v>
      </c>
      <c r="S28" s="13"/>
      <c r="T28" s="20">
        <f>T12-T24</f>
        <v>4561497.6599999992</v>
      </c>
      <c r="U28" s="13"/>
      <c r="V28" s="21">
        <f>IF(T$12=0,0,T28/T$12)</f>
        <v>0.72902621780519916</v>
      </c>
      <c r="W28" s="15"/>
      <c r="X28" s="20">
        <f>+P28-T28</f>
        <v>-4246750.6999999993</v>
      </c>
      <c r="Y28" s="15"/>
      <c r="Z28" s="21">
        <f>IF(T28=0,0,X28/T28)</f>
        <v>-0.93099920608092557</v>
      </c>
    </row>
    <row r="29" spans="1:26" x14ac:dyDescent="0.25">
      <c r="A29" s="9"/>
      <c r="B29" s="10"/>
      <c r="C29" s="9"/>
      <c r="D29" s="1"/>
      <c r="E29" s="1"/>
      <c r="F29" s="5"/>
      <c r="G29" s="1"/>
      <c r="H29" s="1"/>
      <c r="I29" s="1"/>
      <c r="J29" s="5"/>
      <c r="K29" s="1"/>
      <c r="L29" s="1"/>
      <c r="M29" s="1"/>
      <c r="N29" s="5"/>
      <c r="O29" s="37"/>
      <c r="P29" s="1"/>
      <c r="Q29" s="1"/>
      <c r="R29" s="5"/>
      <c r="S29" s="1"/>
      <c r="T29" s="1"/>
      <c r="U29" s="1"/>
      <c r="V29" s="5"/>
      <c r="W29" s="1"/>
      <c r="X29" s="1"/>
      <c r="Y29" s="1"/>
      <c r="Z29" s="5"/>
    </row>
    <row r="30" spans="1:26" s="23" customFormat="1" x14ac:dyDescent="0.25">
      <c r="A30" s="10"/>
      <c r="B30" s="26" t="s">
        <v>9</v>
      </c>
      <c r="C30" s="10"/>
      <c r="D30" s="22">
        <f>SUM(OSRRefD22x_0)</f>
        <v>405482.77999999997</v>
      </c>
      <c r="E30" s="22"/>
      <c r="F30" s="36">
        <f t="shared" ref="F30:F40" si="15">IF(D$12=0,0,D30/D$12)</f>
        <v>2.0722605187913716</v>
      </c>
      <c r="G30" s="22"/>
      <c r="H30" s="22">
        <f>SUM(OSRRefH22x_0)</f>
        <v>1274352.1500000001</v>
      </c>
      <c r="I30" s="22"/>
      <c r="J30" s="36">
        <f t="shared" ref="J30:J40" si="16">IF(H$12=0,0,H30/H$12)</f>
        <v>0.50136243985342765</v>
      </c>
      <c r="K30" s="4"/>
      <c r="L30" s="22">
        <f t="shared" ref="L30:L40" si="17">+D30-H30</f>
        <v>-868869.37000000011</v>
      </c>
      <c r="M30" s="4"/>
      <c r="N30" s="36">
        <f t="shared" ref="N30:N40" si="18">IF(H30=0,0,L30/H30)</f>
        <v>-0.68181261356996181</v>
      </c>
      <c r="O30" s="10"/>
      <c r="P30" s="22">
        <f>SUM(OSRRefP22x_0)</f>
        <v>1361191.47</v>
      </c>
      <c r="Q30" s="22"/>
      <c r="R30" s="36">
        <f t="shared" ref="R30:R40" si="19">IF(P$12=0,0,P30/P$12)</f>
        <v>2.7139469074329354</v>
      </c>
      <c r="S30" s="22"/>
      <c r="T30" s="22">
        <f>SUM(OSRRefT22x_0)</f>
        <v>3945222.07</v>
      </c>
      <c r="U30" s="22"/>
      <c r="V30" s="36">
        <f t="shared" ref="V30:V40" si="20">IF(T$12=0,0,T30/T$12)</f>
        <v>0.63053201787539648</v>
      </c>
      <c r="W30" s="4"/>
      <c r="X30" s="22">
        <f t="shared" ref="X30:X40" si="21">+P30-T30</f>
        <v>-2584030.5999999996</v>
      </c>
      <c r="Y30" s="4"/>
      <c r="Z30" s="36">
        <f t="shared" ref="Z30:Z40" si="22">IF(T30=0,0,X30/T30)</f>
        <v>-0.65497722413379877</v>
      </c>
    </row>
    <row r="31" spans="1:26" s="29" customFormat="1" outlineLevel="1" collapsed="1" x14ac:dyDescent="0.25">
      <c r="A31" s="27"/>
      <c r="B31" s="14" t="str">
        <f>CONCATENATE("     ","*Benefits                                         ")</f>
        <v xml:space="preserve">     *Benefits                                         </v>
      </c>
      <c r="C31" s="14"/>
      <c r="D31" s="1">
        <f>SUM(OSRRefD22_0x_0)</f>
        <v>109909.59</v>
      </c>
      <c r="E31" s="1"/>
      <c r="F31" s="5">
        <f t="shared" si="15"/>
        <v>0.56170401118771796</v>
      </c>
      <c r="G31" s="1"/>
      <c r="H31" s="1">
        <f>SUM(OSRRefH22_0x_0)</f>
        <v>171099.82</v>
      </c>
      <c r="I31" s="1"/>
      <c r="J31" s="5">
        <f t="shared" si="16"/>
        <v>6.7315006463230978E-2</v>
      </c>
      <c r="K31" s="1"/>
      <c r="L31" s="1">
        <f t="shared" si="17"/>
        <v>-61190.23000000001</v>
      </c>
      <c r="M31" s="1"/>
      <c r="N31" s="5">
        <f t="shared" si="18"/>
        <v>-0.35762883911859178</v>
      </c>
      <c r="O31" s="14"/>
      <c r="P31" s="1">
        <f>SUM(OSRRefP22_0x_0)</f>
        <v>398867.56</v>
      </c>
      <c r="Q31" s="1"/>
      <c r="R31" s="5">
        <f t="shared" si="19"/>
        <v>0.79526312410503186</v>
      </c>
      <c r="S31" s="1"/>
      <c r="T31" s="1">
        <f>SUM(OSRRefT22_0x_0)</f>
        <v>651217.72</v>
      </c>
      <c r="U31" s="1"/>
      <c r="V31" s="5">
        <f t="shared" si="20"/>
        <v>0.1040787098374452</v>
      </c>
      <c r="W31" s="1"/>
      <c r="X31" s="1">
        <f t="shared" si="21"/>
        <v>-252350.15999999997</v>
      </c>
      <c r="Y31" s="1"/>
      <c r="Z31" s="5">
        <f t="shared" si="22"/>
        <v>-0.38750505744837532</v>
      </c>
    </row>
    <row r="32" spans="1:26" s="24" customFormat="1" hidden="1" outlineLevel="2" x14ac:dyDescent="0.25">
      <c r="A32" s="28"/>
      <c r="B32" s="11" t="str">
        <f>CONCATENATE("          ", "6111", " - ", "F.I.C.A.")</f>
        <v xml:space="preserve">          6111 - F.I.C.A.</v>
      </c>
      <c r="C32" s="11"/>
      <c r="D32" s="6">
        <v>17524.48</v>
      </c>
      <c r="E32" s="2"/>
      <c r="F32" s="7">
        <f t="shared" si="15"/>
        <v>8.9560617139768595E-2</v>
      </c>
      <c r="G32" s="2"/>
      <c r="H32" s="6">
        <v>45910.49</v>
      </c>
      <c r="I32" s="2"/>
      <c r="J32" s="7">
        <f t="shared" si="16"/>
        <v>1.8062350568692011E-2</v>
      </c>
      <c r="K32" s="2"/>
      <c r="L32" s="6">
        <f t="shared" si="17"/>
        <v>-28386.01</v>
      </c>
      <c r="M32" s="2"/>
      <c r="N32" s="7">
        <f t="shared" si="18"/>
        <v>-0.61829028616335835</v>
      </c>
      <c r="O32" s="11"/>
      <c r="P32" s="6">
        <v>46530.55</v>
      </c>
      <c r="Q32" s="2"/>
      <c r="R32" s="7">
        <f t="shared" si="19"/>
        <v>9.2772725260799341E-2</v>
      </c>
      <c r="S32" s="2"/>
      <c r="T32" s="6">
        <v>119466.15000000001</v>
      </c>
      <c r="U32" s="2"/>
      <c r="V32" s="7">
        <f t="shared" si="20"/>
        <v>1.9093280756006924E-2</v>
      </c>
      <c r="W32" s="2"/>
      <c r="X32" s="6">
        <f t="shared" si="21"/>
        <v>-72935.600000000006</v>
      </c>
      <c r="Y32" s="2"/>
      <c r="Z32" s="7">
        <f t="shared" si="22"/>
        <v>-0.61051268497394451</v>
      </c>
    </row>
    <row r="33" spans="1:26" s="24" customFormat="1" hidden="1" outlineLevel="2" x14ac:dyDescent="0.25">
      <c r="A33" s="28"/>
      <c r="B33" s="11" t="str">
        <f>CONCATENATE("          ", "6112", " - ", "COMPENSATION INSURANCE")</f>
        <v xml:space="preserve">          6112 - COMPENSATION INSURANCE</v>
      </c>
      <c r="C33" s="11"/>
      <c r="D33" s="6">
        <v>5487.9</v>
      </c>
      <c r="E33" s="2"/>
      <c r="F33" s="7">
        <f t="shared" si="15"/>
        <v>2.8046464762511415E-2</v>
      </c>
      <c r="G33" s="2"/>
      <c r="H33" s="6">
        <v>-3683.27</v>
      </c>
      <c r="I33" s="2"/>
      <c r="J33" s="7">
        <f t="shared" si="16"/>
        <v>-1.4490917866297273E-3</v>
      </c>
      <c r="K33" s="2"/>
      <c r="L33" s="6">
        <f t="shared" si="17"/>
        <v>9171.17</v>
      </c>
      <c r="M33" s="2"/>
      <c r="N33" s="7">
        <f t="shared" si="18"/>
        <v>-2.489953220915111</v>
      </c>
      <c r="O33" s="11"/>
      <c r="P33" s="6">
        <v>20204.73</v>
      </c>
      <c r="Q33" s="2"/>
      <c r="R33" s="7">
        <f t="shared" si="19"/>
        <v>4.0284240466932582E-2</v>
      </c>
      <c r="S33" s="2"/>
      <c r="T33" s="6">
        <v>41504.79</v>
      </c>
      <c r="U33" s="2"/>
      <c r="V33" s="7">
        <f t="shared" si="20"/>
        <v>6.6333652519069931E-3</v>
      </c>
      <c r="W33" s="2"/>
      <c r="X33" s="6">
        <f t="shared" si="21"/>
        <v>-21300.06</v>
      </c>
      <c r="Y33" s="2"/>
      <c r="Z33" s="7">
        <f t="shared" si="22"/>
        <v>-0.51319522397294381</v>
      </c>
    </row>
    <row r="34" spans="1:26" s="24" customFormat="1" hidden="1" outlineLevel="2" x14ac:dyDescent="0.25">
      <c r="A34" s="28"/>
      <c r="B34" s="11" t="str">
        <f>CONCATENATE("          ", "6113", " - ", "GROUP INSURANCE")</f>
        <v xml:space="preserve">          6113 - GROUP INSURANCE</v>
      </c>
      <c r="C34" s="11"/>
      <c r="D34" s="6">
        <v>54369.270000000004</v>
      </c>
      <c r="E34" s="2"/>
      <c r="F34" s="7">
        <f t="shared" si="15"/>
        <v>0.2778596212063757</v>
      </c>
      <c r="G34" s="2"/>
      <c r="H34" s="6">
        <v>65782.649999999994</v>
      </c>
      <c r="I34" s="2"/>
      <c r="J34" s="7">
        <f t="shared" si="16"/>
        <v>2.5880562059728999E-2</v>
      </c>
      <c r="K34" s="2"/>
      <c r="L34" s="6">
        <f t="shared" si="17"/>
        <v>-11413.37999999999</v>
      </c>
      <c r="M34" s="2"/>
      <c r="N34" s="7">
        <f t="shared" si="18"/>
        <v>-0.17350137156225831</v>
      </c>
      <c r="O34" s="11"/>
      <c r="P34" s="6">
        <v>219785.22</v>
      </c>
      <c r="Q34" s="2"/>
      <c r="R34" s="7">
        <f t="shared" si="19"/>
        <v>0.43820831327900356</v>
      </c>
      <c r="S34" s="2"/>
      <c r="T34" s="6">
        <v>263342.94</v>
      </c>
      <c r="U34" s="2"/>
      <c r="V34" s="7">
        <f t="shared" si="20"/>
        <v>4.2087910998490248E-2</v>
      </c>
      <c r="W34" s="2"/>
      <c r="X34" s="6">
        <f t="shared" si="21"/>
        <v>-43557.72</v>
      </c>
      <c r="Y34" s="2"/>
      <c r="Z34" s="7">
        <f t="shared" si="22"/>
        <v>-0.1654030292211365</v>
      </c>
    </row>
    <row r="35" spans="1:26" s="24" customFormat="1" hidden="1" outlineLevel="2" x14ac:dyDescent="0.25">
      <c r="A35" s="28"/>
      <c r="B35" s="11" t="str">
        <f>CONCATENATE("          ", "6114", " - ", "STATE UNEMPLOYMENT INSURANCE")</f>
        <v xml:space="preserve">          6114 - STATE UNEMPLOYMENT INSURANCE</v>
      </c>
      <c r="C35" s="11"/>
      <c r="D35" s="6">
        <v>373.89</v>
      </c>
      <c r="E35" s="2"/>
      <c r="F35" s="7">
        <f t="shared" si="15"/>
        <v>1.9108024399233576E-3</v>
      </c>
      <c r="G35" s="2"/>
      <c r="H35" s="6">
        <v>1690.52</v>
      </c>
      <c r="I35" s="2"/>
      <c r="J35" s="7">
        <f t="shared" si="16"/>
        <v>6.6509342164253139E-4</v>
      </c>
      <c r="K35" s="2"/>
      <c r="L35" s="6">
        <f t="shared" si="17"/>
        <v>-1316.63</v>
      </c>
      <c r="M35" s="2"/>
      <c r="N35" s="7">
        <f t="shared" si="18"/>
        <v>-0.77883136549700693</v>
      </c>
      <c r="O35" s="11"/>
      <c r="P35" s="6">
        <v>1482.88</v>
      </c>
      <c r="Q35" s="2"/>
      <c r="R35" s="7">
        <f t="shared" si="19"/>
        <v>2.9565697984385336E-3</v>
      </c>
      <c r="S35" s="2"/>
      <c r="T35" s="6">
        <v>4800.37</v>
      </c>
      <c r="U35" s="2"/>
      <c r="V35" s="7">
        <f t="shared" si="20"/>
        <v>7.6720319640930044E-4</v>
      </c>
      <c r="W35" s="2"/>
      <c r="X35" s="6">
        <f t="shared" si="21"/>
        <v>-3317.49</v>
      </c>
      <c r="Y35" s="2"/>
      <c r="Z35" s="7">
        <f t="shared" si="22"/>
        <v>-0.69109047844228666</v>
      </c>
    </row>
    <row r="36" spans="1:26" s="24" customFormat="1" hidden="1" outlineLevel="2" x14ac:dyDescent="0.25">
      <c r="A36" s="28"/>
      <c r="B36" s="11" t="str">
        <f>CONCATENATE("          ", "6115", " - ", "P.E.R.S.")</f>
        <v xml:space="preserve">          6115 - P.E.R.S.</v>
      </c>
      <c r="C36" s="11"/>
      <c r="D36" s="6">
        <v>6014.35</v>
      </c>
      <c r="E36" s="2"/>
      <c r="F36" s="7">
        <f t="shared" si="15"/>
        <v>3.07369404224586E-2</v>
      </c>
      <c r="G36" s="2"/>
      <c r="H36" s="6">
        <v>16796.75</v>
      </c>
      <c r="I36" s="2"/>
      <c r="J36" s="7">
        <f t="shared" si="16"/>
        <v>6.6082672372844977E-3</v>
      </c>
      <c r="K36" s="2"/>
      <c r="L36" s="6">
        <f t="shared" si="17"/>
        <v>-10782.4</v>
      </c>
      <c r="M36" s="2"/>
      <c r="N36" s="7">
        <f t="shared" si="18"/>
        <v>-0.64193370741363653</v>
      </c>
      <c r="O36" s="11"/>
      <c r="P36" s="6">
        <v>28707.969999999998</v>
      </c>
      <c r="Q36" s="2"/>
      <c r="R36" s="7">
        <f t="shared" si="19"/>
        <v>5.7238021334483885E-2</v>
      </c>
      <c r="S36" s="2"/>
      <c r="T36" s="6">
        <v>46733.71</v>
      </c>
      <c r="U36" s="2"/>
      <c r="V36" s="7">
        <f t="shared" si="20"/>
        <v>7.4690600291363561E-3</v>
      </c>
      <c r="W36" s="2"/>
      <c r="X36" s="6">
        <f t="shared" si="21"/>
        <v>-18025.740000000002</v>
      </c>
      <c r="Y36" s="2"/>
      <c r="Z36" s="7">
        <f t="shared" si="22"/>
        <v>-0.38571172714513791</v>
      </c>
    </row>
    <row r="37" spans="1:26" s="24" customFormat="1" hidden="1" outlineLevel="2" x14ac:dyDescent="0.25">
      <c r="A37" s="28"/>
      <c r="B37" s="11" t="str">
        <f>CONCATENATE("          ", "6117", " - ", "RETIREMENT STAFF HOURLY")</f>
        <v xml:space="preserve">          6117 - RETIREMENT STAFF HOURLY</v>
      </c>
      <c r="C37" s="11"/>
      <c r="D37" s="6">
        <v>1396.69</v>
      </c>
      <c r="E37" s="2"/>
      <c r="F37" s="7">
        <f t="shared" si="15"/>
        <v>7.1379246832398687E-3</v>
      </c>
      <c r="G37" s="2"/>
      <c r="H37" s="6">
        <v>1716.24</v>
      </c>
      <c r="I37" s="2"/>
      <c r="J37" s="7">
        <f t="shared" si="16"/>
        <v>6.7521232162871673E-4</v>
      </c>
      <c r="K37" s="2"/>
      <c r="L37" s="6">
        <f t="shared" si="17"/>
        <v>-319.54999999999995</v>
      </c>
      <c r="M37" s="2"/>
      <c r="N37" s="7">
        <f t="shared" si="18"/>
        <v>-0.18619190789167014</v>
      </c>
      <c r="O37" s="11"/>
      <c r="P37" s="6">
        <v>6266.31</v>
      </c>
      <c r="Q37" s="2"/>
      <c r="R37" s="7">
        <f t="shared" si="19"/>
        <v>1.2493784320817172E-2</v>
      </c>
      <c r="S37" s="2"/>
      <c r="T37" s="6">
        <v>6745.02</v>
      </c>
      <c r="U37" s="2"/>
      <c r="V37" s="7">
        <f t="shared" si="20"/>
        <v>1.0780004257681512E-3</v>
      </c>
      <c r="W37" s="2"/>
      <c r="X37" s="6">
        <f t="shared" si="21"/>
        <v>-478.71000000000004</v>
      </c>
      <c r="Y37" s="2"/>
      <c r="Z37" s="7">
        <f t="shared" si="22"/>
        <v>-7.0972361831395603E-2</v>
      </c>
    </row>
    <row r="38" spans="1:26" s="24" customFormat="1" hidden="1" outlineLevel="2" x14ac:dyDescent="0.25">
      <c r="A38" s="28"/>
      <c r="B38" s="11" t="str">
        <f>CONCATENATE("          ", "6118", " - ", "VACATION")</f>
        <v xml:space="preserve">          6118 - VACATION</v>
      </c>
      <c r="C38" s="11"/>
      <c r="D38" s="6">
        <v>12908.82</v>
      </c>
      <c r="E38" s="2"/>
      <c r="F38" s="7">
        <f t="shared" si="15"/>
        <v>6.5971822601651381E-2</v>
      </c>
      <c r="G38" s="2"/>
      <c r="H38" s="6">
        <v>20998.98</v>
      </c>
      <c r="I38" s="2"/>
      <c r="J38" s="7">
        <f t="shared" si="16"/>
        <v>8.2615310432311261E-3</v>
      </c>
      <c r="K38" s="2"/>
      <c r="L38" s="6">
        <f t="shared" si="17"/>
        <v>-8090.16</v>
      </c>
      <c r="M38" s="2"/>
      <c r="N38" s="7">
        <f t="shared" si="18"/>
        <v>-0.38526442712931769</v>
      </c>
      <c r="O38" s="11"/>
      <c r="P38" s="6">
        <v>38330.199999999997</v>
      </c>
      <c r="Q38" s="2"/>
      <c r="R38" s="7">
        <f t="shared" si="19"/>
        <v>7.6422847221696066E-2</v>
      </c>
      <c r="S38" s="2"/>
      <c r="T38" s="6">
        <v>70446.680000000008</v>
      </c>
      <c r="U38" s="2"/>
      <c r="V38" s="7">
        <f t="shared" si="20"/>
        <v>1.1258906724361487E-2</v>
      </c>
      <c r="W38" s="2"/>
      <c r="X38" s="6">
        <f t="shared" si="21"/>
        <v>-32116.48000000001</v>
      </c>
      <c r="Y38" s="2"/>
      <c r="Z38" s="7">
        <f t="shared" si="22"/>
        <v>-0.45589770873517399</v>
      </c>
    </row>
    <row r="39" spans="1:26" s="24" customFormat="1" hidden="1" outlineLevel="2" x14ac:dyDescent="0.25">
      <c r="A39" s="28"/>
      <c r="B39" s="11" t="str">
        <f>CONCATENATE("          ", "6119", " - ", "SICK LEAVE")</f>
        <v xml:space="preserve">          6119 - SICK LEAVE</v>
      </c>
      <c r="C39" s="11"/>
      <c r="D39" s="6">
        <v>8065.14</v>
      </c>
      <c r="E39" s="2"/>
      <c r="F39" s="7">
        <f t="shared" si="15"/>
        <v>4.1217708925950065E-2</v>
      </c>
      <c r="G39" s="2"/>
      <c r="H39" s="6">
        <v>14940.96</v>
      </c>
      <c r="I39" s="2"/>
      <c r="J39" s="7">
        <f t="shared" si="16"/>
        <v>5.8781524081490876E-3</v>
      </c>
      <c r="K39" s="2"/>
      <c r="L39" s="6">
        <f t="shared" si="17"/>
        <v>-6875.8199999999988</v>
      </c>
      <c r="M39" s="2"/>
      <c r="N39" s="7">
        <f t="shared" si="18"/>
        <v>-0.46019934462042594</v>
      </c>
      <c r="O39" s="11"/>
      <c r="P39" s="6">
        <v>24872.030000000002</v>
      </c>
      <c r="Q39" s="2"/>
      <c r="R39" s="7">
        <f t="shared" si="19"/>
        <v>4.958991470911818E-2</v>
      </c>
      <c r="S39" s="2"/>
      <c r="T39" s="6">
        <v>73923.11</v>
      </c>
      <c r="U39" s="2"/>
      <c r="V39" s="7">
        <f t="shared" si="20"/>
        <v>1.1814515606196258E-2</v>
      </c>
      <c r="W39" s="2"/>
      <c r="X39" s="6">
        <f t="shared" si="21"/>
        <v>-49051.08</v>
      </c>
      <c r="Y39" s="2"/>
      <c r="Z39" s="7">
        <f t="shared" si="22"/>
        <v>-0.66354188832152761</v>
      </c>
    </row>
    <row r="40" spans="1:26" s="24" customFormat="1" hidden="1" outlineLevel="2" x14ac:dyDescent="0.25">
      <c r="A40" s="28"/>
      <c r="B40" s="11" t="str">
        <f>CONCATENATE("          ", "6156", " - ", "EMPLOYEE MEALS")</f>
        <v xml:space="preserve">          6156 - EMPLOYEE MEALS</v>
      </c>
      <c r="C40" s="11"/>
      <c r="D40" s="6">
        <v>3769.05</v>
      </c>
      <c r="E40" s="2"/>
      <c r="F40" s="7">
        <f t="shared" si="15"/>
        <v>1.9262109005838968E-2</v>
      </c>
      <c r="G40" s="2"/>
      <c r="H40" s="6">
        <v>6946.5</v>
      </c>
      <c r="I40" s="2"/>
      <c r="J40" s="7">
        <f t="shared" si="16"/>
        <v>2.7329291895037294E-3</v>
      </c>
      <c r="K40" s="2"/>
      <c r="L40" s="6">
        <f t="shared" si="17"/>
        <v>-3177.45</v>
      </c>
      <c r="M40" s="2"/>
      <c r="N40" s="7">
        <f t="shared" si="18"/>
        <v>-0.45741740444828327</v>
      </c>
      <c r="O40" s="11"/>
      <c r="P40" s="6">
        <v>12687.67</v>
      </c>
      <c r="Q40" s="2"/>
      <c r="R40" s="7">
        <f t="shared" si="19"/>
        <v>2.5296707713742601E-2</v>
      </c>
      <c r="S40" s="2"/>
      <c r="T40" s="6">
        <v>24254.95</v>
      </c>
      <c r="U40" s="2"/>
      <c r="V40" s="7">
        <f t="shared" si="20"/>
        <v>3.8764668491694937E-3</v>
      </c>
      <c r="W40" s="2"/>
      <c r="X40" s="6">
        <f t="shared" si="21"/>
        <v>-11567.28</v>
      </c>
      <c r="Y40" s="2"/>
      <c r="Z40" s="7">
        <f t="shared" si="22"/>
        <v>-0.47690388972147957</v>
      </c>
    </row>
    <row r="41" spans="1:26" s="29" customFormat="1" outlineLevel="1" collapsed="1" x14ac:dyDescent="0.25">
      <c r="A41" s="27"/>
      <c r="B41" s="14" t="str">
        <f>CONCATENATE("     ","*Payroll                                          ")</f>
        <v xml:space="preserve">     *Payroll                                          </v>
      </c>
      <c r="C41" s="14"/>
      <c r="D41" s="1">
        <f>SUM(OSRRefD22_1x_0)</f>
        <v>175455.66999999995</v>
      </c>
      <c r="E41" s="1"/>
      <c r="F41" s="5">
        <f t="shared" ref="F41:F48" si="23">IF(D$12=0,0,D41/D$12)</f>
        <v>0.89668384373582433</v>
      </c>
      <c r="G41" s="1"/>
      <c r="H41" s="1">
        <f>SUM(OSRRefH22_1x_0)</f>
        <v>663307.22</v>
      </c>
      <c r="I41" s="1"/>
      <c r="J41" s="5">
        <f t="shared" ref="J41:J48" si="24">IF(H$12=0,0,H41/H$12)</f>
        <v>0.26096187477817201</v>
      </c>
      <c r="K41" s="1"/>
      <c r="L41" s="1">
        <f t="shared" ref="L41:L48" si="25">+D41-H41</f>
        <v>-487851.55000000005</v>
      </c>
      <c r="M41" s="1"/>
      <c r="N41" s="5">
        <f t="shared" ref="N41:N48" si="26">IF(H41=0,0,L41/H41)</f>
        <v>-0.73548355164896295</v>
      </c>
      <c r="O41" s="14"/>
      <c r="P41" s="1">
        <f>SUM(OSRRefP22_1x_0)</f>
        <v>567257.19999999995</v>
      </c>
      <c r="Q41" s="1"/>
      <c r="R41" s="5">
        <f t="shared" ref="R41:R48" si="27">IF(P$12=0,0,P41/P$12)</f>
        <v>1.1309988033197607</v>
      </c>
      <c r="S41" s="1"/>
      <c r="T41" s="1">
        <f>SUM(OSRRefT22_1x_0)</f>
        <v>1938567.9</v>
      </c>
      <c r="U41" s="1"/>
      <c r="V41" s="5">
        <f t="shared" ref="V41:V48" si="28">IF(T$12=0,0,T41/T$12)</f>
        <v>0.30982517792096548</v>
      </c>
      <c r="W41" s="1"/>
      <c r="X41" s="1">
        <f t="shared" ref="X41:X48" si="29">+P41-T41</f>
        <v>-1371310.7</v>
      </c>
      <c r="Y41" s="1"/>
      <c r="Z41" s="5">
        <f t="shared" ref="Z41:Z48" si="30">IF(T41=0,0,X41/T41)</f>
        <v>-0.70738337305595533</v>
      </c>
    </row>
    <row r="42" spans="1:26" s="24" customFormat="1" hidden="1" outlineLevel="2" x14ac:dyDescent="0.25">
      <c r="A42" s="28"/>
      <c r="B42" s="11" t="str">
        <f>CONCATENATE("          ", "6001", " - ", "ADMINISTRATIVE SALARIES")</f>
        <v xml:space="preserve">          6001 - ADMINISTRATIVE SALARIES</v>
      </c>
      <c r="C42" s="11"/>
      <c r="D42" s="6">
        <v>21715.449999999997</v>
      </c>
      <c r="E42" s="2"/>
      <c r="F42" s="7">
        <f t="shared" si="23"/>
        <v>0.11097899072998388</v>
      </c>
      <c r="G42" s="2"/>
      <c r="H42" s="6">
        <v>27521.1</v>
      </c>
      <c r="I42" s="2"/>
      <c r="J42" s="7">
        <f t="shared" si="24"/>
        <v>1.0827498382962798E-2</v>
      </c>
      <c r="K42" s="2"/>
      <c r="L42" s="6">
        <f t="shared" si="25"/>
        <v>-5805.6500000000015</v>
      </c>
      <c r="M42" s="2"/>
      <c r="N42" s="7">
        <f t="shared" si="26"/>
        <v>-0.21095268721090371</v>
      </c>
      <c r="O42" s="11"/>
      <c r="P42" s="6">
        <v>80596.14</v>
      </c>
      <c r="Q42" s="2"/>
      <c r="R42" s="7">
        <f t="shared" si="27"/>
        <v>0.16069278255470695</v>
      </c>
      <c r="S42" s="2"/>
      <c r="T42" s="6">
        <v>100392.72</v>
      </c>
      <c r="U42" s="2"/>
      <c r="V42" s="7">
        <f t="shared" si="28"/>
        <v>1.6044933136450713E-2</v>
      </c>
      <c r="W42" s="2"/>
      <c r="X42" s="6">
        <f t="shared" si="29"/>
        <v>-19796.580000000002</v>
      </c>
      <c r="Y42" s="2"/>
      <c r="Z42" s="7">
        <f t="shared" si="30"/>
        <v>-0.19719138997329688</v>
      </c>
    </row>
    <row r="43" spans="1:26" s="24" customFormat="1" hidden="1" outlineLevel="2" x14ac:dyDescent="0.25">
      <c r="A43" s="28"/>
      <c r="B43" s="11" t="str">
        <f>CONCATENATE("          ", "6002", " - ", "STAFF SALARIES")</f>
        <v xml:space="preserve">          6002 - STAFF SALARIES</v>
      </c>
      <c r="C43" s="11"/>
      <c r="D43" s="6">
        <v>48280</v>
      </c>
      <c r="E43" s="2"/>
      <c r="F43" s="7">
        <f t="shared" si="23"/>
        <v>0.24673979459065423</v>
      </c>
      <c r="G43" s="2"/>
      <c r="H43" s="6">
        <v>120525.23</v>
      </c>
      <c r="I43" s="2"/>
      <c r="J43" s="7">
        <f t="shared" si="24"/>
        <v>4.7417680722471829E-2</v>
      </c>
      <c r="K43" s="2"/>
      <c r="L43" s="6">
        <f t="shared" si="25"/>
        <v>-72245.23</v>
      </c>
      <c r="M43" s="2"/>
      <c r="N43" s="7">
        <f t="shared" si="26"/>
        <v>-0.59941997206725928</v>
      </c>
      <c r="O43" s="11"/>
      <c r="P43" s="6">
        <v>189094.45</v>
      </c>
      <c r="Q43" s="2"/>
      <c r="R43" s="7">
        <f t="shared" si="27"/>
        <v>0.37701698041806847</v>
      </c>
      <c r="S43" s="2"/>
      <c r="T43" s="6">
        <v>404628.86000000004</v>
      </c>
      <c r="U43" s="2"/>
      <c r="V43" s="7">
        <f t="shared" si="28"/>
        <v>6.4668464045782179E-2</v>
      </c>
      <c r="W43" s="2"/>
      <c r="X43" s="6">
        <f t="shared" si="29"/>
        <v>-215534.41000000003</v>
      </c>
      <c r="Y43" s="2"/>
      <c r="Z43" s="7">
        <f t="shared" si="30"/>
        <v>-0.5326718662628267</v>
      </c>
    </row>
    <row r="44" spans="1:26" s="24" customFormat="1" hidden="1" outlineLevel="2" x14ac:dyDescent="0.25">
      <c r="A44" s="28"/>
      <c r="B44" s="11" t="str">
        <f>CONCATENATE("          ", "6004", " - ", "STAFF HOURLY")</f>
        <v xml:space="preserve">          6004 - STAFF HOURLY</v>
      </c>
      <c r="C44" s="11"/>
      <c r="D44" s="6">
        <v>72343.87999999999</v>
      </c>
      <c r="E44" s="2"/>
      <c r="F44" s="7">
        <f t="shared" si="23"/>
        <v>0.36972067297205746</v>
      </c>
      <c r="G44" s="2"/>
      <c r="H44" s="6">
        <v>126180.30999999998</v>
      </c>
      <c r="I44" s="2"/>
      <c r="J44" s="7">
        <f t="shared" si="24"/>
        <v>4.9642532547272619E-2</v>
      </c>
      <c r="K44" s="2"/>
      <c r="L44" s="6">
        <f t="shared" si="25"/>
        <v>-53836.429999999993</v>
      </c>
      <c r="M44" s="2"/>
      <c r="N44" s="7">
        <f t="shared" si="26"/>
        <v>-0.4266626861195697</v>
      </c>
      <c r="O44" s="11"/>
      <c r="P44" s="6">
        <v>206694.99</v>
      </c>
      <c r="Q44" s="2"/>
      <c r="R44" s="7">
        <f t="shared" si="27"/>
        <v>0.41210898044518418</v>
      </c>
      <c r="S44" s="2"/>
      <c r="T44" s="6">
        <v>325630.36</v>
      </c>
      <c r="U44" s="2"/>
      <c r="V44" s="7">
        <f t="shared" si="28"/>
        <v>5.204279108483538E-2</v>
      </c>
      <c r="W44" s="2"/>
      <c r="X44" s="6">
        <f t="shared" si="29"/>
        <v>-118935.37</v>
      </c>
      <c r="Y44" s="2"/>
      <c r="Z44" s="7">
        <f t="shared" si="30"/>
        <v>-0.36524656361894514</v>
      </c>
    </row>
    <row r="45" spans="1:26" s="24" customFormat="1" hidden="1" outlineLevel="2" x14ac:dyDescent="0.25">
      <c r="A45" s="28"/>
      <c r="B45" s="11" t="str">
        <f>CONCATENATE("          ", "6005", " - ", "TEMPORARY WAGES-HOURLY")</f>
        <v xml:space="preserve">          6005 - TEMPORARY WAGES-HOURLY</v>
      </c>
      <c r="C45" s="11"/>
      <c r="D45" s="6">
        <v>23908.929999999997</v>
      </c>
      <c r="E45" s="2"/>
      <c r="F45" s="7">
        <f t="shared" si="23"/>
        <v>0.12218899082606316</v>
      </c>
      <c r="G45" s="2"/>
      <c r="H45" s="6">
        <v>154041.54</v>
      </c>
      <c r="I45" s="2"/>
      <c r="J45" s="7">
        <f t="shared" si="24"/>
        <v>6.060384669432179E-2</v>
      </c>
      <c r="K45" s="2"/>
      <c r="L45" s="6">
        <f t="shared" si="25"/>
        <v>-130132.61000000002</v>
      </c>
      <c r="M45" s="2"/>
      <c r="N45" s="7">
        <f t="shared" si="26"/>
        <v>-0.84478907442758633</v>
      </c>
      <c r="O45" s="11"/>
      <c r="P45" s="6">
        <v>39850.44</v>
      </c>
      <c r="Q45" s="2"/>
      <c r="R45" s="7">
        <f t="shared" si="27"/>
        <v>7.9453905480205339E-2</v>
      </c>
      <c r="S45" s="2"/>
      <c r="T45" s="6">
        <v>386507.1</v>
      </c>
      <c r="U45" s="2"/>
      <c r="V45" s="7">
        <f t="shared" si="28"/>
        <v>6.1772213924111918E-2</v>
      </c>
      <c r="W45" s="2"/>
      <c r="X45" s="6">
        <f t="shared" si="29"/>
        <v>-346656.66</v>
      </c>
      <c r="Y45" s="2"/>
      <c r="Z45" s="7">
        <f t="shared" si="30"/>
        <v>-0.89689596905205626</v>
      </c>
    </row>
    <row r="46" spans="1:26" s="24" customFormat="1" hidden="1" outlineLevel="2" x14ac:dyDescent="0.25">
      <c r="A46" s="28"/>
      <c r="B46" s="11" t="str">
        <f>CONCATENATE("          ", "6006", " - ", "TEMPORARY PART TIME")</f>
        <v xml:space="preserve">          6006 - TEMPORARY PART TIME</v>
      </c>
      <c r="C46" s="11"/>
      <c r="D46" s="6"/>
      <c r="E46" s="2"/>
      <c r="F46" s="7">
        <f t="shared" si="23"/>
        <v>0</v>
      </c>
      <c r="G46" s="2"/>
      <c r="H46" s="6">
        <v>9156.44</v>
      </c>
      <c r="I46" s="2"/>
      <c r="J46" s="7">
        <f t="shared" si="24"/>
        <v>3.6023756061238795E-3</v>
      </c>
      <c r="K46" s="2"/>
      <c r="L46" s="6">
        <f t="shared" si="25"/>
        <v>-9156.44</v>
      </c>
      <c r="M46" s="2"/>
      <c r="N46" s="7">
        <f t="shared" si="26"/>
        <v>-1</v>
      </c>
      <c r="O46" s="11"/>
      <c r="P46" s="6"/>
      <c r="Q46" s="2"/>
      <c r="R46" s="7">
        <f t="shared" si="27"/>
        <v>0</v>
      </c>
      <c r="S46" s="2"/>
      <c r="T46" s="6">
        <v>32989.19</v>
      </c>
      <c r="U46" s="2"/>
      <c r="V46" s="7">
        <f t="shared" si="28"/>
        <v>5.272387756559126E-3</v>
      </c>
      <c r="W46" s="2"/>
      <c r="X46" s="6">
        <f t="shared" si="29"/>
        <v>-32989.19</v>
      </c>
      <c r="Y46" s="2"/>
      <c r="Z46" s="7">
        <f t="shared" si="30"/>
        <v>-1</v>
      </c>
    </row>
    <row r="47" spans="1:26" s="24" customFormat="1" hidden="1" outlineLevel="2" x14ac:dyDescent="0.25">
      <c r="A47" s="28"/>
      <c r="B47" s="11" t="str">
        <f>CONCATENATE("          ", "6007", " - ", "STUDENT HOURLY")</f>
        <v xml:space="preserve">          6007 - STUDENT HOURLY</v>
      </c>
      <c r="C47" s="11"/>
      <c r="D47" s="6">
        <v>5215.1099999999997</v>
      </c>
      <c r="E47" s="2"/>
      <c r="F47" s="7">
        <f t="shared" si="23"/>
        <v>2.6652344038269816E-2</v>
      </c>
      <c r="G47" s="2"/>
      <c r="H47" s="6">
        <v>182765.6</v>
      </c>
      <c r="I47" s="2"/>
      <c r="J47" s="7">
        <f t="shared" si="24"/>
        <v>7.1904620035580916E-2</v>
      </c>
      <c r="K47" s="2"/>
      <c r="L47" s="6">
        <f t="shared" si="25"/>
        <v>-177550.49000000002</v>
      </c>
      <c r="M47" s="2"/>
      <c r="N47" s="7">
        <f t="shared" si="26"/>
        <v>-0.97146558214456125</v>
      </c>
      <c r="O47" s="11"/>
      <c r="P47" s="6">
        <v>43326.22</v>
      </c>
      <c r="Q47" s="2"/>
      <c r="R47" s="7">
        <f t="shared" si="27"/>
        <v>8.6383924209985682E-2</v>
      </c>
      <c r="S47" s="2"/>
      <c r="T47" s="6">
        <v>594022.19999999995</v>
      </c>
      <c r="U47" s="2"/>
      <c r="V47" s="7">
        <f t="shared" si="28"/>
        <v>9.4937625761781844E-2</v>
      </c>
      <c r="W47" s="2"/>
      <c r="X47" s="6">
        <f t="shared" si="29"/>
        <v>-550695.98</v>
      </c>
      <c r="Y47" s="2"/>
      <c r="Z47" s="7">
        <f t="shared" si="30"/>
        <v>-0.92706296161995294</v>
      </c>
    </row>
    <row r="48" spans="1:26" s="24" customFormat="1" hidden="1" outlineLevel="2" x14ac:dyDescent="0.25">
      <c r="A48" s="28"/>
      <c r="B48" s="11" t="str">
        <f>CONCATENATE("          ", "6008", " - ", "STUDENT HOURLY-FICA EXEMPT")</f>
        <v xml:space="preserve">          6008 - STUDENT HOURLY-FICA EXEMPT</v>
      </c>
      <c r="C48" s="11"/>
      <c r="D48" s="6">
        <v>3992.3</v>
      </c>
      <c r="E48" s="2"/>
      <c r="F48" s="7">
        <f t="shared" si="23"/>
        <v>2.0403050578795958E-2</v>
      </c>
      <c r="G48" s="2"/>
      <c r="H48" s="6">
        <v>43117</v>
      </c>
      <c r="I48" s="2"/>
      <c r="J48" s="7">
        <f t="shared" si="24"/>
        <v>1.6963320789438179E-2</v>
      </c>
      <c r="K48" s="2"/>
      <c r="L48" s="6">
        <f t="shared" si="25"/>
        <v>-39124.699999999997</v>
      </c>
      <c r="M48" s="2"/>
      <c r="N48" s="7">
        <f t="shared" si="26"/>
        <v>-0.90740775100308457</v>
      </c>
      <c r="O48" s="11"/>
      <c r="P48" s="6">
        <v>7694.96</v>
      </c>
      <c r="Q48" s="2"/>
      <c r="R48" s="7">
        <f t="shared" si="27"/>
        <v>1.5342230211610231E-2</v>
      </c>
      <c r="S48" s="2"/>
      <c r="T48" s="6">
        <v>94397.47</v>
      </c>
      <c r="U48" s="2"/>
      <c r="V48" s="7">
        <f t="shared" si="28"/>
        <v>1.5086762211444336E-2</v>
      </c>
      <c r="W48" s="2"/>
      <c r="X48" s="6">
        <f t="shared" si="29"/>
        <v>-86702.51</v>
      </c>
      <c r="Y48" s="2"/>
      <c r="Z48" s="7">
        <f t="shared" si="30"/>
        <v>-0.91848340850660504</v>
      </c>
    </row>
    <row r="49" spans="1:26" s="29" customFormat="1" outlineLevel="1" collapsed="1" x14ac:dyDescent="0.25">
      <c r="A49" s="27"/>
      <c r="B49" s="14" t="str">
        <f>CONCATENATE("     ","Advertising/Promo                                 ")</f>
        <v xml:space="preserve">     Advertising/Promo                                 </v>
      </c>
      <c r="C49" s="14"/>
      <c r="D49" s="1">
        <f>SUM(OSRRefD22_2x_0)</f>
        <v>15.05</v>
      </c>
      <c r="E49" s="1"/>
      <c r="F49" s="5">
        <f t="shared" ref="F49:F58" si="31">IF(D$12=0,0,D49/D$12)</f>
        <v>7.6914538288925982E-5</v>
      </c>
      <c r="G49" s="1"/>
      <c r="H49" s="1">
        <f>SUM(OSRRefH22_2x_0)</f>
        <v>6811.09</v>
      </c>
      <c r="I49" s="1"/>
      <c r="J49" s="5">
        <f t="shared" ref="J49:J58" si="32">IF(H$12=0,0,H49/H$12)</f>
        <v>2.6796554629434904E-3</v>
      </c>
      <c r="K49" s="1"/>
      <c r="L49" s="1">
        <f t="shared" ref="L49:L58" si="33">+D49-H49</f>
        <v>-6796.04</v>
      </c>
      <c r="M49" s="1"/>
      <c r="N49" s="5">
        <f t="shared" ref="N49:N58" si="34">IF(H49=0,0,L49/H49)</f>
        <v>-0.99779036835513846</v>
      </c>
      <c r="O49" s="14"/>
      <c r="P49" s="1">
        <f>SUM(OSRRefP22_2x_0)</f>
        <v>1539.63</v>
      </c>
      <c r="Q49" s="1"/>
      <c r="R49" s="5">
        <f t="shared" ref="R49:R58" si="35">IF(P$12=0,0,P49/P$12)</f>
        <v>3.0697180882943462E-3</v>
      </c>
      <c r="S49" s="1"/>
      <c r="T49" s="1">
        <f>SUM(OSRRefT22_2x_0)</f>
        <v>20330.580000000002</v>
      </c>
      <c r="U49" s="1"/>
      <c r="V49" s="5">
        <f t="shared" ref="V49:V58" si="36">IF(T$12=0,0,T49/T$12)</f>
        <v>3.2492674441459714E-3</v>
      </c>
      <c r="W49" s="1"/>
      <c r="X49" s="1">
        <f t="shared" ref="X49:X58" si="37">+P49-T49</f>
        <v>-18790.95</v>
      </c>
      <c r="Y49" s="1"/>
      <c r="Z49" s="5">
        <f t="shared" ref="Z49:Z58" si="38">IF(T49=0,0,X49/T49)</f>
        <v>-0.9242702372485192</v>
      </c>
    </row>
    <row r="50" spans="1:26" s="24" customFormat="1" hidden="1" outlineLevel="2" x14ac:dyDescent="0.25">
      <c r="A50" s="28"/>
      <c r="B50" s="11" t="str">
        <f>CONCATENATE("          ", "6362", " - ", "ADVERTISING EXPENSE")</f>
        <v xml:space="preserve">          6362 - ADVERTISING EXPENSE</v>
      </c>
      <c r="C50" s="11"/>
      <c r="D50" s="6">
        <v>15.05</v>
      </c>
      <c r="E50" s="2"/>
      <c r="F50" s="7">
        <f t="shared" si="31"/>
        <v>7.6914538288925982E-5</v>
      </c>
      <c r="G50" s="2"/>
      <c r="H50" s="6">
        <v>6811.09</v>
      </c>
      <c r="I50" s="2"/>
      <c r="J50" s="7">
        <f t="shared" si="32"/>
        <v>2.6796554629434904E-3</v>
      </c>
      <c r="K50" s="2"/>
      <c r="L50" s="6">
        <f t="shared" si="33"/>
        <v>-6796.04</v>
      </c>
      <c r="M50" s="2"/>
      <c r="N50" s="7">
        <f t="shared" si="34"/>
        <v>-0.99779036835513846</v>
      </c>
      <c r="O50" s="11"/>
      <c r="P50" s="6">
        <v>1539.63</v>
      </c>
      <c r="Q50" s="2"/>
      <c r="R50" s="7">
        <f t="shared" si="35"/>
        <v>3.0697180882943462E-3</v>
      </c>
      <c r="S50" s="2"/>
      <c r="T50" s="6">
        <v>20330.580000000002</v>
      </c>
      <c r="U50" s="2"/>
      <c r="V50" s="7">
        <f t="shared" si="36"/>
        <v>3.2492674441459714E-3</v>
      </c>
      <c r="W50" s="2"/>
      <c r="X50" s="6">
        <f t="shared" si="37"/>
        <v>-18790.95</v>
      </c>
      <c r="Y50" s="2"/>
      <c r="Z50" s="7">
        <f t="shared" si="38"/>
        <v>-0.9242702372485192</v>
      </c>
    </row>
    <row r="51" spans="1:26" s="29" customFormat="1" outlineLevel="1" collapsed="1" x14ac:dyDescent="0.25">
      <c r="A51" s="27"/>
      <c r="B51" s="14" t="str">
        <f>CONCATENATE("     ","Bad Debts/Over/Short                              ")</f>
        <v xml:space="preserve">     Bad Debts/Over/Short                              </v>
      </c>
      <c r="C51" s="14"/>
      <c r="D51" s="1">
        <f>SUM(OSRRefD22_3x_0)</f>
        <v>1539.8</v>
      </c>
      <c r="E51" s="1"/>
      <c r="F51" s="5">
        <f t="shared" si="31"/>
        <v>7.8693027280590175E-3</v>
      </c>
      <c r="G51" s="1"/>
      <c r="H51" s="1">
        <f>SUM(OSRRefH22_3x_0)</f>
        <v>34.049999999999997</v>
      </c>
      <c r="I51" s="1"/>
      <c r="J51" s="5">
        <f t="shared" si="32"/>
        <v>1.3396133146563302E-5</v>
      </c>
      <c r="K51" s="1"/>
      <c r="L51" s="1">
        <f t="shared" si="33"/>
        <v>1505.75</v>
      </c>
      <c r="M51" s="1"/>
      <c r="N51" s="5">
        <f t="shared" si="34"/>
        <v>44.221732745961823</v>
      </c>
      <c r="O51" s="14"/>
      <c r="P51" s="1">
        <f>SUM(OSRRefP22_3x_0)</f>
        <v>1408.02</v>
      </c>
      <c r="Q51" s="1"/>
      <c r="R51" s="5">
        <f t="shared" si="35"/>
        <v>2.8073137459520823E-3</v>
      </c>
      <c r="S51" s="1"/>
      <c r="T51" s="1">
        <f>SUM(OSRRefT22_3x_0)</f>
        <v>-0.24</v>
      </c>
      <c r="U51" s="1"/>
      <c r="V51" s="5">
        <f t="shared" si="36"/>
        <v>-3.8357203119391239E-8</v>
      </c>
      <c r="W51" s="1"/>
      <c r="X51" s="1">
        <f t="shared" si="37"/>
        <v>1408.26</v>
      </c>
      <c r="Y51" s="1"/>
      <c r="Z51" s="5">
        <f t="shared" si="38"/>
        <v>-5867.75</v>
      </c>
    </row>
    <row r="52" spans="1:26" s="24" customFormat="1" hidden="1" outlineLevel="2" x14ac:dyDescent="0.25">
      <c r="A52" s="28"/>
      <c r="B52" s="11" t="str">
        <f>CONCATENATE("          ", "6272", " - ", "CASH (OVER/SHORT)")</f>
        <v xml:space="preserve">          6272 - CASH (OVER/SHORT)</v>
      </c>
      <c r="C52" s="11"/>
      <c r="D52" s="6">
        <v>1539.8</v>
      </c>
      <c r="E52" s="2"/>
      <c r="F52" s="7">
        <f t="shared" si="31"/>
        <v>7.8693027280590175E-3</v>
      </c>
      <c r="G52" s="2"/>
      <c r="H52" s="6">
        <v>34.049999999999997</v>
      </c>
      <c r="I52" s="2"/>
      <c r="J52" s="7">
        <f t="shared" si="32"/>
        <v>1.3396133146563302E-5</v>
      </c>
      <c r="K52" s="2"/>
      <c r="L52" s="6">
        <f t="shared" si="33"/>
        <v>1505.75</v>
      </c>
      <c r="M52" s="2"/>
      <c r="N52" s="7">
        <f t="shared" si="34"/>
        <v>44.221732745961823</v>
      </c>
      <c r="O52" s="11"/>
      <c r="P52" s="6">
        <v>1408.02</v>
      </c>
      <c r="Q52" s="2"/>
      <c r="R52" s="7">
        <f t="shared" si="35"/>
        <v>2.8073137459520823E-3</v>
      </c>
      <c r="S52" s="2"/>
      <c r="T52" s="6">
        <v>-0.24</v>
      </c>
      <c r="U52" s="2"/>
      <c r="V52" s="7">
        <f t="shared" si="36"/>
        <v>-3.8357203119391239E-8</v>
      </c>
      <c r="W52" s="2"/>
      <c r="X52" s="6">
        <f t="shared" si="37"/>
        <v>1408.26</v>
      </c>
      <c r="Y52" s="2"/>
      <c r="Z52" s="7">
        <f t="shared" si="38"/>
        <v>-5867.75</v>
      </c>
    </row>
    <row r="53" spans="1:26" s="29" customFormat="1" outlineLevel="1" collapsed="1" x14ac:dyDescent="0.25">
      <c r="A53" s="27"/>
      <c r="B53" s="14" t="str">
        <f>CONCATENATE("     ","Bank/card Fees                                    ")</f>
        <v xml:space="preserve">     Bank/card Fees                                    </v>
      </c>
      <c r="C53" s="14"/>
      <c r="D53" s="1">
        <f>SUM(OSRRefD22_4x_0)</f>
        <v>758.49</v>
      </c>
      <c r="E53" s="1"/>
      <c r="F53" s="5">
        <f t="shared" si="31"/>
        <v>3.8763394117453465E-3</v>
      </c>
      <c r="G53" s="1"/>
      <c r="H53" s="1">
        <f>SUM(OSRRefH22_4x_0)</f>
        <v>29519.43</v>
      </c>
      <c r="I53" s="1"/>
      <c r="J53" s="5">
        <f t="shared" si="32"/>
        <v>1.1613692061399564E-2</v>
      </c>
      <c r="K53" s="1"/>
      <c r="L53" s="1">
        <f t="shared" si="33"/>
        <v>-28760.94</v>
      </c>
      <c r="M53" s="1"/>
      <c r="N53" s="5">
        <f t="shared" si="34"/>
        <v>-0.97430539817333861</v>
      </c>
      <c r="O53" s="14"/>
      <c r="P53" s="1">
        <f>SUM(OSRRefP22_4x_0)</f>
        <v>1867.81</v>
      </c>
      <c r="Q53" s="1"/>
      <c r="R53" s="5">
        <f t="shared" si="35"/>
        <v>3.7240441810675695E-3</v>
      </c>
      <c r="S53" s="1"/>
      <c r="T53" s="1">
        <f>SUM(OSRRefT22_4x_0)</f>
        <v>64650.599999999991</v>
      </c>
      <c r="U53" s="1"/>
      <c r="V53" s="5">
        <f t="shared" si="36"/>
        <v>1.0332567483293812E-2</v>
      </c>
      <c r="W53" s="1"/>
      <c r="X53" s="1">
        <f t="shared" si="37"/>
        <v>-62782.789999999994</v>
      </c>
      <c r="Y53" s="1"/>
      <c r="Z53" s="5">
        <f t="shared" si="38"/>
        <v>-0.97110916217328225</v>
      </c>
    </row>
    <row r="54" spans="1:26" s="24" customFormat="1" hidden="1" outlineLevel="2" x14ac:dyDescent="0.25">
      <c r="A54" s="28"/>
      <c r="B54" s="11" t="str">
        <f>CONCATENATE("          ", "6381", " - ", "BANK/CREDIT CARD FEES")</f>
        <v xml:space="preserve">          6381 - BANK/CREDIT CARD FEES</v>
      </c>
      <c r="C54" s="11"/>
      <c r="D54" s="6">
        <v>758.49</v>
      </c>
      <c r="E54" s="2"/>
      <c r="F54" s="7">
        <f t="shared" si="31"/>
        <v>3.8763394117453465E-3</v>
      </c>
      <c r="G54" s="2"/>
      <c r="H54" s="6">
        <v>29519.43</v>
      </c>
      <c r="I54" s="2"/>
      <c r="J54" s="7">
        <f t="shared" si="32"/>
        <v>1.1613692061399564E-2</v>
      </c>
      <c r="K54" s="2"/>
      <c r="L54" s="6">
        <f t="shared" si="33"/>
        <v>-28760.94</v>
      </c>
      <c r="M54" s="2"/>
      <c r="N54" s="7">
        <f t="shared" si="34"/>
        <v>-0.97430539817333861</v>
      </c>
      <c r="O54" s="11"/>
      <c r="P54" s="6">
        <v>1867.81</v>
      </c>
      <c r="Q54" s="2"/>
      <c r="R54" s="7">
        <f t="shared" si="35"/>
        <v>3.7240441810675695E-3</v>
      </c>
      <c r="S54" s="2"/>
      <c r="T54" s="6">
        <v>64650.599999999991</v>
      </c>
      <c r="U54" s="2"/>
      <c r="V54" s="7">
        <f t="shared" si="36"/>
        <v>1.0332567483293812E-2</v>
      </c>
      <c r="W54" s="2"/>
      <c r="X54" s="6">
        <f t="shared" si="37"/>
        <v>-62782.789999999994</v>
      </c>
      <c r="Y54" s="2"/>
      <c r="Z54" s="7">
        <f t="shared" si="38"/>
        <v>-0.97110916217328225</v>
      </c>
    </row>
    <row r="55" spans="1:26" s="29" customFormat="1" outlineLevel="1" collapsed="1" x14ac:dyDescent="0.25">
      <c r="A55" s="27"/>
      <c r="B55" s="14" t="str">
        <f>CONCATENATE("     ","Depreciation                                      ")</f>
        <v xml:space="preserve">     Depreciation                                      </v>
      </c>
      <c r="C55" s="14"/>
      <c r="D55" s="1">
        <f>SUM(OSRRefD22_5x_0)</f>
        <v>37536.629999999997</v>
      </c>
      <c r="E55" s="1"/>
      <c r="F55" s="5">
        <f t="shared" si="31"/>
        <v>0.19183472195164433</v>
      </c>
      <c r="G55" s="1"/>
      <c r="H55" s="1">
        <f>SUM(OSRRefH22_5x_0)</f>
        <v>39571.050000000003</v>
      </c>
      <c r="I55" s="1"/>
      <c r="J55" s="5">
        <f t="shared" si="32"/>
        <v>1.5568254171786016E-2</v>
      </c>
      <c r="K55" s="1"/>
      <c r="L55" s="1">
        <f t="shared" si="33"/>
        <v>-2034.4200000000055</v>
      </c>
      <c r="M55" s="1"/>
      <c r="N55" s="5">
        <f t="shared" si="34"/>
        <v>-5.141182758607632E-2</v>
      </c>
      <c r="O55" s="14"/>
      <c r="P55" s="1">
        <f>SUM(OSRRefP22_5x_0)</f>
        <v>152212.12</v>
      </c>
      <c r="Q55" s="1"/>
      <c r="R55" s="5">
        <f t="shared" si="35"/>
        <v>0.30348089997053157</v>
      </c>
      <c r="S55" s="1"/>
      <c r="T55" s="1">
        <f>SUM(OSRRefT22_5x_0)</f>
        <v>158284.20000000001</v>
      </c>
      <c r="U55" s="1"/>
      <c r="V55" s="5">
        <f t="shared" si="36"/>
        <v>2.5297246708293114E-2</v>
      </c>
      <c r="W55" s="1"/>
      <c r="X55" s="1">
        <f t="shared" si="37"/>
        <v>-6072.0800000000163</v>
      </c>
      <c r="Y55" s="1"/>
      <c r="Z55" s="5">
        <f t="shared" si="38"/>
        <v>-3.8361883245453532E-2</v>
      </c>
    </row>
    <row r="56" spans="1:26" s="24" customFormat="1" hidden="1" outlineLevel="2" x14ac:dyDescent="0.25">
      <c r="A56" s="28"/>
      <c r="B56" s="11" t="str">
        <f>CONCATENATE("          ", "6321", " - ", "BUILDING DEPRECIATION")</f>
        <v xml:space="preserve">          6321 - BUILDING DEPRECIATION</v>
      </c>
      <c r="C56" s="11"/>
      <c r="D56" s="6">
        <v>23583.489999999998</v>
      </c>
      <c r="E56" s="2"/>
      <c r="F56" s="7">
        <f t="shared" si="31"/>
        <v>0.12052579698282409</v>
      </c>
      <c r="G56" s="2"/>
      <c r="H56" s="6">
        <v>24042.959999999999</v>
      </c>
      <c r="I56" s="2"/>
      <c r="J56" s="7">
        <f t="shared" si="32"/>
        <v>9.4591099382524413E-3</v>
      </c>
      <c r="K56" s="2"/>
      <c r="L56" s="6">
        <f t="shared" si="33"/>
        <v>-459.47000000000116</v>
      </c>
      <c r="M56" s="2"/>
      <c r="N56" s="7">
        <f t="shared" si="34"/>
        <v>-1.9110375760721689E-2</v>
      </c>
      <c r="O56" s="11"/>
      <c r="P56" s="6">
        <v>95118.150000000009</v>
      </c>
      <c r="Q56" s="2"/>
      <c r="R56" s="7">
        <f t="shared" si="35"/>
        <v>0.189646801881033</v>
      </c>
      <c r="S56" s="2"/>
      <c r="T56" s="6">
        <v>96171.839999999997</v>
      </c>
      <c r="U56" s="2"/>
      <c r="V56" s="7">
        <f t="shared" si="36"/>
        <v>1.5370345005189979E-2</v>
      </c>
      <c r="W56" s="2"/>
      <c r="X56" s="6">
        <f t="shared" si="37"/>
        <v>-1053.6899999999878</v>
      </c>
      <c r="Y56" s="2"/>
      <c r="Z56" s="7">
        <f t="shared" si="38"/>
        <v>-1.0956325677037975E-2</v>
      </c>
    </row>
    <row r="57" spans="1:26" s="24" customFormat="1" hidden="1" outlineLevel="2" x14ac:dyDescent="0.25">
      <c r="A57" s="28"/>
      <c r="B57" s="11" t="str">
        <f>CONCATENATE("          ", "6322", " - ", "EQUIPMENT DEPRECIATION EXPENSE")</f>
        <v xml:space="preserve">          6322 - EQUIPMENT DEPRECIATION EXPENSE</v>
      </c>
      <c r="C57" s="11"/>
      <c r="D57" s="6">
        <v>13953.14</v>
      </c>
      <c r="E57" s="2"/>
      <c r="F57" s="7">
        <f t="shared" si="31"/>
        <v>7.1308924968820228E-2</v>
      </c>
      <c r="G57" s="2"/>
      <c r="H57" s="6">
        <v>15103.84</v>
      </c>
      <c r="I57" s="2"/>
      <c r="J57" s="7">
        <f t="shared" si="32"/>
        <v>5.9422335290569362E-3</v>
      </c>
      <c r="K57" s="2"/>
      <c r="L57" s="6">
        <f t="shared" si="33"/>
        <v>-1150.7000000000007</v>
      </c>
      <c r="M57" s="2"/>
      <c r="N57" s="7">
        <f t="shared" si="34"/>
        <v>-7.6185923579698986E-2</v>
      </c>
      <c r="O57" s="11"/>
      <c r="P57" s="6">
        <v>57093.97</v>
      </c>
      <c r="Q57" s="2"/>
      <c r="R57" s="7">
        <f t="shared" si="35"/>
        <v>0.1138340980894986</v>
      </c>
      <c r="S57" s="2"/>
      <c r="T57" s="6">
        <v>60415.360000000001</v>
      </c>
      <c r="U57" s="2"/>
      <c r="V57" s="7">
        <f t="shared" si="36"/>
        <v>9.6556843127131031E-3</v>
      </c>
      <c r="W57" s="2"/>
      <c r="X57" s="6">
        <f t="shared" si="37"/>
        <v>-3321.3899999999994</v>
      </c>
      <c r="Y57" s="2"/>
      <c r="Z57" s="7">
        <f t="shared" si="38"/>
        <v>-5.4975920030932518E-2</v>
      </c>
    </row>
    <row r="58" spans="1:26" s="24" customFormat="1" hidden="1" outlineLevel="2" x14ac:dyDescent="0.25">
      <c r="A58" s="28"/>
      <c r="B58" s="11" t="str">
        <f>CONCATENATE("          ", "6326", " - ", "VEHICLES DEPRECIATION EXPENSE")</f>
        <v xml:space="preserve">          6326 - VEHICLES DEPRECIATION EXPENSE</v>
      </c>
      <c r="C58" s="11"/>
      <c r="D58" s="6"/>
      <c r="E58" s="2"/>
      <c r="F58" s="7">
        <f t="shared" si="31"/>
        <v>0</v>
      </c>
      <c r="G58" s="2"/>
      <c r="H58" s="6">
        <v>424.25</v>
      </c>
      <c r="I58" s="2"/>
      <c r="J58" s="7">
        <f t="shared" si="32"/>
        <v>1.6691070447663673E-4</v>
      </c>
      <c r="K58" s="2"/>
      <c r="L58" s="6">
        <f t="shared" si="33"/>
        <v>-424.25</v>
      </c>
      <c r="M58" s="2"/>
      <c r="N58" s="7">
        <f t="shared" si="34"/>
        <v>-1</v>
      </c>
      <c r="O58" s="11"/>
      <c r="P58" s="6"/>
      <c r="Q58" s="2"/>
      <c r="R58" s="7">
        <f t="shared" si="35"/>
        <v>0</v>
      </c>
      <c r="S58" s="2"/>
      <c r="T58" s="6">
        <v>1697</v>
      </c>
      <c r="U58" s="2"/>
      <c r="V58" s="7">
        <f t="shared" si="36"/>
        <v>2.7121739039002887E-4</v>
      </c>
      <c r="W58" s="2"/>
      <c r="X58" s="6">
        <f t="shared" si="37"/>
        <v>-1697</v>
      </c>
      <c r="Y58" s="2"/>
      <c r="Z58" s="7">
        <f t="shared" si="38"/>
        <v>-1</v>
      </c>
    </row>
    <row r="59" spans="1:26" s="29" customFormat="1" outlineLevel="1" collapsed="1" x14ac:dyDescent="0.25">
      <c r="A59" s="27"/>
      <c r="B59" s="14" t="str">
        <f>CONCATENATE("     ","Donations                                         ")</f>
        <v xml:space="preserve">     Donations                                         </v>
      </c>
      <c r="C59" s="14"/>
      <c r="D59" s="1">
        <f>SUM(OSRRefD22_6x_0)</f>
        <v>11110.09</v>
      </c>
      <c r="E59" s="1"/>
      <c r="F59" s="5">
        <f t="shared" ref="F59:F69" si="39">IF(D$12=0,0,D59/D$12)</f>
        <v>5.6779232072984291E-2</v>
      </c>
      <c r="G59" s="1"/>
      <c r="H59" s="1">
        <f>SUM(OSRRefH22_6x_0)</f>
        <v>23682.68</v>
      </c>
      <c r="I59" s="1"/>
      <c r="J59" s="5">
        <f t="shared" ref="J59:J69" si="40">IF(H$12=0,0,H59/H$12)</f>
        <v>9.3173666533759702E-3</v>
      </c>
      <c r="K59" s="1"/>
      <c r="L59" s="1">
        <f t="shared" ref="L59:L69" si="41">+D59-H59</f>
        <v>-12572.59</v>
      </c>
      <c r="M59" s="1"/>
      <c r="N59" s="5">
        <f t="shared" ref="N59:N69" si="42">IF(H59=0,0,L59/H59)</f>
        <v>-0.53087699534005439</v>
      </c>
      <c r="O59" s="14"/>
      <c r="P59" s="1">
        <f>SUM(OSRRefP22_6x_0)</f>
        <v>22220.18</v>
      </c>
      <c r="Q59" s="1"/>
      <c r="R59" s="5">
        <f t="shared" ref="R59:R69" si="43">IF(P$12=0,0,P59/P$12)</f>
        <v>4.4302649643847065E-2</v>
      </c>
      <c r="S59" s="1"/>
      <c r="T59" s="1">
        <f>SUM(OSRRefT22_6x_0)</f>
        <v>50279.43</v>
      </c>
      <c r="U59" s="1"/>
      <c r="V59" s="5">
        <f t="shared" ref="V59:V69" si="44">IF(T$12=0,0,T59/T$12)</f>
        <v>8.035742955155056E-3</v>
      </c>
      <c r="W59" s="1"/>
      <c r="X59" s="1">
        <f t="shared" ref="X59:X69" si="45">+P59-T59</f>
        <v>-28059.25</v>
      </c>
      <c r="Y59" s="1"/>
      <c r="Z59" s="5">
        <f t="shared" ref="Z59:Z69" si="46">IF(T59=0,0,X59/T59)</f>
        <v>-0.55806619128339363</v>
      </c>
    </row>
    <row r="60" spans="1:26" s="24" customFormat="1" hidden="1" outlineLevel="2" x14ac:dyDescent="0.25">
      <c r="A60" s="28"/>
      <c r="B60" s="11" t="str">
        <f>CONCATENATE("          ", "6399", " - ", "DONATION-ON CAMPUS")</f>
        <v xml:space="preserve">          6399 - DONATION-ON CAMPUS</v>
      </c>
      <c r="C60" s="11"/>
      <c r="D60" s="6">
        <v>11110.09</v>
      </c>
      <c r="E60" s="2"/>
      <c r="F60" s="7">
        <f t="shared" si="39"/>
        <v>5.6779232072984291E-2</v>
      </c>
      <c r="G60" s="2"/>
      <c r="H60" s="6">
        <v>23682.68</v>
      </c>
      <c r="I60" s="2"/>
      <c r="J60" s="7">
        <f t="shared" si="40"/>
        <v>9.3173666533759702E-3</v>
      </c>
      <c r="K60" s="2"/>
      <c r="L60" s="6">
        <f t="shared" si="41"/>
        <v>-12572.59</v>
      </c>
      <c r="M60" s="2"/>
      <c r="N60" s="7">
        <f t="shared" si="42"/>
        <v>-0.53087699534005439</v>
      </c>
      <c r="O60" s="11"/>
      <c r="P60" s="6">
        <v>22220.18</v>
      </c>
      <c r="Q60" s="2"/>
      <c r="R60" s="7">
        <f t="shared" si="43"/>
        <v>4.4302649643847065E-2</v>
      </c>
      <c r="S60" s="2"/>
      <c r="T60" s="6">
        <v>50279.43</v>
      </c>
      <c r="U60" s="2"/>
      <c r="V60" s="7">
        <f t="shared" si="44"/>
        <v>8.035742955155056E-3</v>
      </c>
      <c r="W60" s="2"/>
      <c r="X60" s="6">
        <f t="shared" si="45"/>
        <v>-28059.25</v>
      </c>
      <c r="Y60" s="2"/>
      <c r="Z60" s="7">
        <f t="shared" si="46"/>
        <v>-0.55806619128339363</v>
      </c>
    </row>
    <row r="61" spans="1:26" s="29" customFormat="1" outlineLevel="1" collapsed="1" x14ac:dyDescent="0.25">
      <c r="A61" s="27"/>
      <c r="B61" s="14" t="str">
        <f>CONCATENATE("     ","Employees' Appreciation                           ")</f>
        <v xml:space="preserve">     Employees' Appreciation                           </v>
      </c>
      <c r="C61" s="14"/>
      <c r="D61" s="1">
        <f>SUM(OSRRefD22_7x_0)</f>
        <v>0</v>
      </c>
      <c r="E61" s="1"/>
      <c r="F61" s="5">
        <f t="shared" si="39"/>
        <v>0</v>
      </c>
      <c r="G61" s="1"/>
      <c r="H61" s="1">
        <f>SUM(OSRRefH22_7x_0)</f>
        <v>67.64</v>
      </c>
      <c r="I61" s="1"/>
      <c r="J61" s="5">
        <f t="shared" si="40"/>
        <v>2.6611290632409452E-5</v>
      </c>
      <c r="K61" s="1"/>
      <c r="L61" s="1">
        <f t="shared" si="41"/>
        <v>-67.64</v>
      </c>
      <c r="M61" s="1"/>
      <c r="N61" s="5">
        <f t="shared" si="42"/>
        <v>-1</v>
      </c>
      <c r="O61" s="14"/>
      <c r="P61" s="1">
        <f>SUM(OSRRefP22_7x_0)</f>
        <v>0</v>
      </c>
      <c r="Q61" s="1"/>
      <c r="R61" s="5">
        <f t="shared" si="43"/>
        <v>0</v>
      </c>
      <c r="S61" s="1"/>
      <c r="T61" s="1">
        <f>SUM(OSRRefT22_7x_0)</f>
        <v>1335.5</v>
      </c>
      <c r="U61" s="1"/>
      <c r="V61" s="5">
        <f t="shared" si="44"/>
        <v>2.1344185319144583E-4</v>
      </c>
      <c r="W61" s="1"/>
      <c r="X61" s="1">
        <f t="shared" si="45"/>
        <v>-1335.5</v>
      </c>
      <c r="Y61" s="1"/>
      <c r="Z61" s="5">
        <f t="shared" si="46"/>
        <v>-1</v>
      </c>
    </row>
    <row r="62" spans="1:26" s="24" customFormat="1" hidden="1" outlineLevel="2" x14ac:dyDescent="0.25">
      <c r="A62" s="28"/>
      <c r="B62" s="11" t="str">
        <f>CONCATENATE("          ", "6277", " - ", "EMPLOYEE APPRECIATION")</f>
        <v xml:space="preserve">          6277 - EMPLOYEE APPRECIATION</v>
      </c>
      <c r="C62" s="11"/>
      <c r="D62" s="6"/>
      <c r="E62" s="2"/>
      <c r="F62" s="7">
        <f t="shared" si="39"/>
        <v>0</v>
      </c>
      <c r="G62" s="2"/>
      <c r="H62" s="6">
        <v>67.64</v>
      </c>
      <c r="I62" s="2"/>
      <c r="J62" s="7">
        <f t="shared" si="40"/>
        <v>2.6611290632409452E-5</v>
      </c>
      <c r="K62" s="2"/>
      <c r="L62" s="6">
        <f t="shared" si="41"/>
        <v>-67.64</v>
      </c>
      <c r="M62" s="2"/>
      <c r="N62" s="7">
        <f t="shared" si="42"/>
        <v>-1</v>
      </c>
      <c r="O62" s="11"/>
      <c r="P62" s="6"/>
      <c r="Q62" s="2"/>
      <c r="R62" s="7">
        <f t="shared" si="43"/>
        <v>0</v>
      </c>
      <c r="S62" s="2"/>
      <c r="T62" s="6">
        <v>1335.5</v>
      </c>
      <c r="U62" s="2"/>
      <c r="V62" s="7">
        <f t="shared" si="44"/>
        <v>2.1344185319144583E-4</v>
      </c>
      <c r="W62" s="2"/>
      <c r="X62" s="6">
        <f t="shared" si="45"/>
        <v>-1335.5</v>
      </c>
      <c r="Y62" s="2"/>
      <c r="Z62" s="7">
        <f t="shared" si="46"/>
        <v>-1</v>
      </c>
    </row>
    <row r="63" spans="1:26" s="29" customFormat="1" outlineLevel="1" collapsed="1" x14ac:dyDescent="0.25">
      <c r="A63" s="27"/>
      <c r="B63" s="14" t="str">
        <f>CONCATENATE("     ","Equipment Rental                                  ")</f>
        <v xml:space="preserve">     Equipment Rental                                  </v>
      </c>
      <c r="C63" s="14"/>
      <c r="D63" s="1">
        <f>SUM(OSRRefD22_8x_0)</f>
        <v>2597.85</v>
      </c>
      <c r="E63" s="1"/>
      <c r="F63" s="5">
        <f t="shared" si="39"/>
        <v>1.3276573640789789E-2</v>
      </c>
      <c r="G63" s="1"/>
      <c r="H63" s="1">
        <f>SUM(OSRRefH22_8x_0)</f>
        <v>7439</v>
      </c>
      <c r="I63" s="1"/>
      <c r="J63" s="5">
        <f t="shared" si="40"/>
        <v>2.9266911740759003E-3</v>
      </c>
      <c r="K63" s="1"/>
      <c r="L63" s="1">
        <f t="shared" si="41"/>
        <v>-4841.1499999999996</v>
      </c>
      <c r="M63" s="1"/>
      <c r="N63" s="5">
        <f t="shared" si="42"/>
        <v>-0.6507796746874579</v>
      </c>
      <c r="O63" s="14"/>
      <c r="P63" s="1">
        <f>SUM(OSRRefP22_8x_0)</f>
        <v>5573.14</v>
      </c>
      <c r="Q63" s="1"/>
      <c r="R63" s="5">
        <f t="shared" si="43"/>
        <v>1.1111740266555439E-2</v>
      </c>
      <c r="S63" s="1"/>
      <c r="T63" s="1">
        <f>SUM(OSRRefT22_8x_0)</f>
        <v>15053.030000000002</v>
      </c>
      <c r="U63" s="1"/>
      <c r="V63" s="5">
        <f t="shared" si="44"/>
        <v>2.4058005386345415E-3</v>
      </c>
      <c r="W63" s="1"/>
      <c r="X63" s="1">
        <f t="shared" si="45"/>
        <v>-9479.8900000000031</v>
      </c>
      <c r="Y63" s="1"/>
      <c r="Z63" s="5">
        <f t="shared" si="46"/>
        <v>-0.62976623311054325</v>
      </c>
    </row>
    <row r="64" spans="1:26" s="24" customFormat="1" hidden="1" outlineLevel="2" x14ac:dyDescent="0.25">
      <c r="A64" s="28"/>
      <c r="B64" s="11" t="str">
        <f>CONCATENATE("          ", "6351", " - ", "EQUIPMENT RENTAL")</f>
        <v xml:space="preserve">          6351 - EQUIPMENT RENTAL</v>
      </c>
      <c r="C64" s="11"/>
      <c r="D64" s="6">
        <v>2597.85</v>
      </c>
      <c r="E64" s="2"/>
      <c r="F64" s="7">
        <f t="shared" si="39"/>
        <v>1.3276573640789789E-2</v>
      </c>
      <c r="G64" s="2"/>
      <c r="H64" s="6">
        <v>7439</v>
      </c>
      <c r="I64" s="2"/>
      <c r="J64" s="7">
        <f t="shared" si="40"/>
        <v>2.9266911740759003E-3</v>
      </c>
      <c r="K64" s="2"/>
      <c r="L64" s="6">
        <f t="shared" si="41"/>
        <v>-4841.1499999999996</v>
      </c>
      <c r="M64" s="2"/>
      <c r="N64" s="7">
        <f t="shared" si="42"/>
        <v>-0.6507796746874579</v>
      </c>
      <c r="O64" s="11"/>
      <c r="P64" s="6">
        <v>5573.14</v>
      </c>
      <c r="Q64" s="2"/>
      <c r="R64" s="7">
        <f t="shared" si="43"/>
        <v>1.1111740266555439E-2</v>
      </c>
      <c r="S64" s="2"/>
      <c r="T64" s="6">
        <v>15053.030000000002</v>
      </c>
      <c r="U64" s="2"/>
      <c r="V64" s="7">
        <f t="shared" si="44"/>
        <v>2.4058005386345415E-3</v>
      </c>
      <c r="W64" s="2"/>
      <c r="X64" s="6">
        <f t="shared" si="45"/>
        <v>-9479.8900000000031</v>
      </c>
      <c r="Y64" s="2"/>
      <c r="Z64" s="7">
        <f t="shared" si="46"/>
        <v>-0.62976623311054325</v>
      </c>
    </row>
    <row r="65" spans="1:26" s="29" customFormat="1" outlineLevel="1" collapsed="1" x14ac:dyDescent="0.25">
      <c r="A65" s="27"/>
      <c r="B65" s="14" t="str">
        <f>CONCATENATE("     ","Freight out/Postage                               ")</f>
        <v xml:space="preserve">     Freight out/Postage                               </v>
      </c>
      <c r="C65" s="14"/>
      <c r="D65" s="1">
        <f>SUM(OSRRefD22_9x_0)</f>
        <v>0</v>
      </c>
      <c r="E65" s="1"/>
      <c r="F65" s="5">
        <f t="shared" si="39"/>
        <v>0</v>
      </c>
      <c r="G65" s="1"/>
      <c r="H65" s="1">
        <f>SUM(OSRRefH22_9x_0)</f>
        <v>0</v>
      </c>
      <c r="I65" s="1"/>
      <c r="J65" s="5">
        <f t="shared" si="40"/>
        <v>0</v>
      </c>
      <c r="K65" s="1"/>
      <c r="L65" s="1">
        <f t="shared" si="41"/>
        <v>0</v>
      </c>
      <c r="M65" s="1"/>
      <c r="N65" s="5">
        <f t="shared" si="42"/>
        <v>0</v>
      </c>
      <c r="O65" s="14"/>
      <c r="P65" s="1">
        <f>SUM(OSRRefP22_9x_0)</f>
        <v>-5.41</v>
      </c>
      <c r="Q65" s="1"/>
      <c r="R65" s="5">
        <f t="shared" si="43"/>
        <v>-1.0786471332510025E-5</v>
      </c>
      <c r="S65" s="1"/>
      <c r="T65" s="1">
        <f>SUM(OSRRefT22_9x_0)</f>
        <v>0</v>
      </c>
      <c r="U65" s="1"/>
      <c r="V65" s="5">
        <f t="shared" si="44"/>
        <v>0</v>
      </c>
      <c r="W65" s="1"/>
      <c r="X65" s="1">
        <f t="shared" si="45"/>
        <v>-5.41</v>
      </c>
      <c r="Y65" s="1"/>
      <c r="Z65" s="5">
        <f t="shared" si="46"/>
        <v>0</v>
      </c>
    </row>
    <row r="66" spans="1:26" s="24" customFormat="1" hidden="1" outlineLevel="2" x14ac:dyDescent="0.25">
      <c r="A66" s="28"/>
      <c r="B66" s="11" t="str">
        <f>CONCATENATE("          ", "6307", " - ", "POSTAGE")</f>
        <v xml:space="preserve">          6307 - POSTAGE</v>
      </c>
      <c r="C66" s="11"/>
      <c r="D66" s="6"/>
      <c r="E66" s="2"/>
      <c r="F66" s="7">
        <f t="shared" si="39"/>
        <v>0</v>
      </c>
      <c r="G66" s="2"/>
      <c r="H66" s="6"/>
      <c r="I66" s="2"/>
      <c r="J66" s="7">
        <f t="shared" si="40"/>
        <v>0</v>
      </c>
      <c r="K66" s="2"/>
      <c r="L66" s="6">
        <f t="shared" si="41"/>
        <v>0</v>
      </c>
      <c r="M66" s="2"/>
      <c r="N66" s="7">
        <f t="shared" si="42"/>
        <v>0</v>
      </c>
      <c r="O66" s="11"/>
      <c r="P66" s="6">
        <v>-5.41</v>
      </c>
      <c r="Q66" s="2"/>
      <c r="R66" s="7">
        <f t="shared" si="43"/>
        <v>-1.0786471332510025E-5</v>
      </c>
      <c r="S66" s="2"/>
      <c r="T66" s="6"/>
      <c r="U66" s="2"/>
      <c r="V66" s="7">
        <f t="shared" si="44"/>
        <v>0</v>
      </c>
      <c r="W66" s="2"/>
      <c r="X66" s="6">
        <f t="shared" si="45"/>
        <v>-5.41</v>
      </c>
      <c r="Y66" s="2"/>
      <c r="Z66" s="7">
        <f t="shared" si="46"/>
        <v>0</v>
      </c>
    </row>
    <row r="67" spans="1:26" s="29" customFormat="1" outlineLevel="1" collapsed="1" x14ac:dyDescent="0.25">
      <c r="A67" s="27"/>
      <c r="B67" s="14" t="str">
        <f>CONCATENATE("     ","General                                           ")</f>
        <v xml:space="preserve">     General                                           </v>
      </c>
      <c r="C67" s="14"/>
      <c r="D67" s="1">
        <f>SUM(OSRRefD22_10x_0)</f>
        <v>0</v>
      </c>
      <c r="E67" s="1"/>
      <c r="F67" s="5">
        <f t="shared" si="39"/>
        <v>0</v>
      </c>
      <c r="G67" s="1"/>
      <c r="H67" s="1">
        <f>SUM(OSRRefH22_10x_0)</f>
        <v>10235.879999999999</v>
      </c>
      <c r="I67" s="1"/>
      <c r="J67" s="5">
        <f t="shared" si="40"/>
        <v>4.0270546652641515E-3</v>
      </c>
      <c r="K67" s="1"/>
      <c r="L67" s="1">
        <f t="shared" si="41"/>
        <v>-10235.879999999999</v>
      </c>
      <c r="M67" s="1"/>
      <c r="N67" s="5">
        <f t="shared" si="42"/>
        <v>-1</v>
      </c>
      <c r="O67" s="14"/>
      <c r="P67" s="1">
        <f>SUM(OSRRefP22_10x_0)</f>
        <v>10147.4</v>
      </c>
      <c r="Q67" s="1"/>
      <c r="R67" s="5">
        <f t="shared" si="43"/>
        <v>2.023191112745143E-2</v>
      </c>
      <c r="S67" s="1"/>
      <c r="T67" s="1">
        <f>SUM(OSRRefT22_10x_0)</f>
        <v>45948.87</v>
      </c>
      <c r="U67" s="1"/>
      <c r="V67" s="5">
        <f t="shared" si="44"/>
        <v>7.3436255820687607E-3</v>
      </c>
      <c r="W67" s="1"/>
      <c r="X67" s="1">
        <f t="shared" si="45"/>
        <v>-35801.47</v>
      </c>
      <c r="Y67" s="1"/>
      <c r="Z67" s="5">
        <f t="shared" si="46"/>
        <v>-0.77915887811822138</v>
      </c>
    </row>
    <row r="68" spans="1:26" s="24" customFormat="1" hidden="1" outlineLevel="2" x14ac:dyDescent="0.25">
      <c r="A68" s="28"/>
      <c r="B68" s="11" t="str">
        <f>CONCATENATE("          ", "6269", " - ", "ENTERTAINMENT")</f>
        <v xml:space="preserve">          6269 - ENTERTAINMENT</v>
      </c>
      <c r="C68" s="11"/>
      <c r="D68" s="6"/>
      <c r="E68" s="2"/>
      <c r="F68" s="7">
        <f t="shared" si="39"/>
        <v>0</v>
      </c>
      <c r="G68" s="2"/>
      <c r="H68" s="6">
        <v>1850</v>
      </c>
      <c r="I68" s="2"/>
      <c r="J68" s="7">
        <f t="shared" si="40"/>
        <v>7.2783689636247019E-4</v>
      </c>
      <c r="K68" s="2"/>
      <c r="L68" s="6">
        <f t="shared" si="41"/>
        <v>-1850</v>
      </c>
      <c r="M68" s="2"/>
      <c r="N68" s="7">
        <f t="shared" si="42"/>
        <v>-1</v>
      </c>
      <c r="O68" s="11"/>
      <c r="P68" s="6"/>
      <c r="Q68" s="2"/>
      <c r="R68" s="7">
        <f t="shared" si="43"/>
        <v>0</v>
      </c>
      <c r="S68" s="2"/>
      <c r="T68" s="6">
        <v>5500</v>
      </c>
      <c r="U68" s="2"/>
      <c r="V68" s="7">
        <f t="shared" si="44"/>
        <v>8.7901923815271584E-4</v>
      </c>
      <c r="W68" s="2"/>
      <c r="X68" s="6">
        <f t="shared" si="45"/>
        <v>-5500</v>
      </c>
      <c r="Y68" s="2"/>
      <c r="Z68" s="7">
        <f t="shared" si="46"/>
        <v>-1</v>
      </c>
    </row>
    <row r="69" spans="1:26" s="24" customFormat="1" hidden="1" outlineLevel="2" x14ac:dyDescent="0.25">
      <c r="A69" s="28"/>
      <c r="B69" s="11" t="str">
        <f>CONCATENATE("          ", "6279", " - ", "GENERAL EXPENSE")</f>
        <v xml:space="preserve">          6279 - GENERAL EXPENSE</v>
      </c>
      <c r="C69" s="11"/>
      <c r="D69" s="6"/>
      <c r="E69" s="2"/>
      <c r="F69" s="7">
        <f t="shared" si="39"/>
        <v>0</v>
      </c>
      <c r="G69" s="2"/>
      <c r="H69" s="6">
        <v>8385.8799999999992</v>
      </c>
      <c r="I69" s="2"/>
      <c r="J69" s="7">
        <f t="shared" si="40"/>
        <v>3.2992177689016816E-3</v>
      </c>
      <c r="K69" s="2"/>
      <c r="L69" s="6">
        <f t="shared" si="41"/>
        <v>-8385.8799999999992</v>
      </c>
      <c r="M69" s="2"/>
      <c r="N69" s="7">
        <f t="shared" si="42"/>
        <v>-1</v>
      </c>
      <c r="O69" s="11"/>
      <c r="P69" s="6">
        <v>10147.4</v>
      </c>
      <c r="Q69" s="2"/>
      <c r="R69" s="7">
        <f t="shared" si="43"/>
        <v>2.023191112745143E-2</v>
      </c>
      <c r="S69" s="2"/>
      <c r="T69" s="6">
        <v>40448.870000000003</v>
      </c>
      <c r="U69" s="2"/>
      <c r="V69" s="7">
        <f t="shared" si="44"/>
        <v>6.4646063439160444E-3</v>
      </c>
      <c r="W69" s="2"/>
      <c r="X69" s="6">
        <f t="shared" si="45"/>
        <v>-30301.47</v>
      </c>
      <c r="Y69" s="2"/>
      <c r="Z69" s="7">
        <f t="shared" si="46"/>
        <v>-0.74913019819836746</v>
      </c>
    </row>
    <row r="70" spans="1:26" s="29" customFormat="1" outlineLevel="1" collapsed="1" x14ac:dyDescent="0.25">
      <c r="A70" s="27"/>
      <c r="B70" s="14" t="str">
        <f>CONCATENATE("     ","Insurance                                         ")</f>
        <v xml:space="preserve">     Insurance                                         </v>
      </c>
      <c r="C70" s="14"/>
      <c r="D70" s="1">
        <f>SUM(OSRRefD22_11x_0)</f>
        <v>10358.030000000001</v>
      </c>
      <c r="E70" s="1"/>
      <c r="F70" s="5">
        <f t="shared" ref="F70:F83" si="47">IF(D$12=0,0,D70/D$12)</f>
        <v>5.2935753822780332E-2</v>
      </c>
      <c r="G70" s="1"/>
      <c r="H70" s="1">
        <f>SUM(OSRRefH22_11x_0)</f>
        <v>4246.03</v>
      </c>
      <c r="I70" s="1"/>
      <c r="J70" s="5">
        <f t="shared" ref="J70:J83" si="48">IF(H$12=0,0,H70/H$12)</f>
        <v>1.6704958362496968E-3</v>
      </c>
      <c r="K70" s="1"/>
      <c r="L70" s="1">
        <f t="shared" ref="L70:L83" si="49">+D70-H70</f>
        <v>6112.0000000000009</v>
      </c>
      <c r="M70" s="1"/>
      <c r="N70" s="5">
        <f t="shared" ref="N70:N83" si="50">IF(H70=0,0,L70/H70)</f>
        <v>1.4394622741714027</v>
      </c>
      <c r="O70" s="14"/>
      <c r="P70" s="1">
        <f>SUM(OSRRefP22_11x_0)</f>
        <v>23096.12</v>
      </c>
      <c r="Q70" s="1"/>
      <c r="R70" s="5">
        <f t="shared" ref="R70:R83" si="51">IF(P$12=0,0,P70/P$12)</f>
        <v>4.6049100974530764E-2</v>
      </c>
      <c r="S70" s="1"/>
      <c r="T70" s="1">
        <f>SUM(OSRRefT22_11x_0)</f>
        <v>16984.12</v>
      </c>
      <c r="U70" s="1"/>
      <c r="V70" s="5">
        <f t="shared" ref="V70:V83" si="52">IF(T$12=0,0,T70/T$12)</f>
        <v>2.7144305860171461E-3</v>
      </c>
      <c r="W70" s="1"/>
      <c r="X70" s="1">
        <f t="shared" ref="X70:X83" si="53">+P70-T70</f>
        <v>6112</v>
      </c>
      <c r="Y70" s="1"/>
      <c r="Z70" s="5">
        <f t="shared" ref="Z70:Z83" si="54">IF(T70=0,0,X70/T70)</f>
        <v>0.35986556854285062</v>
      </c>
    </row>
    <row r="71" spans="1:26" s="24" customFormat="1" hidden="1" outlineLevel="2" x14ac:dyDescent="0.25">
      <c r="A71" s="28"/>
      <c r="B71" s="11" t="str">
        <f>CONCATENATE("          ", "6314", " - ", "LIABILITY INSURANCE")</f>
        <v xml:space="preserve">          6314 - LIABILITY INSURANCE</v>
      </c>
      <c r="C71" s="11"/>
      <c r="D71" s="6">
        <v>10358.030000000001</v>
      </c>
      <c r="E71" s="2"/>
      <c r="F71" s="7">
        <f t="shared" si="47"/>
        <v>5.2935753822780332E-2</v>
      </c>
      <c r="G71" s="2"/>
      <c r="H71" s="6">
        <v>4246.03</v>
      </c>
      <c r="I71" s="2"/>
      <c r="J71" s="7">
        <f t="shared" si="48"/>
        <v>1.6704958362496968E-3</v>
      </c>
      <c r="K71" s="2"/>
      <c r="L71" s="6">
        <f t="shared" si="49"/>
        <v>6112.0000000000009</v>
      </c>
      <c r="M71" s="2"/>
      <c r="N71" s="7">
        <f t="shared" si="50"/>
        <v>1.4394622741714027</v>
      </c>
      <c r="O71" s="11"/>
      <c r="P71" s="6">
        <v>23096.12</v>
      </c>
      <c r="Q71" s="2"/>
      <c r="R71" s="7">
        <f t="shared" si="51"/>
        <v>4.6049100974530764E-2</v>
      </c>
      <c r="S71" s="2"/>
      <c r="T71" s="6">
        <v>16984.12</v>
      </c>
      <c r="U71" s="2"/>
      <c r="V71" s="7">
        <f t="shared" si="52"/>
        <v>2.7144305860171461E-3</v>
      </c>
      <c r="W71" s="2"/>
      <c r="X71" s="6">
        <f t="shared" si="53"/>
        <v>6112</v>
      </c>
      <c r="Y71" s="2"/>
      <c r="Z71" s="7">
        <f t="shared" si="54"/>
        <v>0.35986556854285062</v>
      </c>
    </row>
    <row r="72" spans="1:26" s="29" customFormat="1" outlineLevel="1" collapsed="1" x14ac:dyDescent="0.25">
      <c r="A72" s="27"/>
      <c r="B72" s="14" t="str">
        <f>CONCATENATE("     ","Interest                                          ")</f>
        <v xml:space="preserve">     Interest                                          </v>
      </c>
      <c r="C72" s="14"/>
      <c r="D72" s="1">
        <f>SUM(OSRRefD22_12x_0)</f>
        <v>7023.15</v>
      </c>
      <c r="E72" s="1"/>
      <c r="F72" s="5">
        <f t="shared" si="47"/>
        <v>3.589251425806448E-2</v>
      </c>
      <c r="G72" s="1"/>
      <c r="H72" s="1">
        <f>SUM(OSRRefH22_12x_0)</f>
        <v>7733.05</v>
      </c>
      <c r="I72" s="1"/>
      <c r="J72" s="5">
        <f t="shared" si="48"/>
        <v>3.0423778980625945E-3</v>
      </c>
      <c r="K72" s="1"/>
      <c r="L72" s="1">
        <f t="shared" si="49"/>
        <v>-709.90000000000055</v>
      </c>
      <c r="M72" s="1"/>
      <c r="N72" s="5">
        <f t="shared" si="50"/>
        <v>-9.1800777183646889E-2</v>
      </c>
      <c r="O72" s="14"/>
      <c r="P72" s="1">
        <f>SUM(OSRRefP22_12x_0)</f>
        <v>29553.15</v>
      </c>
      <c r="Q72" s="1"/>
      <c r="R72" s="5">
        <f t="shared" si="51"/>
        <v>5.8923143301362051E-2</v>
      </c>
      <c r="S72" s="1"/>
      <c r="T72" s="1">
        <f>SUM(OSRRefT22_12x_0)</f>
        <v>30623.05</v>
      </c>
      <c r="U72" s="1"/>
      <c r="V72" s="5">
        <f t="shared" si="52"/>
        <v>4.8942272874386407E-3</v>
      </c>
      <c r="W72" s="1"/>
      <c r="X72" s="1">
        <f t="shared" si="53"/>
        <v>-1069.8999999999978</v>
      </c>
      <c r="Y72" s="1"/>
      <c r="Z72" s="5">
        <f t="shared" si="54"/>
        <v>-3.4937734810869522E-2</v>
      </c>
    </row>
    <row r="73" spans="1:26" s="24" customFormat="1" hidden="1" outlineLevel="2" x14ac:dyDescent="0.25">
      <c r="A73" s="28"/>
      <c r="B73" s="11" t="str">
        <f>CONCATENATE("          ", "6401", " - ", "INTEREST EXPENSE")</f>
        <v xml:space="preserve">          6401 - INTEREST EXPENSE</v>
      </c>
      <c r="C73" s="11"/>
      <c r="D73" s="6">
        <v>7023.15</v>
      </c>
      <c r="E73" s="2"/>
      <c r="F73" s="7">
        <f t="shared" si="47"/>
        <v>3.589251425806448E-2</v>
      </c>
      <c r="G73" s="2"/>
      <c r="H73" s="6">
        <v>7733.05</v>
      </c>
      <c r="I73" s="2"/>
      <c r="J73" s="7">
        <f t="shared" si="48"/>
        <v>3.0423778980625945E-3</v>
      </c>
      <c r="K73" s="2"/>
      <c r="L73" s="6">
        <f t="shared" si="49"/>
        <v>-709.90000000000055</v>
      </c>
      <c r="M73" s="2"/>
      <c r="N73" s="7">
        <f t="shared" si="50"/>
        <v>-9.1800777183646889E-2</v>
      </c>
      <c r="O73" s="11"/>
      <c r="P73" s="6">
        <v>29553.15</v>
      </c>
      <c r="Q73" s="2"/>
      <c r="R73" s="7">
        <f t="shared" si="51"/>
        <v>5.8923143301362051E-2</v>
      </c>
      <c r="S73" s="2"/>
      <c r="T73" s="6">
        <v>30623.05</v>
      </c>
      <c r="U73" s="2"/>
      <c r="V73" s="7">
        <f t="shared" si="52"/>
        <v>4.8942272874386407E-3</v>
      </c>
      <c r="W73" s="2"/>
      <c r="X73" s="6">
        <f t="shared" si="53"/>
        <v>-1069.8999999999978</v>
      </c>
      <c r="Y73" s="2"/>
      <c r="Z73" s="7">
        <f t="shared" si="54"/>
        <v>-3.4937734810869522E-2</v>
      </c>
    </row>
    <row r="74" spans="1:26" s="29" customFormat="1" outlineLevel="1" collapsed="1" x14ac:dyDescent="0.25">
      <c r="A74" s="27"/>
      <c r="B74" s="14" t="str">
        <f>CONCATENATE("     ","Professional Services                             ")</f>
        <v xml:space="preserve">     Professional Services                             </v>
      </c>
      <c r="C74" s="14"/>
      <c r="D74" s="1">
        <f>SUM(OSRRefD22_13x_0)</f>
        <v>0</v>
      </c>
      <c r="E74" s="1"/>
      <c r="F74" s="5">
        <f t="shared" si="47"/>
        <v>0</v>
      </c>
      <c r="G74" s="1"/>
      <c r="H74" s="1">
        <f>SUM(OSRRefH22_13x_0)</f>
        <v>0</v>
      </c>
      <c r="I74" s="1"/>
      <c r="J74" s="5">
        <f t="shared" si="48"/>
        <v>0</v>
      </c>
      <c r="K74" s="1"/>
      <c r="L74" s="1">
        <f t="shared" si="49"/>
        <v>0</v>
      </c>
      <c r="M74" s="1"/>
      <c r="N74" s="5">
        <f t="shared" si="50"/>
        <v>0</v>
      </c>
      <c r="O74" s="14"/>
      <c r="P74" s="1">
        <f>SUM(OSRRefP22_13x_0)</f>
        <v>0</v>
      </c>
      <c r="Q74" s="1"/>
      <c r="R74" s="5">
        <f t="shared" si="51"/>
        <v>0</v>
      </c>
      <c r="S74" s="1"/>
      <c r="T74" s="1">
        <f>SUM(OSRRefT22_13x_0)</f>
        <v>125</v>
      </c>
      <c r="U74" s="1"/>
      <c r="V74" s="5">
        <f t="shared" si="52"/>
        <v>1.9977709958016271E-5</v>
      </c>
      <c r="W74" s="1"/>
      <c r="X74" s="1">
        <f t="shared" si="53"/>
        <v>-125</v>
      </c>
      <c r="Y74" s="1"/>
      <c r="Z74" s="5">
        <f t="shared" si="54"/>
        <v>-1</v>
      </c>
    </row>
    <row r="75" spans="1:26" s="24" customFormat="1" hidden="1" outlineLevel="2" x14ac:dyDescent="0.25">
      <c r="A75" s="28"/>
      <c r="B75" s="11" t="str">
        <f>CONCATENATE("          ", "6336", " - ", "PROFESSIONAL SERVICES")</f>
        <v xml:space="preserve">          6336 - PROFESSIONAL SERVICES</v>
      </c>
      <c r="C75" s="11"/>
      <c r="D75" s="6"/>
      <c r="E75" s="2"/>
      <c r="F75" s="7">
        <f t="shared" si="47"/>
        <v>0</v>
      </c>
      <c r="G75" s="2"/>
      <c r="H75" s="6"/>
      <c r="I75" s="2"/>
      <c r="J75" s="7">
        <f t="shared" si="48"/>
        <v>0</v>
      </c>
      <c r="K75" s="2"/>
      <c r="L75" s="6">
        <f t="shared" si="49"/>
        <v>0</v>
      </c>
      <c r="M75" s="2"/>
      <c r="N75" s="7">
        <f t="shared" si="50"/>
        <v>0</v>
      </c>
      <c r="O75" s="11"/>
      <c r="P75" s="6"/>
      <c r="Q75" s="2"/>
      <c r="R75" s="7">
        <f t="shared" si="51"/>
        <v>0</v>
      </c>
      <c r="S75" s="2"/>
      <c r="T75" s="6">
        <v>125</v>
      </c>
      <c r="U75" s="2"/>
      <c r="V75" s="7">
        <f t="shared" si="52"/>
        <v>1.9977709958016271E-5</v>
      </c>
      <c r="W75" s="2"/>
      <c r="X75" s="6">
        <f t="shared" si="53"/>
        <v>-125</v>
      </c>
      <c r="Y75" s="2"/>
      <c r="Z75" s="7">
        <f t="shared" si="54"/>
        <v>-1</v>
      </c>
    </row>
    <row r="76" spans="1:26" s="29" customFormat="1" outlineLevel="1" collapsed="1" x14ac:dyDescent="0.25">
      <c r="A76" s="27"/>
      <c r="B76" s="14" t="str">
        <f>CONCATENATE("     ","R/H Commissions                                   ")</f>
        <v xml:space="preserve">     R/H Commissions                                   </v>
      </c>
      <c r="C76" s="14"/>
      <c r="D76" s="1">
        <f>SUM(OSRRefD22_14x_0)</f>
        <v>12242.68</v>
      </c>
      <c r="E76" s="1"/>
      <c r="F76" s="5">
        <f t="shared" si="47"/>
        <v>6.256744715076866E-2</v>
      </c>
      <c r="G76" s="1"/>
      <c r="H76" s="1">
        <f>SUM(OSRRefH22_14x_0)</f>
        <v>130766.15000000001</v>
      </c>
      <c r="I76" s="1"/>
      <c r="J76" s="5">
        <f t="shared" si="48"/>
        <v>5.1446718251496888E-2</v>
      </c>
      <c r="K76" s="1"/>
      <c r="L76" s="1">
        <f t="shared" si="49"/>
        <v>-118523.47</v>
      </c>
      <c r="M76" s="1"/>
      <c r="N76" s="5">
        <f t="shared" si="50"/>
        <v>-0.90637730024169094</v>
      </c>
      <c r="O76" s="14"/>
      <c r="P76" s="1">
        <f>SUM(OSRRefP22_14x_0)</f>
        <v>28720.2</v>
      </c>
      <c r="Q76" s="1"/>
      <c r="R76" s="5">
        <f t="shared" si="51"/>
        <v>5.7262405538623745E-2</v>
      </c>
      <c r="S76" s="1"/>
      <c r="T76" s="1">
        <f>SUM(OSRRefT22_14x_0)</f>
        <v>318687.43</v>
      </c>
      <c r="U76" s="1"/>
      <c r="V76" s="5">
        <f t="shared" si="52"/>
        <v>5.09331603504449E-2</v>
      </c>
      <c r="W76" s="1"/>
      <c r="X76" s="1">
        <f t="shared" si="53"/>
        <v>-289967.23</v>
      </c>
      <c r="Y76" s="1"/>
      <c r="Z76" s="5">
        <f t="shared" si="54"/>
        <v>-0.90987972133070949</v>
      </c>
    </row>
    <row r="77" spans="1:26" s="24" customFormat="1" hidden="1" outlineLevel="2" x14ac:dyDescent="0.25">
      <c r="A77" s="28"/>
      <c r="B77" s="11" t="str">
        <f>CONCATENATE("          ", "6387", " - ", "COMMISSION DUE HOUSING")</f>
        <v xml:space="preserve">          6387 - COMMISSION DUE HOUSING</v>
      </c>
      <c r="C77" s="11"/>
      <c r="D77" s="6">
        <v>12242.68</v>
      </c>
      <c r="E77" s="2"/>
      <c r="F77" s="7">
        <f t="shared" si="47"/>
        <v>6.256744715076866E-2</v>
      </c>
      <c r="G77" s="2"/>
      <c r="H77" s="6">
        <v>130766.15000000001</v>
      </c>
      <c r="I77" s="2"/>
      <c r="J77" s="7">
        <f t="shared" si="48"/>
        <v>5.1446718251496888E-2</v>
      </c>
      <c r="K77" s="2"/>
      <c r="L77" s="6">
        <f t="shared" si="49"/>
        <v>-118523.47</v>
      </c>
      <c r="M77" s="2"/>
      <c r="N77" s="7">
        <f t="shared" si="50"/>
        <v>-0.90637730024169094</v>
      </c>
      <c r="O77" s="11"/>
      <c r="P77" s="6">
        <v>28720.2</v>
      </c>
      <c r="Q77" s="2"/>
      <c r="R77" s="7">
        <f t="shared" si="51"/>
        <v>5.7262405538623745E-2</v>
      </c>
      <c r="S77" s="2"/>
      <c r="T77" s="6">
        <v>318687.43</v>
      </c>
      <c r="U77" s="2"/>
      <c r="V77" s="7">
        <f t="shared" si="52"/>
        <v>5.09331603504449E-2</v>
      </c>
      <c r="W77" s="2"/>
      <c r="X77" s="6">
        <f t="shared" si="53"/>
        <v>-289967.23</v>
      </c>
      <c r="Y77" s="2"/>
      <c r="Z77" s="7">
        <f t="shared" si="54"/>
        <v>-0.90987972133070949</v>
      </c>
    </row>
    <row r="78" spans="1:26" s="29" customFormat="1" outlineLevel="1" collapsed="1" x14ac:dyDescent="0.25">
      <c r="A78" s="27"/>
      <c r="B78" s="14" t="str">
        <f>CONCATENATE("     ","Rent                                              ")</f>
        <v xml:space="preserve">     Rent                                              </v>
      </c>
      <c r="C78" s="14"/>
      <c r="D78" s="1">
        <f>SUM(OSRRefD22_15x_0)</f>
        <v>0</v>
      </c>
      <c r="E78" s="1"/>
      <c r="F78" s="5">
        <f t="shared" si="47"/>
        <v>0</v>
      </c>
      <c r="G78" s="1"/>
      <c r="H78" s="1">
        <f>SUM(OSRRefH22_15x_0)</f>
        <v>1850</v>
      </c>
      <c r="I78" s="1"/>
      <c r="J78" s="5">
        <f t="shared" si="48"/>
        <v>7.2783689636247019E-4</v>
      </c>
      <c r="K78" s="1"/>
      <c r="L78" s="1">
        <f t="shared" si="49"/>
        <v>-1850</v>
      </c>
      <c r="M78" s="1"/>
      <c r="N78" s="5">
        <f t="shared" si="50"/>
        <v>-1</v>
      </c>
      <c r="O78" s="14"/>
      <c r="P78" s="1">
        <f>SUM(OSRRefP22_15x_0)</f>
        <v>5550</v>
      </c>
      <c r="Q78" s="1"/>
      <c r="R78" s="5">
        <f t="shared" si="51"/>
        <v>1.1065603677528769E-2</v>
      </c>
      <c r="S78" s="1"/>
      <c r="T78" s="1">
        <f>SUM(OSRRefT22_15x_0)</f>
        <v>7400</v>
      </c>
      <c r="U78" s="1"/>
      <c r="V78" s="5">
        <f t="shared" si="52"/>
        <v>1.1826804295145632E-3</v>
      </c>
      <c r="W78" s="1"/>
      <c r="X78" s="1">
        <f t="shared" si="53"/>
        <v>-1850</v>
      </c>
      <c r="Y78" s="1"/>
      <c r="Z78" s="5">
        <f t="shared" si="54"/>
        <v>-0.25</v>
      </c>
    </row>
    <row r="79" spans="1:26" s="24" customFormat="1" hidden="1" outlineLevel="2" x14ac:dyDescent="0.25">
      <c r="A79" s="28"/>
      <c r="B79" s="11" t="str">
        <f>CONCATENATE("          ", "6273", " - ", "RENT")</f>
        <v xml:space="preserve">          6273 - RENT</v>
      </c>
      <c r="C79" s="11"/>
      <c r="D79" s="6"/>
      <c r="E79" s="2"/>
      <c r="F79" s="7">
        <f t="shared" si="47"/>
        <v>0</v>
      </c>
      <c r="G79" s="2"/>
      <c r="H79" s="6">
        <v>1850</v>
      </c>
      <c r="I79" s="2"/>
      <c r="J79" s="7">
        <f t="shared" si="48"/>
        <v>7.2783689636247019E-4</v>
      </c>
      <c r="K79" s="2"/>
      <c r="L79" s="6">
        <f t="shared" si="49"/>
        <v>-1850</v>
      </c>
      <c r="M79" s="2"/>
      <c r="N79" s="7">
        <f t="shared" si="50"/>
        <v>-1</v>
      </c>
      <c r="O79" s="11"/>
      <c r="P79" s="6">
        <v>5550</v>
      </c>
      <c r="Q79" s="2"/>
      <c r="R79" s="7">
        <f t="shared" si="51"/>
        <v>1.1065603677528769E-2</v>
      </c>
      <c r="S79" s="2"/>
      <c r="T79" s="6">
        <v>7400</v>
      </c>
      <c r="U79" s="2"/>
      <c r="V79" s="7">
        <f t="shared" si="52"/>
        <v>1.1826804295145632E-3</v>
      </c>
      <c r="W79" s="2"/>
      <c r="X79" s="6">
        <f t="shared" si="53"/>
        <v>-1850</v>
      </c>
      <c r="Y79" s="2"/>
      <c r="Z79" s="7">
        <f t="shared" si="54"/>
        <v>-0.25</v>
      </c>
    </row>
    <row r="80" spans="1:26" s="29" customFormat="1" outlineLevel="1" collapsed="1" x14ac:dyDescent="0.25">
      <c r="A80" s="27"/>
      <c r="B80" s="14" t="str">
        <f>CONCATENATE("     ","Repair and Maintenance                            ")</f>
        <v xml:space="preserve">     Repair and Maintenance                            </v>
      </c>
      <c r="C80" s="14"/>
      <c r="D80" s="1">
        <f>SUM(OSRRefD22_16x_0)</f>
        <v>4413.82</v>
      </c>
      <c r="E80" s="1"/>
      <c r="F80" s="5">
        <f t="shared" si="47"/>
        <v>2.2557270922951976E-2</v>
      </c>
      <c r="G80" s="1"/>
      <c r="H80" s="1">
        <f>SUM(OSRRefH22_16x_0)</f>
        <v>26365.21</v>
      </c>
      <c r="I80" s="1"/>
      <c r="J80" s="5">
        <f t="shared" si="48"/>
        <v>1.0372741955862033E-2</v>
      </c>
      <c r="K80" s="1"/>
      <c r="L80" s="1">
        <f t="shared" si="49"/>
        <v>-21951.39</v>
      </c>
      <c r="M80" s="1"/>
      <c r="N80" s="5">
        <f t="shared" si="50"/>
        <v>-0.8325892340702008</v>
      </c>
      <c r="O80" s="14"/>
      <c r="P80" s="1">
        <f>SUM(OSRRefP22_16x_0)</f>
        <v>18335.05</v>
      </c>
      <c r="Q80" s="1"/>
      <c r="R80" s="5">
        <f t="shared" si="51"/>
        <v>3.655646787525655E-2</v>
      </c>
      <c r="S80" s="1"/>
      <c r="T80" s="1">
        <f>SUM(OSRRefT22_16x_0)</f>
        <v>112956.52</v>
      </c>
      <c r="U80" s="1"/>
      <c r="V80" s="5">
        <f t="shared" si="52"/>
        <v>1.8052900755414911E-2</v>
      </c>
      <c r="W80" s="1"/>
      <c r="X80" s="1">
        <f t="shared" si="53"/>
        <v>-94621.47</v>
      </c>
      <c r="Y80" s="1"/>
      <c r="Z80" s="5">
        <f t="shared" si="54"/>
        <v>-0.83768046324373302</v>
      </c>
    </row>
    <row r="81" spans="1:26" s="24" customFormat="1" hidden="1" outlineLevel="2" x14ac:dyDescent="0.25">
      <c r="A81" s="28"/>
      <c r="B81" s="11" t="str">
        <f>CONCATENATE("          ", "6371", " - ", "COMPUTER SOFTWARE MAINTENANCE")</f>
        <v xml:space="preserve">          6371 - COMPUTER SOFTWARE MAINTENANCE</v>
      </c>
      <c r="C81" s="11"/>
      <c r="D81" s="6"/>
      <c r="E81" s="2"/>
      <c r="F81" s="7">
        <f t="shared" si="47"/>
        <v>0</v>
      </c>
      <c r="G81" s="2"/>
      <c r="H81" s="6"/>
      <c r="I81" s="2"/>
      <c r="J81" s="7">
        <f t="shared" si="48"/>
        <v>0</v>
      </c>
      <c r="K81" s="2"/>
      <c r="L81" s="6">
        <f t="shared" si="49"/>
        <v>0</v>
      </c>
      <c r="M81" s="2"/>
      <c r="N81" s="7">
        <f t="shared" si="50"/>
        <v>0</v>
      </c>
      <c r="O81" s="11"/>
      <c r="P81" s="6"/>
      <c r="Q81" s="2"/>
      <c r="R81" s="7">
        <f t="shared" si="51"/>
        <v>0</v>
      </c>
      <c r="S81" s="2"/>
      <c r="T81" s="6">
        <v>17273.12</v>
      </c>
      <c r="U81" s="2"/>
      <c r="V81" s="7">
        <f t="shared" si="52"/>
        <v>2.7606190514400798E-3</v>
      </c>
      <c r="W81" s="2"/>
      <c r="X81" s="6">
        <f t="shared" si="53"/>
        <v>-17273.12</v>
      </c>
      <c r="Y81" s="2"/>
      <c r="Z81" s="7">
        <f t="shared" si="54"/>
        <v>-1</v>
      </c>
    </row>
    <row r="82" spans="1:26" s="24" customFormat="1" hidden="1" outlineLevel="2" x14ac:dyDescent="0.25">
      <c r="A82" s="28"/>
      <c r="B82" s="11" t="str">
        <f>CONCATENATE("          ", "6373", " - ", "MAINTENANCE CONTRACTS")</f>
        <v xml:space="preserve">          6373 - MAINTENANCE CONTRACTS</v>
      </c>
      <c r="C82" s="11"/>
      <c r="D82" s="6">
        <v>3197.29</v>
      </c>
      <c r="E82" s="2"/>
      <c r="F82" s="7">
        <f t="shared" si="47"/>
        <v>1.6340072034936884E-2</v>
      </c>
      <c r="G82" s="2"/>
      <c r="H82" s="6">
        <v>7849.52</v>
      </c>
      <c r="I82" s="2"/>
      <c r="J82" s="7">
        <f t="shared" si="48"/>
        <v>3.0882001485054798E-3</v>
      </c>
      <c r="K82" s="2"/>
      <c r="L82" s="6">
        <f t="shared" si="49"/>
        <v>-4652.2300000000005</v>
      </c>
      <c r="M82" s="2"/>
      <c r="N82" s="7">
        <f t="shared" si="50"/>
        <v>-0.59267700445377558</v>
      </c>
      <c r="O82" s="11"/>
      <c r="P82" s="6">
        <v>11603.48</v>
      </c>
      <c r="Q82" s="2"/>
      <c r="R82" s="7">
        <f t="shared" si="51"/>
        <v>2.3135047019843518E-2</v>
      </c>
      <c r="S82" s="2"/>
      <c r="T82" s="6">
        <v>32696.04</v>
      </c>
      <c r="U82" s="2"/>
      <c r="V82" s="7">
        <f t="shared" si="52"/>
        <v>5.225536031165586E-3</v>
      </c>
      <c r="W82" s="2"/>
      <c r="X82" s="6">
        <f t="shared" si="53"/>
        <v>-21092.560000000001</v>
      </c>
      <c r="Y82" s="2"/>
      <c r="Z82" s="7">
        <f t="shared" si="54"/>
        <v>-0.64511053938030416</v>
      </c>
    </row>
    <row r="83" spans="1:26" s="24" customFormat="1" hidden="1" outlineLevel="2" x14ac:dyDescent="0.25">
      <c r="A83" s="28"/>
      <c r="B83" s="11" t="str">
        <f>CONCATENATE("          ", "6375", " - ", "OUTSIDE REPAIRS &amp; MAINTENANCE")</f>
        <v xml:space="preserve">          6375 - OUTSIDE REPAIRS &amp; MAINTENANCE</v>
      </c>
      <c r="C83" s="11"/>
      <c r="D83" s="6">
        <v>1216.53</v>
      </c>
      <c r="E83" s="2"/>
      <c r="F83" s="7">
        <f t="shared" si="47"/>
        <v>6.2171988880150904E-3</v>
      </c>
      <c r="G83" s="2"/>
      <c r="H83" s="6">
        <v>18515.689999999999</v>
      </c>
      <c r="I83" s="2"/>
      <c r="J83" s="7">
        <f t="shared" si="48"/>
        <v>7.2845418073565543E-3</v>
      </c>
      <c r="K83" s="2"/>
      <c r="L83" s="6">
        <f t="shared" si="49"/>
        <v>-17299.16</v>
      </c>
      <c r="M83" s="2"/>
      <c r="N83" s="7">
        <f t="shared" si="50"/>
        <v>-0.93429734457641067</v>
      </c>
      <c r="O83" s="11"/>
      <c r="P83" s="6">
        <v>6731.57</v>
      </c>
      <c r="Q83" s="2"/>
      <c r="R83" s="7">
        <f t="shared" si="51"/>
        <v>1.3421420855413034E-2</v>
      </c>
      <c r="S83" s="2"/>
      <c r="T83" s="6">
        <v>62987.360000000001</v>
      </c>
      <c r="U83" s="2"/>
      <c r="V83" s="7">
        <f t="shared" si="52"/>
        <v>1.0066745672809246E-2</v>
      </c>
      <c r="W83" s="2"/>
      <c r="X83" s="6">
        <f t="shared" si="53"/>
        <v>-56255.79</v>
      </c>
      <c r="Y83" s="2"/>
      <c r="Z83" s="7">
        <f t="shared" si="54"/>
        <v>-0.89312824033266358</v>
      </c>
    </row>
    <row r="84" spans="1:26" s="29" customFormat="1" outlineLevel="1" collapsed="1" x14ac:dyDescent="0.25">
      <c r="A84" s="27"/>
      <c r="B84" s="14" t="str">
        <f>CONCATENATE("     ","Royalty &amp; Commissions                             ")</f>
        <v xml:space="preserve">     Royalty &amp; Commissions                             </v>
      </c>
      <c r="C84" s="14"/>
      <c r="D84" s="1">
        <f>SUM(OSRRefD22_17x_0)</f>
        <v>0</v>
      </c>
      <c r="E84" s="1"/>
      <c r="F84" s="5">
        <f t="shared" ref="F84:F86" si="55">IF(D$12=0,0,D84/D$12)</f>
        <v>0</v>
      </c>
      <c r="G84" s="1"/>
      <c r="H84" s="1">
        <f>SUM(OSRRefH22_17x_0)</f>
        <v>32085.1</v>
      </c>
      <c r="I84" s="1"/>
      <c r="J84" s="5">
        <f t="shared" ref="J84:J86" si="56">IF(H$12=0,0,H84/H$12)</f>
        <v>1.2623091677556483E-2</v>
      </c>
      <c r="K84" s="1"/>
      <c r="L84" s="1">
        <f t="shared" ref="L84:L86" si="57">+D84-H84</f>
        <v>-32085.1</v>
      </c>
      <c r="M84" s="1"/>
      <c r="N84" s="5">
        <f t="shared" ref="N84:N86" si="58">IF(H84=0,0,L84/H84)</f>
        <v>-1</v>
      </c>
      <c r="O84" s="14"/>
      <c r="P84" s="1">
        <f>SUM(OSRRefP22_17x_0)</f>
        <v>0</v>
      </c>
      <c r="Q84" s="1"/>
      <c r="R84" s="5">
        <f t="shared" ref="R84:R86" si="59">IF(P$12=0,0,P84/P$12)</f>
        <v>0</v>
      </c>
      <c r="S84" s="1"/>
      <c r="T84" s="1">
        <f>SUM(OSRRefT22_17x_0)</f>
        <v>92348.87</v>
      </c>
      <c r="U84" s="1"/>
      <c r="V84" s="5">
        <f t="shared" ref="V84:V86" si="60">IF(T$12=0,0,T84/T$12)</f>
        <v>1.4759351518484398E-2</v>
      </c>
      <c r="W84" s="1"/>
      <c r="X84" s="1">
        <f t="shared" ref="X84:X86" si="61">+P84-T84</f>
        <v>-92348.87</v>
      </c>
      <c r="Y84" s="1"/>
      <c r="Z84" s="5">
        <f t="shared" ref="Z84:Z86" si="62">IF(T84=0,0,X84/T84)</f>
        <v>-1</v>
      </c>
    </row>
    <row r="85" spans="1:26" s="24" customFormat="1" hidden="1" outlineLevel="2" x14ac:dyDescent="0.25">
      <c r="A85" s="28"/>
      <c r="B85" s="11" t="str">
        <f>CONCATENATE("          ", "6254", " - ", "ROYALTY &amp; COMMISSIONS")</f>
        <v xml:space="preserve">          6254 - ROYALTY &amp; COMMISSIONS</v>
      </c>
      <c r="C85" s="11"/>
      <c r="D85" s="6"/>
      <c r="E85" s="2"/>
      <c r="F85" s="7">
        <f t="shared" si="55"/>
        <v>0</v>
      </c>
      <c r="G85" s="2"/>
      <c r="H85" s="6">
        <v>10321.9</v>
      </c>
      <c r="I85" s="2"/>
      <c r="J85" s="7">
        <f t="shared" si="56"/>
        <v>4.0608971138182603E-3</v>
      </c>
      <c r="K85" s="2"/>
      <c r="L85" s="6">
        <f t="shared" si="57"/>
        <v>-10321.9</v>
      </c>
      <c r="M85" s="2"/>
      <c r="N85" s="7">
        <f t="shared" si="58"/>
        <v>-1</v>
      </c>
      <c r="O85" s="11"/>
      <c r="P85" s="6"/>
      <c r="Q85" s="2"/>
      <c r="R85" s="7">
        <f t="shared" si="59"/>
        <v>0</v>
      </c>
      <c r="S85" s="2"/>
      <c r="T85" s="6">
        <v>44979.51</v>
      </c>
      <c r="U85" s="2"/>
      <c r="V85" s="7">
        <f t="shared" si="60"/>
        <v>7.1887008386695393E-3</v>
      </c>
      <c r="W85" s="2"/>
      <c r="X85" s="6">
        <f t="shared" si="61"/>
        <v>-44979.51</v>
      </c>
      <c r="Y85" s="2"/>
      <c r="Z85" s="7">
        <f t="shared" si="62"/>
        <v>-1</v>
      </c>
    </row>
    <row r="86" spans="1:26" s="24" customFormat="1" hidden="1" outlineLevel="2" x14ac:dyDescent="0.25">
      <c r="A86" s="28"/>
      <c r="B86" s="11" t="str">
        <f>CONCATENATE("          ", "6259", " - ", "ROYALTY &amp; COMMISSIONS")</f>
        <v xml:space="preserve">          6259 - ROYALTY &amp; COMMISSIONS</v>
      </c>
      <c r="C86" s="11"/>
      <c r="D86" s="6"/>
      <c r="E86" s="2"/>
      <c r="F86" s="7">
        <f t="shared" si="55"/>
        <v>0</v>
      </c>
      <c r="G86" s="2"/>
      <c r="H86" s="6">
        <v>21763.200000000001</v>
      </c>
      <c r="I86" s="2"/>
      <c r="J86" s="7">
        <f t="shared" si="56"/>
        <v>8.5621945637382232E-3</v>
      </c>
      <c r="K86" s="2"/>
      <c r="L86" s="6">
        <f t="shared" si="57"/>
        <v>-21763.200000000001</v>
      </c>
      <c r="M86" s="2"/>
      <c r="N86" s="7">
        <f t="shared" si="58"/>
        <v>-1</v>
      </c>
      <c r="O86" s="11"/>
      <c r="P86" s="6"/>
      <c r="Q86" s="2"/>
      <c r="R86" s="7">
        <f t="shared" si="59"/>
        <v>0</v>
      </c>
      <c r="S86" s="2"/>
      <c r="T86" s="6">
        <v>47369.36</v>
      </c>
      <c r="U86" s="2"/>
      <c r="V86" s="7">
        <f t="shared" si="60"/>
        <v>7.5706506798148606E-3</v>
      </c>
      <c r="W86" s="2"/>
      <c r="X86" s="6">
        <f t="shared" si="61"/>
        <v>-47369.36</v>
      </c>
      <c r="Y86" s="2"/>
      <c r="Z86" s="7">
        <f t="shared" si="62"/>
        <v>-1</v>
      </c>
    </row>
    <row r="87" spans="1:26" s="29" customFormat="1" outlineLevel="1" collapsed="1" x14ac:dyDescent="0.25">
      <c r="A87" s="27"/>
      <c r="B87" s="14" t="str">
        <f>CONCATENATE("     ","Services                                          ")</f>
        <v xml:space="preserve">     Services                                          </v>
      </c>
      <c r="C87" s="14"/>
      <c r="D87" s="1">
        <f>SUM(OSRRefD22_18x_0)</f>
        <v>18350.830000000002</v>
      </c>
      <c r="E87" s="1"/>
      <c r="F87" s="5">
        <f t="shared" ref="F87:F92" si="63">IF(D$12=0,0,D87/D$12)</f>
        <v>9.3783761904888477E-2</v>
      </c>
      <c r="G87" s="1"/>
      <c r="H87" s="1">
        <f>SUM(OSRRefH22_18x_0)</f>
        <v>42410.14</v>
      </c>
      <c r="I87" s="1"/>
      <c r="J87" s="5">
        <f t="shared" ref="J87:J92" si="64">IF(H$12=0,0,H87/H$12)</f>
        <v>1.6685224146971812E-2</v>
      </c>
      <c r="K87" s="1"/>
      <c r="L87" s="1">
        <f t="shared" ref="L87:L92" si="65">+D87-H87</f>
        <v>-24059.309999999998</v>
      </c>
      <c r="M87" s="1"/>
      <c r="N87" s="5">
        <f t="shared" ref="N87:N92" si="66">IF(H87=0,0,L87/H87)</f>
        <v>-0.56730088606168239</v>
      </c>
      <c r="O87" s="14"/>
      <c r="P87" s="1">
        <f>SUM(OSRRefP22_18x_0)</f>
        <v>60645.140000000007</v>
      </c>
      <c r="Q87" s="1"/>
      <c r="R87" s="5">
        <f t="shared" ref="R87:R92" si="67">IF(P$12=0,0,P87/P$12)</f>
        <v>0.12091442958707156</v>
      </c>
      <c r="S87" s="1"/>
      <c r="T87" s="1">
        <f>SUM(OSRRefT22_18x_0)</f>
        <v>160143.75</v>
      </c>
      <c r="U87" s="1"/>
      <c r="V87" s="5">
        <f t="shared" ref="V87:V92" si="68">IF(T$12=0,0,T87/T$12)</f>
        <v>2.5594443112712546E-2</v>
      </c>
      <c r="W87" s="1"/>
      <c r="X87" s="1">
        <f t="shared" ref="X87:X92" si="69">+P87-T87</f>
        <v>-99498.609999999986</v>
      </c>
      <c r="Y87" s="1"/>
      <c r="Z87" s="5">
        <f t="shared" ref="Z87:Z92" si="70">IF(T87=0,0,X87/T87)</f>
        <v>-0.62130810599851682</v>
      </c>
    </row>
    <row r="88" spans="1:26" s="24" customFormat="1" hidden="1" outlineLevel="2" x14ac:dyDescent="0.25">
      <c r="A88" s="28"/>
      <c r="B88" s="11" t="str">
        <f>CONCATENATE("          ", "6282", " - ", "JANITORIAL/EXTERMINATOR EXPENS")</f>
        <v xml:space="preserve">          6282 - JANITORIAL/EXTERMINATOR EXPENS</v>
      </c>
      <c r="C88" s="11"/>
      <c r="D88" s="6">
        <v>2597.6799999999998</v>
      </c>
      <c r="E88" s="2"/>
      <c r="F88" s="7">
        <f t="shared" si="63"/>
        <v>1.327570483869616E-2</v>
      </c>
      <c r="G88" s="2"/>
      <c r="H88" s="6">
        <v>2785.87</v>
      </c>
      <c r="I88" s="2"/>
      <c r="J88" s="7">
        <f t="shared" si="64"/>
        <v>1.0960318780915215E-3</v>
      </c>
      <c r="K88" s="2"/>
      <c r="L88" s="6">
        <f t="shared" si="65"/>
        <v>-188.19000000000005</v>
      </c>
      <c r="M88" s="2"/>
      <c r="N88" s="7">
        <f t="shared" si="66"/>
        <v>-6.7551608653670145E-2</v>
      </c>
      <c r="O88" s="11"/>
      <c r="P88" s="6">
        <v>5510.66</v>
      </c>
      <c r="Q88" s="2"/>
      <c r="R88" s="7">
        <f t="shared" si="67"/>
        <v>1.0987167488578501E-2</v>
      </c>
      <c r="S88" s="2"/>
      <c r="T88" s="6">
        <v>11413.48</v>
      </c>
      <c r="U88" s="2"/>
      <c r="V88" s="7">
        <f t="shared" si="68"/>
        <v>1.8241215444129563E-3</v>
      </c>
      <c r="W88" s="2"/>
      <c r="X88" s="6">
        <f t="shared" si="69"/>
        <v>-5902.82</v>
      </c>
      <c r="Y88" s="2"/>
      <c r="Z88" s="7">
        <f t="shared" si="70"/>
        <v>-0.51717968577506601</v>
      </c>
    </row>
    <row r="89" spans="1:26" s="24" customFormat="1" hidden="1" outlineLevel="2" x14ac:dyDescent="0.25">
      <c r="A89" s="28"/>
      <c r="B89" s="11" t="str">
        <f>CONCATENATE("          ", "6283", " - ", "PLANT SERVICE")</f>
        <v xml:space="preserve">          6283 - PLANT SERVICE</v>
      </c>
      <c r="C89" s="11"/>
      <c r="D89" s="6"/>
      <c r="E89" s="2"/>
      <c r="F89" s="7">
        <f t="shared" si="63"/>
        <v>0</v>
      </c>
      <c r="G89" s="2"/>
      <c r="H89" s="6"/>
      <c r="I89" s="2"/>
      <c r="J89" s="7">
        <f t="shared" si="64"/>
        <v>0</v>
      </c>
      <c r="K89" s="2"/>
      <c r="L89" s="6">
        <f t="shared" si="65"/>
        <v>0</v>
      </c>
      <c r="M89" s="2"/>
      <c r="N89" s="7">
        <f t="shared" si="66"/>
        <v>0</v>
      </c>
      <c r="O89" s="11"/>
      <c r="P89" s="6"/>
      <c r="Q89" s="2"/>
      <c r="R89" s="7">
        <f t="shared" si="67"/>
        <v>0</v>
      </c>
      <c r="S89" s="2"/>
      <c r="T89" s="6">
        <v>599.34</v>
      </c>
      <c r="U89" s="2"/>
      <c r="V89" s="7">
        <f t="shared" si="68"/>
        <v>9.5787525489899773E-5</v>
      </c>
      <c r="W89" s="2"/>
      <c r="X89" s="6">
        <f t="shared" si="69"/>
        <v>-599.34</v>
      </c>
      <c r="Y89" s="2"/>
      <c r="Z89" s="7">
        <f t="shared" si="70"/>
        <v>-1</v>
      </c>
    </row>
    <row r="90" spans="1:26" s="24" customFormat="1" hidden="1" outlineLevel="2" x14ac:dyDescent="0.25">
      <c r="A90" s="28"/>
      <c r="B90" s="11" t="str">
        <f>CONCATENATE("          ", "6284", " - ", "TRASH REMOVAL EXPENSE")</f>
        <v xml:space="preserve">          6284 - TRASH REMOVAL EXPENSE</v>
      </c>
      <c r="C90" s="11"/>
      <c r="D90" s="6">
        <v>5369</v>
      </c>
      <c r="E90" s="2"/>
      <c r="F90" s="7">
        <f t="shared" si="63"/>
        <v>2.7438814357026151E-2</v>
      </c>
      <c r="G90" s="2"/>
      <c r="H90" s="6">
        <v>4199</v>
      </c>
      <c r="I90" s="2"/>
      <c r="J90" s="7">
        <f t="shared" si="64"/>
        <v>1.6519930420681149E-3</v>
      </c>
      <c r="K90" s="2"/>
      <c r="L90" s="6">
        <f t="shared" si="65"/>
        <v>1170</v>
      </c>
      <c r="M90" s="2"/>
      <c r="N90" s="7">
        <f t="shared" si="66"/>
        <v>0.27863777089783281</v>
      </c>
      <c r="O90" s="11"/>
      <c r="P90" s="6">
        <v>8130</v>
      </c>
      <c r="Q90" s="2"/>
      <c r="R90" s="7">
        <f t="shared" si="67"/>
        <v>1.6209614035731332E-2</v>
      </c>
      <c r="S90" s="2"/>
      <c r="T90" s="6">
        <v>9021</v>
      </c>
      <c r="U90" s="2"/>
      <c r="V90" s="7">
        <f t="shared" si="68"/>
        <v>1.4417513722501181E-3</v>
      </c>
      <c r="W90" s="2"/>
      <c r="X90" s="6">
        <f t="shared" si="69"/>
        <v>-891</v>
      </c>
      <c r="Y90" s="2"/>
      <c r="Z90" s="7">
        <f t="shared" si="70"/>
        <v>-9.8769537745261052E-2</v>
      </c>
    </row>
    <row r="91" spans="1:26" s="24" customFormat="1" hidden="1" outlineLevel="2" x14ac:dyDescent="0.25">
      <c r="A91" s="28"/>
      <c r="B91" s="11" t="str">
        <f>CONCATENATE("          ", "6285", " - ", "JANITORIAL SERVICES")</f>
        <v xml:space="preserve">          6285 - JANITORIAL SERVICES</v>
      </c>
      <c r="C91" s="11"/>
      <c r="D91" s="6">
        <v>8351.15</v>
      </c>
      <c r="E91" s="2"/>
      <c r="F91" s="7">
        <f t="shared" si="63"/>
        <v>4.26793917894727E-2</v>
      </c>
      <c r="G91" s="2"/>
      <c r="H91" s="6">
        <v>24632.47</v>
      </c>
      <c r="I91" s="2"/>
      <c r="J91" s="7">
        <f t="shared" si="64"/>
        <v>9.691038115968463E-3</v>
      </c>
      <c r="K91" s="2"/>
      <c r="L91" s="6">
        <f t="shared" si="65"/>
        <v>-16281.320000000002</v>
      </c>
      <c r="M91" s="2"/>
      <c r="N91" s="7">
        <f t="shared" si="66"/>
        <v>-0.66096984995820562</v>
      </c>
      <c r="O91" s="11"/>
      <c r="P91" s="6">
        <v>39011.61</v>
      </c>
      <c r="Q91" s="2"/>
      <c r="R91" s="7">
        <f t="shared" si="67"/>
        <v>7.778144415897624E-2</v>
      </c>
      <c r="S91" s="2"/>
      <c r="T91" s="6">
        <v>104216.84</v>
      </c>
      <c r="U91" s="2"/>
      <c r="V91" s="7">
        <f t="shared" si="68"/>
        <v>1.6656110418087906E-2</v>
      </c>
      <c r="W91" s="2"/>
      <c r="X91" s="6">
        <f t="shared" si="69"/>
        <v>-65205.229999999996</v>
      </c>
      <c r="Y91" s="2"/>
      <c r="Z91" s="7">
        <f t="shared" si="70"/>
        <v>-0.62566884584103677</v>
      </c>
    </row>
    <row r="92" spans="1:26" s="24" customFormat="1" hidden="1" outlineLevel="2" x14ac:dyDescent="0.25">
      <c r="A92" s="28"/>
      <c r="B92" s="11" t="str">
        <f>CONCATENATE("          ", "6286", " - ", "LAUNDRY EXPENSE")</f>
        <v xml:space="preserve">          6286 - LAUNDRY EXPENSE</v>
      </c>
      <c r="C92" s="11"/>
      <c r="D92" s="6">
        <v>2033</v>
      </c>
      <c r="E92" s="2"/>
      <c r="F92" s="7">
        <f t="shared" si="63"/>
        <v>1.0389850919693456E-2</v>
      </c>
      <c r="G92" s="2"/>
      <c r="H92" s="6">
        <v>10792.8</v>
      </c>
      <c r="I92" s="2"/>
      <c r="J92" s="7">
        <f t="shared" si="64"/>
        <v>4.2461611108437127E-3</v>
      </c>
      <c r="K92" s="2"/>
      <c r="L92" s="6">
        <f t="shared" si="65"/>
        <v>-8759.7999999999993</v>
      </c>
      <c r="M92" s="2"/>
      <c r="N92" s="7">
        <f t="shared" si="66"/>
        <v>-0.81163368171373507</v>
      </c>
      <c r="O92" s="11"/>
      <c r="P92" s="6">
        <v>7992.87</v>
      </c>
      <c r="Q92" s="2"/>
      <c r="R92" s="7">
        <f t="shared" si="67"/>
        <v>1.5936203903785473E-2</v>
      </c>
      <c r="S92" s="2"/>
      <c r="T92" s="6">
        <v>34893.089999999997</v>
      </c>
      <c r="U92" s="2"/>
      <c r="V92" s="7">
        <f t="shared" si="68"/>
        <v>5.5766722524716629E-3</v>
      </c>
      <c r="W92" s="2"/>
      <c r="X92" s="6">
        <f t="shared" si="69"/>
        <v>-26900.219999999998</v>
      </c>
      <c r="Y92" s="2"/>
      <c r="Z92" s="7">
        <f t="shared" si="70"/>
        <v>-0.7709325829268775</v>
      </c>
    </row>
    <row r="93" spans="1:26" s="29" customFormat="1" outlineLevel="1" collapsed="1" x14ac:dyDescent="0.25">
      <c r="A93" s="27"/>
      <c r="B93" s="14" t="str">
        <f>CONCATENATE("     ","Subscriptions &amp; Dues                              ")</f>
        <v xml:space="preserve">     Subscriptions &amp; Dues                              </v>
      </c>
      <c r="C93" s="14"/>
      <c r="D93" s="1">
        <f>SUM(OSRRefD22_19x_0)</f>
        <v>130.66999999999999</v>
      </c>
      <c r="E93" s="1"/>
      <c r="F93" s="5">
        <f t="shared" ref="F93:F104" si="71">IF(D$12=0,0,D93/D$12)</f>
        <v>6.6780217396770472E-4</v>
      </c>
      <c r="G93" s="1"/>
      <c r="H93" s="1">
        <f>SUM(OSRRefH22_19x_0)</f>
        <v>393.42</v>
      </c>
      <c r="I93" s="1"/>
      <c r="J93" s="5">
        <f t="shared" ref="J93:J104" si="72">IF(H$12=0,0,H93/H$12)</f>
        <v>1.5478140095509353E-4</v>
      </c>
      <c r="K93" s="1"/>
      <c r="L93" s="1">
        <f t="shared" ref="L93:L104" si="73">+D93-H93</f>
        <v>-262.75</v>
      </c>
      <c r="M93" s="1"/>
      <c r="N93" s="5">
        <f t="shared" ref="N93:N104" si="74">IF(H93=0,0,L93/H93)</f>
        <v>-0.66786131869249143</v>
      </c>
      <c r="O93" s="14"/>
      <c r="P93" s="1">
        <f>SUM(OSRRefP22_19x_0)</f>
        <v>271.33</v>
      </c>
      <c r="Q93" s="1"/>
      <c r="R93" s="5">
        <f t="shared" ref="R93:R104" si="75">IF(P$12=0,0,P93/P$12)</f>
        <v>5.4097842267096952E-4</v>
      </c>
      <c r="S93" s="1"/>
      <c r="T93" s="1">
        <f>SUM(OSRRefT22_19x_0)</f>
        <v>1696.4</v>
      </c>
      <c r="U93" s="1"/>
      <c r="V93" s="5">
        <f t="shared" ref="V93:V104" si="76">IF(T$12=0,0,T93/T$12)</f>
        <v>2.7112149738223044E-4</v>
      </c>
      <c r="W93" s="1"/>
      <c r="X93" s="1">
        <f t="shared" ref="X93:X104" si="77">+P93-T93</f>
        <v>-1425.0700000000002</v>
      </c>
      <c r="Y93" s="1"/>
      <c r="Z93" s="5">
        <f t="shared" ref="Z93:Z104" si="78">IF(T93=0,0,X93/T93)</f>
        <v>-0.84005541145956153</v>
      </c>
    </row>
    <row r="94" spans="1:26" s="24" customFormat="1" hidden="1" outlineLevel="2" x14ac:dyDescent="0.25">
      <c r="A94" s="28"/>
      <c r="B94" s="11" t="str">
        <f>CONCATENATE("          ", "6275", " - ", "SUBSCRIPTIONS")</f>
        <v xml:space="preserve">          6275 - SUBSCRIPTIONS</v>
      </c>
      <c r="C94" s="11"/>
      <c r="D94" s="6">
        <v>130.66999999999999</v>
      </c>
      <c r="E94" s="2"/>
      <c r="F94" s="7">
        <f t="shared" si="71"/>
        <v>6.6780217396770472E-4</v>
      </c>
      <c r="G94" s="2"/>
      <c r="H94" s="6">
        <v>393.42</v>
      </c>
      <c r="I94" s="2"/>
      <c r="J94" s="7">
        <f t="shared" si="72"/>
        <v>1.5478140095509353E-4</v>
      </c>
      <c r="K94" s="2"/>
      <c r="L94" s="6">
        <f t="shared" si="73"/>
        <v>-262.75</v>
      </c>
      <c r="M94" s="2"/>
      <c r="N94" s="7">
        <f t="shared" si="74"/>
        <v>-0.66786131869249143</v>
      </c>
      <c r="O94" s="11"/>
      <c r="P94" s="6">
        <v>271.33</v>
      </c>
      <c r="Q94" s="2"/>
      <c r="R94" s="7">
        <f t="shared" si="75"/>
        <v>5.4097842267096952E-4</v>
      </c>
      <c r="S94" s="2"/>
      <c r="T94" s="6">
        <v>1696.4</v>
      </c>
      <c r="U94" s="2"/>
      <c r="V94" s="7">
        <f t="shared" si="76"/>
        <v>2.7112149738223044E-4</v>
      </c>
      <c r="W94" s="2"/>
      <c r="X94" s="6">
        <f t="shared" si="77"/>
        <v>-1425.0700000000002</v>
      </c>
      <c r="Y94" s="2"/>
      <c r="Z94" s="7">
        <f t="shared" si="78"/>
        <v>-0.84005541145956153</v>
      </c>
    </row>
    <row r="95" spans="1:26" s="29" customFormat="1" outlineLevel="1" collapsed="1" x14ac:dyDescent="0.25">
      <c r="A95" s="27"/>
      <c r="B95" s="14" t="str">
        <f>CONCATENATE("     ","Supplies                                          ")</f>
        <v xml:space="preserve">     Supplies                                          </v>
      </c>
      <c r="C95" s="14"/>
      <c r="D95" s="1">
        <f>SUM(OSRRefD22_20x_0)</f>
        <v>25971.45</v>
      </c>
      <c r="E95" s="1"/>
      <c r="F95" s="5">
        <f t="shared" si="71"/>
        <v>0.13272970667401504</v>
      </c>
      <c r="G95" s="1"/>
      <c r="H95" s="1">
        <f>SUM(OSRRefH22_20x_0)</f>
        <v>59267.66</v>
      </c>
      <c r="I95" s="1"/>
      <c r="J95" s="5">
        <f t="shared" si="72"/>
        <v>2.3317399842738444E-2</v>
      </c>
      <c r="K95" s="1"/>
      <c r="L95" s="1">
        <f t="shared" si="73"/>
        <v>-33296.210000000006</v>
      </c>
      <c r="M95" s="1"/>
      <c r="N95" s="5">
        <f t="shared" si="74"/>
        <v>-0.56179390244190519</v>
      </c>
      <c r="O95" s="14"/>
      <c r="P95" s="1">
        <f>SUM(OSRRefP22_20x_0)</f>
        <v>32970.230000000003</v>
      </c>
      <c r="Q95" s="1"/>
      <c r="R95" s="5">
        <f t="shared" si="75"/>
        <v>6.5736125826480973E-2</v>
      </c>
      <c r="S95" s="1"/>
      <c r="T95" s="1">
        <f>SUM(OSRRefT22_20x_0)</f>
        <v>196206.36</v>
      </c>
      <c r="U95" s="1"/>
      <c r="V95" s="5">
        <f t="shared" si="76"/>
        <v>3.1358030015985E-2</v>
      </c>
      <c r="W95" s="1"/>
      <c r="X95" s="1">
        <f t="shared" si="77"/>
        <v>-163236.12999999998</v>
      </c>
      <c r="Y95" s="1"/>
      <c r="Z95" s="5">
        <f t="shared" si="78"/>
        <v>-0.83196146139197524</v>
      </c>
    </row>
    <row r="96" spans="1:26" s="24" customFormat="1" hidden="1" outlineLevel="2" x14ac:dyDescent="0.25">
      <c r="A96" s="28"/>
      <c r="B96" s="11" t="str">
        <f>CONCATENATE("          ", "6234", " - ", "EXPENDABLE SUPPLIES &amp; EQUIPMEN")</f>
        <v xml:space="preserve">          6234 - EXPENDABLE SUPPLIES &amp; EQUIPMEN</v>
      </c>
      <c r="C96" s="11"/>
      <c r="D96" s="6">
        <v>55.13</v>
      </c>
      <c r="E96" s="2"/>
      <c r="F96" s="7">
        <f t="shared" si="71"/>
        <v>2.8174740836335474E-4</v>
      </c>
      <c r="G96" s="2"/>
      <c r="H96" s="6">
        <v>4076.8</v>
      </c>
      <c r="I96" s="2"/>
      <c r="J96" s="7">
        <f t="shared" si="72"/>
        <v>1.6039164643732533E-3</v>
      </c>
      <c r="K96" s="2"/>
      <c r="L96" s="6">
        <f t="shared" si="73"/>
        <v>-4021.67</v>
      </c>
      <c r="M96" s="2"/>
      <c r="N96" s="7">
        <f t="shared" si="74"/>
        <v>-0.986477138932496</v>
      </c>
      <c r="O96" s="11"/>
      <c r="P96" s="6">
        <v>310.91000000000003</v>
      </c>
      <c r="Q96" s="2"/>
      <c r="R96" s="7">
        <f t="shared" si="75"/>
        <v>6.1989312421269725E-4</v>
      </c>
      <c r="S96" s="2"/>
      <c r="T96" s="6">
        <v>11746.89</v>
      </c>
      <c r="U96" s="2"/>
      <c r="V96" s="7">
        <f t="shared" si="76"/>
        <v>1.8774076906297738E-3</v>
      </c>
      <c r="W96" s="2"/>
      <c r="X96" s="6">
        <f t="shared" si="77"/>
        <v>-11435.98</v>
      </c>
      <c r="Y96" s="2"/>
      <c r="Z96" s="7">
        <f t="shared" si="78"/>
        <v>-0.97353256904593477</v>
      </c>
    </row>
    <row r="97" spans="1:26" s="24" customFormat="1" hidden="1" outlineLevel="2" x14ac:dyDescent="0.25">
      <c r="A97" s="28"/>
      <c r="B97" s="11" t="str">
        <f>CONCATENATE("          ", "6235", " - ", "COVID-19 EXPENSES")</f>
        <v xml:space="preserve">          6235 - COVID-19 EXPENSES</v>
      </c>
      <c r="C97" s="11"/>
      <c r="D97" s="6">
        <v>19427.550000000003</v>
      </c>
      <c r="E97" s="2"/>
      <c r="F97" s="7">
        <f t="shared" si="71"/>
        <v>9.928644772990193E-2</v>
      </c>
      <c r="G97" s="2"/>
      <c r="H97" s="6"/>
      <c r="I97" s="2"/>
      <c r="J97" s="7">
        <f t="shared" si="72"/>
        <v>0</v>
      </c>
      <c r="K97" s="2"/>
      <c r="L97" s="6">
        <f t="shared" si="73"/>
        <v>19427.550000000003</v>
      </c>
      <c r="M97" s="2"/>
      <c r="N97" s="7">
        <f t="shared" si="74"/>
        <v>0</v>
      </c>
      <c r="O97" s="11"/>
      <c r="P97" s="6">
        <v>37968.51</v>
      </c>
      <c r="Q97" s="2"/>
      <c r="R97" s="7">
        <f t="shared" si="75"/>
        <v>7.5701708808340151E-2</v>
      </c>
      <c r="S97" s="2"/>
      <c r="T97" s="6"/>
      <c r="U97" s="2"/>
      <c r="V97" s="7">
        <f t="shared" si="76"/>
        <v>0</v>
      </c>
      <c r="W97" s="2"/>
      <c r="X97" s="6">
        <f t="shared" si="77"/>
        <v>37968.51</v>
      </c>
      <c r="Y97" s="2"/>
      <c r="Z97" s="7">
        <f t="shared" si="78"/>
        <v>0</v>
      </c>
    </row>
    <row r="98" spans="1:26" s="24" customFormat="1" hidden="1" outlineLevel="2" x14ac:dyDescent="0.25">
      <c r="A98" s="28"/>
      <c r="B98" s="11" t="str">
        <f>CONCATENATE("          ", "6237", " - ", "JANITORIAL SUPPLIES")</f>
        <v xml:space="preserve">          6237 - JANITORIAL SUPPLIES</v>
      </c>
      <c r="C98" s="11"/>
      <c r="D98" s="6">
        <v>2066.5</v>
      </c>
      <c r="E98" s="2"/>
      <c r="F98" s="7">
        <f t="shared" si="71"/>
        <v>1.0561056038143888E-2</v>
      </c>
      <c r="G98" s="2"/>
      <c r="H98" s="6">
        <v>21890.59</v>
      </c>
      <c r="I98" s="2"/>
      <c r="J98" s="7">
        <f t="shared" si="72"/>
        <v>8.6123130189963929E-3</v>
      </c>
      <c r="K98" s="2"/>
      <c r="L98" s="6">
        <f t="shared" si="73"/>
        <v>-19824.09</v>
      </c>
      <c r="M98" s="2"/>
      <c r="N98" s="7">
        <f t="shared" si="74"/>
        <v>-0.90559870702434242</v>
      </c>
      <c r="O98" s="11"/>
      <c r="P98" s="6">
        <v>8160.21</v>
      </c>
      <c r="Q98" s="2"/>
      <c r="R98" s="7">
        <f t="shared" si="75"/>
        <v>1.626984680818145E-2</v>
      </c>
      <c r="S98" s="2"/>
      <c r="T98" s="6">
        <v>56342.5</v>
      </c>
      <c r="U98" s="2"/>
      <c r="V98" s="7">
        <f t="shared" si="76"/>
        <v>9.0047529864762527E-3</v>
      </c>
      <c r="W98" s="2"/>
      <c r="X98" s="6">
        <f t="shared" si="77"/>
        <v>-48182.29</v>
      </c>
      <c r="Y98" s="2"/>
      <c r="Z98" s="7">
        <f t="shared" si="78"/>
        <v>-0.85516776855837073</v>
      </c>
    </row>
    <row r="99" spans="1:26" s="24" customFormat="1" hidden="1" outlineLevel="2" x14ac:dyDescent="0.25">
      <c r="A99" s="28"/>
      <c r="B99" s="11" t="str">
        <f>CONCATENATE("          ", "6239", " - ", "KITCHEN SUPPLIES")</f>
        <v xml:space="preserve">          6239 - KITCHEN SUPPLIES</v>
      </c>
      <c r="C99" s="11"/>
      <c r="D99" s="6">
        <v>1264.19</v>
      </c>
      <c r="E99" s="2"/>
      <c r="F99" s="7">
        <f t="shared" si="71"/>
        <v>6.4607701102642745E-3</v>
      </c>
      <c r="G99" s="2"/>
      <c r="H99" s="6">
        <v>13696.84</v>
      </c>
      <c r="I99" s="2"/>
      <c r="J99" s="7">
        <f t="shared" si="72"/>
        <v>5.3886840624720739E-3</v>
      </c>
      <c r="K99" s="2"/>
      <c r="L99" s="6">
        <f t="shared" si="73"/>
        <v>-12432.65</v>
      </c>
      <c r="M99" s="2"/>
      <c r="N99" s="7">
        <f t="shared" si="74"/>
        <v>-0.90770206850631241</v>
      </c>
      <c r="O99" s="11"/>
      <c r="P99" s="6">
        <v>4191.51</v>
      </c>
      <c r="Q99" s="2"/>
      <c r="R99" s="7">
        <f t="shared" si="75"/>
        <v>8.3570429676393908E-3</v>
      </c>
      <c r="S99" s="2"/>
      <c r="T99" s="6">
        <v>46871.97</v>
      </c>
      <c r="U99" s="2"/>
      <c r="V99" s="7">
        <f t="shared" si="76"/>
        <v>7.4911569745667187E-3</v>
      </c>
      <c r="W99" s="2"/>
      <c r="X99" s="6">
        <f t="shared" si="77"/>
        <v>-42680.46</v>
      </c>
      <c r="Y99" s="2"/>
      <c r="Z99" s="7">
        <f t="shared" si="78"/>
        <v>-0.91057533958995107</v>
      </c>
    </row>
    <row r="100" spans="1:26" s="24" customFormat="1" hidden="1" outlineLevel="2" x14ac:dyDescent="0.25">
      <c r="A100" s="28"/>
      <c r="B100" s="11" t="str">
        <f>CONCATENATE("          ", "6241", " - ", "OFFICE EXPENSE")</f>
        <v xml:space="preserve">          6241 - OFFICE EXPENSE</v>
      </c>
      <c r="C100" s="11"/>
      <c r="D100" s="6">
        <v>525.44000000000005</v>
      </c>
      <c r="E100" s="2"/>
      <c r="F100" s="7">
        <f t="shared" si="71"/>
        <v>2.6853139533909148E-3</v>
      </c>
      <c r="G100" s="2"/>
      <c r="H100" s="6">
        <v>3138.24</v>
      </c>
      <c r="I100" s="2"/>
      <c r="J100" s="7">
        <f t="shared" si="72"/>
        <v>1.2346631684543559E-3</v>
      </c>
      <c r="K100" s="2"/>
      <c r="L100" s="6">
        <f t="shared" si="73"/>
        <v>-2612.7999999999997</v>
      </c>
      <c r="M100" s="2"/>
      <c r="N100" s="7">
        <f t="shared" si="74"/>
        <v>-0.83256857346793101</v>
      </c>
      <c r="O100" s="11"/>
      <c r="P100" s="6">
        <v>-27768.400000000001</v>
      </c>
      <c r="Q100" s="2"/>
      <c r="R100" s="7">
        <f t="shared" si="75"/>
        <v>-5.5364704352989173E-2</v>
      </c>
      <c r="S100" s="2"/>
      <c r="T100" s="6">
        <v>35570.35</v>
      </c>
      <c r="U100" s="2"/>
      <c r="V100" s="7">
        <f t="shared" si="76"/>
        <v>5.684913083240992E-3</v>
      </c>
      <c r="W100" s="2"/>
      <c r="X100" s="6">
        <f t="shared" si="77"/>
        <v>-63338.75</v>
      </c>
      <c r="Y100" s="2"/>
      <c r="Z100" s="7">
        <f t="shared" si="78"/>
        <v>-1.7806614216615806</v>
      </c>
    </row>
    <row r="101" spans="1:26" s="24" customFormat="1" hidden="1" outlineLevel="2" x14ac:dyDescent="0.25">
      <c r="A101" s="28"/>
      <c r="B101" s="11" t="str">
        <f>CONCATENATE("          ", "6243", " - ", "PAPER SUPPLIES")</f>
        <v xml:space="preserve">          6243 - PAPER SUPPLIES</v>
      </c>
      <c r="C101" s="11"/>
      <c r="D101" s="6">
        <v>2632.64</v>
      </c>
      <c r="E101" s="2"/>
      <c r="F101" s="7">
        <f t="shared" si="71"/>
        <v>1.3454371433950701E-2</v>
      </c>
      <c r="G101" s="2"/>
      <c r="H101" s="6">
        <v>16026.590000000002</v>
      </c>
      <c r="I101" s="2"/>
      <c r="J101" s="7">
        <f t="shared" si="72"/>
        <v>6.3052667702020553E-3</v>
      </c>
      <c r="K101" s="2"/>
      <c r="L101" s="6">
        <f t="shared" si="73"/>
        <v>-13393.950000000003</v>
      </c>
      <c r="M101" s="2"/>
      <c r="N101" s="7">
        <f t="shared" si="74"/>
        <v>-0.83573299123519107</v>
      </c>
      <c r="O101" s="11"/>
      <c r="P101" s="6">
        <v>6292.81</v>
      </c>
      <c r="Q101" s="2"/>
      <c r="R101" s="7">
        <f t="shared" si="75"/>
        <v>1.2546620086124291E-2</v>
      </c>
      <c r="S101" s="2"/>
      <c r="T101" s="6">
        <v>42726.28</v>
      </c>
      <c r="U101" s="2"/>
      <c r="V101" s="7">
        <f t="shared" si="76"/>
        <v>6.8285858353999305E-3</v>
      </c>
      <c r="W101" s="2"/>
      <c r="X101" s="6">
        <f t="shared" si="77"/>
        <v>-36433.47</v>
      </c>
      <c r="Y101" s="2"/>
      <c r="Z101" s="7">
        <f t="shared" si="78"/>
        <v>-0.85271804612992286</v>
      </c>
    </row>
    <row r="102" spans="1:26" s="24" customFormat="1" hidden="1" outlineLevel="2" x14ac:dyDescent="0.25">
      <c r="A102" s="28"/>
      <c r="B102" s="11" t="str">
        <f>CONCATENATE("          ", "6245", " - ", "PRINTING")</f>
        <v xml:space="preserve">          6245 - PRINTING</v>
      </c>
      <c r="C102" s="11"/>
      <c r="D102" s="6"/>
      <c r="E102" s="2"/>
      <c r="F102" s="7">
        <f t="shared" si="71"/>
        <v>0</v>
      </c>
      <c r="G102" s="2"/>
      <c r="H102" s="6">
        <v>84.16</v>
      </c>
      <c r="I102" s="2"/>
      <c r="J102" s="7">
        <f t="shared" si="72"/>
        <v>3.3110677404251616E-5</v>
      </c>
      <c r="K102" s="2"/>
      <c r="L102" s="6">
        <f t="shared" si="73"/>
        <v>-84.16</v>
      </c>
      <c r="M102" s="2"/>
      <c r="N102" s="7">
        <f t="shared" si="74"/>
        <v>-1</v>
      </c>
      <c r="O102" s="11"/>
      <c r="P102" s="6"/>
      <c r="Q102" s="2"/>
      <c r="R102" s="7">
        <f t="shared" si="75"/>
        <v>0</v>
      </c>
      <c r="S102" s="2"/>
      <c r="T102" s="6">
        <v>1606.35</v>
      </c>
      <c r="U102" s="2"/>
      <c r="V102" s="7">
        <f t="shared" si="76"/>
        <v>2.5672955512847544E-4</v>
      </c>
      <c r="W102" s="2"/>
      <c r="X102" s="6">
        <f t="shared" si="77"/>
        <v>-1606.35</v>
      </c>
      <c r="Y102" s="2"/>
      <c r="Z102" s="7">
        <f t="shared" si="78"/>
        <v>-1</v>
      </c>
    </row>
    <row r="103" spans="1:26" s="24" customFormat="1" hidden="1" outlineLevel="2" x14ac:dyDescent="0.25">
      <c r="A103" s="28"/>
      <c r="B103" s="11" t="str">
        <f>CONCATENATE("          ", "6247", " - ", "STORE SUPPLIES")</f>
        <v xml:space="preserve">          6247 - STORE SUPPLIES</v>
      </c>
      <c r="C103" s="11"/>
      <c r="D103" s="6"/>
      <c r="E103" s="2"/>
      <c r="F103" s="7">
        <f t="shared" si="71"/>
        <v>0</v>
      </c>
      <c r="G103" s="2"/>
      <c r="H103" s="6">
        <v>215.03</v>
      </c>
      <c r="I103" s="2"/>
      <c r="J103" s="7">
        <f t="shared" si="72"/>
        <v>8.4598252878282149E-5</v>
      </c>
      <c r="K103" s="2"/>
      <c r="L103" s="6">
        <f t="shared" si="73"/>
        <v>-215.03</v>
      </c>
      <c r="M103" s="2"/>
      <c r="N103" s="7">
        <f t="shared" si="74"/>
        <v>-1</v>
      </c>
      <c r="O103" s="11"/>
      <c r="P103" s="6"/>
      <c r="Q103" s="2"/>
      <c r="R103" s="7">
        <f t="shared" si="75"/>
        <v>0</v>
      </c>
      <c r="S103" s="2"/>
      <c r="T103" s="6">
        <v>2314.5300000000002</v>
      </c>
      <c r="U103" s="2"/>
      <c r="V103" s="7">
        <f t="shared" si="76"/>
        <v>3.6991207223301923E-4</v>
      </c>
      <c r="W103" s="2"/>
      <c r="X103" s="6">
        <f t="shared" si="77"/>
        <v>-2314.5300000000002</v>
      </c>
      <c r="Y103" s="2"/>
      <c r="Z103" s="7">
        <f t="shared" si="78"/>
        <v>-1</v>
      </c>
    </row>
    <row r="104" spans="1:26" s="24" customFormat="1" hidden="1" outlineLevel="2" x14ac:dyDescent="0.25">
      <c r="A104" s="28"/>
      <c r="B104" s="11" t="str">
        <f>CONCATENATE("          ", "6248", " - ", "UNIFORMS")</f>
        <v xml:space="preserve">          6248 - UNIFORMS</v>
      </c>
      <c r="C104" s="11"/>
      <c r="D104" s="6"/>
      <c r="E104" s="2"/>
      <c r="F104" s="7">
        <f t="shared" si="71"/>
        <v>0</v>
      </c>
      <c r="G104" s="2"/>
      <c r="H104" s="6">
        <v>139.41</v>
      </c>
      <c r="I104" s="2"/>
      <c r="J104" s="7">
        <f t="shared" si="72"/>
        <v>5.4847427957779442E-5</v>
      </c>
      <c r="K104" s="2"/>
      <c r="L104" s="6">
        <f t="shared" si="73"/>
        <v>-139.41</v>
      </c>
      <c r="M104" s="2"/>
      <c r="N104" s="7">
        <f t="shared" si="74"/>
        <v>-1</v>
      </c>
      <c r="O104" s="11"/>
      <c r="P104" s="6">
        <v>3814.68</v>
      </c>
      <c r="Q104" s="2"/>
      <c r="R104" s="7">
        <f t="shared" si="75"/>
        <v>7.6057183849721523E-3</v>
      </c>
      <c r="S104" s="2"/>
      <c r="T104" s="6">
        <v>-972.51</v>
      </c>
      <c r="U104" s="2"/>
      <c r="V104" s="7">
        <f t="shared" si="76"/>
        <v>-1.5542818169016323E-4</v>
      </c>
      <c r="W104" s="2"/>
      <c r="X104" s="6">
        <f t="shared" si="77"/>
        <v>4787.1899999999996</v>
      </c>
      <c r="Y104" s="2"/>
      <c r="Z104" s="7">
        <f t="shared" si="78"/>
        <v>-4.9225097942437603</v>
      </c>
    </row>
    <row r="105" spans="1:26" s="29" customFormat="1" outlineLevel="1" collapsed="1" x14ac:dyDescent="0.25">
      <c r="A105" s="27"/>
      <c r="B105" s="14" t="str">
        <f>CONCATENATE("     ","Telephone/Data Lines                              ")</f>
        <v xml:space="preserve">     Telephone/Data Lines                              </v>
      </c>
      <c r="C105" s="14"/>
      <c r="D105" s="1">
        <f>SUM(OSRRefD22_21x_0)</f>
        <v>911.98</v>
      </c>
      <c r="E105" s="1"/>
      <c r="F105" s="5">
        <f t="shared" ref="F105:F112" si="79">IF(D$12=0,0,D105/D$12)</f>
        <v>4.6607654902813761E-3</v>
      </c>
      <c r="G105" s="1"/>
      <c r="H105" s="1">
        <f>SUM(OSRRefH22_21x_0)</f>
        <v>3152.32</v>
      </c>
      <c r="I105" s="1"/>
      <c r="J105" s="5">
        <f t="shared" ref="J105:J112" si="80">IF(H$12=0,0,H105/H$12)</f>
        <v>1.2402025973736984E-3</v>
      </c>
      <c r="K105" s="1"/>
      <c r="L105" s="1">
        <f t="shared" ref="L105:L112" si="81">+D105-H105</f>
        <v>-2240.34</v>
      </c>
      <c r="M105" s="1"/>
      <c r="N105" s="5">
        <f t="shared" ref="N105:N112" si="82">IF(H105=0,0,L105/H105)</f>
        <v>-0.71069561465841036</v>
      </c>
      <c r="O105" s="14"/>
      <c r="P105" s="1">
        <f>SUM(OSRRefP22_21x_0)</f>
        <v>6223.39</v>
      </c>
      <c r="Q105" s="1"/>
      <c r="R105" s="5">
        <f t="shared" ref="R105:R112" si="83">IF(P$12=0,0,P105/P$12)</f>
        <v>1.2408210319044283E-2</v>
      </c>
      <c r="S105" s="1"/>
      <c r="T105" s="1">
        <f>SUM(OSRRefT22_21x_0)</f>
        <v>9353.36</v>
      </c>
      <c r="U105" s="1"/>
      <c r="V105" s="5">
        <f t="shared" ref="V105:V112" si="84">IF(T$12=0,0,T105/T$12)</f>
        <v>1.4948697057032886E-3</v>
      </c>
      <c r="W105" s="1"/>
      <c r="X105" s="1">
        <f t="shared" ref="X105:X112" si="85">+P105-T105</f>
        <v>-3129.9700000000003</v>
      </c>
      <c r="Y105" s="1"/>
      <c r="Z105" s="5">
        <f t="shared" ref="Z105:Z112" si="86">IF(T105=0,0,X105/T105)</f>
        <v>-0.33463589554983453</v>
      </c>
    </row>
    <row r="106" spans="1:26" s="24" customFormat="1" hidden="1" outlineLevel="2" x14ac:dyDescent="0.25">
      <c r="A106" s="28"/>
      <c r="B106" s="11" t="str">
        <f>CONCATENATE("          ", "6309", " - ", "TELEPHONE")</f>
        <v xml:space="preserve">          6309 - TELEPHONE</v>
      </c>
      <c r="C106" s="11"/>
      <c r="D106" s="6">
        <v>911.98</v>
      </c>
      <c r="E106" s="2"/>
      <c r="F106" s="7">
        <f t="shared" si="79"/>
        <v>4.6607654902813761E-3</v>
      </c>
      <c r="G106" s="2"/>
      <c r="H106" s="6">
        <v>3152.32</v>
      </c>
      <c r="I106" s="2"/>
      <c r="J106" s="7">
        <f t="shared" si="80"/>
        <v>1.2402025973736984E-3</v>
      </c>
      <c r="K106" s="2"/>
      <c r="L106" s="6">
        <f t="shared" si="81"/>
        <v>-2240.34</v>
      </c>
      <c r="M106" s="2"/>
      <c r="N106" s="7">
        <f t="shared" si="82"/>
        <v>-0.71069561465841036</v>
      </c>
      <c r="O106" s="11"/>
      <c r="P106" s="6">
        <v>6223.39</v>
      </c>
      <c r="Q106" s="2"/>
      <c r="R106" s="7">
        <f t="shared" si="83"/>
        <v>1.2408210319044283E-2</v>
      </c>
      <c r="S106" s="2"/>
      <c r="T106" s="6">
        <v>9353.36</v>
      </c>
      <c r="U106" s="2"/>
      <c r="V106" s="7">
        <f t="shared" si="84"/>
        <v>1.4948697057032886E-3</v>
      </c>
      <c r="W106" s="2"/>
      <c r="X106" s="6">
        <f t="shared" si="85"/>
        <v>-3129.9700000000003</v>
      </c>
      <c r="Y106" s="2"/>
      <c r="Z106" s="7">
        <f t="shared" si="86"/>
        <v>-0.33463589554983453</v>
      </c>
    </row>
    <row r="107" spans="1:26" s="29" customFormat="1" outlineLevel="1" collapsed="1" x14ac:dyDescent="0.25">
      <c r="A107" s="27"/>
      <c r="B107" s="14" t="str">
        <f>CONCATENATE("     ","Training                                          ")</f>
        <v xml:space="preserve">     Training                                          </v>
      </c>
      <c r="C107" s="14"/>
      <c r="D107" s="1">
        <f>SUM(OSRRefD22_22x_0)</f>
        <v>385</v>
      </c>
      <c r="E107" s="1"/>
      <c r="F107" s="5">
        <f t="shared" si="79"/>
        <v>1.9675812120422925E-3</v>
      </c>
      <c r="G107" s="1"/>
      <c r="H107" s="1">
        <f>SUM(OSRRefH22_22x_0)</f>
        <v>332.95</v>
      </c>
      <c r="I107" s="1"/>
      <c r="J107" s="5">
        <f t="shared" si="80"/>
        <v>1.3099097007777537E-4</v>
      </c>
      <c r="K107" s="1"/>
      <c r="L107" s="1">
        <f t="shared" si="81"/>
        <v>52.050000000000011</v>
      </c>
      <c r="M107" s="1"/>
      <c r="N107" s="5">
        <f t="shared" si="82"/>
        <v>0.15632977924613309</v>
      </c>
      <c r="O107" s="14"/>
      <c r="P107" s="1">
        <f>SUM(OSRRefP22_22x_0)</f>
        <v>735</v>
      </c>
      <c r="Q107" s="1"/>
      <c r="R107" s="5">
        <f t="shared" si="83"/>
        <v>1.4654448113484047E-3</v>
      </c>
      <c r="S107" s="1"/>
      <c r="T107" s="1">
        <f>SUM(OSRRefT22_22x_0)</f>
        <v>5299.77</v>
      </c>
      <c r="U107" s="1"/>
      <c r="V107" s="5">
        <f t="shared" si="84"/>
        <v>8.4701814323356721E-4</v>
      </c>
      <c r="W107" s="1"/>
      <c r="X107" s="1">
        <f t="shared" si="85"/>
        <v>-4564.7700000000004</v>
      </c>
      <c r="Y107" s="1"/>
      <c r="Z107" s="5">
        <f t="shared" si="86"/>
        <v>-0.8613147362998772</v>
      </c>
    </row>
    <row r="108" spans="1:26" s="24" customFormat="1" hidden="1" outlineLevel="2" x14ac:dyDescent="0.25">
      <c r="A108" s="28"/>
      <c r="B108" s="11" t="str">
        <f>CONCATENATE("          ", "6376", " - ", "TRAINING")</f>
        <v xml:space="preserve">          6376 - TRAINING</v>
      </c>
      <c r="C108" s="11"/>
      <c r="D108" s="6">
        <v>385</v>
      </c>
      <c r="E108" s="2"/>
      <c r="F108" s="7">
        <f t="shared" si="79"/>
        <v>1.9675812120422925E-3</v>
      </c>
      <c r="G108" s="2"/>
      <c r="H108" s="6">
        <v>332.95</v>
      </c>
      <c r="I108" s="2"/>
      <c r="J108" s="7">
        <f t="shared" si="80"/>
        <v>1.3099097007777537E-4</v>
      </c>
      <c r="K108" s="2"/>
      <c r="L108" s="6">
        <f t="shared" si="81"/>
        <v>52.050000000000011</v>
      </c>
      <c r="M108" s="2"/>
      <c r="N108" s="7">
        <f t="shared" si="82"/>
        <v>0.15632977924613309</v>
      </c>
      <c r="O108" s="11"/>
      <c r="P108" s="6">
        <v>735</v>
      </c>
      <c r="Q108" s="2"/>
      <c r="R108" s="7">
        <f t="shared" si="83"/>
        <v>1.4654448113484047E-3</v>
      </c>
      <c r="S108" s="2"/>
      <c r="T108" s="6">
        <v>5299.77</v>
      </c>
      <c r="U108" s="2"/>
      <c r="V108" s="7">
        <f t="shared" si="84"/>
        <v>8.4701814323356721E-4</v>
      </c>
      <c r="W108" s="2"/>
      <c r="X108" s="6">
        <f t="shared" si="85"/>
        <v>-4564.7700000000004</v>
      </c>
      <c r="Y108" s="2"/>
      <c r="Z108" s="7">
        <f t="shared" si="86"/>
        <v>-0.8613147362998772</v>
      </c>
    </row>
    <row r="109" spans="1:26" s="29" customFormat="1" outlineLevel="1" collapsed="1" x14ac:dyDescent="0.25">
      <c r="A109" s="27"/>
      <c r="B109" s="14" t="str">
        <f>CONCATENATE("     ","Travel                                            ")</f>
        <v xml:space="preserve">     Travel                                            </v>
      </c>
      <c r="C109" s="14"/>
      <c r="D109" s="1">
        <f>SUM(OSRRefD22_23x_0)</f>
        <v>0</v>
      </c>
      <c r="E109" s="1"/>
      <c r="F109" s="5">
        <f t="shared" si="79"/>
        <v>0</v>
      </c>
      <c r="G109" s="1"/>
      <c r="H109" s="1">
        <f>SUM(OSRRefH22_23x_0)</f>
        <v>291.26</v>
      </c>
      <c r="I109" s="1"/>
      <c r="J109" s="5">
        <f t="shared" si="80"/>
        <v>1.1458906726190977E-4</v>
      </c>
      <c r="K109" s="1"/>
      <c r="L109" s="1">
        <f t="shared" si="81"/>
        <v>-291.26</v>
      </c>
      <c r="M109" s="1"/>
      <c r="N109" s="5">
        <f t="shared" si="82"/>
        <v>-1</v>
      </c>
      <c r="O109" s="14"/>
      <c r="P109" s="1">
        <f>SUM(OSRRefP22_23x_0)</f>
        <v>332.21</v>
      </c>
      <c r="Q109" s="1"/>
      <c r="R109" s="5">
        <f t="shared" si="83"/>
        <v>6.6236111670483469E-4</v>
      </c>
      <c r="S109" s="1"/>
      <c r="T109" s="1">
        <f>SUM(OSRRefT22_23x_0)</f>
        <v>3080.85</v>
      </c>
      <c r="U109" s="1"/>
      <c r="V109" s="5">
        <f t="shared" si="84"/>
        <v>4.9238662179323543E-4</v>
      </c>
      <c r="W109" s="1"/>
      <c r="X109" s="1">
        <f t="shared" si="85"/>
        <v>-2748.64</v>
      </c>
      <c r="Y109" s="1"/>
      <c r="Z109" s="5">
        <f t="shared" si="86"/>
        <v>-0.89216936884301412</v>
      </c>
    </row>
    <row r="110" spans="1:26" s="24" customFormat="1" hidden="1" outlineLevel="2" x14ac:dyDescent="0.25">
      <c r="A110" s="28"/>
      <c r="B110" s="11" t="str">
        <f>CONCATENATE("          ", "6292", " - ", "TRAVEL/CONFERENCE")</f>
        <v xml:space="preserve">          6292 - TRAVEL/CONFERENCE</v>
      </c>
      <c r="C110" s="11"/>
      <c r="D110" s="6"/>
      <c r="E110" s="2"/>
      <c r="F110" s="7">
        <f t="shared" si="79"/>
        <v>0</v>
      </c>
      <c r="G110" s="2"/>
      <c r="H110" s="6">
        <v>291.26</v>
      </c>
      <c r="I110" s="2"/>
      <c r="J110" s="7">
        <f t="shared" si="80"/>
        <v>1.1458906726190977E-4</v>
      </c>
      <c r="K110" s="2"/>
      <c r="L110" s="6">
        <f t="shared" si="81"/>
        <v>-291.26</v>
      </c>
      <c r="M110" s="2"/>
      <c r="N110" s="7">
        <f t="shared" si="82"/>
        <v>-1</v>
      </c>
      <c r="O110" s="11"/>
      <c r="P110" s="6"/>
      <c r="Q110" s="2"/>
      <c r="R110" s="7">
        <f t="shared" si="83"/>
        <v>0</v>
      </c>
      <c r="S110" s="2"/>
      <c r="T110" s="6">
        <v>2525.36</v>
      </c>
      <c r="U110" s="2"/>
      <c r="V110" s="7">
        <f t="shared" si="84"/>
        <v>4.0360727695660777E-4</v>
      </c>
      <c r="W110" s="2"/>
      <c r="X110" s="6">
        <f t="shared" si="85"/>
        <v>-2525.36</v>
      </c>
      <c r="Y110" s="2"/>
      <c r="Z110" s="7">
        <f t="shared" si="86"/>
        <v>-1</v>
      </c>
    </row>
    <row r="111" spans="1:26" s="24" customFormat="1" hidden="1" outlineLevel="2" x14ac:dyDescent="0.25">
      <c r="A111" s="28"/>
      <c r="B111" s="11" t="str">
        <f>CONCATENATE("          ", "6294", " - ", "TRAVEL OPERATIONAL")</f>
        <v xml:space="preserve">          6294 - TRAVEL OPERATIONAL</v>
      </c>
      <c r="C111" s="11"/>
      <c r="D111" s="6"/>
      <c r="E111" s="2"/>
      <c r="F111" s="7">
        <f t="shared" si="79"/>
        <v>0</v>
      </c>
      <c r="G111" s="2"/>
      <c r="H111" s="6"/>
      <c r="I111" s="2"/>
      <c r="J111" s="7">
        <f t="shared" si="80"/>
        <v>0</v>
      </c>
      <c r="K111" s="2"/>
      <c r="L111" s="6">
        <f t="shared" si="81"/>
        <v>0</v>
      </c>
      <c r="M111" s="2"/>
      <c r="N111" s="7">
        <f t="shared" si="82"/>
        <v>0</v>
      </c>
      <c r="O111" s="11"/>
      <c r="P111" s="6"/>
      <c r="Q111" s="2"/>
      <c r="R111" s="7">
        <f t="shared" si="83"/>
        <v>0</v>
      </c>
      <c r="S111" s="2"/>
      <c r="T111" s="6">
        <v>45.49</v>
      </c>
      <c r="U111" s="2"/>
      <c r="V111" s="7">
        <f t="shared" si="84"/>
        <v>7.2702882079212811E-6</v>
      </c>
      <c r="W111" s="2"/>
      <c r="X111" s="6">
        <f t="shared" si="85"/>
        <v>-45.49</v>
      </c>
      <c r="Y111" s="2"/>
      <c r="Z111" s="7">
        <f t="shared" si="86"/>
        <v>-1</v>
      </c>
    </row>
    <row r="112" spans="1:26" s="24" customFormat="1" hidden="1" outlineLevel="2" x14ac:dyDescent="0.25">
      <c r="A112" s="28"/>
      <c r="B112" s="11" t="str">
        <f>CONCATENATE("          ", "6298", " - ", "VEHICLE MILEAGE")</f>
        <v xml:space="preserve">          6298 - VEHICLE MILEAGE</v>
      </c>
      <c r="C112" s="11"/>
      <c r="D112" s="6"/>
      <c r="E112" s="2"/>
      <c r="F112" s="7">
        <f t="shared" si="79"/>
        <v>0</v>
      </c>
      <c r="G112" s="2"/>
      <c r="H112" s="6"/>
      <c r="I112" s="2"/>
      <c r="J112" s="7">
        <f t="shared" si="80"/>
        <v>0</v>
      </c>
      <c r="K112" s="2"/>
      <c r="L112" s="6">
        <f t="shared" si="81"/>
        <v>0</v>
      </c>
      <c r="M112" s="2"/>
      <c r="N112" s="7">
        <f t="shared" si="82"/>
        <v>0</v>
      </c>
      <c r="O112" s="11"/>
      <c r="P112" s="6">
        <v>332.21</v>
      </c>
      <c r="Q112" s="2"/>
      <c r="R112" s="7">
        <f t="shared" si="83"/>
        <v>6.6236111670483469E-4</v>
      </c>
      <c r="S112" s="2"/>
      <c r="T112" s="6">
        <v>510</v>
      </c>
      <c r="U112" s="2"/>
      <c r="V112" s="7">
        <f t="shared" si="84"/>
        <v>8.1509056628706385E-5</v>
      </c>
      <c r="W112" s="2"/>
      <c r="X112" s="6">
        <f t="shared" si="85"/>
        <v>-177.79000000000002</v>
      </c>
      <c r="Y112" s="2"/>
      <c r="Z112" s="7">
        <f t="shared" si="86"/>
        <v>-0.34860784313725496</v>
      </c>
    </row>
    <row r="113" spans="1:26" s="29" customFormat="1" outlineLevel="1" collapsed="1" x14ac:dyDescent="0.25">
      <c r="A113" s="27"/>
      <c r="B113" s="14" t="str">
        <f>CONCATENATE("     ","Utilities                                         ")</f>
        <v xml:space="preserve">     Utilities                                         </v>
      </c>
      <c r="C113" s="14"/>
      <c r="D113" s="1">
        <f>SUM(OSRRefD22_24x_0)</f>
        <v>-13228</v>
      </c>
      <c r="E113" s="1"/>
      <c r="F113" s="5">
        <f t="shared" ref="F113:F114" si="87">IF(D$12=0,0,D113/D$12)</f>
        <v>-6.7603024085442706E-2</v>
      </c>
      <c r="G113" s="1"/>
      <c r="H113" s="1">
        <f>SUM(OSRRefH22_24x_0)</f>
        <v>13691</v>
      </c>
      <c r="I113" s="1"/>
      <c r="J113" s="5">
        <f t="shared" ref="J113:J114" si="88">IF(H$12=0,0,H113/H$12)</f>
        <v>5.386386458431665E-3</v>
      </c>
      <c r="K113" s="1"/>
      <c r="L113" s="1">
        <f t="shared" ref="L113:L114" si="89">+D113-H113</f>
        <v>-26919</v>
      </c>
      <c r="M113" s="1"/>
      <c r="N113" s="5">
        <f t="shared" ref="N113:N114" si="90">IF(H113=0,0,L113/H113)</f>
        <v>-1.96618216346505</v>
      </c>
      <c r="O113" s="14"/>
      <c r="P113" s="1">
        <f>SUM(OSRRefP22_24x_0)</f>
        <v>-6328</v>
      </c>
      <c r="Q113" s="1"/>
      <c r="R113" s="5">
        <f t="shared" ref="R113:R114" si="91">IF(P$12=0,0,P113/P$12)</f>
        <v>-1.2616781994847217E-2</v>
      </c>
      <c r="S113" s="1"/>
      <c r="T113" s="1">
        <f>SUM(OSRRefT22_24x_0)</f>
        <v>44649</v>
      </c>
      <c r="U113" s="1"/>
      <c r="V113" s="5">
        <f t="shared" ref="V113:V114" si="92">IF(T$12=0,0,T113/T$12)</f>
        <v>7.1358781753237477E-3</v>
      </c>
      <c r="W113" s="1"/>
      <c r="X113" s="1">
        <f t="shared" ref="X113:X114" si="93">+P113-T113</f>
        <v>-50977</v>
      </c>
      <c r="Y113" s="1"/>
      <c r="Z113" s="5">
        <f t="shared" ref="Z113:Z114" si="94">IF(T113=0,0,X113/T113)</f>
        <v>-1.1417276982687181</v>
      </c>
    </row>
    <row r="114" spans="1:26" s="24" customFormat="1" hidden="1" outlineLevel="2" x14ac:dyDescent="0.25">
      <c r="A114" s="28"/>
      <c r="B114" s="11" t="str">
        <f>CONCATENATE("          ", "6274", " - ", "UTILITIES")</f>
        <v xml:space="preserve">          6274 - UTILITIES</v>
      </c>
      <c r="C114" s="11"/>
      <c r="D114" s="6">
        <v>-13228</v>
      </c>
      <c r="E114" s="2"/>
      <c r="F114" s="7">
        <f t="shared" si="87"/>
        <v>-6.7603024085442706E-2</v>
      </c>
      <c r="G114" s="2"/>
      <c r="H114" s="6">
        <v>13691</v>
      </c>
      <c r="I114" s="2"/>
      <c r="J114" s="7">
        <f t="shared" si="88"/>
        <v>5.386386458431665E-3</v>
      </c>
      <c r="K114" s="2"/>
      <c r="L114" s="6">
        <f t="shared" si="89"/>
        <v>-26919</v>
      </c>
      <c r="M114" s="2"/>
      <c r="N114" s="7">
        <f t="shared" si="90"/>
        <v>-1.96618216346505</v>
      </c>
      <c r="O114" s="11"/>
      <c r="P114" s="6">
        <v>-6328</v>
      </c>
      <c r="Q114" s="2"/>
      <c r="R114" s="7">
        <f t="shared" si="91"/>
        <v>-1.2616781994847217E-2</v>
      </c>
      <c r="S114" s="2"/>
      <c r="T114" s="6">
        <v>44649</v>
      </c>
      <c r="U114" s="2"/>
      <c r="V114" s="7">
        <f t="shared" si="92"/>
        <v>7.1358781753237477E-3</v>
      </c>
      <c r="W114" s="2"/>
      <c r="X114" s="6">
        <f t="shared" si="93"/>
        <v>-50977</v>
      </c>
      <c r="Y114" s="2"/>
      <c r="Z114" s="7">
        <f t="shared" si="94"/>
        <v>-1.1417276982687181</v>
      </c>
    </row>
    <row r="115" spans="1:26" s="57" customFormat="1" x14ac:dyDescent="0.25">
      <c r="A115" s="37"/>
      <c r="B115" s="37"/>
      <c r="C115" s="37"/>
      <c r="D115" s="1"/>
      <c r="E115" s="1"/>
      <c r="F115" s="5"/>
      <c r="G115" s="1"/>
      <c r="H115" s="1"/>
      <c r="I115" s="1"/>
      <c r="J115" s="5"/>
      <c r="K115" s="1"/>
      <c r="L115" s="1"/>
      <c r="M115" s="1"/>
      <c r="N115" s="5"/>
      <c r="O115" s="37"/>
      <c r="P115" s="1"/>
      <c r="Q115" s="1"/>
      <c r="R115" s="5"/>
      <c r="S115" s="1"/>
      <c r="T115" s="1"/>
      <c r="U115" s="1"/>
      <c r="V115" s="5"/>
      <c r="W115" s="1"/>
      <c r="X115" s="1"/>
      <c r="Y115" s="1"/>
      <c r="Z115" s="5"/>
    </row>
    <row r="116" spans="1:26" s="23" customFormat="1" collapsed="1" x14ac:dyDescent="0.25">
      <c r="A116" s="10"/>
      <c r="B116" s="26" t="s">
        <v>0</v>
      </c>
      <c r="C116" s="10"/>
      <c r="D116" s="4">
        <f>SUM(OSRRefD25x_0)</f>
        <v>457.28</v>
      </c>
      <c r="E116" s="4"/>
      <c r="F116" s="12">
        <f t="shared" ref="F116:F119" si="95">IF(D$12=0,0,D116/D$12)</f>
        <v>2.3369754198511671E-3</v>
      </c>
      <c r="G116" s="4"/>
      <c r="H116" s="4">
        <f>SUM(OSRRefH25x_0)</f>
        <v>123863.64</v>
      </c>
      <c r="I116" s="4"/>
      <c r="J116" s="12">
        <f t="shared" ref="J116:J119" si="96">IF(H$12=0,0,H116/H$12)</f>
        <v>4.8731095843112603E-2</v>
      </c>
      <c r="K116" s="4"/>
      <c r="L116" s="4">
        <f t="shared" ref="L116:L119" si="97">+D116-H116</f>
        <v>-123406.36</v>
      </c>
      <c r="M116" s="4"/>
      <c r="N116" s="12">
        <f t="shared" ref="N116:N119" si="98">IF(H116=0,0,L116/H116)</f>
        <v>-0.9963081982735208</v>
      </c>
      <c r="O116" s="10"/>
      <c r="P116" s="4">
        <f>SUM(OSRRefP25x_0)</f>
        <v>4077.2</v>
      </c>
      <c r="Q116" s="4"/>
      <c r="R116" s="12">
        <f t="shared" ref="R116:R119" si="99">IF(P$12=0,0,P116/P$12)</f>
        <v>8.1291314079315856E-3</v>
      </c>
      <c r="S116" s="4"/>
      <c r="T116" s="4">
        <f>SUM(OSRRefT25x_0)</f>
        <v>426524.63</v>
      </c>
      <c r="U116" s="4"/>
      <c r="V116" s="12">
        <f t="shared" ref="V116:V119" si="100">IF(T$12=0,0,T116/T$12)</f>
        <v>6.8167882784721634E-2</v>
      </c>
      <c r="W116" s="4"/>
      <c r="X116" s="4">
        <f t="shared" ref="X116:X119" si="101">+P116-T116</f>
        <v>-422447.43</v>
      </c>
      <c r="Y116" s="4"/>
      <c r="Z116" s="12">
        <f t="shared" ref="Z116:Z119" si="102">IF(T116=0,0,X116/T116)</f>
        <v>-0.99044088028398258</v>
      </c>
    </row>
    <row r="117" spans="1:26" s="24" customFormat="1" hidden="1" outlineLevel="1" x14ac:dyDescent="0.25">
      <c r="A117" s="44"/>
      <c r="B117" s="11" t="str">
        <f>CONCATENATE("          ", "9150", " - ", "MISC. INCOME")</f>
        <v xml:space="preserve">          9150 - MISC. INCOME</v>
      </c>
      <c r="C117" s="11"/>
      <c r="D117" s="2">
        <f>--119.09</f>
        <v>119.09</v>
      </c>
      <c r="E117" s="2"/>
      <c r="F117" s="19">
        <f t="shared" si="95"/>
        <v>6.0862141958991321E-4</v>
      </c>
      <c r="G117" s="2"/>
      <c r="H117" s="2">
        <f>--50769.74</f>
        <v>50769.74</v>
      </c>
      <c r="I117" s="2"/>
      <c r="J117" s="19">
        <f t="shared" si="96"/>
        <v>1.9974102697691652E-2</v>
      </c>
      <c r="K117" s="2"/>
      <c r="L117" s="2">
        <f t="shared" si="97"/>
        <v>-50650.65</v>
      </c>
      <c r="M117" s="2"/>
      <c r="N117" s="19">
        <f t="shared" si="98"/>
        <v>-0.99765431140675531</v>
      </c>
      <c r="O117" s="11"/>
      <c r="P117" s="2">
        <f>--923.77</f>
        <v>923.77</v>
      </c>
      <c r="Q117" s="2"/>
      <c r="R117" s="19">
        <f t="shared" si="99"/>
        <v>1.8418149025568921E-3</v>
      </c>
      <c r="S117" s="2"/>
      <c r="T117" s="2">
        <f>--117296.68</f>
        <v>117296.68</v>
      </c>
      <c r="U117" s="2"/>
      <c r="V117" s="19">
        <f t="shared" si="100"/>
        <v>1.874655241662598E-2</v>
      </c>
      <c r="W117" s="2"/>
      <c r="X117" s="2">
        <f t="shared" si="101"/>
        <v>-116372.90999999999</v>
      </c>
      <c r="Y117" s="2"/>
      <c r="Z117" s="19">
        <f t="shared" si="102"/>
        <v>-0.99212450002847474</v>
      </c>
    </row>
    <row r="118" spans="1:26" s="24" customFormat="1" hidden="1" outlineLevel="1" x14ac:dyDescent="0.25">
      <c r="A118" s="44"/>
      <c r="B118" s="11" t="str">
        <f>CONCATENATE("          ", "9160", " - ", "MISC. INCOME")</f>
        <v xml:space="preserve">          9160 - MISC. INCOME</v>
      </c>
      <c r="C118" s="11"/>
      <c r="D118" s="2">
        <f>--338.19</f>
        <v>338.19</v>
      </c>
      <c r="E118" s="2"/>
      <c r="F118" s="19">
        <f t="shared" si="95"/>
        <v>1.7283540002612542E-3</v>
      </c>
      <c r="G118" s="2"/>
      <c r="H118" s="2">
        <f>--65384.61</f>
        <v>65384.61</v>
      </c>
      <c r="I118" s="2"/>
      <c r="J118" s="19">
        <f t="shared" si="96"/>
        <v>2.5723963033659748E-2</v>
      </c>
      <c r="K118" s="2"/>
      <c r="L118" s="2">
        <f t="shared" si="97"/>
        <v>-65046.42</v>
      </c>
      <c r="M118" s="2"/>
      <c r="N118" s="19">
        <f t="shared" si="98"/>
        <v>-0.99482768192698556</v>
      </c>
      <c r="O118" s="11"/>
      <c r="P118" s="2">
        <f>--2328.25</f>
        <v>2328.25</v>
      </c>
      <c r="Q118" s="2"/>
      <c r="R118" s="19">
        <f t="shared" si="99"/>
        <v>4.6420705877849291E-3</v>
      </c>
      <c r="S118" s="2"/>
      <c r="T118" s="2">
        <f>--96357.88</f>
        <v>96357.88</v>
      </c>
      <c r="U118" s="2"/>
      <c r="V118" s="19">
        <f t="shared" si="100"/>
        <v>1.5400078230474694E-2</v>
      </c>
      <c r="W118" s="2"/>
      <c r="X118" s="2">
        <f t="shared" si="101"/>
        <v>-94029.63</v>
      </c>
      <c r="Y118" s="2"/>
      <c r="Z118" s="19">
        <f t="shared" si="102"/>
        <v>-0.97583747172519775</v>
      </c>
    </row>
    <row r="119" spans="1:26" s="24" customFormat="1" hidden="1" outlineLevel="1" x14ac:dyDescent="0.25">
      <c r="A119" s="44"/>
      <c r="B119" s="11" t="str">
        <f>CONCATENATE("          ", "9165", " - ", "OTHER INCOME")</f>
        <v xml:space="preserve">          9165 - OTHER INCOME</v>
      </c>
      <c r="C119" s="11"/>
      <c r="D119" s="2">
        <f>0</f>
        <v>0</v>
      </c>
      <c r="E119" s="2"/>
      <c r="F119" s="19">
        <f t="shared" si="95"/>
        <v>0</v>
      </c>
      <c r="G119" s="2"/>
      <c r="H119" s="2">
        <f>--7709.29</f>
        <v>7709.29</v>
      </c>
      <c r="I119" s="2"/>
      <c r="J119" s="19">
        <f t="shared" si="96"/>
        <v>3.0330301117612044E-3</v>
      </c>
      <c r="K119" s="2"/>
      <c r="L119" s="2">
        <f t="shared" si="97"/>
        <v>-7709.29</v>
      </c>
      <c r="M119" s="2"/>
      <c r="N119" s="19">
        <f t="shared" si="98"/>
        <v>-1</v>
      </c>
      <c r="O119" s="11"/>
      <c r="P119" s="2">
        <f>--825.18</f>
        <v>825.18</v>
      </c>
      <c r="Q119" s="2"/>
      <c r="R119" s="19">
        <f t="shared" si="99"/>
        <v>1.6452459175897638E-3</v>
      </c>
      <c r="S119" s="2"/>
      <c r="T119" s="2">
        <f>--212870.07</f>
        <v>212870.07</v>
      </c>
      <c r="U119" s="2"/>
      <c r="V119" s="19">
        <f t="shared" si="100"/>
        <v>3.4021252137620965E-2</v>
      </c>
      <c r="W119" s="2"/>
      <c r="X119" s="2">
        <f t="shared" si="101"/>
        <v>-212044.89</v>
      </c>
      <c r="Y119" s="2"/>
      <c r="Z119" s="19">
        <f t="shared" si="102"/>
        <v>-0.99612355085898174</v>
      </c>
    </row>
    <row r="120" spans="1:26" x14ac:dyDescent="0.25">
      <c r="A120" s="9"/>
      <c r="B120" s="10"/>
      <c r="C120" s="10"/>
      <c r="D120" s="3"/>
      <c r="E120" s="3"/>
      <c r="F120" s="8"/>
      <c r="G120" s="3"/>
      <c r="H120" s="3"/>
      <c r="I120" s="3"/>
      <c r="J120" s="8"/>
      <c r="K120" s="3"/>
      <c r="L120" s="3"/>
      <c r="M120" s="3"/>
      <c r="N120" s="8"/>
      <c r="O120" s="10"/>
      <c r="P120" s="3"/>
      <c r="Q120" s="3"/>
      <c r="R120" s="8"/>
      <c r="S120" s="3"/>
      <c r="T120" s="3"/>
      <c r="U120" s="3"/>
      <c r="V120" s="8"/>
      <c r="W120" s="3"/>
      <c r="X120" s="3"/>
      <c r="Y120" s="3"/>
      <c r="Z120" s="8"/>
    </row>
    <row r="121" spans="1:26" s="23" customFormat="1" x14ac:dyDescent="0.25">
      <c r="A121" s="10"/>
      <c r="B121" s="25" t="s">
        <v>3</v>
      </c>
      <c r="C121" s="25"/>
      <c r="D121" s="20">
        <f>+D28-D30+D116</f>
        <v>-288735.77999999997</v>
      </c>
      <c r="E121" s="13"/>
      <c r="F121" s="21">
        <f>IF(D$12=0,0,D121/D$12)</f>
        <v>-1.4756132362918872</v>
      </c>
      <c r="G121" s="13"/>
      <c r="H121" s="20">
        <f>+H28-H30+H116</f>
        <v>746796.26000000013</v>
      </c>
      <c r="I121" s="13"/>
      <c r="J121" s="21">
        <f>IF(H$12=0,0,H121/H$12)</f>
        <v>0.29380857951000022</v>
      </c>
      <c r="K121" s="15"/>
      <c r="L121" s="20">
        <f>+D121-H121</f>
        <v>-1035532.04</v>
      </c>
      <c r="M121" s="15"/>
      <c r="N121" s="21">
        <f>IF(H121=0,0,L121/H121)</f>
        <v>-1.3866326004364293</v>
      </c>
      <c r="O121" s="26"/>
      <c r="P121" s="20">
        <f>+P28-P30+P116</f>
        <v>-1042367.31</v>
      </c>
      <c r="Q121" s="13"/>
      <c r="R121" s="21">
        <f>IF(P$12=0,0,P121/P$12)</f>
        <v>-2.0782745115084271</v>
      </c>
      <c r="S121" s="13"/>
      <c r="T121" s="20">
        <f>+T28-T30+T116</f>
        <v>1042800.2199999994</v>
      </c>
      <c r="U121" s="13"/>
      <c r="V121" s="21">
        <f>IF(T$12=0,0,T121/T$12)</f>
        <v>0.16666208271452435</v>
      </c>
      <c r="W121" s="15"/>
      <c r="X121" s="20">
        <f>+P121-T121</f>
        <v>-2085167.5299999993</v>
      </c>
      <c r="Y121" s="15"/>
      <c r="Z121" s="21">
        <f>IF(T121=0,0,X121/T121)</f>
        <v>-1.9995848581619982</v>
      </c>
    </row>
    <row r="122" spans="1:26" x14ac:dyDescent="0.25">
      <c r="A122" s="9"/>
      <c r="B122" s="10"/>
      <c r="C122" s="9"/>
      <c r="D122" s="3"/>
      <c r="E122" s="3"/>
      <c r="F122" s="8"/>
      <c r="G122" s="3"/>
      <c r="H122" s="3"/>
      <c r="I122" s="3"/>
      <c r="J122" s="8"/>
      <c r="K122" s="3"/>
      <c r="L122" s="3"/>
      <c r="M122" s="3"/>
      <c r="N122" s="8"/>
      <c r="P122" s="3"/>
      <c r="Q122" s="3"/>
      <c r="R122" s="8"/>
      <c r="S122" s="3"/>
      <c r="T122" s="3"/>
      <c r="U122" s="3"/>
      <c r="V122" s="8"/>
      <c r="W122" s="3"/>
      <c r="X122" s="3"/>
      <c r="Y122" s="3"/>
      <c r="Z122" s="8"/>
    </row>
    <row r="123" spans="1:26" s="23" customFormat="1" x14ac:dyDescent="0.25">
      <c r="A123" s="51"/>
      <c r="B123" s="10" t="s">
        <v>13</v>
      </c>
      <c r="C123" s="10"/>
      <c r="D123" s="4">
        <v>51981.18</v>
      </c>
      <c r="E123" s="4"/>
      <c r="F123" s="12">
        <f>IF(D$12=0,0,D123/D$12)</f>
        <v>0.26565504713711313</v>
      </c>
      <c r="G123" s="4"/>
      <c r="H123" s="4">
        <v>230781.74</v>
      </c>
      <c r="I123" s="4"/>
      <c r="J123" s="12">
        <f>IF(H$12=0,0,H123/H$12)</f>
        <v>9.0795386691205696E-2</v>
      </c>
      <c r="K123" s="4"/>
      <c r="L123" s="4">
        <f>+D123-H123</f>
        <v>-178800.56</v>
      </c>
      <c r="M123" s="4"/>
      <c r="N123" s="12">
        <f>IF(H123=0,0,L123/H123)</f>
        <v>-0.77476042948631896</v>
      </c>
      <c r="O123" s="10"/>
      <c r="P123" s="4">
        <v>108647.44</v>
      </c>
      <c r="Q123" s="4"/>
      <c r="R123" s="12">
        <f>IF(P$12=0,0,P123/P$12)</f>
        <v>0.21662153362488043</v>
      </c>
      <c r="S123" s="4"/>
      <c r="T123" s="4">
        <v>629842.92000000004</v>
      </c>
      <c r="U123" s="4"/>
      <c r="V123" s="12">
        <f>IF(T$12=0,0,T123/T$12)</f>
        <v>0.10066255339896037</v>
      </c>
      <c r="W123" s="4"/>
      <c r="X123" s="4">
        <f>+P123-T123</f>
        <v>-521195.48000000004</v>
      </c>
      <c r="Y123" s="4"/>
      <c r="Z123" s="12">
        <f>IF(T123=0,0,X123/T123)</f>
        <v>-0.82750073621530906</v>
      </c>
    </row>
    <row r="124" spans="1:26" x14ac:dyDescent="0.25">
      <c r="A124" s="9"/>
      <c r="B124" s="10"/>
      <c r="C124" s="10"/>
      <c r="D124" s="3"/>
      <c r="E124" s="3"/>
      <c r="F124" s="8"/>
      <c r="G124" s="3"/>
      <c r="H124" s="3"/>
      <c r="I124" s="3"/>
      <c r="J124" s="8"/>
      <c r="K124" s="3"/>
      <c r="L124" s="3"/>
      <c r="M124" s="3"/>
      <c r="N124" s="8"/>
      <c r="O124" s="10"/>
      <c r="P124" s="3"/>
      <c r="Q124" s="3"/>
      <c r="R124" s="8"/>
      <c r="S124" s="3"/>
      <c r="T124" s="3"/>
      <c r="U124" s="3"/>
      <c r="V124" s="8"/>
      <c r="W124" s="3"/>
      <c r="X124" s="3"/>
      <c r="Y124" s="3"/>
      <c r="Z124" s="8"/>
    </row>
    <row r="125" spans="1:26" s="23" customFormat="1" ht="15.75" thickBot="1" x14ac:dyDescent="0.3">
      <c r="A125" s="10"/>
      <c r="B125" s="25" t="s">
        <v>4</v>
      </c>
      <c r="C125" s="25"/>
      <c r="D125" s="30">
        <f>+D121-D123</f>
        <v>-340716.95999999996</v>
      </c>
      <c r="E125" s="13"/>
      <c r="F125" s="33">
        <f>IF(D$12=0,0,D125/D$12)</f>
        <v>-1.7412682834290005</v>
      </c>
      <c r="G125" s="13"/>
      <c r="H125" s="30">
        <f>+H121-H123</f>
        <v>516014.52000000014</v>
      </c>
      <c r="I125" s="13"/>
      <c r="J125" s="33">
        <f>IF(H$12=0,0,H125/H$12)</f>
        <v>0.20301319281879454</v>
      </c>
      <c r="K125" s="15"/>
      <c r="L125" s="30">
        <f>D125-H125</f>
        <v>-856731.4800000001</v>
      </c>
      <c r="M125" s="15"/>
      <c r="N125" s="33">
        <f>IF(H125=0,0,L125/H125)</f>
        <v>-1.6602856059166704</v>
      </c>
      <c r="O125" s="26"/>
      <c r="P125" s="30">
        <f>+P121-P123</f>
        <v>-1151014.75</v>
      </c>
      <c r="Q125" s="13"/>
      <c r="R125" s="33">
        <f>IF(P$12=0,0,P125/P$12)</f>
        <v>-2.2948960451333074</v>
      </c>
      <c r="S125" s="13"/>
      <c r="T125" s="30">
        <f>+T121-T123</f>
        <v>412957.29999999935</v>
      </c>
      <c r="U125" s="13"/>
      <c r="V125" s="33">
        <f>IF(T$12=0,0,T125/T$12)</f>
        <v>6.5999529315563993E-2</v>
      </c>
      <c r="W125" s="15"/>
      <c r="X125" s="30">
        <f>P125-T125</f>
        <v>-1563972.0499999993</v>
      </c>
      <c r="Y125" s="15"/>
      <c r="Z125" s="33">
        <f>IF(T125=0,0,X125/T125)</f>
        <v>-3.7872488269368332</v>
      </c>
    </row>
    <row r="126" spans="1:26" ht="15.75" thickTop="1" x14ac:dyDescent="0.25">
      <c r="A126" s="9"/>
      <c r="B126" s="9"/>
      <c r="C126" s="9"/>
      <c r="D126" s="3"/>
      <c r="E126" s="3"/>
      <c r="F126" s="8"/>
      <c r="G126" s="3"/>
      <c r="H126" s="3"/>
      <c r="I126" s="3"/>
      <c r="J126" s="8"/>
      <c r="K126" s="3"/>
      <c r="L126" s="3"/>
      <c r="M126" s="3"/>
      <c r="N126" s="8"/>
      <c r="P126" s="3"/>
      <c r="Q126" s="3"/>
      <c r="R126" s="8"/>
      <c r="S126" s="3"/>
      <c r="T126" s="3"/>
      <c r="U126" s="3"/>
      <c r="V126" s="8"/>
      <c r="W126" s="3"/>
      <c r="X126" s="3"/>
      <c r="Y126" s="3"/>
      <c r="Z126" s="8"/>
    </row>
    <row r="127" spans="1:26" x14ac:dyDescent="0.25">
      <c r="A127" s="9"/>
      <c r="B127" s="9"/>
      <c r="C127" s="9"/>
      <c r="D127" s="3"/>
      <c r="E127" s="3"/>
      <c r="F127" s="8"/>
      <c r="G127" s="3"/>
      <c r="H127" s="3"/>
      <c r="I127" s="3"/>
      <c r="J127" s="8"/>
      <c r="K127" s="3"/>
      <c r="L127" s="3"/>
      <c r="M127" s="3"/>
      <c r="N127" s="8"/>
      <c r="P127" s="3"/>
      <c r="Q127" s="3"/>
      <c r="R127" s="8"/>
      <c r="S127" s="3"/>
      <c r="T127" s="3"/>
      <c r="U127" s="3"/>
      <c r="V127" s="8"/>
      <c r="W127" s="3"/>
      <c r="X127" s="3"/>
      <c r="Y127" s="3"/>
      <c r="Z127" s="8"/>
    </row>
    <row r="128" spans="1:26" s="23" customFormat="1" ht="15.75" thickBot="1" x14ac:dyDescent="0.3">
      <c r="A128" s="10"/>
      <c r="B128" s="25" t="s">
        <v>5</v>
      </c>
      <c r="C128" s="25"/>
      <c r="D128" s="34">
        <f>SUM(D125:D127)</f>
        <v>-340716.95999999996</v>
      </c>
      <c r="E128" s="13"/>
      <c r="F128" s="35">
        <f>IF(D$12=0,0,D128/D$12)</f>
        <v>-1.7412682834290005</v>
      </c>
      <c r="G128" s="13"/>
      <c r="H128" s="34">
        <f>SUM(H125:H127)</f>
        <v>516014.52000000014</v>
      </c>
      <c r="I128" s="13"/>
      <c r="J128" s="35">
        <f>IF(H$12=0,0,H128/H$12)</f>
        <v>0.20301319281879454</v>
      </c>
      <c r="K128" s="15"/>
      <c r="L128" s="34">
        <f>+D128-H128</f>
        <v>-856731.4800000001</v>
      </c>
      <c r="M128" s="15"/>
      <c r="N128" s="35">
        <f>IF(H128=0,0,L128/H128)</f>
        <v>-1.6602856059166704</v>
      </c>
      <c r="O128" s="26"/>
      <c r="P128" s="34">
        <f>SUM(P125:P127)</f>
        <v>-1151014.75</v>
      </c>
      <c r="Q128" s="13"/>
      <c r="R128" s="35">
        <f>IF(P$12=0,0,P128/P$12)</f>
        <v>-2.2948960451333074</v>
      </c>
      <c r="S128" s="13"/>
      <c r="T128" s="34">
        <f>SUM(T125:T127)</f>
        <v>412957.29999999935</v>
      </c>
      <c r="U128" s="13"/>
      <c r="V128" s="35">
        <f>IF(T$12=0,0,T128/T$12)</f>
        <v>6.5999529315563993E-2</v>
      </c>
      <c r="W128" s="15"/>
      <c r="X128" s="34">
        <f>+P128-T128</f>
        <v>-1563972.0499999993</v>
      </c>
      <c r="Y128" s="15"/>
      <c r="Z128" s="35">
        <f>IF(T128=0,0,X128/T128)</f>
        <v>-3.7872488269368332</v>
      </c>
    </row>
    <row r="129" spans="1:24" ht="15.75" thickTop="1" x14ac:dyDescent="0.25">
      <c r="A129" s="9"/>
      <c r="C129" s="9"/>
      <c r="D129" s="18"/>
      <c r="E129" s="18"/>
      <c r="G129" s="18"/>
      <c r="H129" s="18"/>
      <c r="I129" s="18"/>
      <c r="J129" s="43"/>
      <c r="K129" s="18"/>
      <c r="L129" s="18"/>
      <c r="M129" s="18"/>
      <c r="P129" s="18"/>
      <c r="Q129" s="18"/>
      <c r="R129" s="43"/>
      <c r="S129" s="18"/>
      <c r="T129" s="18"/>
      <c r="U129" s="18"/>
      <c r="V129" s="43"/>
      <c r="W129" s="18"/>
      <c r="X129" s="18"/>
    </row>
    <row r="130" spans="1:24" x14ac:dyDescent="0.25">
      <c r="A130" s="9"/>
      <c r="B130" s="56">
        <v>44151.571997106483</v>
      </c>
      <c r="D130" s="18"/>
      <c r="E130" s="18"/>
      <c r="G130" s="18"/>
      <c r="H130" s="18"/>
      <c r="I130" s="18"/>
      <c r="J130" s="43"/>
      <c r="K130" s="18"/>
      <c r="L130" s="18"/>
      <c r="M130" s="18"/>
      <c r="P130" s="18"/>
      <c r="Q130" s="18"/>
      <c r="R130" s="43"/>
      <c r="S130" s="18"/>
      <c r="T130" s="18"/>
      <c r="U130" s="18"/>
      <c r="V130" s="43"/>
      <c r="W130" s="18"/>
      <c r="X130" s="18"/>
    </row>
    <row r="131" spans="1:24" x14ac:dyDescent="0.25">
      <c r="A131" s="9"/>
      <c r="B131" s="62" t="s">
        <v>313</v>
      </c>
      <c r="D131" s="18"/>
      <c r="E131" s="18"/>
      <c r="G131" s="18"/>
      <c r="H131" s="18"/>
      <c r="I131" s="18"/>
      <c r="J131" s="43"/>
      <c r="K131" s="18"/>
      <c r="L131" s="18"/>
      <c r="M131" s="18"/>
      <c r="P131" s="18"/>
      <c r="Q131" s="18"/>
      <c r="R131" s="43"/>
      <c r="S131" s="18"/>
      <c r="T131" s="18"/>
      <c r="U131" s="18"/>
      <c r="V131" s="43"/>
      <c r="W131" s="18"/>
      <c r="X131" s="18"/>
    </row>
    <row r="132" spans="1:24" x14ac:dyDescent="0.25">
      <c r="A132" s="9"/>
      <c r="B132" s="54"/>
      <c r="D132" s="18"/>
      <c r="E132" s="18"/>
      <c r="G132" s="18"/>
      <c r="H132" s="18"/>
      <c r="I132" s="18"/>
      <c r="J132" s="43"/>
      <c r="K132" s="18"/>
      <c r="L132" s="18"/>
      <c r="M132" s="18"/>
      <c r="P132" s="18"/>
      <c r="Q132" s="18"/>
      <c r="R132" s="43"/>
      <c r="S132" s="18"/>
      <c r="T132" s="18"/>
      <c r="U132" s="18"/>
      <c r="V132" s="43"/>
      <c r="W132" s="18"/>
      <c r="X132" s="18"/>
    </row>
    <row r="133" spans="1:24" x14ac:dyDescent="0.25">
      <c r="D133" s="18"/>
      <c r="E133" s="18"/>
      <c r="G133" s="18"/>
      <c r="H133" s="18"/>
      <c r="I133" s="18"/>
      <c r="J133" s="43"/>
      <c r="K133" s="18"/>
      <c r="L133" s="18"/>
      <c r="M133" s="18"/>
      <c r="P133" s="18"/>
      <c r="Q133" s="18"/>
      <c r="R133" s="43"/>
      <c r="S133" s="18"/>
      <c r="T133" s="18"/>
      <c r="U133" s="18"/>
      <c r="V133" s="43"/>
      <c r="W133" s="18"/>
      <c r="X133" s="18"/>
    </row>
  </sheetData>
  <pageMargins left="0.25" right="0.25" top="0.75" bottom="0.75" header="0.3" footer="0.3"/>
  <pageSetup scale="55" fitToWidth="2" orientation="landscape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139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",RIGHT(202104,2),", ",2021)</f>
        <v>Period 04,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44135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312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61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50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50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2"/>
      <c r="F10" s="31" t="s">
        <v>14</v>
      </c>
      <c r="G10" s="32"/>
      <c r="H10" s="49" t="s">
        <v>306</v>
      </c>
      <c r="I10" s="32"/>
      <c r="J10" s="31" t="s">
        <v>14</v>
      </c>
      <c r="K10" s="10"/>
      <c r="L10" s="42" t="s">
        <v>11</v>
      </c>
      <c r="M10" s="10"/>
      <c r="N10" s="31" t="s">
        <v>15</v>
      </c>
      <c r="O10" s="10"/>
      <c r="P10" s="59" t="s">
        <v>10</v>
      </c>
      <c r="Q10" s="32"/>
      <c r="R10" s="31" t="s">
        <v>14</v>
      </c>
      <c r="S10" s="32"/>
      <c r="T10" s="49" t="s">
        <v>306</v>
      </c>
      <c r="U10" s="32"/>
      <c r="V10" s="31" t="s">
        <v>14</v>
      </c>
      <c r="W10" s="10"/>
      <c r="X10" s="42" t="s">
        <v>11</v>
      </c>
      <c r="Y10" s="10"/>
      <c r="Z10" s="31" t="s">
        <v>15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43520.9</v>
      </c>
      <c r="E12" s="4"/>
      <c r="F12" s="12"/>
      <c r="G12" s="4"/>
      <c r="H12" s="4">
        <f>SUM(OSRRefH13x_0)</f>
        <v>1400717.89</v>
      </c>
      <c r="I12" s="4"/>
      <c r="J12" s="12"/>
      <c r="K12" s="4"/>
      <c r="L12" s="4">
        <f t="shared" ref="L12:L27" si="0">+D12-H12</f>
        <v>-1357196.99</v>
      </c>
      <c r="M12" s="4"/>
      <c r="N12" s="12">
        <f t="shared" ref="N12:N27" si="1">IF(H12=0,0,L12/H12)</f>
        <v>-0.96892957510523414</v>
      </c>
      <c r="O12" s="10"/>
      <c r="P12" s="4">
        <f>SUM(OSRRefP13x_0)</f>
        <v>60478.87</v>
      </c>
      <c r="Q12" s="4"/>
      <c r="R12" s="12"/>
      <c r="S12" s="4"/>
      <c r="T12" s="4">
        <f>SUM(OSRRefT13x_0)</f>
        <v>3229080.82</v>
      </c>
      <c r="U12" s="4"/>
      <c r="V12" s="12"/>
      <c r="W12" s="4"/>
      <c r="X12" s="4">
        <f t="shared" ref="X12:X27" si="2">+P12-T12</f>
        <v>-3168601.9499999997</v>
      </c>
      <c r="Y12" s="4"/>
      <c r="Z12" s="12">
        <f t="shared" ref="Z12:Z27" si="3">IF(T12=0,0,X12/T12)</f>
        <v>-0.98127056169501503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 t="shared" ref="D13:D14" si="4">0</f>
        <v>0</v>
      </c>
      <c r="E13" s="2"/>
      <c r="F13" s="19"/>
      <c r="G13" s="2"/>
      <c r="H13" s="2">
        <f>--59158.53</f>
        <v>59158.53</v>
      </c>
      <c r="I13" s="2"/>
      <c r="J13" s="19"/>
      <c r="K13" s="2"/>
      <c r="L13" s="2">
        <f t="shared" si="0"/>
        <v>-59158.53</v>
      </c>
      <c r="M13" s="2"/>
      <c r="N13" s="19">
        <f t="shared" si="1"/>
        <v>-1</v>
      </c>
      <c r="O13" s="11"/>
      <c r="P13" s="2">
        <f>--444.59</f>
        <v>444.59</v>
      </c>
      <c r="Q13" s="2"/>
      <c r="R13" s="19"/>
      <c r="S13" s="2"/>
      <c r="T13" s="2">
        <f>--131814.87</f>
        <v>131814.87</v>
      </c>
      <c r="U13" s="2"/>
      <c r="V13" s="19"/>
      <c r="W13" s="2"/>
      <c r="X13" s="2">
        <f t="shared" si="2"/>
        <v>-131370.28</v>
      </c>
      <c r="Y13" s="2"/>
      <c r="Z13" s="19">
        <f t="shared" si="3"/>
        <v>-0.99662716353625358</v>
      </c>
    </row>
    <row r="14" spans="1:26" s="24" customFormat="1" hidden="1" outlineLevel="1" x14ac:dyDescent="0.25">
      <c r="A14" s="44"/>
      <c r="B14" s="11" t="str">
        <f>CONCATENATE("          ", "4034", " - ", "TAXABLE SALES-SODA")</f>
        <v xml:space="preserve">          4034 - TAXABLE SALES-SODA</v>
      </c>
      <c r="C14" s="11"/>
      <c r="D14" s="2">
        <f t="shared" si="4"/>
        <v>0</v>
      </c>
      <c r="E14" s="2"/>
      <c r="F14" s="19"/>
      <c r="G14" s="2"/>
      <c r="H14" s="2">
        <f>--531.75</f>
        <v>531.75</v>
      </c>
      <c r="I14" s="2"/>
      <c r="J14" s="19"/>
      <c r="K14" s="2"/>
      <c r="L14" s="2">
        <f t="shared" si="0"/>
        <v>-531.75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f>--1682.08</f>
        <v>1682.08</v>
      </c>
      <c r="U14" s="2"/>
      <c r="V14" s="19"/>
      <c r="W14" s="2"/>
      <c r="X14" s="2">
        <f t="shared" si="2"/>
        <v>-1682.08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"4051", " - ", "TAXABLE SALES-FOOD")</f>
        <v xml:space="preserve">          4051 - TAXABLE SALES-FOOD</v>
      </c>
      <c r="C15" s="11"/>
      <c r="D15" s="2">
        <f>--6097.26</f>
        <v>6097.26</v>
      </c>
      <c r="E15" s="2"/>
      <c r="F15" s="19"/>
      <c r="G15" s="2"/>
      <c r="H15" s="2">
        <f>--125346.31</f>
        <v>125346.31</v>
      </c>
      <c r="I15" s="2"/>
      <c r="J15" s="19"/>
      <c r="K15" s="2"/>
      <c r="L15" s="2">
        <f t="shared" si="0"/>
        <v>-119249.05</v>
      </c>
      <c r="M15" s="2"/>
      <c r="N15" s="19">
        <f t="shared" si="1"/>
        <v>-0.95135668533042583</v>
      </c>
      <c r="O15" s="11"/>
      <c r="P15" s="2">
        <f>--12749.94</f>
        <v>12749.94</v>
      </c>
      <c r="Q15" s="2"/>
      <c r="R15" s="19"/>
      <c r="S15" s="2"/>
      <c r="T15" s="2">
        <f>--300035.94</f>
        <v>300035.94</v>
      </c>
      <c r="U15" s="2"/>
      <c r="V15" s="19"/>
      <c r="W15" s="2"/>
      <c r="X15" s="2">
        <f t="shared" si="2"/>
        <v>-287286</v>
      </c>
      <c r="Y15" s="2"/>
      <c r="Z15" s="19">
        <f t="shared" si="3"/>
        <v>-0.95750529086615421</v>
      </c>
    </row>
    <row r="16" spans="1:26" s="24" customFormat="1" hidden="1" outlineLevel="1" x14ac:dyDescent="0.25">
      <c r="A16" s="44"/>
      <c r="B16" s="11" t="str">
        <f>CONCATENATE("          ", "4052", " - ", "TAXABLE SALES-FOOD")</f>
        <v xml:space="preserve">          4052 - TAXABLE SALES-FOOD</v>
      </c>
      <c r="C16" s="11"/>
      <c r="D16" s="2">
        <f>--30231.29</f>
        <v>30231.29</v>
      </c>
      <c r="E16" s="2"/>
      <c r="F16" s="19"/>
      <c r="G16" s="2"/>
      <c r="H16" s="2">
        <f>--115316.39</f>
        <v>115316.39</v>
      </c>
      <c r="I16" s="2"/>
      <c r="J16" s="19"/>
      <c r="K16" s="2"/>
      <c r="L16" s="2">
        <f t="shared" si="0"/>
        <v>-85085.1</v>
      </c>
      <c r="M16" s="2"/>
      <c r="N16" s="19">
        <f t="shared" si="1"/>
        <v>-0.73784047523513363</v>
      </c>
      <c r="O16" s="11"/>
      <c r="P16" s="2">
        <f>--30231.29</f>
        <v>30231.29</v>
      </c>
      <c r="Q16" s="2"/>
      <c r="R16" s="19"/>
      <c r="S16" s="2"/>
      <c r="T16" s="2">
        <f>--368822.4</f>
        <v>368822.4</v>
      </c>
      <c r="U16" s="2"/>
      <c r="V16" s="19"/>
      <c r="W16" s="2"/>
      <c r="X16" s="2">
        <f t="shared" si="2"/>
        <v>-338591.11000000004</v>
      </c>
      <c r="Y16" s="2"/>
      <c r="Z16" s="19">
        <f t="shared" si="3"/>
        <v>-0.91803293400834662</v>
      </c>
    </row>
    <row r="17" spans="1:26" s="24" customFormat="1" hidden="1" outlineLevel="1" x14ac:dyDescent="0.25">
      <c r="A17" s="44"/>
      <c r="B17" s="11" t="str">
        <f>CONCATENATE("          ", "4053", " - ", "TAXABLE SALES-FOOD")</f>
        <v xml:space="preserve">          4053 - TAXABLE SALES-FOOD</v>
      </c>
      <c r="C17" s="11"/>
      <c r="D17" s="2">
        <f t="shared" ref="D17:D22" si="5">0</f>
        <v>0</v>
      </c>
      <c r="E17" s="2"/>
      <c r="F17" s="19"/>
      <c r="G17" s="2"/>
      <c r="H17" s="2">
        <f>--13668.19</f>
        <v>13668.19</v>
      </c>
      <c r="I17" s="2"/>
      <c r="J17" s="19"/>
      <c r="K17" s="2"/>
      <c r="L17" s="2">
        <f t="shared" si="0"/>
        <v>-13668.19</v>
      </c>
      <c r="M17" s="2"/>
      <c r="N17" s="19">
        <f t="shared" si="1"/>
        <v>-1</v>
      </c>
      <c r="O17" s="11"/>
      <c r="P17" s="2">
        <f t="shared" ref="P17:P18" si="6">0</f>
        <v>0</v>
      </c>
      <c r="Q17" s="2"/>
      <c r="R17" s="19"/>
      <c r="S17" s="2"/>
      <c r="T17" s="2">
        <f>--60500.61</f>
        <v>60500.61</v>
      </c>
      <c r="U17" s="2"/>
      <c r="V17" s="19"/>
      <c r="W17" s="2"/>
      <c r="X17" s="2">
        <f t="shared" si="2"/>
        <v>-60500.61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"4055", " - ", "TAXABLE SALES-FOOD")</f>
        <v xml:space="preserve">          4055 - TAXABLE SALES-FOOD</v>
      </c>
      <c r="C18" s="11"/>
      <c r="D18" s="2">
        <f t="shared" si="5"/>
        <v>0</v>
      </c>
      <c r="E18" s="2"/>
      <c r="F18" s="19"/>
      <c r="G18" s="2"/>
      <c r="H18" s="2">
        <f>--75155.92</f>
        <v>75155.92</v>
      </c>
      <c r="I18" s="2"/>
      <c r="J18" s="19"/>
      <c r="K18" s="2"/>
      <c r="L18" s="2">
        <f t="shared" si="0"/>
        <v>-75155.92</v>
      </c>
      <c r="M18" s="2"/>
      <c r="N18" s="19">
        <f t="shared" si="1"/>
        <v>-1</v>
      </c>
      <c r="O18" s="11"/>
      <c r="P18" s="2">
        <f t="shared" si="6"/>
        <v>0</v>
      </c>
      <c r="Q18" s="2"/>
      <c r="R18" s="19"/>
      <c r="S18" s="2"/>
      <c r="T18" s="2">
        <f>--185991.6</f>
        <v>185991.6</v>
      </c>
      <c r="U18" s="2"/>
      <c r="V18" s="19"/>
      <c r="W18" s="2"/>
      <c r="X18" s="2">
        <f t="shared" si="2"/>
        <v>-185991.6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"4058", " - ", "TAXABLE SALES-FOOD")</f>
        <v xml:space="preserve">          4058 - TAXABLE SALES-FOOD</v>
      </c>
      <c r="C19" s="11"/>
      <c r="D19" s="2">
        <f t="shared" si="5"/>
        <v>0</v>
      </c>
      <c r="E19" s="2"/>
      <c r="F19" s="19"/>
      <c r="G19" s="2"/>
      <c r="H19" s="2">
        <f>--21855.03</f>
        <v>21855.03</v>
      </c>
      <c r="I19" s="2"/>
      <c r="J19" s="19"/>
      <c r="K19" s="2"/>
      <c r="L19" s="2">
        <f t="shared" si="0"/>
        <v>-21855.03</v>
      </c>
      <c r="M19" s="2"/>
      <c r="N19" s="19">
        <f t="shared" si="1"/>
        <v>-1</v>
      </c>
      <c r="O19" s="11"/>
      <c r="P19" s="2">
        <f>--974.91</f>
        <v>974.91</v>
      </c>
      <c r="Q19" s="2"/>
      <c r="R19" s="19"/>
      <c r="S19" s="2"/>
      <c r="T19" s="2">
        <f>--64145.93</f>
        <v>64145.93</v>
      </c>
      <c r="U19" s="2"/>
      <c r="V19" s="19"/>
      <c r="W19" s="2"/>
      <c r="X19" s="2">
        <f t="shared" si="2"/>
        <v>-63171.02</v>
      </c>
      <c r="Y19" s="2"/>
      <c r="Z19" s="19">
        <f t="shared" si="3"/>
        <v>-0.98480168578115546</v>
      </c>
    </row>
    <row r="20" spans="1:26" s="24" customFormat="1" hidden="1" outlineLevel="1" x14ac:dyDescent="0.25">
      <c r="A20" s="44"/>
      <c r="B20" s="11" t="str">
        <f>CONCATENATE("          ", "4132", " - ", "NON-TAXABLE SALES-JUICE")</f>
        <v xml:space="preserve">          4132 - NON-TAXABLE SALES-JUICE</v>
      </c>
      <c r="C20" s="11"/>
      <c r="D20" s="2">
        <f t="shared" si="5"/>
        <v>0</v>
      </c>
      <c r="E20" s="2"/>
      <c r="F20" s="19"/>
      <c r="G20" s="2"/>
      <c r="H20" s="2">
        <f>--239161.66</f>
        <v>239161.66</v>
      </c>
      <c r="I20" s="2"/>
      <c r="J20" s="19"/>
      <c r="K20" s="2"/>
      <c r="L20" s="2">
        <f t="shared" si="0"/>
        <v>-239161.66</v>
      </c>
      <c r="M20" s="2"/>
      <c r="N20" s="19">
        <f t="shared" si="1"/>
        <v>-1</v>
      </c>
      <c r="O20" s="11"/>
      <c r="P20" s="2">
        <f>--2031.88</f>
        <v>2031.88</v>
      </c>
      <c r="Q20" s="2"/>
      <c r="R20" s="19"/>
      <c r="S20" s="2"/>
      <c r="T20" s="2">
        <f>--515103.65</f>
        <v>515103.65</v>
      </c>
      <c r="U20" s="2"/>
      <c r="V20" s="19"/>
      <c r="W20" s="2"/>
      <c r="X20" s="2">
        <f t="shared" si="2"/>
        <v>-513071.77</v>
      </c>
      <c r="Y20" s="2"/>
      <c r="Z20" s="19">
        <f t="shared" si="3"/>
        <v>-0.99605539584120595</v>
      </c>
    </row>
    <row r="21" spans="1:26" s="24" customFormat="1" hidden="1" outlineLevel="1" x14ac:dyDescent="0.25">
      <c r="A21" s="44"/>
      <c r="B21" s="11" t="str">
        <f>CONCATENATE("          ", "4134", " - ", "NON-TAXABLE SALES-SODA")</f>
        <v xml:space="preserve">          4134 - NON-TAXABLE SALES-SODA</v>
      </c>
      <c r="C21" s="11"/>
      <c r="D21" s="2">
        <f t="shared" si="5"/>
        <v>0</v>
      </c>
      <c r="E21" s="2"/>
      <c r="F21" s="19"/>
      <c r="G21" s="2"/>
      <c r="H21" s="2">
        <f>0</f>
        <v>0</v>
      </c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1"/>
      <c r="P21" s="2">
        <f t="shared" ref="P21:P22" si="7">0</f>
        <v>0</v>
      </c>
      <c r="Q21" s="2"/>
      <c r="R21" s="19"/>
      <c r="S21" s="2"/>
      <c r="T21" s="2">
        <f>--0.39</f>
        <v>0.39</v>
      </c>
      <c r="U21" s="2"/>
      <c r="V21" s="19"/>
      <c r="W21" s="2"/>
      <c r="X21" s="2">
        <f t="shared" si="2"/>
        <v>-0.39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"4137", " - ", "NON-TAXABLE SALES-WATER")</f>
        <v xml:space="preserve">          4137 - NON-TAXABLE SALES-WATER</v>
      </c>
      <c r="C22" s="11"/>
      <c r="D22" s="2">
        <f t="shared" si="5"/>
        <v>0</v>
      </c>
      <c r="E22" s="2"/>
      <c r="F22" s="19"/>
      <c r="G22" s="2"/>
      <c r="H22" s="2">
        <f>--227.76</f>
        <v>227.76</v>
      </c>
      <c r="I22" s="2"/>
      <c r="J22" s="19"/>
      <c r="K22" s="2"/>
      <c r="L22" s="2">
        <f t="shared" si="0"/>
        <v>-227.76</v>
      </c>
      <c r="M22" s="2"/>
      <c r="N22" s="19">
        <f t="shared" si="1"/>
        <v>-1</v>
      </c>
      <c r="O22" s="11"/>
      <c r="P22" s="2">
        <f t="shared" si="7"/>
        <v>0</v>
      </c>
      <c r="Q22" s="2"/>
      <c r="R22" s="19"/>
      <c r="S22" s="2"/>
      <c r="T22" s="2">
        <f>--848.85</f>
        <v>848.85</v>
      </c>
      <c r="U22" s="2"/>
      <c r="V22" s="19"/>
      <c r="W22" s="2"/>
      <c r="X22" s="2">
        <f t="shared" si="2"/>
        <v>-848.85</v>
      </c>
      <c r="Y22" s="2"/>
      <c r="Z22" s="19">
        <f t="shared" si="3"/>
        <v>-1</v>
      </c>
    </row>
    <row r="23" spans="1:26" s="24" customFormat="1" hidden="1" outlineLevel="1" x14ac:dyDescent="0.25">
      <c r="A23" s="44"/>
      <c r="B23" s="11" t="str">
        <f>CONCATENATE("          ", "4151", " - ", "NON-TAXABLE SALES-FOOD")</f>
        <v xml:space="preserve">          4151 - NON-TAXABLE SALES-FOOD</v>
      </c>
      <c r="C23" s="11"/>
      <c r="D23" s="2">
        <f>--7192.35</f>
        <v>7192.35</v>
      </c>
      <c r="E23" s="2"/>
      <c r="F23" s="19"/>
      <c r="G23" s="2"/>
      <c r="H23" s="2">
        <f>--493606.49</f>
        <v>493606.49</v>
      </c>
      <c r="I23" s="2"/>
      <c r="J23" s="19"/>
      <c r="K23" s="2"/>
      <c r="L23" s="2">
        <f t="shared" si="0"/>
        <v>-486414.14</v>
      </c>
      <c r="M23" s="2"/>
      <c r="N23" s="19">
        <f t="shared" si="1"/>
        <v>-0.985428980076822</v>
      </c>
      <c r="O23" s="11"/>
      <c r="P23" s="2">
        <f>--13936.26</f>
        <v>13936.26</v>
      </c>
      <c r="Q23" s="2"/>
      <c r="R23" s="19"/>
      <c r="S23" s="2"/>
      <c r="T23" s="2">
        <f>--1029947.91</f>
        <v>1029947.91</v>
      </c>
      <c r="U23" s="2"/>
      <c r="V23" s="19"/>
      <c r="W23" s="2"/>
      <c r="X23" s="2">
        <f t="shared" si="2"/>
        <v>-1016011.65</v>
      </c>
      <c r="Y23" s="2"/>
      <c r="Z23" s="19">
        <f t="shared" si="3"/>
        <v>-0.98646896618295965</v>
      </c>
    </row>
    <row r="24" spans="1:26" s="24" customFormat="1" hidden="1" outlineLevel="1" x14ac:dyDescent="0.25">
      <c r="A24" s="44"/>
      <c r="B24" s="11" t="str">
        <f>CONCATENATE("          ", "4152", " - ", "NON-TAXABLE SALES-FOOD")</f>
        <v xml:space="preserve">          4152 - NON-TAXABLE SALES-FOOD</v>
      </c>
      <c r="C24" s="11"/>
      <c r="D24" s="2">
        <f t="shared" ref="D24:D27" si="8">0</f>
        <v>0</v>
      </c>
      <c r="E24" s="2"/>
      <c r="F24" s="19"/>
      <c r="G24" s="2"/>
      <c r="H24" s="2">
        <f>--9149.73</f>
        <v>9149.73</v>
      </c>
      <c r="I24" s="2"/>
      <c r="J24" s="19"/>
      <c r="K24" s="2"/>
      <c r="L24" s="2">
        <f t="shared" si="0"/>
        <v>-9149.73</v>
      </c>
      <c r="M24" s="2"/>
      <c r="N24" s="19">
        <f t="shared" si="1"/>
        <v>-1</v>
      </c>
      <c r="O24" s="11"/>
      <c r="P24" s="2">
        <f>0</f>
        <v>0</v>
      </c>
      <c r="Q24" s="2"/>
      <c r="R24" s="19"/>
      <c r="S24" s="2"/>
      <c r="T24" s="2">
        <f>--24938.79</f>
        <v>24938.79</v>
      </c>
      <c r="U24" s="2"/>
      <c r="V24" s="19"/>
      <c r="W24" s="2"/>
      <c r="X24" s="2">
        <f t="shared" si="2"/>
        <v>-24938.79</v>
      </c>
      <c r="Y24" s="2"/>
      <c r="Z24" s="19">
        <f t="shared" si="3"/>
        <v>-1</v>
      </c>
    </row>
    <row r="25" spans="1:26" s="24" customFormat="1" hidden="1" outlineLevel="1" x14ac:dyDescent="0.25">
      <c r="A25" s="44"/>
      <c r="B25" s="11" t="str">
        <f>CONCATENATE("          ", "4153", " - ", "NON-TAXABLE SALES-FOOD")</f>
        <v xml:space="preserve">          4153 - NON-TAXABLE SALES-FOOD</v>
      </c>
      <c r="C25" s="11"/>
      <c r="D25" s="2">
        <f t="shared" si="8"/>
        <v>0</v>
      </c>
      <c r="E25" s="2"/>
      <c r="F25" s="19"/>
      <c r="G25" s="2"/>
      <c r="H25" s="2">
        <f>--2874</f>
        <v>2874</v>
      </c>
      <c r="I25" s="2"/>
      <c r="J25" s="19"/>
      <c r="K25" s="2"/>
      <c r="L25" s="2">
        <f t="shared" si="0"/>
        <v>-2874</v>
      </c>
      <c r="M25" s="2"/>
      <c r="N25" s="19">
        <f t="shared" si="1"/>
        <v>-1</v>
      </c>
      <c r="O25" s="11"/>
      <c r="P25" s="2">
        <f>--110</f>
        <v>110</v>
      </c>
      <c r="Q25" s="2"/>
      <c r="R25" s="19"/>
      <c r="S25" s="2"/>
      <c r="T25" s="2">
        <f>--5280.5</f>
        <v>5280.5</v>
      </c>
      <c r="U25" s="2"/>
      <c r="V25" s="19"/>
      <c r="W25" s="2"/>
      <c r="X25" s="2">
        <f t="shared" si="2"/>
        <v>-5170.5</v>
      </c>
      <c r="Y25" s="2"/>
      <c r="Z25" s="19">
        <f t="shared" si="3"/>
        <v>-0.97916863933339648</v>
      </c>
    </row>
    <row r="26" spans="1:26" s="24" customFormat="1" hidden="1" outlineLevel="1" x14ac:dyDescent="0.25">
      <c r="A26" s="44"/>
      <c r="B26" s="11" t="str">
        <f>CONCATENATE("          ", "4155", " - ", "NON-TAXABLE SALES-FOOD")</f>
        <v xml:space="preserve">          4155 - NON-TAXABLE SALES-FOOD</v>
      </c>
      <c r="C26" s="11"/>
      <c r="D26" s="2">
        <f t="shared" si="8"/>
        <v>0</v>
      </c>
      <c r="E26" s="2"/>
      <c r="F26" s="19"/>
      <c r="G26" s="2"/>
      <c r="H26" s="2">
        <f>--149192.49</f>
        <v>149192.49</v>
      </c>
      <c r="I26" s="2"/>
      <c r="J26" s="19"/>
      <c r="K26" s="2"/>
      <c r="L26" s="2">
        <f t="shared" si="0"/>
        <v>-149192.49</v>
      </c>
      <c r="M26" s="2"/>
      <c r="N26" s="19">
        <f t="shared" si="1"/>
        <v>-1</v>
      </c>
      <c r="O26" s="11"/>
      <c r="P26" s="2">
        <f t="shared" ref="P26:P27" si="9">0</f>
        <v>0</v>
      </c>
      <c r="Q26" s="2"/>
      <c r="R26" s="19"/>
      <c r="S26" s="2"/>
      <c r="T26" s="2">
        <f>--332247.03</f>
        <v>332247.03000000003</v>
      </c>
      <c r="U26" s="2"/>
      <c r="V26" s="19"/>
      <c r="W26" s="2"/>
      <c r="X26" s="2">
        <f t="shared" si="2"/>
        <v>-332247.03000000003</v>
      </c>
      <c r="Y26" s="2"/>
      <c r="Z26" s="19">
        <f t="shared" si="3"/>
        <v>-1</v>
      </c>
    </row>
    <row r="27" spans="1:26" s="24" customFormat="1" hidden="1" outlineLevel="1" x14ac:dyDescent="0.25">
      <c r="A27" s="44"/>
      <c r="B27" s="11" t="str">
        <f>CONCATENATE("          ", "4158", " - ", "NON-TAXABLE SALES-FOOD")</f>
        <v xml:space="preserve">          4158 - NON-TAXABLE SALES-FOOD</v>
      </c>
      <c r="C27" s="11"/>
      <c r="D27" s="2">
        <f t="shared" si="8"/>
        <v>0</v>
      </c>
      <c r="E27" s="2"/>
      <c r="F27" s="19"/>
      <c r="G27" s="2"/>
      <c r="H27" s="2">
        <f>--95473.64</f>
        <v>95473.64</v>
      </c>
      <c r="I27" s="2"/>
      <c r="J27" s="19"/>
      <c r="K27" s="2"/>
      <c r="L27" s="2">
        <f t="shared" si="0"/>
        <v>-95473.64</v>
      </c>
      <c r="M27" s="2"/>
      <c r="N27" s="19">
        <f t="shared" si="1"/>
        <v>-1</v>
      </c>
      <c r="O27" s="11"/>
      <c r="P27" s="2">
        <f t="shared" si="9"/>
        <v>0</v>
      </c>
      <c r="Q27" s="2"/>
      <c r="R27" s="19"/>
      <c r="S27" s="2"/>
      <c r="T27" s="2">
        <f>--207720.27</f>
        <v>207720.27</v>
      </c>
      <c r="U27" s="2"/>
      <c r="V27" s="19"/>
      <c r="W27" s="2"/>
      <c r="X27" s="2">
        <f t="shared" si="2"/>
        <v>-207720.27</v>
      </c>
      <c r="Y27" s="2"/>
      <c r="Z27" s="19">
        <f t="shared" si="3"/>
        <v>-1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collapsed="1" x14ac:dyDescent="0.25">
      <c r="A29" s="10"/>
      <c r="B29" s="26" t="s">
        <v>8</v>
      </c>
      <c r="C29" s="10"/>
      <c r="D29" s="4">
        <f>SUM(OSRRefD16x_0)</f>
        <v>16854.900000000001</v>
      </c>
      <c r="E29" s="4"/>
      <c r="F29" s="12">
        <f t="shared" ref="F29:F31" si="10">IF(D$12=0,0,D29/D$12)</f>
        <v>0.38728289166814106</v>
      </c>
      <c r="G29" s="4"/>
      <c r="H29" s="4">
        <f>SUM(OSRRefH16x_0)</f>
        <v>502994.97000000003</v>
      </c>
      <c r="I29" s="4"/>
      <c r="J29" s="12">
        <f t="shared" ref="J29:J31" si="11">IF(H$12=0,0,H29/H$12)</f>
        <v>0.35909798367749846</v>
      </c>
      <c r="K29" s="4"/>
      <c r="L29" s="4">
        <f t="shared" ref="L29:L31" si="12">+D29-H29</f>
        <v>-486140.07</v>
      </c>
      <c r="M29" s="4"/>
      <c r="N29" s="12">
        <f t="shared" ref="N29:N31" si="13">IF(H29=0,0,L29/H29)</f>
        <v>-0.9664909173942634</v>
      </c>
      <c r="O29" s="10"/>
      <c r="P29" s="4">
        <f>SUM(OSRRefP16x_0)</f>
        <v>20654.809999999998</v>
      </c>
      <c r="Q29" s="4"/>
      <c r="R29" s="12">
        <f t="shared" ref="R29:R31" si="14">IF(P$12=0,0,P29/P$12)</f>
        <v>0.34152109654165158</v>
      </c>
      <c r="S29" s="4"/>
      <c r="T29" s="4">
        <f>SUM(OSRRefT16x_0)</f>
        <v>1218943.3900000001</v>
      </c>
      <c r="U29" s="4"/>
      <c r="V29" s="12">
        <f t="shared" ref="V29:V31" si="15">IF(T$12=0,0,T29/T$12)</f>
        <v>0.37748927882207672</v>
      </c>
      <c r="W29" s="4"/>
      <c r="X29" s="4">
        <f t="shared" ref="X29:X31" si="16">+P29-T29</f>
        <v>-1198288.58</v>
      </c>
      <c r="Y29" s="4"/>
      <c r="Z29" s="12">
        <f t="shared" ref="Z29:Z31" si="17">IF(T29=0,0,X29/T29)</f>
        <v>-0.98305515238078445</v>
      </c>
    </row>
    <row r="30" spans="1:26" s="24" customFormat="1" hidden="1" outlineLevel="1" x14ac:dyDescent="0.25">
      <c r="A30" s="44"/>
      <c r="B30" s="11" t="str">
        <f>CONCATENATE("          ", "5053", " - ", "PURCHASES @ COST-FOOD")</f>
        <v xml:space="preserve">          5053 - PURCHASES @ COST-FOOD</v>
      </c>
      <c r="C30" s="11"/>
      <c r="D30" s="2">
        <v>3628.9</v>
      </c>
      <c r="E30" s="2"/>
      <c r="F30" s="19">
        <f t="shared" si="10"/>
        <v>8.3382926364114707E-2</v>
      </c>
      <c r="G30" s="2"/>
      <c r="H30" s="2">
        <v>519685.60000000003</v>
      </c>
      <c r="I30" s="2"/>
      <c r="J30" s="19">
        <f t="shared" si="11"/>
        <v>0.3710137520982188</v>
      </c>
      <c r="K30" s="2"/>
      <c r="L30" s="2">
        <f t="shared" si="12"/>
        <v>-516056.7</v>
      </c>
      <c r="M30" s="2"/>
      <c r="N30" s="19">
        <f t="shared" si="13"/>
        <v>-0.99301712419970845</v>
      </c>
      <c r="O30" s="11"/>
      <c r="P30" s="2">
        <v>6773.84</v>
      </c>
      <c r="Q30" s="2"/>
      <c r="R30" s="19">
        <f t="shared" si="14"/>
        <v>0.11200341540772835</v>
      </c>
      <c r="S30" s="2"/>
      <c r="T30" s="2">
        <v>1302241.51</v>
      </c>
      <c r="U30" s="2"/>
      <c r="V30" s="19">
        <f t="shared" si="15"/>
        <v>0.40328551144780578</v>
      </c>
      <c r="W30" s="2"/>
      <c r="X30" s="2">
        <f t="shared" si="16"/>
        <v>-1295467.67</v>
      </c>
      <c r="Y30" s="2"/>
      <c r="Z30" s="19">
        <f t="shared" si="17"/>
        <v>-0.99479832277808433</v>
      </c>
    </row>
    <row r="31" spans="1:26" s="24" customFormat="1" hidden="1" outlineLevel="1" x14ac:dyDescent="0.25">
      <c r="A31" s="44"/>
      <c r="B31" s="11" t="str">
        <f>CONCATENATE("          ", "5059", " - ", "PURCHASES @ COST-FOOD")</f>
        <v xml:space="preserve">          5059 - PURCHASES @ COST-FOOD</v>
      </c>
      <c r="C31" s="11"/>
      <c r="D31" s="2">
        <v>13226</v>
      </c>
      <c r="E31" s="2"/>
      <c r="F31" s="19">
        <f t="shared" si="10"/>
        <v>0.30389996530402635</v>
      </c>
      <c r="G31" s="2"/>
      <c r="H31" s="2">
        <v>-16690.63</v>
      </c>
      <c r="I31" s="2"/>
      <c r="J31" s="19">
        <f t="shared" si="11"/>
        <v>-1.1915768420720322E-2</v>
      </c>
      <c r="K31" s="2"/>
      <c r="L31" s="2">
        <f t="shared" si="12"/>
        <v>29916.63</v>
      </c>
      <c r="M31" s="2"/>
      <c r="N31" s="19">
        <f t="shared" si="13"/>
        <v>-1.7924206575785335</v>
      </c>
      <c r="O31" s="11"/>
      <c r="P31" s="2">
        <v>13880.97</v>
      </c>
      <c r="Q31" s="2"/>
      <c r="R31" s="19">
        <f t="shared" si="14"/>
        <v>0.22951768113392329</v>
      </c>
      <c r="S31" s="2"/>
      <c r="T31" s="2">
        <v>-83298.12</v>
      </c>
      <c r="U31" s="2"/>
      <c r="V31" s="19">
        <f t="shared" si="15"/>
        <v>-2.5796232625729075E-2</v>
      </c>
      <c r="W31" s="2"/>
      <c r="X31" s="2">
        <f t="shared" si="16"/>
        <v>97179.09</v>
      </c>
      <c r="Y31" s="2"/>
      <c r="Z31" s="19">
        <f t="shared" si="17"/>
        <v>-1.1666420562672963</v>
      </c>
    </row>
    <row r="32" spans="1:26" x14ac:dyDescent="0.25">
      <c r="A32" s="9"/>
      <c r="B32" s="10"/>
      <c r="C32" s="10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O32" s="10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10"/>
      <c r="B33" s="25" t="s">
        <v>6</v>
      </c>
      <c r="C33" s="25"/>
      <c r="D33" s="20">
        <f>D12-D29</f>
        <v>26666</v>
      </c>
      <c r="E33" s="13"/>
      <c r="F33" s="21">
        <f>IF(D$12=0,0,D33/D$12)</f>
        <v>0.61271710833185888</v>
      </c>
      <c r="G33" s="13"/>
      <c r="H33" s="20">
        <f>H12-H29</f>
        <v>897722.91999999993</v>
      </c>
      <c r="I33" s="13"/>
      <c r="J33" s="21">
        <f>IF(H$12=0,0,H33/H$12)</f>
        <v>0.64090201632250154</v>
      </c>
      <c r="K33" s="15"/>
      <c r="L33" s="20">
        <f>+D33-H33</f>
        <v>-871056.91999999993</v>
      </c>
      <c r="M33" s="15"/>
      <c r="N33" s="21">
        <f>IF(H33=0,0,L33/H33)</f>
        <v>-0.97029595724257545</v>
      </c>
      <c r="O33" s="26"/>
      <c r="P33" s="20">
        <f>P12-P29</f>
        <v>39824.060000000005</v>
      </c>
      <c r="Q33" s="13"/>
      <c r="R33" s="21">
        <f>IF(P$12=0,0,P33/P$12)</f>
        <v>0.65847890345834836</v>
      </c>
      <c r="S33" s="13"/>
      <c r="T33" s="20">
        <f>T12-T29</f>
        <v>2010137.4299999997</v>
      </c>
      <c r="U33" s="13"/>
      <c r="V33" s="21">
        <f>IF(T$12=0,0,T33/T$12)</f>
        <v>0.62251072117792328</v>
      </c>
      <c r="W33" s="15"/>
      <c r="X33" s="20">
        <f>+P33-T33</f>
        <v>-1970313.3699999996</v>
      </c>
      <c r="Y33" s="15"/>
      <c r="Z33" s="21">
        <f>IF(T33=0,0,X33/T33)</f>
        <v>-0.98018838940778286</v>
      </c>
    </row>
    <row r="34" spans="1:26" x14ac:dyDescent="0.25">
      <c r="A34" s="9"/>
      <c r="B34" s="10"/>
      <c r="C34" s="9"/>
      <c r="D34" s="1"/>
      <c r="E34" s="1"/>
      <c r="F34" s="5"/>
      <c r="G34" s="1"/>
      <c r="H34" s="1"/>
      <c r="I34" s="1"/>
      <c r="J34" s="5"/>
      <c r="K34" s="1"/>
      <c r="L34" s="1"/>
      <c r="M34" s="1"/>
      <c r="N34" s="5"/>
      <c r="O34" s="37"/>
      <c r="P34" s="1"/>
      <c r="Q34" s="1"/>
      <c r="R34" s="5"/>
      <c r="S34" s="1"/>
      <c r="T34" s="1"/>
      <c r="U34" s="1"/>
      <c r="V34" s="5"/>
      <c r="W34" s="1"/>
      <c r="X34" s="1"/>
      <c r="Y34" s="1"/>
      <c r="Z34" s="5"/>
    </row>
    <row r="35" spans="1:26" s="23" customFormat="1" x14ac:dyDescent="0.25">
      <c r="A35" s="10"/>
      <c r="B35" s="26" t="s">
        <v>9</v>
      </c>
      <c r="C35" s="10"/>
      <c r="D35" s="22">
        <f>SUM(OSRRefD22x_0)</f>
        <v>145968.51</v>
      </c>
      <c r="E35" s="22"/>
      <c r="F35" s="36">
        <f t="shared" ref="F35:F45" si="18">IF(D$12=0,0,D35/D$12)</f>
        <v>3.3539864754635129</v>
      </c>
      <c r="G35" s="22"/>
      <c r="H35" s="22">
        <f>SUM(OSRRefH22x_0)</f>
        <v>743198.82999999984</v>
      </c>
      <c r="I35" s="22"/>
      <c r="J35" s="36">
        <f t="shared" ref="J35:J45" si="19">IF(H$12=0,0,H35/H$12)</f>
        <v>0.53058423491685391</v>
      </c>
      <c r="K35" s="4"/>
      <c r="L35" s="22">
        <f t="shared" ref="L35:L45" si="20">+D35-H35</f>
        <v>-597230.31999999983</v>
      </c>
      <c r="M35" s="4"/>
      <c r="N35" s="36">
        <f t="shared" ref="N35:N45" si="21">IF(H35=0,0,L35/H35)</f>
        <v>-0.8035942683063696</v>
      </c>
      <c r="O35" s="10"/>
      <c r="P35" s="22">
        <f>SUM(OSRRefP22x_0)</f>
        <v>573191.00999999978</v>
      </c>
      <c r="Q35" s="22"/>
      <c r="R35" s="36">
        <f t="shared" ref="R35:R45" si="22">IF(P$12=0,0,P35/P$12)</f>
        <v>9.4775416604179235</v>
      </c>
      <c r="S35" s="22"/>
      <c r="T35" s="22">
        <f>SUM(OSRRefT22x_0)</f>
        <v>2367015.3500000006</v>
      </c>
      <c r="U35" s="22"/>
      <c r="V35" s="36">
        <f t="shared" ref="V35:V45" si="23">IF(T$12=0,0,T35/T$12)</f>
        <v>0.73303069261673071</v>
      </c>
      <c r="W35" s="4"/>
      <c r="X35" s="22">
        <f t="shared" ref="X35:X45" si="24">+P35-T35</f>
        <v>-1793824.3400000008</v>
      </c>
      <c r="Y35" s="4"/>
      <c r="Z35" s="36">
        <f t="shared" ref="Z35:Z45" si="25">IF(T35=0,0,X35/T35)</f>
        <v>-0.75784229282670279</v>
      </c>
    </row>
    <row r="36" spans="1:26" s="29" customFormat="1" outlineLevel="1" collapsed="1" x14ac:dyDescent="0.25">
      <c r="A36" s="27"/>
      <c r="B36" s="14" t="str">
        <f>CONCATENATE("     ","*Benefits                                         ")</f>
        <v xml:space="preserve">     *Benefits                                         </v>
      </c>
      <c r="C36" s="14"/>
      <c r="D36" s="1">
        <f>SUM(OSRRefD22_0x_0)</f>
        <v>29664.920000000002</v>
      </c>
      <c r="E36" s="1"/>
      <c r="F36" s="5">
        <f t="shared" si="18"/>
        <v>0.68162469066586395</v>
      </c>
      <c r="G36" s="1"/>
      <c r="H36" s="1">
        <f>SUM(OSRRefH22_0x_0)</f>
        <v>89754.91</v>
      </c>
      <c r="I36" s="1"/>
      <c r="J36" s="5">
        <f t="shared" si="19"/>
        <v>6.4077792281213755E-2</v>
      </c>
      <c r="K36" s="1"/>
      <c r="L36" s="1">
        <f t="shared" si="20"/>
        <v>-60089.990000000005</v>
      </c>
      <c r="M36" s="1"/>
      <c r="N36" s="5">
        <f t="shared" si="21"/>
        <v>-0.66948972485182145</v>
      </c>
      <c r="O36" s="14"/>
      <c r="P36" s="1">
        <f>SUM(OSRRefP22_0x_0)</f>
        <v>119459.86999999998</v>
      </c>
      <c r="Q36" s="1"/>
      <c r="R36" s="5">
        <f t="shared" si="22"/>
        <v>1.9752331682123025</v>
      </c>
      <c r="S36" s="1"/>
      <c r="T36" s="1">
        <f>SUM(OSRRefT22_0x_0)</f>
        <v>334572.69</v>
      </c>
      <c r="U36" s="1"/>
      <c r="V36" s="5">
        <f t="shared" si="23"/>
        <v>0.1036123617370469</v>
      </c>
      <c r="W36" s="1"/>
      <c r="X36" s="1">
        <f t="shared" si="24"/>
        <v>-215112.82</v>
      </c>
      <c r="Y36" s="1"/>
      <c r="Z36" s="5">
        <f t="shared" si="25"/>
        <v>-0.64294793457290256</v>
      </c>
    </row>
    <row r="37" spans="1:26" s="24" customFormat="1" hidden="1" outlineLevel="2" x14ac:dyDescent="0.25">
      <c r="A37" s="28"/>
      <c r="B37" s="11" t="str">
        <f>CONCATENATE("          ", "6111", " - ", "F.I.C.A.")</f>
        <v xml:space="preserve">          6111 - F.I.C.A.</v>
      </c>
      <c r="C37" s="11"/>
      <c r="D37" s="6">
        <v>6149.64</v>
      </c>
      <c r="E37" s="2"/>
      <c r="F37" s="7">
        <f t="shared" si="18"/>
        <v>0.14130314400667265</v>
      </c>
      <c r="G37" s="2"/>
      <c r="H37" s="6">
        <v>27684.510000000002</v>
      </c>
      <c r="I37" s="2"/>
      <c r="J37" s="7">
        <f t="shared" si="19"/>
        <v>1.9764515180140951E-2</v>
      </c>
      <c r="K37" s="2"/>
      <c r="L37" s="6">
        <f t="shared" si="20"/>
        <v>-21534.870000000003</v>
      </c>
      <c r="M37" s="2"/>
      <c r="N37" s="7">
        <f t="shared" si="21"/>
        <v>-0.77786711774923956</v>
      </c>
      <c r="O37" s="11"/>
      <c r="P37" s="6">
        <v>15919.510000000002</v>
      </c>
      <c r="Q37" s="2"/>
      <c r="R37" s="7">
        <f t="shared" si="22"/>
        <v>0.26322432942282159</v>
      </c>
      <c r="S37" s="2"/>
      <c r="T37" s="6">
        <v>68843.78</v>
      </c>
      <c r="U37" s="2"/>
      <c r="V37" s="7">
        <f t="shared" si="23"/>
        <v>2.1319930914581446E-2</v>
      </c>
      <c r="W37" s="2"/>
      <c r="X37" s="6">
        <f t="shared" si="24"/>
        <v>-52924.27</v>
      </c>
      <c r="Y37" s="2"/>
      <c r="Z37" s="7">
        <f t="shared" si="25"/>
        <v>-0.76875892055898143</v>
      </c>
    </row>
    <row r="38" spans="1:26" s="24" customFormat="1" hidden="1" outlineLevel="2" x14ac:dyDescent="0.25">
      <c r="A38" s="28"/>
      <c r="B38" s="11" t="str">
        <f>CONCATENATE("          ", "6112", " - ", "COMPENSATION INSURANCE")</f>
        <v xml:space="preserve">          6112 - COMPENSATION INSURANCE</v>
      </c>
      <c r="C38" s="11"/>
      <c r="D38" s="6">
        <v>820.07</v>
      </c>
      <c r="E38" s="2"/>
      <c r="F38" s="7">
        <f t="shared" si="18"/>
        <v>1.8843130541877581E-2</v>
      </c>
      <c r="G38" s="2"/>
      <c r="H38" s="6">
        <v>-1647.55</v>
      </c>
      <c r="I38" s="2"/>
      <c r="J38" s="7">
        <f t="shared" si="19"/>
        <v>-1.1762182890374879E-3</v>
      </c>
      <c r="K38" s="2"/>
      <c r="L38" s="6">
        <f t="shared" si="20"/>
        <v>2467.62</v>
      </c>
      <c r="M38" s="2"/>
      <c r="N38" s="7">
        <f t="shared" si="21"/>
        <v>-1.4977512063366818</v>
      </c>
      <c r="O38" s="11"/>
      <c r="P38" s="6">
        <v>3324.26</v>
      </c>
      <c r="Q38" s="2"/>
      <c r="R38" s="7">
        <f t="shared" si="22"/>
        <v>5.4965643372635764E-2</v>
      </c>
      <c r="S38" s="2"/>
      <c r="T38" s="6">
        <v>20985.31</v>
      </c>
      <c r="U38" s="2"/>
      <c r="V38" s="7">
        <f t="shared" si="23"/>
        <v>6.4988494156055232E-3</v>
      </c>
      <c r="W38" s="2"/>
      <c r="X38" s="6">
        <f t="shared" si="24"/>
        <v>-17661.050000000003</v>
      </c>
      <c r="Y38" s="2"/>
      <c r="Z38" s="7">
        <f t="shared" si="25"/>
        <v>-0.84159109396048959</v>
      </c>
    </row>
    <row r="39" spans="1:26" s="24" customFormat="1" hidden="1" outlineLevel="2" x14ac:dyDescent="0.25">
      <c r="A39" s="28"/>
      <c r="B39" s="11" t="str">
        <f>CONCATENATE("          ", "6113", " - ", "GROUP INSURANCE")</f>
        <v xml:space="preserve">          6113 - GROUP INSURANCE</v>
      </c>
      <c r="C39" s="11"/>
      <c r="D39" s="6">
        <v>11367.93</v>
      </c>
      <c r="E39" s="2"/>
      <c r="F39" s="7">
        <f t="shared" si="18"/>
        <v>0.26120622505508845</v>
      </c>
      <c r="G39" s="2"/>
      <c r="H39" s="6">
        <v>27091.870000000003</v>
      </c>
      <c r="I39" s="2"/>
      <c r="J39" s="7">
        <f t="shared" si="19"/>
        <v>1.9341417849671361E-2</v>
      </c>
      <c r="K39" s="2"/>
      <c r="L39" s="6">
        <f t="shared" si="20"/>
        <v>-15723.940000000002</v>
      </c>
      <c r="M39" s="2"/>
      <c r="N39" s="7">
        <f t="shared" si="21"/>
        <v>-0.58039330618373708</v>
      </c>
      <c r="O39" s="11"/>
      <c r="P39" s="6">
        <v>56341.26</v>
      </c>
      <c r="Q39" s="2"/>
      <c r="R39" s="7">
        <f t="shared" si="22"/>
        <v>0.93158585800296867</v>
      </c>
      <c r="S39" s="2"/>
      <c r="T39" s="6">
        <v>108541.43000000001</v>
      </c>
      <c r="U39" s="2"/>
      <c r="V39" s="7">
        <f t="shared" si="23"/>
        <v>3.3613723548734223E-2</v>
      </c>
      <c r="W39" s="2"/>
      <c r="X39" s="6">
        <f t="shared" si="24"/>
        <v>-52200.170000000006</v>
      </c>
      <c r="Y39" s="2"/>
      <c r="Z39" s="7">
        <f t="shared" si="25"/>
        <v>-0.48092392001837458</v>
      </c>
    </row>
    <row r="40" spans="1:26" s="24" customFormat="1" hidden="1" outlineLevel="2" x14ac:dyDescent="0.25">
      <c r="A40" s="28"/>
      <c r="B40" s="11" t="str">
        <f>CONCATENATE("          ", "6114", " - ", "STATE UNEMPLOYMENT INSURANCE")</f>
        <v xml:space="preserve">          6114 - STATE UNEMPLOYMENT INSURANCE</v>
      </c>
      <c r="C40" s="11"/>
      <c r="D40" s="6">
        <v>104.09</v>
      </c>
      <c r="E40" s="2"/>
      <c r="F40" s="7">
        <f t="shared" si="18"/>
        <v>2.3917244358457662E-3</v>
      </c>
      <c r="G40" s="2"/>
      <c r="H40" s="6">
        <v>1042.04</v>
      </c>
      <c r="I40" s="2"/>
      <c r="J40" s="7">
        <f t="shared" si="19"/>
        <v>7.4393281290924328E-4</v>
      </c>
      <c r="K40" s="2"/>
      <c r="L40" s="6">
        <f t="shared" si="20"/>
        <v>-937.94999999999993</v>
      </c>
      <c r="M40" s="2"/>
      <c r="N40" s="7">
        <f t="shared" si="21"/>
        <v>-0.90010940079075652</v>
      </c>
      <c r="O40" s="11"/>
      <c r="P40" s="6">
        <v>431.84</v>
      </c>
      <c r="Q40" s="2"/>
      <c r="R40" s="7">
        <f t="shared" si="22"/>
        <v>7.1403450494362738E-3</v>
      </c>
      <c r="S40" s="2"/>
      <c r="T40" s="6">
        <v>2782.31</v>
      </c>
      <c r="U40" s="2"/>
      <c r="V40" s="7">
        <f t="shared" si="23"/>
        <v>8.6164148718953406E-4</v>
      </c>
      <c r="W40" s="2"/>
      <c r="X40" s="6">
        <f t="shared" si="24"/>
        <v>-2350.4699999999998</v>
      </c>
      <c r="Y40" s="2"/>
      <c r="Z40" s="7">
        <f t="shared" si="25"/>
        <v>-0.84479083926665244</v>
      </c>
    </row>
    <row r="41" spans="1:26" s="24" customFormat="1" hidden="1" outlineLevel="2" x14ac:dyDescent="0.25">
      <c r="A41" s="28"/>
      <c r="B41" s="11" t="str">
        <f>CONCATENATE("          ", "6115", " - ", "P.E.R.S.")</f>
        <v xml:space="preserve">          6115 - P.E.R.S.</v>
      </c>
      <c r="C41" s="11"/>
      <c r="D41" s="6">
        <v>3223.68</v>
      </c>
      <c r="E41" s="2"/>
      <c r="F41" s="7">
        <f t="shared" si="18"/>
        <v>7.4071997591961564E-2</v>
      </c>
      <c r="G41" s="2"/>
      <c r="H41" s="6">
        <v>13282.84</v>
      </c>
      <c r="I41" s="2"/>
      <c r="J41" s="7">
        <f t="shared" si="19"/>
        <v>9.4828802393606901E-3</v>
      </c>
      <c r="K41" s="2"/>
      <c r="L41" s="6">
        <f t="shared" si="20"/>
        <v>-10059.16</v>
      </c>
      <c r="M41" s="2"/>
      <c r="N41" s="7">
        <f t="shared" si="21"/>
        <v>-0.75730491370821296</v>
      </c>
      <c r="O41" s="11"/>
      <c r="P41" s="6">
        <v>17102.769999999997</v>
      </c>
      <c r="Q41" s="2"/>
      <c r="R41" s="7">
        <f t="shared" si="22"/>
        <v>0.28278917909676549</v>
      </c>
      <c r="S41" s="2"/>
      <c r="T41" s="6">
        <v>35573.100000000006</v>
      </c>
      <c r="U41" s="2"/>
      <c r="V41" s="7">
        <f t="shared" si="23"/>
        <v>1.1016478677049652E-2</v>
      </c>
      <c r="W41" s="2"/>
      <c r="X41" s="6">
        <f t="shared" si="24"/>
        <v>-18470.330000000009</v>
      </c>
      <c r="Y41" s="2"/>
      <c r="Z41" s="7">
        <f t="shared" si="25"/>
        <v>-0.51922182772937997</v>
      </c>
    </row>
    <row r="42" spans="1:26" s="24" customFormat="1" hidden="1" outlineLevel="2" x14ac:dyDescent="0.25">
      <c r="A42" s="28"/>
      <c r="B42" s="11" t="str">
        <f>CONCATENATE("          ", "6117", " - ", "RETIREMENT STAFF HOURLY")</f>
        <v xml:space="preserve">          6117 - RETIREMENT STAFF HOURLY</v>
      </c>
      <c r="C42" s="11"/>
      <c r="D42" s="6"/>
      <c r="E42" s="2"/>
      <c r="F42" s="7">
        <f t="shared" si="18"/>
        <v>0</v>
      </c>
      <c r="G42" s="2"/>
      <c r="H42" s="6">
        <v>56</v>
      </c>
      <c r="I42" s="2"/>
      <c r="J42" s="7">
        <f t="shared" si="19"/>
        <v>3.9979499369426918E-5</v>
      </c>
      <c r="K42" s="2"/>
      <c r="L42" s="6">
        <f t="shared" si="20"/>
        <v>-56</v>
      </c>
      <c r="M42" s="2"/>
      <c r="N42" s="7">
        <f t="shared" si="21"/>
        <v>-1</v>
      </c>
      <c r="O42" s="11"/>
      <c r="P42" s="6"/>
      <c r="Q42" s="2"/>
      <c r="R42" s="7">
        <f t="shared" si="22"/>
        <v>0</v>
      </c>
      <c r="S42" s="2"/>
      <c r="T42" s="6">
        <v>252</v>
      </c>
      <c r="U42" s="2"/>
      <c r="V42" s="7">
        <f t="shared" si="23"/>
        <v>7.8040784374049834E-5</v>
      </c>
      <c r="W42" s="2"/>
      <c r="X42" s="6">
        <f t="shared" si="24"/>
        <v>-252</v>
      </c>
      <c r="Y42" s="2"/>
      <c r="Z42" s="7">
        <f t="shared" si="25"/>
        <v>-1</v>
      </c>
    </row>
    <row r="43" spans="1:26" s="24" customFormat="1" hidden="1" outlineLevel="2" x14ac:dyDescent="0.25">
      <c r="A43" s="28"/>
      <c r="B43" s="11" t="str">
        <f>CONCATENATE("          ", "6118", " - ", "VACATION")</f>
        <v xml:space="preserve">          6118 - VACATION</v>
      </c>
      <c r="C43" s="11"/>
      <c r="D43" s="6">
        <v>4570.74</v>
      </c>
      <c r="E43" s="2"/>
      <c r="F43" s="7">
        <f t="shared" si="18"/>
        <v>0.10502402294070204</v>
      </c>
      <c r="G43" s="2"/>
      <c r="H43" s="6">
        <v>10841.79</v>
      </c>
      <c r="I43" s="2"/>
      <c r="J43" s="7">
        <f t="shared" si="19"/>
        <v>7.7401667226510559E-3</v>
      </c>
      <c r="K43" s="2"/>
      <c r="L43" s="6">
        <f t="shared" si="20"/>
        <v>-6271.0500000000011</v>
      </c>
      <c r="M43" s="2"/>
      <c r="N43" s="7">
        <f t="shared" si="21"/>
        <v>-0.57841463448378916</v>
      </c>
      <c r="O43" s="11"/>
      <c r="P43" s="6">
        <v>14347.15</v>
      </c>
      <c r="Q43" s="2"/>
      <c r="R43" s="7">
        <f t="shared" si="22"/>
        <v>0.2372258277973778</v>
      </c>
      <c r="S43" s="2"/>
      <c r="T43" s="6">
        <v>37807.14</v>
      </c>
      <c r="U43" s="2"/>
      <c r="V43" s="7">
        <f t="shared" si="23"/>
        <v>1.1708328811664739E-2</v>
      </c>
      <c r="W43" s="2"/>
      <c r="X43" s="6">
        <f t="shared" si="24"/>
        <v>-23459.989999999998</v>
      </c>
      <c r="Y43" s="2"/>
      <c r="Z43" s="7">
        <f t="shared" si="25"/>
        <v>-0.62051744723351199</v>
      </c>
    </row>
    <row r="44" spans="1:26" s="24" customFormat="1" hidden="1" outlineLevel="2" x14ac:dyDescent="0.25">
      <c r="A44" s="28"/>
      <c r="B44" s="11" t="str">
        <f>CONCATENATE("          ", "6119", " - ", "SICK LEAVE")</f>
        <v xml:space="preserve">          6119 - SICK LEAVE</v>
      </c>
      <c r="C44" s="11"/>
      <c r="D44" s="6">
        <v>2725.11</v>
      </c>
      <c r="E44" s="2"/>
      <c r="F44" s="7">
        <f t="shared" si="18"/>
        <v>6.2616122368792923E-2</v>
      </c>
      <c r="G44" s="2"/>
      <c r="H44" s="6">
        <v>8235.36</v>
      </c>
      <c r="I44" s="2"/>
      <c r="J44" s="7">
        <f t="shared" si="19"/>
        <v>5.8793851772679234E-3</v>
      </c>
      <c r="K44" s="2"/>
      <c r="L44" s="6">
        <f t="shared" si="20"/>
        <v>-5510.25</v>
      </c>
      <c r="M44" s="2"/>
      <c r="N44" s="7">
        <f t="shared" si="21"/>
        <v>-0.66909643294282217</v>
      </c>
      <c r="O44" s="11"/>
      <c r="P44" s="6">
        <v>8846.2199999999993</v>
      </c>
      <c r="Q44" s="2"/>
      <c r="R44" s="7">
        <f t="shared" si="22"/>
        <v>0.14626959796041161</v>
      </c>
      <c r="S44" s="2"/>
      <c r="T44" s="6">
        <v>47162.96</v>
      </c>
      <c r="U44" s="2"/>
      <c r="V44" s="7">
        <f t="shared" si="23"/>
        <v>1.4605692030960068E-2</v>
      </c>
      <c r="W44" s="2"/>
      <c r="X44" s="6">
        <f t="shared" si="24"/>
        <v>-38316.74</v>
      </c>
      <c r="Y44" s="2"/>
      <c r="Z44" s="7">
        <f t="shared" si="25"/>
        <v>-0.81243289225273385</v>
      </c>
    </row>
    <row r="45" spans="1:26" s="24" customFormat="1" hidden="1" outlineLevel="2" x14ac:dyDescent="0.25">
      <c r="A45" s="28"/>
      <c r="B45" s="11" t="str">
        <f>CONCATENATE("          ", "6156", " - ", "EMPLOYEE MEALS")</f>
        <v xml:space="preserve">          6156 - EMPLOYEE MEALS</v>
      </c>
      <c r="C45" s="11"/>
      <c r="D45" s="6">
        <v>703.66</v>
      </c>
      <c r="E45" s="2"/>
      <c r="F45" s="7">
        <f t="shared" si="18"/>
        <v>1.6168323724922967E-2</v>
      </c>
      <c r="G45" s="2"/>
      <c r="H45" s="6">
        <v>3168.05</v>
      </c>
      <c r="I45" s="2"/>
      <c r="J45" s="7">
        <f t="shared" si="19"/>
        <v>2.2617330888805884E-3</v>
      </c>
      <c r="K45" s="2"/>
      <c r="L45" s="6">
        <f t="shared" si="20"/>
        <v>-2464.3900000000003</v>
      </c>
      <c r="M45" s="2"/>
      <c r="N45" s="7">
        <f t="shared" si="21"/>
        <v>-0.7778886065560835</v>
      </c>
      <c r="O45" s="11"/>
      <c r="P45" s="6">
        <v>3146.86</v>
      </c>
      <c r="Q45" s="2"/>
      <c r="R45" s="7">
        <f t="shared" si="22"/>
        <v>5.2032387509885682E-2</v>
      </c>
      <c r="S45" s="2"/>
      <c r="T45" s="6">
        <v>12624.66</v>
      </c>
      <c r="U45" s="2"/>
      <c r="V45" s="7">
        <f t="shared" si="23"/>
        <v>3.9096760668876664E-3</v>
      </c>
      <c r="W45" s="2"/>
      <c r="X45" s="6">
        <f t="shared" si="24"/>
        <v>-9477.7999999999993</v>
      </c>
      <c r="Y45" s="2"/>
      <c r="Z45" s="7">
        <f t="shared" si="25"/>
        <v>-0.75073704955222553</v>
      </c>
    </row>
    <row r="46" spans="1:26" s="29" customFormat="1" outlineLevel="1" collapsed="1" x14ac:dyDescent="0.25">
      <c r="A46" s="27"/>
      <c r="B46" s="14" t="str">
        <f>CONCATENATE("     ","*Payroll                                          ")</f>
        <v xml:space="preserve">     *Payroll                                          </v>
      </c>
      <c r="C46" s="14"/>
      <c r="D46" s="1">
        <f>SUM(OSRRefD22_1x_0)</f>
        <v>37076.53</v>
      </c>
      <c r="E46" s="1"/>
      <c r="F46" s="5">
        <f t="shared" ref="F46:F53" si="26">IF(D$12=0,0,D46/D$12)</f>
        <v>0.85192470743941406</v>
      </c>
      <c r="G46" s="1"/>
      <c r="H46" s="1">
        <f>SUM(OSRRefH22_1x_0)</f>
        <v>381241.74</v>
      </c>
      <c r="I46" s="1"/>
      <c r="J46" s="5">
        <f t="shared" ref="J46:J53" si="27">IF(H$12=0,0,H46/H$12)</f>
        <v>0.27217596257016469</v>
      </c>
      <c r="K46" s="1"/>
      <c r="L46" s="1">
        <f t="shared" ref="L46:L53" si="28">+D46-H46</f>
        <v>-344165.20999999996</v>
      </c>
      <c r="M46" s="1"/>
      <c r="N46" s="5">
        <f t="shared" ref="N46:N53" si="29">IF(H46=0,0,L46/H46)</f>
        <v>-0.90274797822504949</v>
      </c>
      <c r="O46" s="14"/>
      <c r="P46" s="1">
        <f>SUM(OSRRefP22_1x_0)</f>
        <v>166736.89999999997</v>
      </c>
      <c r="Q46" s="1"/>
      <c r="R46" s="5">
        <f t="shared" ref="R46:R53" si="30">IF(P$12=0,0,P46/P$12)</f>
        <v>2.7569446982061661</v>
      </c>
      <c r="S46" s="1"/>
      <c r="T46" s="1">
        <f>SUM(OSRRefT22_1x_0)</f>
        <v>1109017.31</v>
      </c>
      <c r="U46" s="1"/>
      <c r="V46" s="5">
        <f t="shared" ref="V46:V53" si="31">IF(T$12=0,0,T46/T$12)</f>
        <v>0.34344674903491579</v>
      </c>
      <c r="W46" s="1"/>
      <c r="X46" s="1">
        <f t="shared" ref="X46:X53" si="32">+P46-T46</f>
        <v>-942280.41000000015</v>
      </c>
      <c r="Y46" s="1"/>
      <c r="Z46" s="5">
        <f t="shared" ref="Z46:Z53" si="33">IF(T46=0,0,X46/T46)</f>
        <v>-0.84965347384884382</v>
      </c>
    </row>
    <row r="47" spans="1:26" s="24" customFormat="1" hidden="1" outlineLevel="2" x14ac:dyDescent="0.25">
      <c r="A47" s="28"/>
      <c r="B47" s="11" t="str">
        <f>CONCATENATE("          ", "6001", " - ", "ADMINISTRATIVE SALARIES")</f>
        <v xml:space="preserve">          6001 - ADMINISTRATIVE SALARIES</v>
      </c>
      <c r="C47" s="11"/>
      <c r="D47" s="6">
        <v>10516.14</v>
      </c>
      <c r="E47" s="2"/>
      <c r="F47" s="7">
        <f t="shared" si="26"/>
        <v>0.24163424929171959</v>
      </c>
      <c r="G47" s="2"/>
      <c r="H47" s="6">
        <v>18561.289999999997</v>
      </c>
      <c r="I47" s="2"/>
      <c r="J47" s="7">
        <f t="shared" si="27"/>
        <v>1.3251269318763394E-2</v>
      </c>
      <c r="K47" s="2"/>
      <c r="L47" s="6">
        <f t="shared" si="28"/>
        <v>-8045.1499999999978</v>
      </c>
      <c r="M47" s="2"/>
      <c r="N47" s="7">
        <f t="shared" si="29"/>
        <v>-0.43343700788037898</v>
      </c>
      <c r="O47" s="11"/>
      <c r="P47" s="6">
        <v>43862.03</v>
      </c>
      <c r="Q47" s="2"/>
      <c r="R47" s="7">
        <f t="shared" si="30"/>
        <v>0.72524552790090158</v>
      </c>
      <c r="S47" s="2"/>
      <c r="T47" s="6">
        <v>70256.06</v>
      </c>
      <c r="U47" s="2"/>
      <c r="V47" s="7">
        <f t="shared" si="31"/>
        <v>2.1757293767580583E-2</v>
      </c>
      <c r="W47" s="2"/>
      <c r="X47" s="6">
        <f t="shared" si="32"/>
        <v>-26394.03</v>
      </c>
      <c r="Y47" s="2"/>
      <c r="Z47" s="7">
        <f t="shared" si="33"/>
        <v>-0.37568332183729064</v>
      </c>
    </row>
    <row r="48" spans="1:26" s="24" customFormat="1" hidden="1" outlineLevel="2" x14ac:dyDescent="0.25">
      <c r="A48" s="28"/>
      <c r="B48" s="11" t="str">
        <f>CONCATENATE("          ", "6002", " - ", "STAFF SALARIES")</f>
        <v xml:space="preserve">          6002 - STAFF SALARIES</v>
      </c>
      <c r="C48" s="11"/>
      <c r="D48" s="6">
        <v>21968.26</v>
      </c>
      <c r="E48" s="2"/>
      <c r="F48" s="7">
        <f t="shared" si="26"/>
        <v>0.50477494720927185</v>
      </c>
      <c r="G48" s="2"/>
      <c r="H48" s="6">
        <v>96870.06</v>
      </c>
      <c r="I48" s="2"/>
      <c r="J48" s="7">
        <f t="shared" si="27"/>
        <v>6.9157437547970491E-2</v>
      </c>
      <c r="K48" s="2"/>
      <c r="L48" s="6">
        <f t="shared" si="28"/>
        <v>-74901.8</v>
      </c>
      <c r="M48" s="2"/>
      <c r="N48" s="7">
        <f t="shared" si="29"/>
        <v>-0.77321930016353868</v>
      </c>
      <c r="O48" s="11"/>
      <c r="P48" s="6">
        <v>103199.27</v>
      </c>
      <c r="Q48" s="2"/>
      <c r="R48" s="7">
        <f t="shared" si="30"/>
        <v>1.7063690178073763</v>
      </c>
      <c r="S48" s="2"/>
      <c r="T48" s="6">
        <v>311557.06</v>
      </c>
      <c r="U48" s="2"/>
      <c r="V48" s="7">
        <f t="shared" si="31"/>
        <v>9.6484751347908349E-2</v>
      </c>
      <c r="W48" s="2"/>
      <c r="X48" s="6">
        <f t="shared" si="32"/>
        <v>-208357.78999999998</v>
      </c>
      <c r="Y48" s="2"/>
      <c r="Z48" s="7">
        <f t="shared" si="33"/>
        <v>-0.66876285839903604</v>
      </c>
    </row>
    <row r="49" spans="1:26" s="24" customFormat="1" hidden="1" outlineLevel="2" x14ac:dyDescent="0.25">
      <c r="A49" s="28"/>
      <c r="B49" s="11" t="str">
        <f>CONCATENATE("          ", "6004", " - ", "STAFF HOURLY")</f>
        <v xml:space="preserve">          6004 - STAFF HOURLY</v>
      </c>
      <c r="C49" s="11"/>
      <c r="D49" s="6">
        <v>4641.7</v>
      </c>
      <c r="E49" s="2"/>
      <c r="F49" s="7">
        <f t="shared" si="26"/>
        <v>0.1066545039279978</v>
      </c>
      <c r="G49" s="2"/>
      <c r="H49" s="6">
        <v>30306.700000000004</v>
      </c>
      <c r="I49" s="2"/>
      <c r="J49" s="7">
        <f t="shared" si="27"/>
        <v>2.1636548098918053E-2</v>
      </c>
      <c r="K49" s="2"/>
      <c r="L49" s="6">
        <f t="shared" si="28"/>
        <v>-25665.000000000004</v>
      </c>
      <c r="M49" s="2"/>
      <c r="N49" s="7">
        <f t="shared" si="29"/>
        <v>-0.84684244737962233</v>
      </c>
      <c r="O49" s="11"/>
      <c r="P49" s="6">
        <v>15347.3</v>
      </c>
      <c r="Q49" s="2"/>
      <c r="R49" s="7">
        <f t="shared" si="30"/>
        <v>0.2537630084689082</v>
      </c>
      <c r="S49" s="2"/>
      <c r="T49" s="6">
        <v>83089.91</v>
      </c>
      <c r="U49" s="2"/>
      <c r="V49" s="7">
        <f t="shared" si="31"/>
        <v>2.5731752976068282E-2</v>
      </c>
      <c r="W49" s="2"/>
      <c r="X49" s="6">
        <f t="shared" si="32"/>
        <v>-67742.61</v>
      </c>
      <c r="Y49" s="2"/>
      <c r="Z49" s="7">
        <f t="shared" si="33"/>
        <v>-0.81529285565479603</v>
      </c>
    </row>
    <row r="50" spans="1:26" s="24" customFormat="1" hidden="1" outlineLevel="2" x14ac:dyDescent="0.25">
      <c r="A50" s="28"/>
      <c r="B50" s="11" t="str">
        <f>CONCATENATE("          ", "6005", " - ", "TEMPORARY WAGES-HOURLY")</f>
        <v xml:space="preserve">          6005 - TEMPORARY WAGES-HOURLY</v>
      </c>
      <c r="C50" s="11"/>
      <c r="D50" s="6">
        <v>1052.72</v>
      </c>
      <c r="E50" s="2"/>
      <c r="F50" s="7">
        <f t="shared" si="26"/>
        <v>2.4188838006566959E-2</v>
      </c>
      <c r="G50" s="2"/>
      <c r="H50" s="6">
        <v>87358.33</v>
      </c>
      <c r="I50" s="2"/>
      <c r="J50" s="7">
        <f t="shared" si="27"/>
        <v>6.236682677052123E-2</v>
      </c>
      <c r="K50" s="2"/>
      <c r="L50" s="6">
        <f t="shared" si="28"/>
        <v>-86305.61</v>
      </c>
      <c r="M50" s="2"/>
      <c r="N50" s="7">
        <f t="shared" si="29"/>
        <v>-0.98794940333680825</v>
      </c>
      <c r="O50" s="11"/>
      <c r="P50" s="6">
        <v>4258.59</v>
      </c>
      <c r="Q50" s="2"/>
      <c r="R50" s="7">
        <f t="shared" si="30"/>
        <v>7.0414510059463739E-2</v>
      </c>
      <c r="S50" s="2"/>
      <c r="T50" s="6">
        <v>217647.87</v>
      </c>
      <c r="U50" s="2"/>
      <c r="V50" s="7">
        <f t="shared" si="31"/>
        <v>6.7402422587862013E-2</v>
      </c>
      <c r="W50" s="2"/>
      <c r="X50" s="6">
        <f t="shared" si="32"/>
        <v>-213389.28</v>
      </c>
      <c r="Y50" s="2"/>
      <c r="Z50" s="7">
        <f t="shared" si="33"/>
        <v>-0.98043357832998779</v>
      </c>
    </row>
    <row r="51" spans="1:26" s="24" customFormat="1" hidden="1" outlineLevel="2" x14ac:dyDescent="0.25">
      <c r="A51" s="28"/>
      <c r="B51" s="11" t="str">
        <f>CONCATENATE("          ", "6006", " - ", "TEMPORARY PART TIME")</f>
        <v xml:space="preserve">          6006 - TEMPORARY PART TIME</v>
      </c>
      <c r="C51" s="11"/>
      <c r="D51" s="6"/>
      <c r="E51" s="2"/>
      <c r="F51" s="7">
        <f t="shared" si="26"/>
        <v>0</v>
      </c>
      <c r="G51" s="2"/>
      <c r="H51" s="6">
        <v>5917.85</v>
      </c>
      <c r="I51" s="2"/>
      <c r="J51" s="7">
        <f t="shared" si="27"/>
        <v>4.2248692918457698E-3</v>
      </c>
      <c r="K51" s="2"/>
      <c r="L51" s="6">
        <f t="shared" si="28"/>
        <v>-5917.85</v>
      </c>
      <c r="M51" s="2"/>
      <c r="N51" s="7">
        <f t="shared" si="29"/>
        <v>-1</v>
      </c>
      <c r="O51" s="11"/>
      <c r="P51" s="6"/>
      <c r="Q51" s="2"/>
      <c r="R51" s="7">
        <f t="shared" si="30"/>
        <v>0</v>
      </c>
      <c r="S51" s="2"/>
      <c r="T51" s="6">
        <v>16151.969999999998</v>
      </c>
      <c r="U51" s="2"/>
      <c r="V51" s="7">
        <f t="shared" si="31"/>
        <v>5.0020333650242915E-3</v>
      </c>
      <c r="W51" s="2"/>
      <c r="X51" s="6">
        <f t="shared" si="32"/>
        <v>-16151.969999999998</v>
      </c>
      <c r="Y51" s="2"/>
      <c r="Z51" s="7">
        <f t="shared" si="33"/>
        <v>-1</v>
      </c>
    </row>
    <row r="52" spans="1:26" s="24" customFormat="1" hidden="1" outlineLevel="2" x14ac:dyDescent="0.25">
      <c r="A52" s="28"/>
      <c r="B52" s="11" t="str">
        <f>CONCATENATE("          ", "6007", " - ", "STUDENT HOURLY")</f>
        <v xml:space="preserve">          6007 - STUDENT HOURLY</v>
      </c>
      <c r="C52" s="11"/>
      <c r="D52" s="6">
        <v>-1102.29</v>
      </c>
      <c r="E52" s="2"/>
      <c r="F52" s="7">
        <f t="shared" si="26"/>
        <v>-2.5327830996142081E-2</v>
      </c>
      <c r="G52" s="2"/>
      <c r="H52" s="6">
        <v>133738.01</v>
      </c>
      <c r="I52" s="2"/>
      <c r="J52" s="7">
        <f t="shared" si="27"/>
        <v>9.5478190829703768E-2</v>
      </c>
      <c r="K52" s="2"/>
      <c r="L52" s="6">
        <f t="shared" si="28"/>
        <v>-134840.30000000002</v>
      </c>
      <c r="M52" s="2"/>
      <c r="N52" s="7">
        <f t="shared" si="29"/>
        <v>-1.0082421594279742</v>
      </c>
      <c r="O52" s="11"/>
      <c r="P52" s="6">
        <v>69.709999999999994</v>
      </c>
      <c r="Q52" s="2"/>
      <c r="R52" s="7">
        <f t="shared" si="30"/>
        <v>1.1526339695169569E-3</v>
      </c>
      <c r="S52" s="2"/>
      <c r="T52" s="6">
        <v>389119.68</v>
      </c>
      <c r="U52" s="2"/>
      <c r="V52" s="7">
        <f t="shared" si="31"/>
        <v>0.1205047819149971</v>
      </c>
      <c r="W52" s="2"/>
      <c r="X52" s="6">
        <f t="shared" si="32"/>
        <v>-389049.97</v>
      </c>
      <c r="Y52" s="2"/>
      <c r="Z52" s="7">
        <f t="shared" si="33"/>
        <v>-0.99982085203195059</v>
      </c>
    </row>
    <row r="53" spans="1:26" s="24" customFormat="1" hidden="1" outlineLevel="2" x14ac:dyDescent="0.25">
      <c r="A53" s="28"/>
      <c r="B53" s="11" t="str">
        <f>CONCATENATE("          ", "6008", " - ", "STUDENT HOURLY-FICA EXEMPT")</f>
        <v xml:space="preserve">          6008 - STUDENT HOURLY-FICA EXEMPT</v>
      </c>
      <c r="C53" s="11"/>
      <c r="D53" s="6"/>
      <c r="E53" s="2"/>
      <c r="F53" s="7">
        <f t="shared" si="26"/>
        <v>0</v>
      </c>
      <c r="G53" s="2"/>
      <c r="H53" s="6">
        <v>8489.5</v>
      </c>
      <c r="I53" s="2"/>
      <c r="J53" s="7">
        <f t="shared" si="27"/>
        <v>6.0608207124419611E-3</v>
      </c>
      <c r="K53" s="2"/>
      <c r="L53" s="6">
        <f t="shared" si="28"/>
        <v>-8489.5</v>
      </c>
      <c r="M53" s="2"/>
      <c r="N53" s="7">
        <f t="shared" si="29"/>
        <v>-1</v>
      </c>
      <c r="O53" s="11"/>
      <c r="P53" s="6"/>
      <c r="Q53" s="2"/>
      <c r="R53" s="7">
        <f t="shared" si="30"/>
        <v>0</v>
      </c>
      <c r="S53" s="2"/>
      <c r="T53" s="6">
        <v>21194.76</v>
      </c>
      <c r="U53" s="2"/>
      <c r="V53" s="7">
        <f t="shared" si="31"/>
        <v>6.563713075475144E-3</v>
      </c>
      <c r="W53" s="2"/>
      <c r="X53" s="6">
        <f t="shared" si="32"/>
        <v>-21194.76</v>
      </c>
      <c r="Y53" s="2"/>
      <c r="Z53" s="7">
        <f t="shared" si="33"/>
        <v>-1</v>
      </c>
    </row>
    <row r="54" spans="1:26" s="29" customFormat="1" outlineLevel="1" collapsed="1" x14ac:dyDescent="0.25">
      <c r="A54" s="27"/>
      <c r="B54" s="14" t="str">
        <f>CONCATENATE("     ","Advertising/Promo                                 ")</f>
        <v xml:space="preserve">     Advertising/Promo                                 </v>
      </c>
      <c r="C54" s="14"/>
      <c r="D54" s="1">
        <f>SUM(OSRRefD22_2x_0)</f>
        <v>15.05</v>
      </c>
      <c r="E54" s="1"/>
      <c r="F54" s="5">
        <f t="shared" ref="F54:F63" si="34">IF(D$12=0,0,D54/D$12)</f>
        <v>3.4581086328637505E-4</v>
      </c>
      <c r="G54" s="1"/>
      <c r="H54" s="1">
        <f>SUM(OSRRefH22_2x_0)</f>
        <v>6466.41</v>
      </c>
      <c r="I54" s="1"/>
      <c r="J54" s="5">
        <f t="shared" ref="J54:J63" si="35">IF(H$12=0,0,H54/H$12)</f>
        <v>4.6164970449545702E-3</v>
      </c>
      <c r="K54" s="1"/>
      <c r="L54" s="1">
        <f t="shared" ref="L54:L63" si="36">+D54-H54</f>
        <v>-6451.36</v>
      </c>
      <c r="M54" s="1"/>
      <c r="N54" s="5">
        <f t="shared" ref="N54:N63" si="37">IF(H54=0,0,L54/H54)</f>
        <v>-0.99767258803571068</v>
      </c>
      <c r="O54" s="14"/>
      <c r="P54" s="1">
        <f>SUM(OSRRefP22_2x_0)</f>
        <v>110.63</v>
      </c>
      <c r="Q54" s="1"/>
      <c r="R54" s="5">
        <f t="shared" ref="R54:R63" si="38">IF(P$12=0,0,P54/P$12)</f>
        <v>1.8292339126045178E-3</v>
      </c>
      <c r="S54" s="1"/>
      <c r="T54" s="1">
        <f>SUM(OSRRefT22_2x_0)</f>
        <v>13722.05</v>
      </c>
      <c r="U54" s="1"/>
      <c r="V54" s="5">
        <f t="shared" ref="V54:V63" si="39">IF(T$12=0,0,T54/T$12)</f>
        <v>4.2495220048409934E-3</v>
      </c>
      <c r="W54" s="1"/>
      <c r="X54" s="1">
        <f t="shared" ref="X54:X63" si="40">+P54-T54</f>
        <v>-13611.42</v>
      </c>
      <c r="Y54" s="1"/>
      <c r="Z54" s="5">
        <f t="shared" ref="Z54:Z63" si="41">IF(T54=0,0,X54/T54)</f>
        <v>-0.99193779355125511</v>
      </c>
    </row>
    <row r="55" spans="1:26" s="24" customFormat="1" hidden="1" outlineLevel="2" x14ac:dyDescent="0.25">
      <c r="A55" s="28"/>
      <c r="B55" s="11" t="str">
        <f>CONCATENATE("          ", "6362", " - ", "ADVERTISING EXPENSE")</f>
        <v xml:space="preserve">          6362 - ADVERTISING EXPENSE</v>
      </c>
      <c r="C55" s="11"/>
      <c r="D55" s="6">
        <v>15.05</v>
      </c>
      <c r="E55" s="2"/>
      <c r="F55" s="7">
        <f t="shared" si="34"/>
        <v>3.4581086328637505E-4</v>
      </c>
      <c r="G55" s="2"/>
      <c r="H55" s="6">
        <v>6466.41</v>
      </c>
      <c r="I55" s="2"/>
      <c r="J55" s="7">
        <f t="shared" si="35"/>
        <v>4.6164970449545702E-3</v>
      </c>
      <c r="K55" s="2"/>
      <c r="L55" s="6">
        <f t="shared" si="36"/>
        <v>-6451.36</v>
      </c>
      <c r="M55" s="2"/>
      <c r="N55" s="7">
        <f t="shared" si="37"/>
        <v>-0.99767258803571068</v>
      </c>
      <c r="O55" s="11"/>
      <c r="P55" s="6">
        <v>110.63</v>
      </c>
      <c r="Q55" s="2"/>
      <c r="R55" s="7">
        <f t="shared" si="38"/>
        <v>1.8292339126045178E-3</v>
      </c>
      <c r="S55" s="2"/>
      <c r="T55" s="6">
        <v>13722.05</v>
      </c>
      <c r="U55" s="2"/>
      <c r="V55" s="7">
        <f t="shared" si="39"/>
        <v>4.2495220048409934E-3</v>
      </c>
      <c r="W55" s="2"/>
      <c r="X55" s="6">
        <f t="shared" si="40"/>
        <v>-13611.42</v>
      </c>
      <c r="Y55" s="2"/>
      <c r="Z55" s="7">
        <f t="shared" si="41"/>
        <v>-0.99193779355125511</v>
      </c>
    </row>
    <row r="56" spans="1:26" s="29" customFormat="1" outlineLevel="1" collapsed="1" x14ac:dyDescent="0.25">
      <c r="A56" s="27"/>
      <c r="B56" s="14" t="str">
        <f>CONCATENATE("     ","Bad Debts/Over/Short                              ")</f>
        <v xml:space="preserve">     Bad Debts/Over/Short                              </v>
      </c>
      <c r="C56" s="14"/>
      <c r="D56" s="1">
        <f>SUM(OSRRefD22_3x_0)</f>
        <v>1531.8</v>
      </c>
      <c r="E56" s="1"/>
      <c r="F56" s="5">
        <f t="shared" si="34"/>
        <v>3.5196882417413242E-2</v>
      </c>
      <c r="G56" s="1"/>
      <c r="H56" s="1">
        <f>SUM(OSRRefH22_3x_0)</f>
        <v>-32.799999999999997</v>
      </c>
      <c r="I56" s="1"/>
      <c r="J56" s="5">
        <f t="shared" si="35"/>
        <v>-2.3416563916378621E-5</v>
      </c>
      <c r="K56" s="1"/>
      <c r="L56" s="1">
        <f t="shared" si="36"/>
        <v>1564.6</v>
      </c>
      <c r="M56" s="1"/>
      <c r="N56" s="5">
        <f t="shared" si="37"/>
        <v>-47.701219512195124</v>
      </c>
      <c r="O56" s="14"/>
      <c r="P56" s="1">
        <f>SUM(OSRRefP22_3x_0)</f>
        <v>1341.59</v>
      </c>
      <c r="Q56" s="1"/>
      <c r="R56" s="5">
        <f t="shared" si="38"/>
        <v>2.2182788798798654E-2</v>
      </c>
      <c r="S56" s="1"/>
      <c r="T56" s="1">
        <f>SUM(OSRRefT22_3x_0)</f>
        <v>-220.9</v>
      </c>
      <c r="U56" s="1"/>
      <c r="V56" s="5">
        <f t="shared" si="39"/>
        <v>-6.8409560588204792E-5</v>
      </c>
      <c r="W56" s="1"/>
      <c r="X56" s="1">
        <f t="shared" si="40"/>
        <v>1562.49</v>
      </c>
      <c r="Y56" s="1"/>
      <c r="Z56" s="5">
        <f t="shared" si="41"/>
        <v>-7.0732910819375281</v>
      </c>
    </row>
    <row r="57" spans="1:26" s="24" customFormat="1" hidden="1" outlineLevel="2" x14ac:dyDescent="0.25">
      <c r="A57" s="28"/>
      <c r="B57" s="11" t="str">
        <f>CONCATENATE("          ", "6272", " - ", "CASH (OVER/SHORT)")</f>
        <v xml:space="preserve">          6272 - CASH (OVER/SHORT)</v>
      </c>
      <c r="C57" s="11"/>
      <c r="D57" s="6">
        <v>1531.8</v>
      </c>
      <c r="E57" s="2"/>
      <c r="F57" s="7">
        <f t="shared" si="34"/>
        <v>3.5196882417413242E-2</v>
      </c>
      <c r="G57" s="2"/>
      <c r="H57" s="6">
        <v>-32.799999999999997</v>
      </c>
      <c r="I57" s="2"/>
      <c r="J57" s="7">
        <f t="shared" si="35"/>
        <v>-2.3416563916378621E-5</v>
      </c>
      <c r="K57" s="2"/>
      <c r="L57" s="6">
        <f t="shared" si="36"/>
        <v>1564.6</v>
      </c>
      <c r="M57" s="2"/>
      <c r="N57" s="7">
        <f t="shared" si="37"/>
        <v>-47.701219512195124</v>
      </c>
      <c r="O57" s="11"/>
      <c r="P57" s="6">
        <v>1341.59</v>
      </c>
      <c r="Q57" s="2"/>
      <c r="R57" s="7">
        <f t="shared" si="38"/>
        <v>2.2182788798798654E-2</v>
      </c>
      <c r="S57" s="2"/>
      <c r="T57" s="6">
        <v>-220.9</v>
      </c>
      <c r="U57" s="2"/>
      <c r="V57" s="7">
        <f t="shared" si="39"/>
        <v>-6.8409560588204792E-5</v>
      </c>
      <c r="W57" s="2"/>
      <c r="X57" s="6">
        <f t="shared" si="40"/>
        <v>1562.49</v>
      </c>
      <c r="Y57" s="2"/>
      <c r="Z57" s="7">
        <f t="shared" si="41"/>
        <v>-7.0732910819375281</v>
      </c>
    </row>
    <row r="58" spans="1:26" s="29" customFormat="1" outlineLevel="1" collapsed="1" x14ac:dyDescent="0.25">
      <c r="A58" s="27"/>
      <c r="B58" s="14" t="str">
        <f>CONCATENATE("     ","Bank/card Fees                                    ")</f>
        <v xml:space="preserve">     Bank/card Fees                                    </v>
      </c>
      <c r="C58" s="14"/>
      <c r="D58" s="1">
        <f>SUM(OSRRefD22_4x_0)</f>
        <v>962.55</v>
      </c>
      <c r="E58" s="1"/>
      <c r="F58" s="5">
        <f t="shared" si="34"/>
        <v>2.2116959897428588E-2</v>
      </c>
      <c r="G58" s="1"/>
      <c r="H58" s="1">
        <f>SUM(OSRRefH22_4x_0)</f>
        <v>46660.6</v>
      </c>
      <c r="I58" s="1"/>
      <c r="J58" s="5">
        <f t="shared" si="35"/>
        <v>3.3311918362090742E-2</v>
      </c>
      <c r="K58" s="1"/>
      <c r="L58" s="1">
        <f t="shared" si="36"/>
        <v>-45698.049999999996</v>
      </c>
      <c r="M58" s="1"/>
      <c r="N58" s="5">
        <f t="shared" si="37"/>
        <v>-0.97937124683351684</v>
      </c>
      <c r="O58" s="14"/>
      <c r="P58" s="1">
        <f>SUM(OSRRefP22_4x_0)</f>
        <v>2302.0500000000002</v>
      </c>
      <c r="Q58" s="1"/>
      <c r="R58" s="5">
        <f t="shared" si="38"/>
        <v>3.8063707208815245E-2</v>
      </c>
      <c r="S58" s="1"/>
      <c r="T58" s="1">
        <f>SUM(OSRRefT22_4x_0)</f>
        <v>100665.82</v>
      </c>
      <c r="U58" s="1"/>
      <c r="V58" s="5">
        <f t="shared" si="39"/>
        <v>3.1174760128797274E-2</v>
      </c>
      <c r="W58" s="1"/>
      <c r="X58" s="1">
        <f t="shared" si="40"/>
        <v>-98363.77</v>
      </c>
      <c r="Y58" s="1"/>
      <c r="Z58" s="5">
        <f t="shared" si="41"/>
        <v>-0.97713176130686663</v>
      </c>
    </row>
    <row r="59" spans="1:26" s="24" customFormat="1" hidden="1" outlineLevel="2" x14ac:dyDescent="0.25">
      <c r="A59" s="28"/>
      <c r="B59" s="11" t="str">
        <f>CONCATENATE("          ", "6381", " - ", "BANK/CREDIT CARD FEES")</f>
        <v xml:space="preserve">          6381 - BANK/CREDIT CARD FEES</v>
      </c>
      <c r="C59" s="11"/>
      <c r="D59" s="6">
        <v>962.55</v>
      </c>
      <c r="E59" s="2"/>
      <c r="F59" s="7">
        <f t="shared" si="34"/>
        <v>2.2116959897428588E-2</v>
      </c>
      <c r="G59" s="2"/>
      <c r="H59" s="6">
        <v>46660.6</v>
      </c>
      <c r="I59" s="2"/>
      <c r="J59" s="7">
        <f t="shared" si="35"/>
        <v>3.3311918362090742E-2</v>
      </c>
      <c r="K59" s="2"/>
      <c r="L59" s="6">
        <f t="shared" si="36"/>
        <v>-45698.049999999996</v>
      </c>
      <c r="M59" s="2"/>
      <c r="N59" s="7">
        <f t="shared" si="37"/>
        <v>-0.97937124683351684</v>
      </c>
      <c r="O59" s="11"/>
      <c r="P59" s="6">
        <v>2302.0500000000002</v>
      </c>
      <c r="Q59" s="2"/>
      <c r="R59" s="7">
        <f t="shared" si="38"/>
        <v>3.8063707208815245E-2</v>
      </c>
      <c r="S59" s="2"/>
      <c r="T59" s="6">
        <v>100665.82</v>
      </c>
      <c r="U59" s="2"/>
      <c r="V59" s="7">
        <f t="shared" si="39"/>
        <v>3.1174760128797274E-2</v>
      </c>
      <c r="W59" s="2"/>
      <c r="X59" s="6">
        <f t="shared" si="40"/>
        <v>-98363.77</v>
      </c>
      <c r="Y59" s="2"/>
      <c r="Z59" s="7">
        <f t="shared" si="41"/>
        <v>-0.97713176130686663</v>
      </c>
    </row>
    <row r="60" spans="1:26" s="29" customFormat="1" outlineLevel="1" collapsed="1" x14ac:dyDescent="0.25">
      <c r="A60" s="27"/>
      <c r="B60" s="14" t="str">
        <f>CONCATENATE("     ","Depreciation                                      ")</f>
        <v xml:space="preserve">     Depreciation                                      </v>
      </c>
      <c r="C60" s="14"/>
      <c r="D60" s="1">
        <f>SUM(OSRRefD22_5x_0)</f>
        <v>46041.58</v>
      </c>
      <c r="E60" s="1"/>
      <c r="F60" s="5">
        <f t="shared" si="34"/>
        <v>1.0579188389945979</v>
      </c>
      <c r="G60" s="1"/>
      <c r="H60" s="1">
        <f>SUM(OSRRefH22_5x_0)</f>
        <v>47974.53</v>
      </c>
      <c r="I60" s="1"/>
      <c r="J60" s="5">
        <f t="shared" si="35"/>
        <v>3.4249958783634869E-2</v>
      </c>
      <c r="K60" s="1"/>
      <c r="L60" s="1">
        <f t="shared" si="36"/>
        <v>-1932.9499999999971</v>
      </c>
      <c r="M60" s="1"/>
      <c r="N60" s="5">
        <f t="shared" si="37"/>
        <v>-4.0291171169368353E-2</v>
      </c>
      <c r="O60" s="14"/>
      <c r="P60" s="1">
        <f>SUM(OSRRefP22_5x_0)</f>
        <v>186496.2</v>
      </c>
      <c r="Q60" s="1"/>
      <c r="R60" s="5">
        <f t="shared" si="38"/>
        <v>3.0836588051330986</v>
      </c>
      <c r="S60" s="1"/>
      <c r="T60" s="1">
        <f>SUM(OSRRefT22_5x_0)</f>
        <v>191898.12</v>
      </c>
      <c r="U60" s="1"/>
      <c r="V60" s="5">
        <f t="shared" si="39"/>
        <v>5.9428094463117219E-2</v>
      </c>
      <c r="W60" s="1"/>
      <c r="X60" s="1">
        <f t="shared" si="40"/>
        <v>-5401.9199999999837</v>
      </c>
      <c r="Y60" s="1"/>
      <c r="Z60" s="5">
        <f t="shared" si="41"/>
        <v>-2.8149937060352567E-2</v>
      </c>
    </row>
    <row r="61" spans="1:26" s="24" customFormat="1" hidden="1" outlineLevel="2" x14ac:dyDescent="0.25">
      <c r="A61" s="28"/>
      <c r="B61" s="11" t="str">
        <f>CONCATENATE("          ", "6321", " - ", "BUILDING DEPRECIATION")</f>
        <v xml:space="preserve">          6321 - BUILDING DEPRECIATION</v>
      </c>
      <c r="C61" s="11"/>
      <c r="D61" s="6">
        <v>28664</v>
      </c>
      <c r="E61" s="2"/>
      <c r="F61" s="7">
        <f t="shared" si="34"/>
        <v>0.65862608539805012</v>
      </c>
      <c r="G61" s="2"/>
      <c r="H61" s="6">
        <v>29123.47</v>
      </c>
      <c r="I61" s="2"/>
      <c r="J61" s="7">
        <f t="shared" si="35"/>
        <v>2.0791816973223638E-2</v>
      </c>
      <c r="K61" s="2"/>
      <c r="L61" s="6">
        <f t="shared" si="36"/>
        <v>-459.47000000000116</v>
      </c>
      <c r="M61" s="2"/>
      <c r="N61" s="7">
        <f t="shared" si="37"/>
        <v>-1.5776622771943079E-2</v>
      </c>
      <c r="O61" s="11"/>
      <c r="P61" s="6">
        <v>115440.19</v>
      </c>
      <c r="Q61" s="2"/>
      <c r="R61" s="7">
        <f t="shared" si="38"/>
        <v>1.9087689634412812</v>
      </c>
      <c r="S61" s="2"/>
      <c r="T61" s="6">
        <v>116493.88</v>
      </c>
      <c r="U61" s="2"/>
      <c r="V61" s="7">
        <f t="shared" si="39"/>
        <v>3.6076483214192205E-2</v>
      </c>
      <c r="W61" s="2"/>
      <c r="X61" s="6">
        <f t="shared" si="40"/>
        <v>-1053.6900000000023</v>
      </c>
      <c r="Y61" s="2"/>
      <c r="Z61" s="7">
        <f t="shared" si="41"/>
        <v>-9.0450245111588883E-3</v>
      </c>
    </row>
    <row r="62" spans="1:26" s="24" customFormat="1" hidden="1" outlineLevel="2" x14ac:dyDescent="0.25">
      <c r="A62" s="28"/>
      <c r="B62" s="11" t="str">
        <f>CONCATENATE("          ", "6322", " - ", "EQUIPMENT DEPRECIATION EXPENSE")</f>
        <v xml:space="preserve">          6322 - EQUIPMENT DEPRECIATION EXPENSE</v>
      </c>
      <c r="C62" s="11"/>
      <c r="D62" s="6">
        <v>17377.580000000002</v>
      </c>
      <c r="E62" s="2"/>
      <c r="F62" s="7">
        <f t="shared" si="34"/>
        <v>0.39929275359654787</v>
      </c>
      <c r="G62" s="2"/>
      <c r="H62" s="6">
        <v>18426.809999999998</v>
      </c>
      <c r="I62" s="2"/>
      <c r="J62" s="7">
        <f t="shared" si="35"/>
        <v>1.3155261406706241E-2</v>
      </c>
      <c r="K62" s="2"/>
      <c r="L62" s="6">
        <f t="shared" si="36"/>
        <v>-1049.2299999999959</v>
      </c>
      <c r="M62" s="2"/>
      <c r="N62" s="7">
        <f t="shared" si="37"/>
        <v>-5.6940403683545665E-2</v>
      </c>
      <c r="O62" s="11"/>
      <c r="P62" s="6">
        <v>71056.009999999995</v>
      </c>
      <c r="Q62" s="2"/>
      <c r="R62" s="7">
        <f t="shared" si="38"/>
        <v>1.1748898416918172</v>
      </c>
      <c r="S62" s="2"/>
      <c r="T62" s="6">
        <v>73707.239999999991</v>
      </c>
      <c r="U62" s="2"/>
      <c r="V62" s="7">
        <f t="shared" si="39"/>
        <v>2.2826074697009285E-2</v>
      </c>
      <c r="W62" s="2"/>
      <c r="X62" s="6">
        <f t="shared" si="40"/>
        <v>-2651.2299999999959</v>
      </c>
      <c r="Y62" s="2"/>
      <c r="Z62" s="7">
        <f t="shared" si="41"/>
        <v>-3.5969736487216131E-2</v>
      </c>
    </row>
    <row r="63" spans="1:26" s="24" customFormat="1" hidden="1" outlineLevel="2" x14ac:dyDescent="0.25">
      <c r="A63" s="28"/>
      <c r="B63" s="11" t="str">
        <f>CONCATENATE("          ", "6326", " - ", "VEHICLES DEPRECIATION EXPENSE")</f>
        <v xml:space="preserve">          6326 - VEHICLES DEPRECIATION EXPENSE</v>
      </c>
      <c r="C63" s="11"/>
      <c r="D63" s="6"/>
      <c r="E63" s="2"/>
      <c r="F63" s="7">
        <f t="shared" si="34"/>
        <v>0</v>
      </c>
      <c r="G63" s="2"/>
      <c r="H63" s="6">
        <v>424.25</v>
      </c>
      <c r="I63" s="2"/>
      <c r="J63" s="7">
        <f t="shared" si="35"/>
        <v>3.0288040370498876E-4</v>
      </c>
      <c r="K63" s="2"/>
      <c r="L63" s="6">
        <f t="shared" si="36"/>
        <v>-424.25</v>
      </c>
      <c r="M63" s="2"/>
      <c r="N63" s="7">
        <f t="shared" si="37"/>
        <v>-1</v>
      </c>
      <c r="O63" s="11"/>
      <c r="P63" s="6"/>
      <c r="Q63" s="2"/>
      <c r="R63" s="7">
        <f t="shared" si="38"/>
        <v>0</v>
      </c>
      <c r="S63" s="2"/>
      <c r="T63" s="6">
        <v>1697</v>
      </c>
      <c r="U63" s="2"/>
      <c r="V63" s="7">
        <f t="shared" si="39"/>
        <v>5.2553655191572444E-4</v>
      </c>
      <c r="W63" s="2"/>
      <c r="X63" s="6">
        <f t="shared" si="40"/>
        <v>-1697</v>
      </c>
      <c r="Y63" s="2"/>
      <c r="Z63" s="7">
        <f t="shared" si="41"/>
        <v>-1</v>
      </c>
    </row>
    <row r="64" spans="1:26" s="29" customFormat="1" outlineLevel="1" collapsed="1" x14ac:dyDescent="0.25">
      <c r="A64" s="27"/>
      <c r="B64" s="14" t="str">
        <f>CONCATENATE("     ","Discounts and Markdowns                           ")</f>
        <v xml:space="preserve">     Discounts and Markdowns                           </v>
      </c>
      <c r="C64" s="14"/>
      <c r="D64" s="1">
        <f>SUM(OSRRefD22_6x_0)</f>
        <v>0</v>
      </c>
      <c r="E64" s="1"/>
      <c r="F64" s="5">
        <f t="shared" ref="F64:F74" si="42">IF(D$12=0,0,D64/D$12)</f>
        <v>0</v>
      </c>
      <c r="G64" s="1"/>
      <c r="H64" s="1">
        <f>SUM(OSRRefH22_6x_0)</f>
        <v>17.260000000000002</v>
      </c>
      <c r="I64" s="1"/>
      <c r="J64" s="5">
        <f t="shared" ref="J64:J74" si="43">IF(H$12=0,0,H64/H$12)</f>
        <v>1.2322252841362656E-5</v>
      </c>
      <c r="K64" s="1"/>
      <c r="L64" s="1">
        <f t="shared" ref="L64:L74" si="44">+D64-H64</f>
        <v>-17.260000000000002</v>
      </c>
      <c r="M64" s="1"/>
      <c r="N64" s="5">
        <f t="shared" ref="N64:N74" si="45">IF(H64=0,0,L64/H64)</f>
        <v>-1</v>
      </c>
      <c r="O64" s="14"/>
      <c r="P64" s="1">
        <f>SUM(OSRRefP22_6x_0)</f>
        <v>0</v>
      </c>
      <c r="Q64" s="1"/>
      <c r="R64" s="5">
        <f t="shared" ref="R64:R74" si="46">IF(P$12=0,0,P64/P$12)</f>
        <v>0</v>
      </c>
      <c r="S64" s="1"/>
      <c r="T64" s="1">
        <f>SUM(OSRRefT22_6x_0)</f>
        <v>49.16</v>
      </c>
      <c r="U64" s="1"/>
      <c r="V64" s="5">
        <f t="shared" ref="V64:V74" si="47">IF(T$12=0,0,T64/T$12)</f>
        <v>1.5224146665985275E-5</v>
      </c>
      <c r="W64" s="1"/>
      <c r="X64" s="1">
        <f t="shared" ref="X64:X74" si="48">+P64-T64</f>
        <v>-49.16</v>
      </c>
      <c r="Y64" s="1"/>
      <c r="Z64" s="5">
        <f t="shared" ref="Z64:Z74" si="49">IF(T64=0,0,X64/T64)</f>
        <v>-1</v>
      </c>
    </row>
    <row r="65" spans="1:26" s="24" customFormat="1" hidden="1" outlineLevel="2" x14ac:dyDescent="0.25">
      <c r="A65" s="28"/>
      <c r="B65" s="11" t="str">
        <f>CONCATENATE("          ", "6382", " - ", "DISCOUNTS/MARK DOWNS")</f>
        <v xml:space="preserve">          6382 - DISCOUNTS/MARK DOWNS</v>
      </c>
      <c r="C65" s="11"/>
      <c r="D65" s="6"/>
      <c r="E65" s="2"/>
      <c r="F65" s="7">
        <f t="shared" si="42"/>
        <v>0</v>
      </c>
      <c r="G65" s="2"/>
      <c r="H65" s="6">
        <v>17.260000000000002</v>
      </c>
      <c r="I65" s="2"/>
      <c r="J65" s="7">
        <f t="shared" si="43"/>
        <v>1.2322252841362656E-5</v>
      </c>
      <c r="K65" s="2"/>
      <c r="L65" s="6">
        <f t="shared" si="44"/>
        <v>-17.260000000000002</v>
      </c>
      <c r="M65" s="2"/>
      <c r="N65" s="7">
        <f t="shared" si="45"/>
        <v>-1</v>
      </c>
      <c r="O65" s="11"/>
      <c r="P65" s="6"/>
      <c r="Q65" s="2"/>
      <c r="R65" s="7">
        <f t="shared" si="46"/>
        <v>0</v>
      </c>
      <c r="S65" s="2"/>
      <c r="T65" s="6">
        <v>49.16</v>
      </c>
      <c r="U65" s="2"/>
      <c r="V65" s="7">
        <f t="shared" si="47"/>
        <v>1.5224146665985275E-5</v>
      </c>
      <c r="W65" s="2"/>
      <c r="X65" s="6">
        <f t="shared" si="48"/>
        <v>-49.16</v>
      </c>
      <c r="Y65" s="2"/>
      <c r="Z65" s="7">
        <f t="shared" si="49"/>
        <v>-1</v>
      </c>
    </row>
    <row r="66" spans="1:26" s="29" customFormat="1" outlineLevel="1" collapsed="1" x14ac:dyDescent="0.25">
      <c r="A66" s="27"/>
      <c r="B66" s="14" t="str">
        <f>CONCATENATE("     ","Donations                                         ")</f>
        <v xml:space="preserve">     Donations                                         </v>
      </c>
      <c r="C66" s="14"/>
      <c r="D66" s="1">
        <f>SUM(OSRRefD22_7x_0)</f>
        <v>0</v>
      </c>
      <c r="E66" s="1"/>
      <c r="F66" s="5">
        <f t="shared" si="42"/>
        <v>0</v>
      </c>
      <c r="G66" s="1"/>
      <c r="H66" s="1">
        <f>SUM(OSRRefH22_7x_0)</f>
        <v>163.68</v>
      </c>
      <c r="I66" s="1"/>
      <c r="J66" s="5">
        <f t="shared" si="43"/>
        <v>1.1685436529978211E-4</v>
      </c>
      <c r="K66" s="1"/>
      <c r="L66" s="1">
        <f t="shared" si="44"/>
        <v>-163.68</v>
      </c>
      <c r="M66" s="1"/>
      <c r="N66" s="5">
        <f t="shared" si="45"/>
        <v>-1</v>
      </c>
      <c r="O66" s="14"/>
      <c r="P66" s="1">
        <f>SUM(OSRRefP22_7x_0)</f>
        <v>0</v>
      </c>
      <c r="Q66" s="1"/>
      <c r="R66" s="5">
        <f t="shared" si="46"/>
        <v>0</v>
      </c>
      <c r="S66" s="1"/>
      <c r="T66" s="1">
        <f>SUM(OSRRefT22_7x_0)</f>
        <v>163.68</v>
      </c>
      <c r="U66" s="1"/>
      <c r="V66" s="5">
        <f t="shared" si="47"/>
        <v>5.0689347564859037E-5</v>
      </c>
      <c r="W66" s="1"/>
      <c r="X66" s="1">
        <f t="shared" si="48"/>
        <v>-163.68</v>
      </c>
      <c r="Y66" s="1"/>
      <c r="Z66" s="5">
        <f t="shared" si="49"/>
        <v>-1</v>
      </c>
    </row>
    <row r="67" spans="1:26" s="24" customFormat="1" hidden="1" outlineLevel="2" x14ac:dyDescent="0.25">
      <c r="A67" s="28"/>
      <c r="B67" s="11" t="str">
        <f>CONCATENATE("          ", "6399", " - ", "DONATION-ON CAMPUS")</f>
        <v xml:space="preserve">          6399 - DONATION-ON CAMPUS</v>
      </c>
      <c r="C67" s="11"/>
      <c r="D67" s="6"/>
      <c r="E67" s="2"/>
      <c r="F67" s="7">
        <f t="shared" si="42"/>
        <v>0</v>
      </c>
      <c r="G67" s="2"/>
      <c r="H67" s="6">
        <v>163.68</v>
      </c>
      <c r="I67" s="2"/>
      <c r="J67" s="7">
        <f t="shared" si="43"/>
        <v>1.1685436529978211E-4</v>
      </c>
      <c r="K67" s="2"/>
      <c r="L67" s="6">
        <f t="shared" si="44"/>
        <v>-163.68</v>
      </c>
      <c r="M67" s="2"/>
      <c r="N67" s="7">
        <f t="shared" si="45"/>
        <v>-1</v>
      </c>
      <c r="O67" s="11"/>
      <c r="P67" s="6"/>
      <c r="Q67" s="2"/>
      <c r="R67" s="7">
        <f t="shared" si="46"/>
        <v>0</v>
      </c>
      <c r="S67" s="2"/>
      <c r="T67" s="6">
        <v>163.68</v>
      </c>
      <c r="U67" s="2"/>
      <c r="V67" s="7">
        <f t="shared" si="47"/>
        <v>5.0689347564859037E-5</v>
      </c>
      <c r="W67" s="2"/>
      <c r="X67" s="6">
        <f t="shared" si="48"/>
        <v>-163.68</v>
      </c>
      <c r="Y67" s="2"/>
      <c r="Z67" s="7">
        <f t="shared" si="49"/>
        <v>-1</v>
      </c>
    </row>
    <row r="68" spans="1:26" s="29" customFormat="1" outlineLevel="1" collapsed="1" x14ac:dyDescent="0.25">
      <c r="A68" s="27"/>
      <c r="B68" s="14" t="str">
        <f>CONCATENATE("     ","Employees' Appreciation                           ")</f>
        <v xml:space="preserve">     Employees' Appreciation                           </v>
      </c>
      <c r="C68" s="14"/>
      <c r="D68" s="1">
        <f>SUM(OSRRefD22_8x_0)</f>
        <v>0</v>
      </c>
      <c r="E68" s="1"/>
      <c r="F68" s="5">
        <f t="shared" si="42"/>
        <v>0</v>
      </c>
      <c r="G68" s="1"/>
      <c r="H68" s="1">
        <f>SUM(OSRRefH22_8x_0)</f>
        <v>66.56</v>
      </c>
      <c r="I68" s="1"/>
      <c r="J68" s="5">
        <f t="shared" si="43"/>
        <v>4.7518490679090283E-5</v>
      </c>
      <c r="K68" s="1"/>
      <c r="L68" s="1">
        <f t="shared" si="44"/>
        <v>-66.56</v>
      </c>
      <c r="M68" s="1"/>
      <c r="N68" s="5">
        <f t="shared" si="45"/>
        <v>-1</v>
      </c>
      <c r="O68" s="14"/>
      <c r="P68" s="1">
        <f>SUM(OSRRefP22_8x_0)</f>
        <v>0</v>
      </c>
      <c r="Q68" s="1"/>
      <c r="R68" s="5">
        <f t="shared" si="46"/>
        <v>0</v>
      </c>
      <c r="S68" s="1"/>
      <c r="T68" s="1">
        <f>SUM(OSRRefT22_8x_0)</f>
        <v>486.12</v>
      </c>
      <c r="U68" s="1"/>
      <c r="V68" s="5">
        <f t="shared" si="47"/>
        <v>1.5054438928536947E-4</v>
      </c>
      <c r="W68" s="1"/>
      <c r="X68" s="1">
        <f t="shared" si="48"/>
        <v>-486.12</v>
      </c>
      <c r="Y68" s="1"/>
      <c r="Z68" s="5">
        <f t="shared" si="49"/>
        <v>-1</v>
      </c>
    </row>
    <row r="69" spans="1:26" s="24" customFormat="1" hidden="1" outlineLevel="2" x14ac:dyDescent="0.25">
      <c r="A69" s="28"/>
      <c r="B69" s="11" t="str">
        <f>CONCATENATE("          ", "6277", " - ", "EMPLOYEE APPRECIATION")</f>
        <v xml:space="preserve">          6277 - EMPLOYEE APPRECIATION</v>
      </c>
      <c r="C69" s="11"/>
      <c r="D69" s="6"/>
      <c r="E69" s="2"/>
      <c r="F69" s="7">
        <f t="shared" si="42"/>
        <v>0</v>
      </c>
      <c r="G69" s="2"/>
      <c r="H69" s="6">
        <v>66.56</v>
      </c>
      <c r="I69" s="2"/>
      <c r="J69" s="7">
        <f t="shared" si="43"/>
        <v>4.7518490679090283E-5</v>
      </c>
      <c r="K69" s="2"/>
      <c r="L69" s="6">
        <f t="shared" si="44"/>
        <v>-66.56</v>
      </c>
      <c r="M69" s="2"/>
      <c r="N69" s="7">
        <f t="shared" si="45"/>
        <v>-1</v>
      </c>
      <c r="O69" s="11"/>
      <c r="P69" s="6"/>
      <c r="Q69" s="2"/>
      <c r="R69" s="7">
        <f t="shared" si="46"/>
        <v>0</v>
      </c>
      <c r="S69" s="2"/>
      <c r="T69" s="6">
        <v>486.12</v>
      </c>
      <c r="U69" s="2"/>
      <c r="V69" s="7">
        <f t="shared" si="47"/>
        <v>1.5054438928536947E-4</v>
      </c>
      <c r="W69" s="2"/>
      <c r="X69" s="6">
        <f t="shared" si="48"/>
        <v>-486.12</v>
      </c>
      <c r="Y69" s="2"/>
      <c r="Z69" s="7">
        <f t="shared" si="49"/>
        <v>-1</v>
      </c>
    </row>
    <row r="70" spans="1:26" s="29" customFormat="1" outlineLevel="1" collapsed="1" x14ac:dyDescent="0.25">
      <c r="A70" s="27"/>
      <c r="B70" s="14" t="str">
        <f>CONCATENATE("     ","Equipment Rental                                  ")</f>
        <v xml:space="preserve">     Equipment Rental                                  </v>
      </c>
      <c r="C70" s="14"/>
      <c r="D70" s="1">
        <f>SUM(OSRRefD22_9x_0)</f>
        <v>1984.06</v>
      </c>
      <c r="E70" s="1"/>
      <c r="F70" s="5">
        <f t="shared" si="42"/>
        <v>4.5588671190163806E-2</v>
      </c>
      <c r="G70" s="1"/>
      <c r="H70" s="1">
        <f>SUM(OSRRefH22_9x_0)</f>
        <v>3969.08</v>
      </c>
      <c r="I70" s="1"/>
      <c r="J70" s="5">
        <f t="shared" si="43"/>
        <v>2.8336041313786605E-3</v>
      </c>
      <c r="K70" s="1"/>
      <c r="L70" s="1">
        <f t="shared" si="44"/>
        <v>-1985.02</v>
      </c>
      <c r="M70" s="1"/>
      <c r="N70" s="5">
        <f t="shared" si="45"/>
        <v>-0.50012093482620656</v>
      </c>
      <c r="O70" s="14"/>
      <c r="P70" s="1">
        <f>SUM(OSRRefP22_9x_0)</f>
        <v>3300.67</v>
      </c>
      <c r="Q70" s="1"/>
      <c r="R70" s="5">
        <f t="shared" si="46"/>
        <v>5.4575589788631959E-2</v>
      </c>
      <c r="S70" s="1"/>
      <c r="T70" s="1">
        <f>SUM(OSRRefT22_9x_0)</f>
        <v>10687.1</v>
      </c>
      <c r="U70" s="1"/>
      <c r="V70" s="5">
        <f t="shared" si="47"/>
        <v>3.3096415344599523E-3</v>
      </c>
      <c r="W70" s="1"/>
      <c r="X70" s="1">
        <f t="shared" si="48"/>
        <v>-7386.43</v>
      </c>
      <c r="Y70" s="1"/>
      <c r="Z70" s="5">
        <f t="shared" si="49"/>
        <v>-0.69115382096172018</v>
      </c>
    </row>
    <row r="71" spans="1:26" s="24" customFormat="1" hidden="1" outlineLevel="2" x14ac:dyDescent="0.25">
      <c r="A71" s="28"/>
      <c r="B71" s="11" t="str">
        <f>CONCATENATE("          ", "6351", " - ", "EQUIPMENT RENTAL")</f>
        <v xml:space="preserve">          6351 - EQUIPMENT RENTAL</v>
      </c>
      <c r="C71" s="11"/>
      <c r="D71" s="6">
        <v>1984.06</v>
      </c>
      <c r="E71" s="2"/>
      <c r="F71" s="7">
        <f t="shared" si="42"/>
        <v>4.5588671190163806E-2</v>
      </c>
      <c r="G71" s="2"/>
      <c r="H71" s="6">
        <v>3969.08</v>
      </c>
      <c r="I71" s="2"/>
      <c r="J71" s="7">
        <f t="shared" si="43"/>
        <v>2.8336041313786605E-3</v>
      </c>
      <c r="K71" s="2"/>
      <c r="L71" s="6">
        <f t="shared" si="44"/>
        <v>-1985.02</v>
      </c>
      <c r="M71" s="2"/>
      <c r="N71" s="7">
        <f t="shared" si="45"/>
        <v>-0.50012093482620656</v>
      </c>
      <c r="O71" s="11"/>
      <c r="P71" s="6">
        <v>3300.67</v>
      </c>
      <c r="Q71" s="2"/>
      <c r="R71" s="7">
        <f t="shared" si="46"/>
        <v>5.4575589788631959E-2</v>
      </c>
      <c r="S71" s="2"/>
      <c r="T71" s="6">
        <v>10687.1</v>
      </c>
      <c r="U71" s="2"/>
      <c r="V71" s="7">
        <f t="shared" si="47"/>
        <v>3.3096415344599523E-3</v>
      </c>
      <c r="W71" s="2"/>
      <c r="X71" s="6">
        <f t="shared" si="48"/>
        <v>-7386.43</v>
      </c>
      <c r="Y71" s="2"/>
      <c r="Z71" s="7">
        <f t="shared" si="49"/>
        <v>-0.69115382096172018</v>
      </c>
    </row>
    <row r="72" spans="1:26" s="29" customFormat="1" outlineLevel="1" collapsed="1" x14ac:dyDescent="0.25">
      <c r="A72" s="27"/>
      <c r="B72" s="14" t="str">
        <f>CONCATENATE("     ","Freight out/Postage                               ")</f>
        <v xml:space="preserve">     Freight out/Postage                               </v>
      </c>
      <c r="C72" s="14"/>
      <c r="D72" s="1">
        <f>SUM(OSRRefD22_10x_0)</f>
        <v>85.43</v>
      </c>
      <c r="E72" s="1"/>
      <c r="F72" s="5">
        <f t="shared" si="42"/>
        <v>1.9629649203026594E-3</v>
      </c>
      <c r="G72" s="1"/>
      <c r="H72" s="1">
        <f>SUM(OSRRefH22_10x_0)</f>
        <v>25.76</v>
      </c>
      <c r="I72" s="1"/>
      <c r="J72" s="5">
        <f t="shared" si="43"/>
        <v>1.8390569709936384E-5</v>
      </c>
      <c r="K72" s="1"/>
      <c r="L72" s="1">
        <f t="shared" si="44"/>
        <v>59.67</v>
      </c>
      <c r="M72" s="1"/>
      <c r="N72" s="5">
        <f t="shared" si="45"/>
        <v>2.3163819875776395</v>
      </c>
      <c r="O72" s="14"/>
      <c r="P72" s="1">
        <f>SUM(OSRRefP22_10x_0)</f>
        <v>90.02000000000001</v>
      </c>
      <c r="Q72" s="1"/>
      <c r="R72" s="5">
        <f t="shared" si="46"/>
        <v>1.4884537359907684E-3</v>
      </c>
      <c r="S72" s="1"/>
      <c r="T72" s="1">
        <f>SUM(OSRRefT22_10x_0)</f>
        <v>171.28</v>
      </c>
      <c r="U72" s="1"/>
      <c r="V72" s="5">
        <f t="shared" si="47"/>
        <v>5.3042958522171646E-5</v>
      </c>
      <c r="W72" s="1"/>
      <c r="X72" s="1">
        <f t="shared" si="48"/>
        <v>-81.259999999999991</v>
      </c>
      <c r="Y72" s="1"/>
      <c r="Z72" s="5">
        <f t="shared" si="49"/>
        <v>-0.4744278374591312</v>
      </c>
    </row>
    <row r="73" spans="1:26" s="24" customFormat="1" hidden="1" outlineLevel="2" x14ac:dyDescent="0.25">
      <c r="A73" s="28"/>
      <c r="B73" s="11" t="str">
        <f>CONCATENATE("          ", "6305", " - ", "FREIGHT OUT")</f>
        <v xml:space="preserve">          6305 - FREIGHT OUT</v>
      </c>
      <c r="C73" s="11"/>
      <c r="D73" s="6">
        <v>85.43</v>
      </c>
      <c r="E73" s="2"/>
      <c r="F73" s="7">
        <f t="shared" si="42"/>
        <v>1.9629649203026594E-3</v>
      </c>
      <c r="G73" s="2"/>
      <c r="H73" s="6">
        <v>25.76</v>
      </c>
      <c r="I73" s="2"/>
      <c r="J73" s="7">
        <f t="shared" si="43"/>
        <v>1.8390569709936384E-5</v>
      </c>
      <c r="K73" s="2"/>
      <c r="L73" s="6">
        <f t="shared" si="44"/>
        <v>59.67</v>
      </c>
      <c r="M73" s="2"/>
      <c r="N73" s="7">
        <f t="shared" si="45"/>
        <v>2.3163819875776395</v>
      </c>
      <c r="O73" s="11"/>
      <c r="P73" s="6">
        <v>95.43</v>
      </c>
      <c r="Q73" s="2"/>
      <c r="R73" s="7">
        <f t="shared" si="46"/>
        <v>1.5779064655143194E-3</v>
      </c>
      <c r="S73" s="2"/>
      <c r="T73" s="6">
        <v>171.28</v>
      </c>
      <c r="U73" s="2"/>
      <c r="V73" s="7">
        <f t="shared" si="47"/>
        <v>5.3042958522171646E-5</v>
      </c>
      <c r="W73" s="2"/>
      <c r="X73" s="6">
        <f t="shared" si="48"/>
        <v>-75.849999999999994</v>
      </c>
      <c r="Y73" s="2"/>
      <c r="Z73" s="7">
        <f t="shared" si="49"/>
        <v>-0.44284212984586641</v>
      </c>
    </row>
    <row r="74" spans="1:26" s="24" customFormat="1" hidden="1" outlineLevel="2" x14ac:dyDescent="0.25">
      <c r="A74" s="28"/>
      <c r="B74" s="11" t="str">
        <f>CONCATENATE("          ", "6307", " - ", "POSTAGE")</f>
        <v xml:space="preserve">          6307 - POSTAGE</v>
      </c>
      <c r="C74" s="11"/>
      <c r="D74" s="6"/>
      <c r="E74" s="2"/>
      <c r="F74" s="7">
        <f t="shared" si="42"/>
        <v>0</v>
      </c>
      <c r="G74" s="2"/>
      <c r="H74" s="6"/>
      <c r="I74" s="2"/>
      <c r="J74" s="7">
        <f t="shared" si="43"/>
        <v>0</v>
      </c>
      <c r="K74" s="2"/>
      <c r="L74" s="6">
        <f t="shared" si="44"/>
        <v>0</v>
      </c>
      <c r="M74" s="2"/>
      <c r="N74" s="7">
        <f t="shared" si="45"/>
        <v>0</v>
      </c>
      <c r="O74" s="11"/>
      <c r="P74" s="6">
        <v>-5.41</v>
      </c>
      <c r="Q74" s="2"/>
      <c r="R74" s="7">
        <f t="shared" si="46"/>
        <v>-8.9452729523550954E-5</v>
      </c>
      <c r="S74" s="2"/>
      <c r="T74" s="6"/>
      <c r="U74" s="2"/>
      <c r="V74" s="7">
        <f t="shared" si="47"/>
        <v>0</v>
      </c>
      <c r="W74" s="2"/>
      <c r="X74" s="6">
        <f t="shared" si="48"/>
        <v>-5.41</v>
      </c>
      <c r="Y74" s="2"/>
      <c r="Z74" s="7">
        <f t="shared" si="49"/>
        <v>0</v>
      </c>
    </row>
    <row r="75" spans="1:26" s="29" customFormat="1" outlineLevel="1" collapsed="1" x14ac:dyDescent="0.25">
      <c r="A75" s="27"/>
      <c r="B75" s="14" t="str">
        <f>CONCATENATE("     ","General                                           ")</f>
        <v xml:space="preserve">     General                                           </v>
      </c>
      <c r="C75" s="14"/>
      <c r="D75" s="1">
        <f>SUM(OSRRefD22_11x_0)</f>
        <v>0</v>
      </c>
      <c r="E75" s="1"/>
      <c r="F75" s="5">
        <f t="shared" ref="F75:F77" si="50">IF(D$12=0,0,D75/D$12)</f>
        <v>0</v>
      </c>
      <c r="G75" s="1"/>
      <c r="H75" s="1">
        <f>SUM(OSRRefH22_11x_0)</f>
        <v>10249.700000000001</v>
      </c>
      <c r="I75" s="1"/>
      <c r="J75" s="5">
        <f t="shared" ref="J75:J77" si="51">IF(H$12=0,0,H75/H$12)</f>
        <v>7.3174620479788417E-3</v>
      </c>
      <c r="K75" s="1"/>
      <c r="L75" s="1">
        <f t="shared" ref="L75:L77" si="52">+D75-H75</f>
        <v>-10249.700000000001</v>
      </c>
      <c r="M75" s="1"/>
      <c r="N75" s="5">
        <f t="shared" ref="N75:N77" si="53">IF(H75=0,0,L75/H75)</f>
        <v>-1</v>
      </c>
      <c r="O75" s="14"/>
      <c r="P75" s="1">
        <f>SUM(OSRRefP22_11x_0)</f>
        <v>5275.55</v>
      </c>
      <c r="Q75" s="1"/>
      <c r="R75" s="5">
        <f t="shared" ref="R75:R77" si="54">IF(P$12=0,0,P75/P$12)</f>
        <v>8.7229639045835347E-2</v>
      </c>
      <c r="S75" s="1"/>
      <c r="T75" s="1">
        <f>SUM(OSRRefT22_11x_0)</f>
        <v>44532.35</v>
      </c>
      <c r="U75" s="1"/>
      <c r="V75" s="5">
        <f t="shared" ref="V75:V77" si="55">IF(T$12=0,0,T75/T$12)</f>
        <v>1.3791029857221103E-2</v>
      </c>
      <c r="W75" s="1"/>
      <c r="X75" s="1">
        <f t="shared" ref="X75:X77" si="56">+P75-T75</f>
        <v>-39256.799999999996</v>
      </c>
      <c r="Y75" s="1"/>
      <c r="Z75" s="5">
        <f t="shared" ref="Z75:Z77" si="57">IF(T75=0,0,X75/T75)</f>
        <v>-0.88153443507921758</v>
      </c>
    </row>
    <row r="76" spans="1:26" s="24" customFormat="1" hidden="1" outlineLevel="2" x14ac:dyDescent="0.25">
      <c r="A76" s="28"/>
      <c r="B76" s="11" t="str">
        <f>CONCATENATE("          ", "6269", " - ", "ENTERTAINMENT")</f>
        <v xml:space="preserve">          6269 - ENTERTAINMENT</v>
      </c>
      <c r="C76" s="11"/>
      <c r="D76" s="6"/>
      <c r="E76" s="2"/>
      <c r="F76" s="7">
        <f t="shared" si="50"/>
        <v>0</v>
      </c>
      <c r="G76" s="2"/>
      <c r="H76" s="6">
        <v>1850</v>
      </c>
      <c r="I76" s="2"/>
      <c r="J76" s="7">
        <f t="shared" si="51"/>
        <v>1.320751318454282E-3</v>
      </c>
      <c r="K76" s="2"/>
      <c r="L76" s="6">
        <f t="shared" si="52"/>
        <v>-1850</v>
      </c>
      <c r="M76" s="2"/>
      <c r="N76" s="7">
        <f t="shared" si="53"/>
        <v>-1</v>
      </c>
      <c r="O76" s="11"/>
      <c r="P76" s="6"/>
      <c r="Q76" s="2"/>
      <c r="R76" s="7">
        <f t="shared" si="54"/>
        <v>0</v>
      </c>
      <c r="S76" s="2"/>
      <c r="T76" s="6">
        <v>5500</v>
      </c>
      <c r="U76" s="2"/>
      <c r="V76" s="7">
        <f t="shared" si="55"/>
        <v>1.7032710875288654E-3</v>
      </c>
      <c r="W76" s="2"/>
      <c r="X76" s="6">
        <f t="shared" si="56"/>
        <v>-5500</v>
      </c>
      <c r="Y76" s="2"/>
      <c r="Z76" s="7">
        <f t="shared" si="57"/>
        <v>-1</v>
      </c>
    </row>
    <row r="77" spans="1:26" s="24" customFormat="1" hidden="1" outlineLevel="2" x14ac:dyDescent="0.25">
      <c r="A77" s="28"/>
      <c r="B77" s="11" t="str">
        <f>CONCATENATE("          ", "6279", " - ", "GENERAL EXPENSE")</f>
        <v xml:space="preserve">          6279 - GENERAL EXPENSE</v>
      </c>
      <c r="C77" s="11"/>
      <c r="D77" s="6"/>
      <c r="E77" s="2"/>
      <c r="F77" s="7">
        <f t="shared" si="50"/>
        <v>0</v>
      </c>
      <c r="G77" s="2"/>
      <c r="H77" s="6">
        <v>8399.7000000000007</v>
      </c>
      <c r="I77" s="2"/>
      <c r="J77" s="7">
        <f t="shared" si="51"/>
        <v>5.9967107295245594E-3</v>
      </c>
      <c r="K77" s="2"/>
      <c r="L77" s="6">
        <f t="shared" si="52"/>
        <v>-8399.7000000000007</v>
      </c>
      <c r="M77" s="2"/>
      <c r="N77" s="7">
        <f t="shared" si="53"/>
        <v>-1</v>
      </c>
      <c r="O77" s="11"/>
      <c r="P77" s="6">
        <v>5275.55</v>
      </c>
      <c r="Q77" s="2"/>
      <c r="R77" s="7">
        <f t="shared" si="54"/>
        <v>8.7229639045835347E-2</v>
      </c>
      <c r="S77" s="2"/>
      <c r="T77" s="6">
        <v>39032.35</v>
      </c>
      <c r="U77" s="2"/>
      <c r="V77" s="7">
        <f t="shared" si="55"/>
        <v>1.2087758769692238E-2</v>
      </c>
      <c r="W77" s="2"/>
      <c r="X77" s="6">
        <f t="shared" si="56"/>
        <v>-33756.799999999996</v>
      </c>
      <c r="Y77" s="2"/>
      <c r="Z77" s="7">
        <f t="shared" si="57"/>
        <v>-0.86484159934003457</v>
      </c>
    </row>
    <row r="78" spans="1:26" s="29" customFormat="1" outlineLevel="1" collapsed="1" x14ac:dyDescent="0.25">
      <c r="A78" s="27"/>
      <c r="B78" s="14" t="str">
        <f>CONCATENATE("     ","Insurance                                         ")</f>
        <v xml:space="preserve">     Insurance                                         </v>
      </c>
      <c r="C78" s="14"/>
      <c r="D78" s="1">
        <f>SUM(OSRRefD22_12x_0)</f>
        <v>10595.67</v>
      </c>
      <c r="E78" s="1"/>
      <c r="F78" s="5">
        <f t="shared" ref="F78:F89" si="58">IF(D$12=0,0,D78/D$12)</f>
        <v>0.24346164716262761</v>
      </c>
      <c r="G78" s="1"/>
      <c r="H78" s="1">
        <f>SUM(OSRRefH22_12x_0)</f>
        <v>4483.67</v>
      </c>
      <c r="I78" s="1"/>
      <c r="J78" s="5">
        <f t="shared" ref="J78:J89" si="59">IF(H$12=0,0,H78/H$12)</f>
        <v>3.2009800346021141E-3</v>
      </c>
      <c r="K78" s="1"/>
      <c r="L78" s="1">
        <f t="shared" ref="L78:L89" si="60">+D78-H78</f>
        <v>6112</v>
      </c>
      <c r="M78" s="1"/>
      <c r="N78" s="5">
        <f t="shared" ref="N78:N89" si="61">IF(H78=0,0,L78/H78)</f>
        <v>1.3631690111002817</v>
      </c>
      <c r="O78" s="14"/>
      <c r="P78" s="1">
        <f>SUM(OSRRefP22_12x_0)</f>
        <v>24046.68</v>
      </c>
      <c r="Q78" s="1"/>
      <c r="R78" s="5">
        <f t="shared" ref="R78:R89" si="62">IF(P$12=0,0,P78/P$12)</f>
        <v>0.39760465101282477</v>
      </c>
      <c r="S78" s="1"/>
      <c r="T78" s="1">
        <f>SUM(OSRRefT22_12x_0)</f>
        <v>17934.68</v>
      </c>
      <c r="U78" s="1"/>
      <c r="V78" s="5">
        <f t="shared" ref="V78:V89" si="63">IF(T$12=0,0,T78/T$12)</f>
        <v>5.5541130741967619E-3</v>
      </c>
      <c r="W78" s="1"/>
      <c r="X78" s="1">
        <f t="shared" ref="X78:X89" si="64">+P78-T78</f>
        <v>6112</v>
      </c>
      <c r="Y78" s="1"/>
      <c r="Z78" s="5">
        <f t="shared" ref="Z78:Z89" si="65">IF(T78=0,0,X78/T78)</f>
        <v>0.34079225277507041</v>
      </c>
    </row>
    <row r="79" spans="1:26" s="24" customFormat="1" hidden="1" outlineLevel="2" x14ac:dyDescent="0.25">
      <c r="A79" s="28"/>
      <c r="B79" s="11" t="str">
        <f>CONCATENATE("          ", "6314", " - ", "LIABILITY INSURANCE")</f>
        <v xml:space="preserve">          6314 - LIABILITY INSURANCE</v>
      </c>
      <c r="C79" s="11"/>
      <c r="D79" s="6">
        <v>10595.67</v>
      </c>
      <c r="E79" s="2"/>
      <c r="F79" s="7">
        <f t="shared" si="58"/>
        <v>0.24346164716262761</v>
      </c>
      <c r="G79" s="2"/>
      <c r="H79" s="6">
        <v>4483.67</v>
      </c>
      <c r="I79" s="2"/>
      <c r="J79" s="7">
        <f t="shared" si="59"/>
        <v>3.2009800346021141E-3</v>
      </c>
      <c r="K79" s="2"/>
      <c r="L79" s="6">
        <f t="shared" si="60"/>
        <v>6112</v>
      </c>
      <c r="M79" s="2"/>
      <c r="N79" s="7">
        <f t="shared" si="61"/>
        <v>1.3631690111002817</v>
      </c>
      <c r="O79" s="11"/>
      <c r="P79" s="6">
        <v>24046.68</v>
      </c>
      <c r="Q79" s="2"/>
      <c r="R79" s="7">
        <f t="shared" si="62"/>
        <v>0.39760465101282477</v>
      </c>
      <c r="S79" s="2"/>
      <c r="T79" s="6">
        <v>17934.68</v>
      </c>
      <c r="U79" s="2"/>
      <c r="V79" s="7">
        <f t="shared" si="63"/>
        <v>5.5541130741967619E-3</v>
      </c>
      <c r="W79" s="2"/>
      <c r="X79" s="6">
        <f t="shared" si="64"/>
        <v>6112</v>
      </c>
      <c r="Y79" s="2"/>
      <c r="Z79" s="7">
        <f t="shared" si="65"/>
        <v>0.34079225277507041</v>
      </c>
    </row>
    <row r="80" spans="1:26" s="29" customFormat="1" outlineLevel="1" collapsed="1" x14ac:dyDescent="0.25">
      <c r="A80" s="27"/>
      <c r="B80" s="14" t="str">
        <f>CONCATENATE("     ","Interest                                          ")</f>
        <v xml:space="preserve">     Interest                                          </v>
      </c>
      <c r="C80" s="14"/>
      <c r="D80" s="1">
        <f>SUM(OSRRefD22_13x_0)</f>
        <v>10805</v>
      </c>
      <c r="E80" s="1"/>
      <c r="F80" s="5">
        <f t="shared" si="58"/>
        <v>0.24827152012021808</v>
      </c>
      <c r="G80" s="1"/>
      <c r="H80" s="1">
        <f>SUM(OSRRefH22_13x_0)</f>
        <v>11897</v>
      </c>
      <c r="I80" s="1"/>
      <c r="J80" s="5">
        <f t="shared" si="59"/>
        <v>8.4935018571084299E-3</v>
      </c>
      <c r="K80" s="1"/>
      <c r="L80" s="1">
        <f t="shared" si="60"/>
        <v>-1092</v>
      </c>
      <c r="M80" s="1"/>
      <c r="N80" s="5">
        <f t="shared" si="61"/>
        <v>-9.1787845675380342E-2</v>
      </c>
      <c r="O80" s="14"/>
      <c r="P80" s="1">
        <f>SUM(OSRRefP22_13x_0)</f>
        <v>45467</v>
      </c>
      <c r="Q80" s="1"/>
      <c r="R80" s="5">
        <f t="shared" si="62"/>
        <v>0.75178322610855652</v>
      </c>
      <c r="S80" s="1"/>
      <c r="T80" s="1">
        <f>SUM(OSRRefT22_13x_0)</f>
        <v>47117</v>
      </c>
      <c r="U80" s="1"/>
      <c r="V80" s="5">
        <f t="shared" si="63"/>
        <v>1.4591458878381373E-2</v>
      </c>
      <c r="W80" s="1"/>
      <c r="X80" s="1">
        <f t="shared" si="64"/>
        <v>-1650</v>
      </c>
      <c r="Y80" s="1"/>
      <c r="Z80" s="5">
        <f t="shared" si="65"/>
        <v>-3.5019207504722288E-2</v>
      </c>
    </row>
    <row r="81" spans="1:26" s="24" customFormat="1" hidden="1" outlineLevel="2" x14ac:dyDescent="0.25">
      <c r="A81" s="28"/>
      <c r="B81" s="11" t="str">
        <f>CONCATENATE("          ", "6401", " - ", "INTEREST EXPENSE")</f>
        <v xml:space="preserve">          6401 - INTEREST EXPENSE</v>
      </c>
      <c r="C81" s="11"/>
      <c r="D81" s="6">
        <v>10805</v>
      </c>
      <c r="E81" s="2"/>
      <c r="F81" s="7">
        <f t="shared" si="58"/>
        <v>0.24827152012021808</v>
      </c>
      <c r="G81" s="2"/>
      <c r="H81" s="6">
        <v>11897</v>
      </c>
      <c r="I81" s="2"/>
      <c r="J81" s="7">
        <f t="shared" si="59"/>
        <v>8.4935018571084299E-3</v>
      </c>
      <c r="K81" s="2"/>
      <c r="L81" s="6">
        <f t="shared" si="60"/>
        <v>-1092</v>
      </c>
      <c r="M81" s="2"/>
      <c r="N81" s="7">
        <f t="shared" si="61"/>
        <v>-9.1787845675380342E-2</v>
      </c>
      <c r="O81" s="11"/>
      <c r="P81" s="6">
        <v>45467</v>
      </c>
      <c r="Q81" s="2"/>
      <c r="R81" s="7">
        <f t="shared" si="62"/>
        <v>0.75178322610855652</v>
      </c>
      <c r="S81" s="2"/>
      <c r="T81" s="6">
        <v>47117</v>
      </c>
      <c r="U81" s="2"/>
      <c r="V81" s="7">
        <f t="shared" si="63"/>
        <v>1.4591458878381373E-2</v>
      </c>
      <c r="W81" s="2"/>
      <c r="X81" s="6">
        <f t="shared" si="64"/>
        <v>-1650</v>
      </c>
      <c r="Y81" s="2"/>
      <c r="Z81" s="7">
        <f t="shared" si="65"/>
        <v>-3.5019207504722288E-2</v>
      </c>
    </row>
    <row r="82" spans="1:26" s="29" customFormat="1" outlineLevel="1" collapsed="1" x14ac:dyDescent="0.25">
      <c r="A82" s="27"/>
      <c r="B82" s="14" t="str">
        <f>CONCATENATE("     ","Professional Services                             ")</f>
        <v xml:space="preserve">     Professional Services                             </v>
      </c>
      <c r="C82" s="14"/>
      <c r="D82" s="1">
        <f>SUM(OSRRefD22_14x_0)</f>
        <v>0</v>
      </c>
      <c r="E82" s="1"/>
      <c r="F82" s="5">
        <f t="shared" si="58"/>
        <v>0</v>
      </c>
      <c r="G82" s="1"/>
      <c r="H82" s="1">
        <f>SUM(OSRRefH22_14x_0)</f>
        <v>0</v>
      </c>
      <c r="I82" s="1"/>
      <c r="J82" s="5">
        <f t="shared" si="59"/>
        <v>0</v>
      </c>
      <c r="K82" s="1"/>
      <c r="L82" s="1">
        <f t="shared" si="60"/>
        <v>0</v>
      </c>
      <c r="M82" s="1"/>
      <c r="N82" s="5">
        <f t="shared" si="61"/>
        <v>0</v>
      </c>
      <c r="O82" s="14"/>
      <c r="P82" s="1">
        <f>SUM(OSRRefP22_14x_0)</f>
        <v>0</v>
      </c>
      <c r="Q82" s="1"/>
      <c r="R82" s="5">
        <f t="shared" si="62"/>
        <v>0</v>
      </c>
      <c r="S82" s="1"/>
      <c r="T82" s="1">
        <f>SUM(OSRRefT22_14x_0)</f>
        <v>125</v>
      </c>
      <c r="U82" s="1"/>
      <c r="V82" s="5">
        <f t="shared" si="63"/>
        <v>3.8710706534746941E-5</v>
      </c>
      <c r="W82" s="1"/>
      <c r="X82" s="1">
        <f t="shared" si="64"/>
        <v>-125</v>
      </c>
      <c r="Y82" s="1"/>
      <c r="Z82" s="5">
        <f t="shared" si="65"/>
        <v>-1</v>
      </c>
    </row>
    <row r="83" spans="1:26" s="24" customFormat="1" hidden="1" outlineLevel="2" x14ac:dyDescent="0.25">
      <c r="A83" s="28"/>
      <c r="B83" s="11" t="str">
        <f>CONCATENATE("          ", "6336", " - ", "PROFESSIONAL SERVICES")</f>
        <v xml:space="preserve">          6336 - PROFESSIONAL SERVICES</v>
      </c>
      <c r="C83" s="11"/>
      <c r="D83" s="6"/>
      <c r="E83" s="2"/>
      <c r="F83" s="7">
        <f t="shared" si="58"/>
        <v>0</v>
      </c>
      <c r="G83" s="2"/>
      <c r="H83" s="6"/>
      <c r="I83" s="2"/>
      <c r="J83" s="7">
        <f t="shared" si="59"/>
        <v>0</v>
      </c>
      <c r="K83" s="2"/>
      <c r="L83" s="6">
        <f t="shared" si="60"/>
        <v>0</v>
      </c>
      <c r="M83" s="2"/>
      <c r="N83" s="7">
        <f t="shared" si="61"/>
        <v>0</v>
      </c>
      <c r="O83" s="11"/>
      <c r="P83" s="6"/>
      <c r="Q83" s="2"/>
      <c r="R83" s="7">
        <f t="shared" si="62"/>
        <v>0</v>
      </c>
      <c r="S83" s="2"/>
      <c r="T83" s="6">
        <v>125</v>
      </c>
      <c r="U83" s="2"/>
      <c r="V83" s="7">
        <f t="shared" si="63"/>
        <v>3.8710706534746941E-5</v>
      </c>
      <c r="W83" s="2"/>
      <c r="X83" s="6">
        <f t="shared" si="64"/>
        <v>-125</v>
      </c>
      <c r="Y83" s="2"/>
      <c r="Z83" s="7">
        <f t="shared" si="65"/>
        <v>-1</v>
      </c>
    </row>
    <row r="84" spans="1:26" s="29" customFormat="1" outlineLevel="1" collapsed="1" x14ac:dyDescent="0.25">
      <c r="A84" s="27"/>
      <c r="B84" s="14" t="str">
        <f>CONCATENATE("     ","Rent                                              ")</f>
        <v xml:space="preserve">     Rent                                              </v>
      </c>
      <c r="C84" s="14"/>
      <c r="D84" s="1">
        <f>SUM(OSRRefD22_15x_0)</f>
        <v>0</v>
      </c>
      <c r="E84" s="1"/>
      <c r="F84" s="5">
        <f t="shared" si="58"/>
        <v>0</v>
      </c>
      <c r="G84" s="1"/>
      <c r="H84" s="1">
        <f>SUM(OSRRefH22_15x_0)</f>
        <v>3000</v>
      </c>
      <c r="I84" s="1"/>
      <c r="J84" s="5">
        <f t="shared" si="59"/>
        <v>2.1417588947907277E-3</v>
      </c>
      <c r="K84" s="1"/>
      <c r="L84" s="1">
        <f t="shared" si="60"/>
        <v>-3000</v>
      </c>
      <c r="M84" s="1"/>
      <c r="N84" s="5">
        <f t="shared" si="61"/>
        <v>-1</v>
      </c>
      <c r="O84" s="14"/>
      <c r="P84" s="1">
        <f>SUM(OSRRefP22_15x_0)</f>
        <v>5550</v>
      </c>
      <c r="Q84" s="1"/>
      <c r="R84" s="5">
        <f t="shared" si="62"/>
        <v>9.1767587588855407E-2</v>
      </c>
      <c r="S84" s="1"/>
      <c r="T84" s="1">
        <f>SUM(OSRRefT22_15x_0)</f>
        <v>12000</v>
      </c>
      <c r="U84" s="1"/>
      <c r="V84" s="5">
        <f t="shared" si="63"/>
        <v>3.7162278273357064E-3</v>
      </c>
      <c r="W84" s="1"/>
      <c r="X84" s="1">
        <f t="shared" si="64"/>
        <v>-6450</v>
      </c>
      <c r="Y84" s="1"/>
      <c r="Z84" s="5">
        <f t="shared" si="65"/>
        <v>-0.53749999999999998</v>
      </c>
    </row>
    <row r="85" spans="1:26" s="24" customFormat="1" hidden="1" outlineLevel="2" x14ac:dyDescent="0.25">
      <c r="A85" s="28"/>
      <c r="B85" s="11" t="str">
        <f>CONCATENATE("          ", "6273", " - ", "RENT")</f>
        <v xml:space="preserve">          6273 - RENT</v>
      </c>
      <c r="C85" s="11"/>
      <c r="D85" s="6"/>
      <c r="E85" s="2"/>
      <c r="F85" s="7">
        <f t="shared" si="58"/>
        <v>0</v>
      </c>
      <c r="G85" s="2"/>
      <c r="H85" s="6">
        <v>3000</v>
      </c>
      <c r="I85" s="2"/>
      <c r="J85" s="7">
        <f t="shared" si="59"/>
        <v>2.1417588947907277E-3</v>
      </c>
      <c r="K85" s="2"/>
      <c r="L85" s="6">
        <f t="shared" si="60"/>
        <v>-3000</v>
      </c>
      <c r="M85" s="2"/>
      <c r="N85" s="7">
        <f t="shared" si="61"/>
        <v>-1</v>
      </c>
      <c r="O85" s="11"/>
      <c r="P85" s="6">
        <v>5550</v>
      </c>
      <c r="Q85" s="2"/>
      <c r="R85" s="7">
        <f t="shared" si="62"/>
        <v>9.1767587588855407E-2</v>
      </c>
      <c r="S85" s="2"/>
      <c r="T85" s="6">
        <v>12000</v>
      </c>
      <c r="U85" s="2"/>
      <c r="V85" s="7">
        <f t="shared" si="63"/>
        <v>3.7162278273357064E-3</v>
      </c>
      <c r="W85" s="2"/>
      <c r="X85" s="6">
        <f t="shared" si="64"/>
        <v>-6450</v>
      </c>
      <c r="Y85" s="2"/>
      <c r="Z85" s="7">
        <f t="shared" si="65"/>
        <v>-0.53749999999999998</v>
      </c>
    </row>
    <row r="86" spans="1:26" s="29" customFormat="1" outlineLevel="1" collapsed="1" x14ac:dyDescent="0.25">
      <c r="A86" s="27"/>
      <c r="B86" s="14" t="str">
        <f>CONCATENATE("     ","Repair and Maintenance                            ")</f>
        <v xml:space="preserve">     Repair and Maintenance                            </v>
      </c>
      <c r="C86" s="14"/>
      <c r="D86" s="1">
        <f>SUM(OSRRefD22_16x_0)</f>
        <v>4021.3999999999996</v>
      </c>
      <c r="E86" s="1"/>
      <c r="F86" s="5">
        <f t="shared" si="58"/>
        <v>9.2401581768759372E-2</v>
      </c>
      <c r="G86" s="1"/>
      <c r="H86" s="1">
        <f>SUM(OSRRefH22_16x_0)</f>
        <v>27342.55</v>
      </c>
      <c r="I86" s="1"/>
      <c r="J86" s="5">
        <f t="shared" si="59"/>
        <v>1.952038322292007E-2</v>
      </c>
      <c r="K86" s="1"/>
      <c r="L86" s="1">
        <f t="shared" si="60"/>
        <v>-23321.15</v>
      </c>
      <c r="M86" s="1"/>
      <c r="N86" s="5">
        <f t="shared" si="61"/>
        <v>-0.85292520266032257</v>
      </c>
      <c r="O86" s="14"/>
      <c r="P86" s="1">
        <f>SUM(OSRRefP22_16x_0)</f>
        <v>16115.86</v>
      </c>
      <c r="Q86" s="1"/>
      <c r="R86" s="5">
        <f t="shared" si="62"/>
        <v>0.26647091785941107</v>
      </c>
      <c r="S86" s="1"/>
      <c r="T86" s="1">
        <f>SUM(OSRRefT22_16x_0)</f>
        <v>115905.96</v>
      </c>
      <c r="U86" s="1"/>
      <c r="V86" s="5">
        <f t="shared" si="63"/>
        <v>3.5894412825504943E-2</v>
      </c>
      <c r="W86" s="1"/>
      <c r="X86" s="1">
        <f t="shared" si="64"/>
        <v>-99790.1</v>
      </c>
      <c r="Y86" s="1"/>
      <c r="Z86" s="5">
        <f t="shared" si="65"/>
        <v>-0.86095745205854812</v>
      </c>
    </row>
    <row r="87" spans="1:26" s="24" customFormat="1" hidden="1" outlineLevel="2" x14ac:dyDescent="0.25">
      <c r="A87" s="28"/>
      <c r="B87" s="11" t="str">
        <f>CONCATENATE("          ", "6371", " - ", "COMPUTER SOFTWARE MAINTENANCE")</f>
        <v xml:space="preserve">          6371 - COMPUTER SOFTWARE MAINTENANCE</v>
      </c>
      <c r="C87" s="11"/>
      <c r="D87" s="6"/>
      <c r="E87" s="2"/>
      <c r="F87" s="7">
        <f t="shared" si="58"/>
        <v>0</v>
      </c>
      <c r="G87" s="2"/>
      <c r="H87" s="6"/>
      <c r="I87" s="2"/>
      <c r="J87" s="7">
        <f t="shared" si="59"/>
        <v>0</v>
      </c>
      <c r="K87" s="2"/>
      <c r="L87" s="6">
        <f t="shared" si="60"/>
        <v>0</v>
      </c>
      <c r="M87" s="2"/>
      <c r="N87" s="7">
        <f t="shared" si="61"/>
        <v>0</v>
      </c>
      <c r="O87" s="11"/>
      <c r="P87" s="6"/>
      <c r="Q87" s="2"/>
      <c r="R87" s="7">
        <f t="shared" si="62"/>
        <v>0</v>
      </c>
      <c r="S87" s="2"/>
      <c r="T87" s="6">
        <v>12244.62</v>
      </c>
      <c r="U87" s="2"/>
      <c r="V87" s="7">
        <f t="shared" si="63"/>
        <v>3.7919831315959447E-3</v>
      </c>
      <c r="W87" s="2"/>
      <c r="X87" s="6">
        <f t="shared" si="64"/>
        <v>-12244.62</v>
      </c>
      <c r="Y87" s="2"/>
      <c r="Z87" s="7">
        <f t="shared" si="65"/>
        <v>-1</v>
      </c>
    </row>
    <row r="88" spans="1:26" s="24" customFormat="1" hidden="1" outlineLevel="2" x14ac:dyDescent="0.25">
      <c r="A88" s="28"/>
      <c r="B88" s="11" t="str">
        <f>CONCATENATE("          ", "6373", " - ", "MAINTENANCE CONTRACTS")</f>
        <v xml:space="preserve">          6373 - MAINTENANCE CONTRACTS</v>
      </c>
      <c r="C88" s="11"/>
      <c r="D88" s="6">
        <v>3179.47</v>
      </c>
      <c r="E88" s="2"/>
      <c r="F88" s="7">
        <f t="shared" si="58"/>
        <v>7.3056163820141587E-2</v>
      </c>
      <c r="G88" s="2"/>
      <c r="H88" s="6">
        <v>7922.19</v>
      </c>
      <c r="I88" s="2"/>
      <c r="J88" s="7">
        <f t="shared" si="59"/>
        <v>5.6558069662407187E-3</v>
      </c>
      <c r="K88" s="2"/>
      <c r="L88" s="6">
        <f t="shared" si="60"/>
        <v>-4742.7199999999993</v>
      </c>
      <c r="M88" s="2"/>
      <c r="N88" s="7">
        <f t="shared" si="61"/>
        <v>-0.59866274350905491</v>
      </c>
      <c r="O88" s="11"/>
      <c r="P88" s="6">
        <v>9532.33</v>
      </c>
      <c r="Q88" s="2"/>
      <c r="R88" s="7">
        <f t="shared" si="62"/>
        <v>0.15761422129745478</v>
      </c>
      <c r="S88" s="2"/>
      <c r="T88" s="6">
        <v>32730.700000000004</v>
      </c>
      <c r="U88" s="2"/>
      <c r="V88" s="7">
        <f t="shared" si="63"/>
        <v>1.0136228179014734E-2</v>
      </c>
      <c r="W88" s="2"/>
      <c r="X88" s="6">
        <f t="shared" si="64"/>
        <v>-23198.370000000003</v>
      </c>
      <c r="Y88" s="2"/>
      <c r="Z88" s="7">
        <f t="shared" si="65"/>
        <v>-0.70876485990217131</v>
      </c>
    </row>
    <row r="89" spans="1:26" s="24" customFormat="1" hidden="1" outlineLevel="2" x14ac:dyDescent="0.25">
      <c r="A89" s="28"/>
      <c r="B89" s="11" t="str">
        <f>CONCATENATE("          ", "6375", " - ", "OUTSIDE REPAIRS &amp; MAINTENANCE")</f>
        <v xml:space="preserve">          6375 - OUTSIDE REPAIRS &amp; MAINTENANCE</v>
      </c>
      <c r="C89" s="11"/>
      <c r="D89" s="6">
        <v>841.93</v>
      </c>
      <c r="E89" s="2"/>
      <c r="F89" s="7">
        <f t="shared" si="58"/>
        <v>1.9345417948617789E-2</v>
      </c>
      <c r="G89" s="2"/>
      <c r="H89" s="6">
        <v>19420.36</v>
      </c>
      <c r="I89" s="2"/>
      <c r="J89" s="7">
        <f t="shared" si="59"/>
        <v>1.3864576256679353E-2</v>
      </c>
      <c r="K89" s="2"/>
      <c r="L89" s="6">
        <f t="shared" si="60"/>
        <v>-18578.43</v>
      </c>
      <c r="M89" s="2"/>
      <c r="N89" s="7">
        <f t="shared" si="61"/>
        <v>-0.956647044647988</v>
      </c>
      <c r="O89" s="11"/>
      <c r="P89" s="6">
        <v>6583.53</v>
      </c>
      <c r="Q89" s="2"/>
      <c r="R89" s="7">
        <f t="shared" si="62"/>
        <v>0.10885669656195626</v>
      </c>
      <c r="S89" s="2"/>
      <c r="T89" s="6">
        <v>70930.64</v>
      </c>
      <c r="U89" s="2"/>
      <c r="V89" s="7">
        <f t="shared" si="63"/>
        <v>2.196620151489426E-2</v>
      </c>
      <c r="W89" s="2"/>
      <c r="X89" s="6">
        <f t="shared" si="64"/>
        <v>-64347.11</v>
      </c>
      <c r="Y89" s="2"/>
      <c r="Z89" s="7">
        <f t="shared" si="65"/>
        <v>-0.90718355283414898</v>
      </c>
    </row>
    <row r="90" spans="1:26" s="29" customFormat="1" outlineLevel="1" collapsed="1" x14ac:dyDescent="0.25">
      <c r="A90" s="27"/>
      <c r="B90" s="14" t="str">
        <f>CONCATENATE("     ","Royalty &amp; Commissions                             ")</f>
        <v xml:space="preserve">     Royalty &amp; Commissions                             </v>
      </c>
      <c r="C90" s="14"/>
      <c r="D90" s="1">
        <f>SUM(OSRRefD22_17x_0)</f>
        <v>185.7</v>
      </c>
      <c r="E90" s="1"/>
      <c r="F90" s="5">
        <f t="shared" ref="F90:F92" si="66">IF(D$12=0,0,D90/D$12)</f>
        <v>4.2669154360318829E-3</v>
      </c>
      <c r="G90" s="1"/>
      <c r="H90" s="1">
        <f>SUM(OSRRefH22_17x_0)</f>
        <v>32085.1</v>
      </c>
      <c r="I90" s="1"/>
      <c r="J90" s="5">
        <f t="shared" ref="J90:J92" si="67">IF(H$12=0,0,H90/H$12)</f>
        <v>2.2906182771749991E-2</v>
      </c>
      <c r="K90" s="1"/>
      <c r="L90" s="1">
        <f t="shared" ref="L90:L92" si="68">+D90-H90</f>
        <v>-31899.399999999998</v>
      </c>
      <c r="M90" s="1"/>
      <c r="N90" s="5">
        <f t="shared" ref="N90:N92" si="69">IF(H90=0,0,L90/H90)</f>
        <v>-0.99421226675310348</v>
      </c>
      <c r="O90" s="14"/>
      <c r="P90" s="1">
        <f>SUM(OSRRefP22_17x_0)</f>
        <v>185.7</v>
      </c>
      <c r="Q90" s="1"/>
      <c r="R90" s="5">
        <f t="shared" ref="R90:R92" si="70">IF(P$12=0,0,P90/P$12)</f>
        <v>3.0704938766217024E-3</v>
      </c>
      <c r="S90" s="1"/>
      <c r="T90" s="1">
        <f>SUM(OSRRefT22_17x_0)</f>
        <v>98022.32</v>
      </c>
      <c r="U90" s="1"/>
      <c r="V90" s="5">
        <f t="shared" ref="V90:V92" si="71">IF(T$12=0,0,T90/T$12)</f>
        <v>3.0356106107000447E-2</v>
      </c>
      <c r="W90" s="1"/>
      <c r="X90" s="1">
        <f t="shared" ref="X90:X92" si="72">+P90-T90</f>
        <v>-97836.62000000001</v>
      </c>
      <c r="Y90" s="1"/>
      <c r="Z90" s="5">
        <f t="shared" ref="Z90:Z92" si="73">IF(T90=0,0,X90/T90)</f>
        <v>-0.99810553351522391</v>
      </c>
    </row>
    <row r="91" spans="1:26" s="24" customFormat="1" hidden="1" outlineLevel="2" x14ac:dyDescent="0.25">
      <c r="A91" s="28"/>
      <c r="B91" s="11" t="str">
        <f>CONCATENATE("          ", "6254", " - ", "ROYALTY &amp; COMMISSIONS")</f>
        <v xml:space="preserve">          6254 - ROYALTY &amp; COMMISSIONS</v>
      </c>
      <c r="C91" s="11"/>
      <c r="D91" s="6">
        <v>185.7</v>
      </c>
      <c r="E91" s="2"/>
      <c r="F91" s="7">
        <f t="shared" si="66"/>
        <v>4.2669154360318829E-3</v>
      </c>
      <c r="G91" s="2"/>
      <c r="H91" s="6">
        <v>10321.9</v>
      </c>
      <c r="I91" s="2"/>
      <c r="J91" s="7">
        <f t="shared" si="67"/>
        <v>7.3690070453801375E-3</v>
      </c>
      <c r="K91" s="2"/>
      <c r="L91" s="6">
        <f t="shared" si="68"/>
        <v>-10136.199999999999</v>
      </c>
      <c r="M91" s="2"/>
      <c r="N91" s="7">
        <f t="shared" si="69"/>
        <v>-0.98200912622676051</v>
      </c>
      <c r="O91" s="11"/>
      <c r="P91" s="6">
        <v>185.7</v>
      </c>
      <c r="Q91" s="2"/>
      <c r="R91" s="7">
        <f t="shared" si="70"/>
        <v>3.0704938766217024E-3</v>
      </c>
      <c r="S91" s="2"/>
      <c r="T91" s="6">
        <v>50652.959999999999</v>
      </c>
      <c r="U91" s="2"/>
      <c r="V91" s="7">
        <f t="shared" si="71"/>
        <v>1.5686494957410202E-2</v>
      </c>
      <c r="W91" s="2"/>
      <c r="X91" s="6">
        <f t="shared" si="72"/>
        <v>-50467.26</v>
      </c>
      <c r="Y91" s="2"/>
      <c r="Z91" s="7">
        <f t="shared" si="73"/>
        <v>-0.99633387663820638</v>
      </c>
    </row>
    <row r="92" spans="1:26" s="24" customFormat="1" hidden="1" outlineLevel="2" x14ac:dyDescent="0.25">
      <c r="A92" s="28"/>
      <c r="B92" s="11" t="str">
        <f>CONCATENATE("          ", "6259", " - ", "ROYALTY &amp; COMMISSIONS")</f>
        <v xml:space="preserve">          6259 - ROYALTY &amp; COMMISSIONS</v>
      </c>
      <c r="C92" s="11"/>
      <c r="D92" s="6"/>
      <c r="E92" s="2"/>
      <c r="F92" s="7">
        <f t="shared" si="66"/>
        <v>0</v>
      </c>
      <c r="G92" s="2"/>
      <c r="H92" s="6">
        <v>21763.200000000001</v>
      </c>
      <c r="I92" s="2"/>
      <c r="J92" s="7">
        <f t="shared" si="67"/>
        <v>1.5537175726369857E-2</v>
      </c>
      <c r="K92" s="2"/>
      <c r="L92" s="6">
        <f t="shared" si="68"/>
        <v>-21763.200000000001</v>
      </c>
      <c r="M92" s="2"/>
      <c r="N92" s="7">
        <f t="shared" si="69"/>
        <v>-1</v>
      </c>
      <c r="O92" s="11"/>
      <c r="P92" s="6"/>
      <c r="Q92" s="2"/>
      <c r="R92" s="7">
        <f t="shared" si="70"/>
        <v>0</v>
      </c>
      <c r="S92" s="2"/>
      <c r="T92" s="6">
        <v>47369.36</v>
      </c>
      <c r="U92" s="2"/>
      <c r="V92" s="7">
        <f t="shared" si="71"/>
        <v>1.4669611149590242E-2</v>
      </c>
      <c r="W92" s="2"/>
      <c r="X92" s="6">
        <f t="shared" si="72"/>
        <v>-47369.36</v>
      </c>
      <c r="Y92" s="2"/>
      <c r="Z92" s="7">
        <f t="shared" si="73"/>
        <v>-1</v>
      </c>
    </row>
    <row r="93" spans="1:26" s="29" customFormat="1" outlineLevel="1" collapsed="1" x14ac:dyDescent="0.25">
      <c r="A93" s="27"/>
      <c r="B93" s="14" t="str">
        <f>CONCATENATE("     ","Services                                          ")</f>
        <v xml:space="preserve">     Services                                          </v>
      </c>
      <c r="C93" s="14"/>
      <c r="D93" s="1">
        <f>SUM(OSRRefD22_18x_0)</f>
        <v>7010.73</v>
      </c>
      <c r="E93" s="1"/>
      <c r="F93" s="5">
        <f t="shared" ref="F93:F98" si="74">IF(D$12=0,0,D93/D$12)</f>
        <v>0.16108881020383309</v>
      </c>
      <c r="G93" s="1"/>
      <c r="H93" s="1">
        <f>SUM(OSRRefH22_18x_0)</f>
        <v>25126.11</v>
      </c>
      <c r="I93" s="1"/>
      <c r="J93" s="5">
        <f t="shared" ref="J93:J98" si="75">IF(H$12=0,0,H93/H$12)</f>
        <v>1.7938023194663418E-2</v>
      </c>
      <c r="K93" s="1"/>
      <c r="L93" s="1">
        <f t="shared" ref="L93:L98" si="76">+D93-H93</f>
        <v>-18115.38</v>
      </c>
      <c r="M93" s="1"/>
      <c r="N93" s="5">
        <f t="shared" ref="N93:N98" si="77">IF(H93=0,0,L93/H93)</f>
        <v>-0.7209782970782187</v>
      </c>
      <c r="O93" s="14"/>
      <c r="P93" s="1">
        <f>SUM(OSRRefP22_18x_0)</f>
        <v>16006.029999999999</v>
      </c>
      <c r="Q93" s="1"/>
      <c r="R93" s="5">
        <f t="shared" ref="R93:R98" si="78">IF(P$12=0,0,P93/P$12)</f>
        <v>0.2646549117071797</v>
      </c>
      <c r="S93" s="1"/>
      <c r="T93" s="1">
        <f>SUM(OSRRefT22_18x_0)</f>
        <v>88615.42</v>
      </c>
      <c r="U93" s="1"/>
      <c r="V93" s="5">
        <f t="shared" ref="V93:V98" si="79">IF(T$12=0,0,T93/T$12)</f>
        <v>2.7442924144586756E-2</v>
      </c>
      <c r="W93" s="1"/>
      <c r="X93" s="1">
        <f t="shared" ref="X93:X98" si="80">+P93-T93</f>
        <v>-72609.39</v>
      </c>
      <c r="Y93" s="1"/>
      <c r="Z93" s="5">
        <f t="shared" ref="Z93:Z98" si="81">IF(T93=0,0,X93/T93)</f>
        <v>-0.81937646969342359</v>
      </c>
    </row>
    <row r="94" spans="1:26" s="24" customFormat="1" hidden="1" outlineLevel="2" x14ac:dyDescent="0.25">
      <c r="A94" s="28"/>
      <c r="B94" s="11" t="str">
        <f>CONCATENATE("          ", "6282", " - ", "JANITORIAL/EXTERMINATOR EXPENS")</f>
        <v xml:space="preserve">          6282 - JANITORIAL/EXTERMINATOR EXPENS</v>
      </c>
      <c r="C94" s="11"/>
      <c r="D94" s="6">
        <v>1529.78</v>
      </c>
      <c r="E94" s="2"/>
      <c r="F94" s="7">
        <f t="shared" si="74"/>
        <v>3.5150467936095067E-2</v>
      </c>
      <c r="G94" s="2"/>
      <c r="H94" s="6">
        <v>1722.31</v>
      </c>
      <c r="I94" s="2"/>
      <c r="J94" s="7">
        <f t="shared" si="75"/>
        <v>1.2295909206956727E-3</v>
      </c>
      <c r="K94" s="2"/>
      <c r="L94" s="6">
        <f t="shared" si="76"/>
        <v>-192.52999999999997</v>
      </c>
      <c r="M94" s="2"/>
      <c r="N94" s="7">
        <f t="shared" si="77"/>
        <v>-0.11178591542753626</v>
      </c>
      <c r="O94" s="11"/>
      <c r="P94" s="6">
        <v>1582.49</v>
      </c>
      <c r="Q94" s="2"/>
      <c r="R94" s="7">
        <f t="shared" si="78"/>
        <v>2.6165998141168972E-2</v>
      </c>
      <c r="S94" s="2"/>
      <c r="T94" s="6">
        <v>7689.68</v>
      </c>
      <c r="U94" s="2"/>
      <c r="V94" s="7">
        <f t="shared" si="79"/>
        <v>2.381383566608903E-3</v>
      </c>
      <c r="W94" s="2"/>
      <c r="X94" s="6">
        <f t="shared" si="80"/>
        <v>-6107.1900000000005</v>
      </c>
      <c r="Y94" s="2"/>
      <c r="Z94" s="7">
        <f t="shared" si="81"/>
        <v>-0.79420600076986303</v>
      </c>
    </row>
    <row r="95" spans="1:26" s="24" customFormat="1" hidden="1" outlineLevel="2" x14ac:dyDescent="0.25">
      <c r="A95" s="28"/>
      <c r="B95" s="11" t="str">
        <f>CONCATENATE("          ", "6283", " - ", "PLANT SERVICE")</f>
        <v xml:space="preserve">          6283 - PLANT SERVICE</v>
      </c>
      <c r="C95" s="11"/>
      <c r="D95" s="6"/>
      <c r="E95" s="2"/>
      <c r="F95" s="7">
        <f t="shared" si="74"/>
        <v>0</v>
      </c>
      <c r="G95" s="2"/>
      <c r="H95" s="6"/>
      <c r="I95" s="2"/>
      <c r="J95" s="7">
        <f t="shared" si="75"/>
        <v>0</v>
      </c>
      <c r="K95" s="2"/>
      <c r="L95" s="6">
        <f t="shared" si="76"/>
        <v>0</v>
      </c>
      <c r="M95" s="2"/>
      <c r="N95" s="7">
        <f t="shared" si="77"/>
        <v>0</v>
      </c>
      <c r="O95" s="11"/>
      <c r="P95" s="6"/>
      <c r="Q95" s="2"/>
      <c r="R95" s="7">
        <f t="shared" si="78"/>
        <v>0</v>
      </c>
      <c r="S95" s="2"/>
      <c r="T95" s="6">
        <v>599.34</v>
      </c>
      <c r="U95" s="2"/>
      <c r="V95" s="7">
        <f t="shared" si="79"/>
        <v>1.8560699883628186E-4</v>
      </c>
      <c r="W95" s="2"/>
      <c r="X95" s="6">
        <f t="shared" si="80"/>
        <v>-599.34</v>
      </c>
      <c r="Y95" s="2"/>
      <c r="Z95" s="7">
        <f t="shared" si="81"/>
        <v>-1</v>
      </c>
    </row>
    <row r="96" spans="1:26" s="24" customFormat="1" hidden="1" outlineLevel="2" x14ac:dyDescent="0.25">
      <c r="A96" s="28"/>
      <c r="B96" s="11" t="str">
        <f>CONCATENATE("          ", "6284", " - ", "TRASH REMOVAL EXPENSE")</f>
        <v xml:space="preserve">          6284 - TRASH REMOVAL EXPENSE</v>
      </c>
      <c r="C96" s="11"/>
      <c r="D96" s="6">
        <v>5369</v>
      </c>
      <c r="E96" s="2"/>
      <c r="F96" s="7">
        <f t="shared" si="74"/>
        <v>0.12336601494913937</v>
      </c>
      <c r="G96" s="2"/>
      <c r="H96" s="6">
        <v>4436</v>
      </c>
      <c r="I96" s="2"/>
      <c r="J96" s="7">
        <f t="shared" si="75"/>
        <v>3.1669474857638894E-3</v>
      </c>
      <c r="K96" s="2"/>
      <c r="L96" s="6">
        <f t="shared" si="76"/>
        <v>933</v>
      </c>
      <c r="M96" s="2"/>
      <c r="N96" s="7">
        <f t="shared" si="77"/>
        <v>0.21032461677186653</v>
      </c>
      <c r="O96" s="11"/>
      <c r="P96" s="6">
        <v>8130</v>
      </c>
      <c r="Q96" s="2"/>
      <c r="R96" s="7">
        <f t="shared" si="78"/>
        <v>0.13442711479232333</v>
      </c>
      <c r="S96" s="2"/>
      <c r="T96" s="6">
        <v>9732</v>
      </c>
      <c r="U96" s="2"/>
      <c r="V96" s="7">
        <f t="shared" si="79"/>
        <v>3.0138607679692578E-3</v>
      </c>
      <c r="W96" s="2"/>
      <c r="X96" s="6">
        <f t="shared" si="80"/>
        <v>-1602</v>
      </c>
      <c r="Y96" s="2"/>
      <c r="Z96" s="7">
        <f t="shared" si="81"/>
        <v>-0.16461159062885328</v>
      </c>
    </row>
    <row r="97" spans="1:26" s="24" customFormat="1" hidden="1" outlineLevel="2" x14ac:dyDescent="0.25">
      <c r="A97" s="28"/>
      <c r="B97" s="11" t="str">
        <f>CONCATENATE("          ", "6285", " - ", "JANITORIAL SERVICES")</f>
        <v xml:space="preserve">          6285 - JANITORIAL SERVICES</v>
      </c>
      <c r="C97" s="11"/>
      <c r="D97" s="6"/>
      <c r="E97" s="2"/>
      <c r="F97" s="7">
        <f t="shared" si="74"/>
        <v>0</v>
      </c>
      <c r="G97" s="2"/>
      <c r="H97" s="6">
        <v>13319.69</v>
      </c>
      <c r="I97" s="2"/>
      <c r="J97" s="7">
        <f t="shared" si="75"/>
        <v>9.5091881777850367E-3</v>
      </c>
      <c r="K97" s="2"/>
      <c r="L97" s="6">
        <f t="shared" si="76"/>
        <v>-13319.69</v>
      </c>
      <c r="M97" s="2"/>
      <c r="N97" s="7">
        <f t="shared" si="77"/>
        <v>-1</v>
      </c>
      <c r="O97" s="11"/>
      <c r="P97" s="6">
        <v>5607.33</v>
      </c>
      <c r="Q97" s="2"/>
      <c r="R97" s="7">
        <f t="shared" si="78"/>
        <v>9.2715521966597589E-2</v>
      </c>
      <c r="S97" s="2"/>
      <c r="T97" s="6">
        <v>53306.15</v>
      </c>
      <c r="U97" s="2"/>
      <c r="V97" s="7">
        <f t="shared" si="79"/>
        <v>1.6508149833177607E-2</v>
      </c>
      <c r="W97" s="2"/>
      <c r="X97" s="6">
        <f t="shared" si="80"/>
        <v>-47698.82</v>
      </c>
      <c r="Y97" s="2"/>
      <c r="Z97" s="7">
        <f t="shared" si="81"/>
        <v>-0.89480894793565091</v>
      </c>
    </row>
    <row r="98" spans="1:26" s="24" customFormat="1" hidden="1" outlineLevel="2" x14ac:dyDescent="0.25">
      <c r="A98" s="28"/>
      <c r="B98" s="11" t="str">
        <f>CONCATENATE("          ", "6286", " - ", "LAUNDRY EXPENSE")</f>
        <v xml:space="preserve">          6286 - LAUNDRY EXPENSE</v>
      </c>
      <c r="C98" s="11"/>
      <c r="D98" s="6">
        <v>111.95</v>
      </c>
      <c r="E98" s="2"/>
      <c r="F98" s="7">
        <f t="shared" si="74"/>
        <v>2.5723273185986502E-3</v>
      </c>
      <c r="G98" s="2"/>
      <c r="H98" s="6">
        <v>5648.11</v>
      </c>
      <c r="I98" s="2"/>
      <c r="J98" s="7">
        <f t="shared" si="75"/>
        <v>4.0322966104188191E-3</v>
      </c>
      <c r="K98" s="2"/>
      <c r="L98" s="6">
        <f t="shared" si="76"/>
        <v>-5536.16</v>
      </c>
      <c r="M98" s="2"/>
      <c r="N98" s="7">
        <f t="shared" si="77"/>
        <v>-0.98017921039073252</v>
      </c>
      <c r="O98" s="11"/>
      <c r="P98" s="6">
        <v>686.21</v>
      </c>
      <c r="Q98" s="2"/>
      <c r="R98" s="7">
        <f t="shared" si="78"/>
        <v>1.1346276807089816E-2</v>
      </c>
      <c r="S98" s="2"/>
      <c r="T98" s="6">
        <v>17288.25</v>
      </c>
      <c r="U98" s="2"/>
      <c r="V98" s="7">
        <f t="shared" si="79"/>
        <v>5.3539229779947101E-3</v>
      </c>
      <c r="W98" s="2"/>
      <c r="X98" s="6">
        <f t="shared" si="80"/>
        <v>-16602.04</v>
      </c>
      <c r="Y98" s="2"/>
      <c r="Z98" s="7">
        <f t="shared" si="81"/>
        <v>-0.9603077234537909</v>
      </c>
    </row>
    <row r="99" spans="1:26" s="29" customFormat="1" outlineLevel="1" collapsed="1" x14ac:dyDescent="0.25">
      <c r="A99" s="27"/>
      <c r="B99" s="14" t="str">
        <f>CONCATENATE("     ","Subscriptions &amp; Dues                              ")</f>
        <v xml:space="preserve">     Subscriptions &amp; Dues                              </v>
      </c>
      <c r="C99" s="14"/>
      <c r="D99" s="1">
        <f>SUM(OSRRefD22_19x_0)</f>
        <v>130.66999999999999</v>
      </c>
      <c r="E99" s="1"/>
      <c r="F99" s="5">
        <f t="shared" ref="F99:F110" si="82">IF(D$12=0,0,D99/D$12)</f>
        <v>3.0024654821017025E-3</v>
      </c>
      <c r="G99" s="1"/>
      <c r="H99" s="1">
        <f>SUM(OSRRefH22_19x_0)</f>
        <v>569.82000000000005</v>
      </c>
      <c r="I99" s="1"/>
      <c r="J99" s="5">
        <f t="shared" ref="J99:J110" si="83">IF(H$12=0,0,H99/H$12)</f>
        <v>4.068056844765509E-4</v>
      </c>
      <c r="K99" s="1"/>
      <c r="L99" s="1">
        <f t="shared" ref="L99:L110" si="84">+D99-H99</f>
        <v>-439.15000000000009</v>
      </c>
      <c r="M99" s="1"/>
      <c r="N99" s="5">
        <f t="shared" ref="N99:N110" si="85">IF(H99=0,0,L99/H99)</f>
        <v>-0.77068196974483183</v>
      </c>
      <c r="O99" s="14"/>
      <c r="P99" s="1">
        <f>SUM(OSRRefP22_19x_0)</f>
        <v>271.33</v>
      </c>
      <c r="Q99" s="1"/>
      <c r="R99" s="5">
        <f t="shared" ref="R99:R110" si="86">IF(P$12=0,0,P99/P$12)</f>
        <v>4.4863602775647091E-3</v>
      </c>
      <c r="S99" s="1"/>
      <c r="T99" s="1">
        <f>SUM(OSRRefT22_19x_0)</f>
        <v>2402</v>
      </c>
      <c r="U99" s="1"/>
      <c r="V99" s="5">
        <f t="shared" ref="V99:V110" si="87">IF(T$12=0,0,T99/T$12)</f>
        <v>7.4386493677169722E-4</v>
      </c>
      <c r="W99" s="1"/>
      <c r="X99" s="1">
        <f t="shared" ref="X99:X110" si="88">+P99-T99</f>
        <v>-2130.67</v>
      </c>
      <c r="Y99" s="1"/>
      <c r="Z99" s="5">
        <f t="shared" ref="Z99:Z110" si="89">IF(T99=0,0,X99/T99)</f>
        <v>-0.88703996669442131</v>
      </c>
    </row>
    <row r="100" spans="1:26" s="24" customFormat="1" hidden="1" outlineLevel="2" x14ac:dyDescent="0.25">
      <c r="A100" s="28"/>
      <c r="B100" s="11" t="str">
        <f>CONCATENATE("          ", "6275", " - ", "SUBSCRIPTIONS")</f>
        <v xml:space="preserve">          6275 - SUBSCRIPTIONS</v>
      </c>
      <c r="C100" s="11"/>
      <c r="D100" s="6">
        <v>130.66999999999999</v>
      </c>
      <c r="E100" s="2"/>
      <c r="F100" s="7">
        <f t="shared" si="82"/>
        <v>3.0024654821017025E-3</v>
      </c>
      <c r="G100" s="2"/>
      <c r="H100" s="6">
        <v>569.82000000000005</v>
      </c>
      <c r="I100" s="2"/>
      <c r="J100" s="7">
        <f t="shared" si="83"/>
        <v>4.068056844765509E-4</v>
      </c>
      <c r="K100" s="2"/>
      <c r="L100" s="6">
        <f t="shared" si="84"/>
        <v>-439.15000000000009</v>
      </c>
      <c r="M100" s="2"/>
      <c r="N100" s="7">
        <f t="shared" si="85"/>
        <v>-0.77068196974483183</v>
      </c>
      <c r="O100" s="11"/>
      <c r="P100" s="6">
        <v>271.33</v>
      </c>
      <c r="Q100" s="2"/>
      <c r="R100" s="7">
        <f t="shared" si="86"/>
        <v>4.4863602775647091E-3</v>
      </c>
      <c r="S100" s="2"/>
      <c r="T100" s="6">
        <v>2402</v>
      </c>
      <c r="U100" s="2"/>
      <c r="V100" s="7">
        <f t="shared" si="87"/>
        <v>7.4386493677169722E-4</v>
      </c>
      <c r="W100" s="2"/>
      <c r="X100" s="6">
        <f t="shared" si="88"/>
        <v>-2130.67</v>
      </c>
      <c r="Y100" s="2"/>
      <c r="Z100" s="7">
        <f t="shared" si="89"/>
        <v>-0.88703996669442131</v>
      </c>
    </row>
    <row r="101" spans="1:26" s="29" customFormat="1" outlineLevel="1" collapsed="1" x14ac:dyDescent="0.25">
      <c r="A101" s="27"/>
      <c r="B101" s="14" t="str">
        <f>CONCATENATE("     ","Supplies                                          ")</f>
        <v xml:space="preserve">     Supplies                                          </v>
      </c>
      <c r="C101" s="14"/>
      <c r="D101" s="1">
        <f>SUM(OSRRefD22_20x_0)</f>
        <v>6433.76</v>
      </c>
      <c r="E101" s="1"/>
      <c r="F101" s="5">
        <f t="shared" si="82"/>
        <v>0.14783150164633543</v>
      </c>
      <c r="G101" s="1"/>
      <c r="H101" s="1">
        <f>SUM(OSRRefH22_20x_0)</f>
        <v>34503.22</v>
      </c>
      <c r="I101" s="1"/>
      <c r="J101" s="5">
        <f t="shared" si="83"/>
        <v>2.4632526111307111E-2</v>
      </c>
      <c r="K101" s="1"/>
      <c r="L101" s="1">
        <f t="shared" si="84"/>
        <v>-28069.46</v>
      </c>
      <c r="M101" s="1"/>
      <c r="N101" s="5">
        <f t="shared" si="85"/>
        <v>-0.81353160661526658</v>
      </c>
      <c r="O101" s="14"/>
      <c r="P101" s="1">
        <f>SUM(OSRRefP22_20x_0)</f>
        <v>-20548.590000000004</v>
      </c>
      <c r="Q101" s="1"/>
      <c r="R101" s="5">
        <f t="shared" si="86"/>
        <v>-0.33976478065810428</v>
      </c>
      <c r="S101" s="1"/>
      <c r="T101" s="1">
        <f>SUM(OSRRefT22_20x_0)</f>
        <v>121181.94000000002</v>
      </c>
      <c r="U101" s="1"/>
      <c r="V101" s="5">
        <f t="shared" si="87"/>
        <v>3.7528308133210495E-2</v>
      </c>
      <c r="W101" s="1"/>
      <c r="X101" s="1">
        <f t="shared" si="88"/>
        <v>-141730.53000000003</v>
      </c>
      <c r="Y101" s="1"/>
      <c r="Z101" s="5">
        <f t="shared" si="89"/>
        <v>-1.1695680891063471</v>
      </c>
    </row>
    <row r="102" spans="1:26" s="24" customFormat="1" hidden="1" outlineLevel="2" x14ac:dyDescent="0.25">
      <c r="A102" s="28"/>
      <c r="B102" s="11" t="str">
        <f>CONCATENATE("          ", "6234", " - ", "EXPENDABLE SUPPLIES &amp; EQUIPMEN")</f>
        <v xml:space="preserve">          6234 - EXPENDABLE SUPPLIES &amp; EQUIPMEN</v>
      </c>
      <c r="C102" s="11"/>
      <c r="D102" s="6">
        <v>55.13</v>
      </c>
      <c r="E102" s="2"/>
      <c r="F102" s="7">
        <f t="shared" si="82"/>
        <v>1.2667477005300902E-3</v>
      </c>
      <c r="G102" s="2"/>
      <c r="H102" s="6">
        <v>3976.8</v>
      </c>
      <c r="I102" s="2"/>
      <c r="J102" s="7">
        <f t="shared" si="83"/>
        <v>2.8391155909345887E-3</v>
      </c>
      <c r="K102" s="2"/>
      <c r="L102" s="6">
        <f t="shared" si="84"/>
        <v>-3921.67</v>
      </c>
      <c r="M102" s="2"/>
      <c r="N102" s="7">
        <f t="shared" si="85"/>
        <v>-0.98613709515188086</v>
      </c>
      <c r="O102" s="11"/>
      <c r="P102" s="6">
        <v>627.58000000000004</v>
      </c>
      <c r="Q102" s="2"/>
      <c r="R102" s="7">
        <f t="shared" si="86"/>
        <v>1.037684731874124E-2</v>
      </c>
      <c r="S102" s="2"/>
      <c r="T102" s="6">
        <v>12711.13</v>
      </c>
      <c r="U102" s="2"/>
      <c r="V102" s="7">
        <f t="shared" si="87"/>
        <v>3.9364545852401426E-3</v>
      </c>
      <c r="W102" s="2"/>
      <c r="X102" s="6">
        <f t="shared" si="88"/>
        <v>-12083.55</v>
      </c>
      <c r="Y102" s="2"/>
      <c r="Z102" s="7">
        <f t="shared" si="89"/>
        <v>-0.95062752092064196</v>
      </c>
    </row>
    <row r="103" spans="1:26" s="24" customFormat="1" hidden="1" outlineLevel="2" x14ac:dyDescent="0.25">
      <c r="A103" s="28"/>
      <c r="B103" s="11" t="str">
        <f>CONCATENATE("          ", "6235", " - ", "COVID-19 EXPENSES")</f>
        <v xml:space="preserve">          6235 - COVID-19 EXPENSES</v>
      </c>
      <c r="C103" s="11"/>
      <c r="D103" s="6">
        <v>5932</v>
      </c>
      <c r="E103" s="2"/>
      <c r="F103" s="7">
        <f t="shared" si="82"/>
        <v>0.13630232830662969</v>
      </c>
      <c r="G103" s="2"/>
      <c r="H103" s="6"/>
      <c r="I103" s="2"/>
      <c r="J103" s="7">
        <f t="shared" si="83"/>
        <v>0</v>
      </c>
      <c r="K103" s="2"/>
      <c r="L103" s="6">
        <f t="shared" si="84"/>
        <v>5932</v>
      </c>
      <c r="M103" s="2"/>
      <c r="N103" s="7">
        <f t="shared" si="85"/>
        <v>0</v>
      </c>
      <c r="O103" s="11"/>
      <c r="P103" s="6">
        <v>7089.13</v>
      </c>
      <c r="Q103" s="2"/>
      <c r="R103" s="7">
        <f t="shared" si="86"/>
        <v>0.11721664111779866</v>
      </c>
      <c r="S103" s="2"/>
      <c r="T103" s="6"/>
      <c r="U103" s="2"/>
      <c r="V103" s="7">
        <f t="shared" si="87"/>
        <v>0</v>
      </c>
      <c r="W103" s="2"/>
      <c r="X103" s="6">
        <f t="shared" si="88"/>
        <v>7089.13</v>
      </c>
      <c r="Y103" s="2"/>
      <c r="Z103" s="7">
        <f t="shared" si="89"/>
        <v>0</v>
      </c>
    </row>
    <row r="104" spans="1:26" s="24" customFormat="1" hidden="1" outlineLevel="2" x14ac:dyDescent="0.25">
      <c r="A104" s="28"/>
      <c r="B104" s="11" t="str">
        <f>CONCATENATE("          ", "6237", " - ", "JANITORIAL SUPPLIES")</f>
        <v xml:space="preserve">          6237 - JANITORIAL SUPPLIES</v>
      </c>
      <c r="C104" s="11"/>
      <c r="D104" s="6">
        <v>268.05</v>
      </c>
      <c r="E104" s="2"/>
      <c r="F104" s="7">
        <f t="shared" si="82"/>
        <v>6.1591097610573312E-3</v>
      </c>
      <c r="G104" s="2"/>
      <c r="H104" s="6">
        <v>8656.9699999999993</v>
      </c>
      <c r="I104" s="2"/>
      <c r="J104" s="7">
        <f t="shared" si="83"/>
        <v>6.1803808331454954E-3</v>
      </c>
      <c r="K104" s="2"/>
      <c r="L104" s="6">
        <f t="shared" si="84"/>
        <v>-8388.92</v>
      </c>
      <c r="M104" s="2"/>
      <c r="N104" s="7">
        <f t="shared" si="85"/>
        <v>-0.96903651046497796</v>
      </c>
      <c r="O104" s="11"/>
      <c r="P104" s="6">
        <v>585.62</v>
      </c>
      <c r="Q104" s="2"/>
      <c r="R104" s="7">
        <f t="shared" si="86"/>
        <v>9.6830512871685596E-3</v>
      </c>
      <c r="S104" s="2"/>
      <c r="T104" s="6">
        <v>21205.74</v>
      </c>
      <c r="U104" s="2"/>
      <c r="V104" s="7">
        <f t="shared" si="87"/>
        <v>6.5671134239371574E-3</v>
      </c>
      <c r="W104" s="2"/>
      <c r="X104" s="6">
        <f t="shared" si="88"/>
        <v>-20620.120000000003</v>
      </c>
      <c r="Y104" s="2"/>
      <c r="Z104" s="7">
        <f t="shared" si="89"/>
        <v>-0.97238389228576794</v>
      </c>
    </row>
    <row r="105" spans="1:26" s="24" customFormat="1" hidden="1" outlineLevel="2" x14ac:dyDescent="0.25">
      <c r="A105" s="28"/>
      <c r="B105" s="11" t="str">
        <f>CONCATENATE("          ", "6239", " - ", "KITCHEN SUPPLIES")</f>
        <v xml:space="preserve">          6239 - KITCHEN SUPPLIES</v>
      </c>
      <c r="C105" s="11"/>
      <c r="D105" s="6">
        <v>19.829999999999998</v>
      </c>
      <c r="E105" s="2"/>
      <c r="F105" s="7">
        <f t="shared" si="82"/>
        <v>4.5564315076204758E-4</v>
      </c>
      <c r="G105" s="2"/>
      <c r="H105" s="6">
        <v>9909.17</v>
      </c>
      <c r="I105" s="2"/>
      <c r="J105" s="7">
        <f t="shared" si="83"/>
        <v>7.0743509958311451E-3</v>
      </c>
      <c r="K105" s="2"/>
      <c r="L105" s="6">
        <f t="shared" si="84"/>
        <v>-9889.34</v>
      </c>
      <c r="M105" s="2"/>
      <c r="N105" s="7">
        <f t="shared" si="85"/>
        <v>-0.99799882331214418</v>
      </c>
      <c r="O105" s="11"/>
      <c r="P105" s="6">
        <v>19.829999999999998</v>
      </c>
      <c r="Q105" s="2"/>
      <c r="R105" s="7">
        <f t="shared" si="86"/>
        <v>3.2788311024991039E-4</v>
      </c>
      <c r="S105" s="2"/>
      <c r="T105" s="6">
        <v>27903.53</v>
      </c>
      <c r="U105" s="2"/>
      <c r="V105" s="7">
        <f t="shared" si="87"/>
        <v>8.6413228889080582E-3</v>
      </c>
      <c r="W105" s="2"/>
      <c r="X105" s="6">
        <f t="shared" si="88"/>
        <v>-27883.699999999997</v>
      </c>
      <c r="Y105" s="2"/>
      <c r="Z105" s="7">
        <f t="shared" si="89"/>
        <v>-0.99928933722722535</v>
      </c>
    </row>
    <row r="106" spans="1:26" s="24" customFormat="1" hidden="1" outlineLevel="2" x14ac:dyDescent="0.25">
      <c r="A106" s="28"/>
      <c r="B106" s="11" t="str">
        <f>CONCATENATE("          ", "6241", " - ", "OFFICE EXPENSE")</f>
        <v xml:space="preserve">          6241 - OFFICE EXPENSE</v>
      </c>
      <c r="C106" s="11"/>
      <c r="D106" s="6">
        <v>117.75</v>
      </c>
      <c r="E106" s="2"/>
      <c r="F106" s="7">
        <f t="shared" si="82"/>
        <v>2.7055966213933992E-3</v>
      </c>
      <c r="G106" s="2"/>
      <c r="H106" s="6">
        <v>2759.59</v>
      </c>
      <c r="I106" s="2"/>
      <c r="J106" s="7">
        <f t="shared" si="83"/>
        <v>1.970125476158515E-3</v>
      </c>
      <c r="K106" s="2"/>
      <c r="L106" s="6">
        <f t="shared" si="84"/>
        <v>-2641.84</v>
      </c>
      <c r="M106" s="2"/>
      <c r="N106" s="7">
        <f t="shared" si="85"/>
        <v>-0.95733061795411634</v>
      </c>
      <c r="O106" s="11"/>
      <c r="P106" s="6">
        <v>-28992.030000000002</v>
      </c>
      <c r="Q106" s="2"/>
      <c r="R106" s="7">
        <f t="shared" si="86"/>
        <v>-0.47937453196463492</v>
      </c>
      <c r="S106" s="2"/>
      <c r="T106" s="6">
        <v>12483.54</v>
      </c>
      <c r="U106" s="2"/>
      <c r="V106" s="7">
        <f t="shared" si="87"/>
        <v>3.8659732276381986E-3</v>
      </c>
      <c r="W106" s="2"/>
      <c r="X106" s="6">
        <f t="shared" si="88"/>
        <v>-41475.570000000007</v>
      </c>
      <c r="Y106" s="2"/>
      <c r="Z106" s="7">
        <f t="shared" si="89"/>
        <v>-3.3224205633978827</v>
      </c>
    </row>
    <row r="107" spans="1:26" s="24" customFormat="1" hidden="1" outlineLevel="2" x14ac:dyDescent="0.25">
      <c r="A107" s="28"/>
      <c r="B107" s="11" t="str">
        <f>CONCATENATE("          ", "6243", " - ", "PAPER SUPPLIES")</f>
        <v xml:space="preserve">          6243 - PAPER SUPPLIES</v>
      </c>
      <c r="C107" s="11"/>
      <c r="D107" s="6"/>
      <c r="E107" s="2"/>
      <c r="F107" s="7">
        <f t="shared" si="82"/>
        <v>0</v>
      </c>
      <c r="G107" s="2"/>
      <c r="H107" s="6">
        <v>5797.64</v>
      </c>
      <c r="I107" s="2"/>
      <c r="J107" s="7">
        <f t="shared" si="83"/>
        <v>4.1390490129315054E-3</v>
      </c>
      <c r="K107" s="2"/>
      <c r="L107" s="6">
        <f t="shared" si="84"/>
        <v>-5797.64</v>
      </c>
      <c r="M107" s="2"/>
      <c r="N107" s="7">
        <f t="shared" si="85"/>
        <v>-1</v>
      </c>
      <c r="O107" s="11"/>
      <c r="P107" s="6"/>
      <c r="Q107" s="2"/>
      <c r="R107" s="7">
        <f t="shared" si="86"/>
        <v>0</v>
      </c>
      <c r="S107" s="2"/>
      <c r="T107" s="6">
        <v>16937.439999999999</v>
      </c>
      <c r="U107" s="2"/>
      <c r="V107" s="7">
        <f t="shared" si="87"/>
        <v>5.2452821543190736E-3</v>
      </c>
      <c r="W107" s="2"/>
      <c r="X107" s="6">
        <f t="shared" si="88"/>
        <v>-16937.439999999999</v>
      </c>
      <c r="Y107" s="2"/>
      <c r="Z107" s="7">
        <f t="shared" si="89"/>
        <v>-1</v>
      </c>
    </row>
    <row r="108" spans="1:26" s="24" customFormat="1" hidden="1" outlineLevel="2" x14ac:dyDescent="0.25">
      <c r="A108" s="28"/>
      <c r="B108" s="11" t="str">
        <f>CONCATENATE("          ", "6245", " - ", "PRINTING")</f>
        <v xml:space="preserve">          6245 - PRINTING</v>
      </c>
      <c r="C108" s="11"/>
      <c r="D108" s="6"/>
      <c r="E108" s="2"/>
      <c r="F108" s="7">
        <f t="shared" si="82"/>
        <v>0</v>
      </c>
      <c r="G108" s="2"/>
      <c r="H108" s="6">
        <v>64.48</v>
      </c>
      <c r="I108" s="2"/>
      <c r="J108" s="7">
        <f t="shared" si="83"/>
        <v>4.6033537845368711E-5</v>
      </c>
      <c r="K108" s="2"/>
      <c r="L108" s="6">
        <f t="shared" si="84"/>
        <v>-64.48</v>
      </c>
      <c r="M108" s="2"/>
      <c r="N108" s="7">
        <f t="shared" si="85"/>
        <v>-1</v>
      </c>
      <c r="O108" s="11"/>
      <c r="P108" s="6"/>
      <c r="Q108" s="2"/>
      <c r="R108" s="7">
        <f t="shared" si="86"/>
        <v>0</v>
      </c>
      <c r="S108" s="2"/>
      <c r="T108" s="6">
        <v>299.20999999999998</v>
      </c>
      <c r="U108" s="2"/>
      <c r="V108" s="7">
        <f t="shared" si="87"/>
        <v>9.2661044018093044E-5</v>
      </c>
      <c r="W108" s="2"/>
      <c r="X108" s="6">
        <f t="shared" si="88"/>
        <v>-299.20999999999998</v>
      </c>
      <c r="Y108" s="2"/>
      <c r="Z108" s="7">
        <f t="shared" si="89"/>
        <v>-1</v>
      </c>
    </row>
    <row r="109" spans="1:26" s="24" customFormat="1" hidden="1" outlineLevel="2" x14ac:dyDescent="0.25">
      <c r="A109" s="28"/>
      <c r="B109" s="11" t="str">
        <f>CONCATENATE("          ", "6247", " - ", "STORE SUPPLIES")</f>
        <v xml:space="preserve">          6247 - STORE SUPPLIES</v>
      </c>
      <c r="C109" s="11"/>
      <c r="D109" s="6">
        <v>41</v>
      </c>
      <c r="E109" s="2"/>
      <c r="F109" s="7">
        <f t="shared" si="82"/>
        <v>9.4207610596288216E-4</v>
      </c>
      <c r="G109" s="2"/>
      <c r="H109" s="6">
        <v>3199.16</v>
      </c>
      <c r="I109" s="2"/>
      <c r="J109" s="7">
        <f t="shared" si="83"/>
        <v>2.2839431286195682E-3</v>
      </c>
      <c r="K109" s="2"/>
      <c r="L109" s="6">
        <f t="shared" si="84"/>
        <v>-3158.16</v>
      </c>
      <c r="M109" s="2"/>
      <c r="N109" s="7">
        <f t="shared" si="85"/>
        <v>-0.9871841358356569</v>
      </c>
      <c r="O109" s="11"/>
      <c r="P109" s="6">
        <v>121.28</v>
      </c>
      <c r="Q109" s="2"/>
      <c r="R109" s="7">
        <f t="shared" si="86"/>
        <v>2.0053284725723214E-3</v>
      </c>
      <c r="S109" s="2"/>
      <c r="T109" s="6">
        <v>26158.11</v>
      </c>
      <c r="U109" s="2"/>
      <c r="V109" s="7">
        <f t="shared" si="87"/>
        <v>8.1007913577090338E-3</v>
      </c>
      <c r="W109" s="2"/>
      <c r="X109" s="6">
        <f t="shared" si="88"/>
        <v>-26036.83</v>
      </c>
      <c r="Y109" s="2"/>
      <c r="Z109" s="7">
        <f t="shared" si="89"/>
        <v>-0.99536357940233455</v>
      </c>
    </row>
    <row r="110" spans="1:26" s="24" customFormat="1" hidden="1" outlineLevel="2" x14ac:dyDescent="0.25">
      <c r="A110" s="28"/>
      <c r="B110" s="11" t="str">
        <f>CONCATENATE("          ", "6248", " - ", "UNIFORMS")</f>
        <v xml:space="preserve">          6248 - UNIFORMS</v>
      </c>
      <c r="C110" s="11"/>
      <c r="D110" s="6"/>
      <c r="E110" s="2"/>
      <c r="F110" s="7">
        <f t="shared" si="82"/>
        <v>0</v>
      </c>
      <c r="G110" s="2"/>
      <c r="H110" s="6">
        <v>139.41</v>
      </c>
      <c r="I110" s="2"/>
      <c r="J110" s="7">
        <f t="shared" si="83"/>
        <v>9.9527535840925123E-5</v>
      </c>
      <c r="K110" s="2"/>
      <c r="L110" s="6">
        <f t="shared" si="84"/>
        <v>-139.41</v>
      </c>
      <c r="M110" s="2"/>
      <c r="N110" s="7">
        <f t="shared" si="85"/>
        <v>-1</v>
      </c>
      <c r="O110" s="11"/>
      <c r="P110" s="6"/>
      <c r="Q110" s="2"/>
      <c r="R110" s="7">
        <f t="shared" si="86"/>
        <v>0</v>
      </c>
      <c r="S110" s="2"/>
      <c r="T110" s="6">
        <v>3483.24</v>
      </c>
      <c r="U110" s="2"/>
      <c r="V110" s="7">
        <f t="shared" si="87"/>
        <v>1.0787094514407354E-3</v>
      </c>
      <c r="W110" s="2"/>
      <c r="X110" s="6">
        <f t="shared" si="88"/>
        <v>-3483.24</v>
      </c>
      <c r="Y110" s="2"/>
      <c r="Z110" s="7">
        <f t="shared" si="89"/>
        <v>-1</v>
      </c>
    </row>
    <row r="111" spans="1:26" s="29" customFormat="1" outlineLevel="1" collapsed="1" x14ac:dyDescent="0.25">
      <c r="A111" s="27"/>
      <c r="B111" s="14" t="str">
        <f>CONCATENATE("     ","Telephone/Data Lines                              ")</f>
        <v xml:space="preserve">     Telephone/Data Lines                              </v>
      </c>
      <c r="C111" s="14"/>
      <c r="D111" s="1">
        <f>SUM(OSRRefD22_21x_0)</f>
        <v>1515.66</v>
      </c>
      <c r="E111" s="1"/>
      <c r="F111" s="5">
        <f t="shared" ref="F111:F118" si="90">IF(D$12=0,0,D111/D$12)</f>
        <v>3.4826026116187854E-2</v>
      </c>
      <c r="G111" s="1"/>
      <c r="H111" s="1">
        <f>SUM(OSRRefH22_21x_0)</f>
        <v>2748.98</v>
      </c>
      <c r="I111" s="1"/>
      <c r="J111" s="5">
        <f t="shared" ref="J111:J118" si="91">IF(H$12=0,0,H111/H$12)</f>
        <v>1.9625507888672718E-3</v>
      </c>
      <c r="K111" s="1"/>
      <c r="L111" s="1">
        <f t="shared" ref="L111:L118" si="92">+D111-H111</f>
        <v>-1233.32</v>
      </c>
      <c r="M111" s="1"/>
      <c r="N111" s="5">
        <f t="shared" ref="N111:N118" si="93">IF(H111=0,0,L111/H111)</f>
        <v>-0.44864640703097147</v>
      </c>
      <c r="O111" s="14"/>
      <c r="P111" s="1">
        <f>SUM(OSRRefP22_21x_0)</f>
        <v>5693.31</v>
      </c>
      <c r="Q111" s="1"/>
      <c r="R111" s="5">
        <f t="shared" ref="R111:R118" si="94">IF(P$12=0,0,P111/P$12)</f>
        <v>9.4137175512703855E-2</v>
      </c>
      <c r="S111" s="1"/>
      <c r="T111" s="1">
        <f>SUM(OSRRefT22_21x_0)</f>
        <v>8492.4500000000007</v>
      </c>
      <c r="U111" s="1"/>
      <c r="V111" s="5">
        <f t="shared" ref="V111:V118" si="95">IF(T$12=0,0,T111/T$12)</f>
        <v>2.6299899176880936E-3</v>
      </c>
      <c r="W111" s="1"/>
      <c r="X111" s="1">
        <f t="shared" ref="X111:X118" si="96">+P111-T111</f>
        <v>-2799.1400000000003</v>
      </c>
      <c r="Y111" s="1"/>
      <c r="Z111" s="5">
        <f t="shared" ref="Z111:Z118" si="97">IF(T111=0,0,X111/T111)</f>
        <v>-0.32960335356699189</v>
      </c>
    </row>
    <row r="112" spans="1:26" s="24" customFormat="1" hidden="1" outlineLevel="2" x14ac:dyDescent="0.25">
      <c r="A112" s="28"/>
      <c r="B112" s="11" t="str">
        <f>CONCATENATE("          ", "6309", " - ", "TELEPHONE")</f>
        <v xml:space="preserve">          6309 - TELEPHONE</v>
      </c>
      <c r="C112" s="11"/>
      <c r="D112" s="6">
        <v>1515.66</v>
      </c>
      <c r="E112" s="2"/>
      <c r="F112" s="7">
        <f t="shared" si="90"/>
        <v>3.4826026116187854E-2</v>
      </c>
      <c r="G112" s="2"/>
      <c r="H112" s="6">
        <v>2748.98</v>
      </c>
      <c r="I112" s="2"/>
      <c r="J112" s="7">
        <f t="shared" si="91"/>
        <v>1.9625507888672718E-3</v>
      </c>
      <c r="K112" s="2"/>
      <c r="L112" s="6">
        <f t="shared" si="92"/>
        <v>-1233.32</v>
      </c>
      <c r="M112" s="2"/>
      <c r="N112" s="7">
        <f t="shared" si="93"/>
        <v>-0.44864640703097147</v>
      </c>
      <c r="O112" s="11"/>
      <c r="P112" s="6">
        <v>5693.31</v>
      </c>
      <c r="Q112" s="2"/>
      <c r="R112" s="7">
        <f t="shared" si="94"/>
        <v>9.4137175512703855E-2</v>
      </c>
      <c r="S112" s="2"/>
      <c r="T112" s="6">
        <v>8492.4500000000007</v>
      </c>
      <c r="U112" s="2"/>
      <c r="V112" s="7">
        <f t="shared" si="95"/>
        <v>2.6299899176880936E-3</v>
      </c>
      <c r="W112" s="2"/>
      <c r="X112" s="6">
        <f t="shared" si="96"/>
        <v>-2799.1400000000003</v>
      </c>
      <c r="Y112" s="2"/>
      <c r="Z112" s="7">
        <f t="shared" si="97"/>
        <v>-0.32960335356699189</v>
      </c>
    </row>
    <row r="113" spans="1:26" s="29" customFormat="1" outlineLevel="1" collapsed="1" x14ac:dyDescent="0.25">
      <c r="A113" s="27"/>
      <c r="B113" s="14" t="str">
        <f>CONCATENATE("     ","Training                                          ")</f>
        <v xml:space="preserve">     Training                                          </v>
      </c>
      <c r="C113" s="14"/>
      <c r="D113" s="1">
        <f>SUM(OSRRefD22_22x_0)</f>
        <v>0</v>
      </c>
      <c r="E113" s="1"/>
      <c r="F113" s="5">
        <f t="shared" si="90"/>
        <v>0</v>
      </c>
      <c r="G113" s="1"/>
      <c r="H113" s="1">
        <f>SUM(OSRRefH22_22x_0)</f>
        <v>188.95</v>
      </c>
      <c r="I113" s="1"/>
      <c r="J113" s="5">
        <f t="shared" si="91"/>
        <v>1.34895114390236E-4</v>
      </c>
      <c r="K113" s="1"/>
      <c r="L113" s="1">
        <f t="shared" si="92"/>
        <v>-188.95</v>
      </c>
      <c r="M113" s="1"/>
      <c r="N113" s="5">
        <f t="shared" si="93"/>
        <v>-1</v>
      </c>
      <c r="O113" s="14"/>
      <c r="P113" s="1">
        <f>SUM(OSRRefP22_22x_0)</f>
        <v>0</v>
      </c>
      <c r="Q113" s="1"/>
      <c r="R113" s="5">
        <f t="shared" si="94"/>
        <v>0</v>
      </c>
      <c r="S113" s="1"/>
      <c r="T113" s="1">
        <f>SUM(OSRRefT22_22x_0)</f>
        <v>1663.5</v>
      </c>
      <c r="U113" s="1"/>
      <c r="V113" s="5">
        <f t="shared" si="95"/>
        <v>5.1516208256441223E-4</v>
      </c>
      <c r="W113" s="1"/>
      <c r="X113" s="1">
        <f t="shared" si="96"/>
        <v>-1663.5</v>
      </c>
      <c r="Y113" s="1"/>
      <c r="Z113" s="5">
        <f t="shared" si="97"/>
        <v>-1</v>
      </c>
    </row>
    <row r="114" spans="1:26" s="24" customFormat="1" hidden="1" outlineLevel="2" x14ac:dyDescent="0.25">
      <c r="A114" s="28"/>
      <c r="B114" s="11" t="str">
        <f>CONCATENATE("          ", "6376", " - ", "TRAINING")</f>
        <v xml:space="preserve">          6376 - TRAINING</v>
      </c>
      <c r="C114" s="11"/>
      <c r="D114" s="6"/>
      <c r="E114" s="2"/>
      <c r="F114" s="7">
        <f t="shared" si="90"/>
        <v>0</v>
      </c>
      <c r="G114" s="2"/>
      <c r="H114" s="6">
        <v>188.95</v>
      </c>
      <c r="I114" s="2"/>
      <c r="J114" s="7">
        <f t="shared" si="91"/>
        <v>1.34895114390236E-4</v>
      </c>
      <c r="K114" s="2"/>
      <c r="L114" s="6">
        <f t="shared" si="92"/>
        <v>-188.95</v>
      </c>
      <c r="M114" s="2"/>
      <c r="N114" s="7">
        <f t="shared" si="93"/>
        <v>-1</v>
      </c>
      <c r="O114" s="11"/>
      <c r="P114" s="6"/>
      <c r="Q114" s="2"/>
      <c r="R114" s="7">
        <f t="shared" si="94"/>
        <v>0</v>
      </c>
      <c r="S114" s="2"/>
      <c r="T114" s="6">
        <v>1663.5</v>
      </c>
      <c r="U114" s="2"/>
      <c r="V114" s="7">
        <f t="shared" si="95"/>
        <v>5.1516208256441223E-4</v>
      </c>
      <c r="W114" s="2"/>
      <c r="X114" s="6">
        <f t="shared" si="96"/>
        <v>-1663.5</v>
      </c>
      <c r="Y114" s="2"/>
      <c r="Z114" s="7">
        <f t="shared" si="97"/>
        <v>-1</v>
      </c>
    </row>
    <row r="115" spans="1:26" s="29" customFormat="1" outlineLevel="1" collapsed="1" x14ac:dyDescent="0.25">
      <c r="A115" s="27"/>
      <c r="B115" s="14" t="str">
        <f>CONCATENATE("     ","Travel                                            ")</f>
        <v xml:space="preserve">     Travel                                            </v>
      </c>
      <c r="C115" s="14"/>
      <c r="D115" s="1">
        <f>SUM(OSRRefD22_23x_0)</f>
        <v>0</v>
      </c>
      <c r="E115" s="1"/>
      <c r="F115" s="5">
        <f t="shared" si="90"/>
        <v>0</v>
      </c>
      <c r="G115" s="1"/>
      <c r="H115" s="1">
        <f>SUM(OSRRefH22_23x_0)</f>
        <v>0</v>
      </c>
      <c r="I115" s="1"/>
      <c r="J115" s="5">
        <f t="shared" si="91"/>
        <v>0</v>
      </c>
      <c r="K115" s="1"/>
      <c r="L115" s="1">
        <f t="shared" si="92"/>
        <v>0</v>
      </c>
      <c r="M115" s="1"/>
      <c r="N115" s="5">
        <f t="shared" si="93"/>
        <v>0</v>
      </c>
      <c r="O115" s="14"/>
      <c r="P115" s="1">
        <f>SUM(OSRRefP22_23x_0)</f>
        <v>332.21</v>
      </c>
      <c r="Q115" s="1"/>
      <c r="R115" s="5">
        <f t="shared" si="94"/>
        <v>5.4929928419628201E-3</v>
      </c>
      <c r="S115" s="1"/>
      <c r="T115" s="1">
        <f>SUM(OSRRefT22_23x_0)</f>
        <v>1101.18</v>
      </c>
      <c r="U115" s="1"/>
      <c r="V115" s="5">
        <f t="shared" si="95"/>
        <v>3.4101964657546111E-4</v>
      </c>
      <c r="W115" s="1"/>
      <c r="X115" s="1">
        <f t="shared" si="96"/>
        <v>-768.97</v>
      </c>
      <c r="Y115" s="1"/>
      <c r="Z115" s="5">
        <f t="shared" si="97"/>
        <v>-0.69831453531666032</v>
      </c>
    </row>
    <row r="116" spans="1:26" s="24" customFormat="1" hidden="1" outlineLevel="2" x14ac:dyDescent="0.25">
      <c r="A116" s="28"/>
      <c r="B116" s="11" t="str">
        <f>CONCATENATE("          ", "6292", " - ", "TRAVEL/CONFERENCE")</f>
        <v xml:space="preserve">          6292 - TRAVEL/CONFERENCE</v>
      </c>
      <c r="C116" s="11"/>
      <c r="D116" s="6"/>
      <c r="E116" s="2"/>
      <c r="F116" s="7">
        <f t="shared" si="90"/>
        <v>0</v>
      </c>
      <c r="G116" s="2"/>
      <c r="H116" s="6"/>
      <c r="I116" s="2"/>
      <c r="J116" s="7">
        <f t="shared" si="91"/>
        <v>0</v>
      </c>
      <c r="K116" s="2"/>
      <c r="L116" s="6">
        <f t="shared" si="92"/>
        <v>0</v>
      </c>
      <c r="M116" s="2"/>
      <c r="N116" s="7">
        <f t="shared" si="93"/>
        <v>0</v>
      </c>
      <c r="O116" s="11"/>
      <c r="P116" s="6"/>
      <c r="Q116" s="2"/>
      <c r="R116" s="7">
        <f t="shared" si="94"/>
        <v>0</v>
      </c>
      <c r="S116" s="2"/>
      <c r="T116" s="6">
        <v>545.69000000000005</v>
      </c>
      <c r="U116" s="2"/>
      <c r="V116" s="7">
        <f t="shared" si="95"/>
        <v>1.6899236359156847E-4</v>
      </c>
      <c r="W116" s="2"/>
      <c r="X116" s="6">
        <f t="shared" si="96"/>
        <v>-545.69000000000005</v>
      </c>
      <c r="Y116" s="2"/>
      <c r="Z116" s="7">
        <f t="shared" si="97"/>
        <v>-1</v>
      </c>
    </row>
    <row r="117" spans="1:26" s="24" customFormat="1" hidden="1" outlineLevel="2" x14ac:dyDescent="0.25">
      <c r="A117" s="28"/>
      <c r="B117" s="11" t="str">
        <f>CONCATENATE("          ", "6294", " - ", "TRAVEL OPERATIONAL")</f>
        <v xml:space="preserve">          6294 - TRAVEL OPERATIONAL</v>
      </c>
      <c r="C117" s="11"/>
      <c r="D117" s="6"/>
      <c r="E117" s="2"/>
      <c r="F117" s="7">
        <f t="shared" si="90"/>
        <v>0</v>
      </c>
      <c r="G117" s="2"/>
      <c r="H117" s="6"/>
      <c r="I117" s="2"/>
      <c r="J117" s="7">
        <f t="shared" si="91"/>
        <v>0</v>
      </c>
      <c r="K117" s="2"/>
      <c r="L117" s="6">
        <f t="shared" si="92"/>
        <v>0</v>
      </c>
      <c r="M117" s="2"/>
      <c r="N117" s="7">
        <f t="shared" si="93"/>
        <v>0</v>
      </c>
      <c r="O117" s="11"/>
      <c r="P117" s="6"/>
      <c r="Q117" s="2"/>
      <c r="R117" s="7">
        <f t="shared" si="94"/>
        <v>0</v>
      </c>
      <c r="S117" s="2"/>
      <c r="T117" s="6">
        <v>45.49</v>
      </c>
      <c r="U117" s="2"/>
      <c r="V117" s="7">
        <f t="shared" si="95"/>
        <v>1.4087600322125107E-5</v>
      </c>
      <c r="W117" s="2"/>
      <c r="X117" s="6">
        <f t="shared" si="96"/>
        <v>-45.49</v>
      </c>
      <c r="Y117" s="2"/>
      <c r="Z117" s="7">
        <f t="shared" si="97"/>
        <v>-1</v>
      </c>
    </row>
    <row r="118" spans="1:26" s="24" customFormat="1" hidden="1" outlineLevel="2" x14ac:dyDescent="0.25">
      <c r="A118" s="28"/>
      <c r="B118" s="11" t="str">
        <f>CONCATENATE("          ", "6298", " - ", "VEHICLE MILEAGE")</f>
        <v xml:space="preserve">          6298 - VEHICLE MILEAGE</v>
      </c>
      <c r="C118" s="11"/>
      <c r="D118" s="6"/>
      <c r="E118" s="2"/>
      <c r="F118" s="7">
        <f t="shared" si="90"/>
        <v>0</v>
      </c>
      <c r="G118" s="2"/>
      <c r="H118" s="6"/>
      <c r="I118" s="2"/>
      <c r="J118" s="7">
        <f t="shared" si="91"/>
        <v>0</v>
      </c>
      <c r="K118" s="2"/>
      <c r="L118" s="6">
        <f t="shared" si="92"/>
        <v>0</v>
      </c>
      <c r="M118" s="2"/>
      <c r="N118" s="7">
        <f t="shared" si="93"/>
        <v>0</v>
      </c>
      <c r="O118" s="11"/>
      <c r="P118" s="6">
        <v>332.21</v>
      </c>
      <c r="Q118" s="2"/>
      <c r="R118" s="7">
        <f t="shared" si="94"/>
        <v>5.4929928419628201E-3</v>
      </c>
      <c r="S118" s="2"/>
      <c r="T118" s="6">
        <v>510</v>
      </c>
      <c r="U118" s="2"/>
      <c r="V118" s="7">
        <f t="shared" si="95"/>
        <v>1.5793968266176751E-4</v>
      </c>
      <c r="W118" s="2"/>
      <c r="X118" s="6">
        <f t="shared" si="96"/>
        <v>-177.79000000000002</v>
      </c>
      <c r="Y118" s="2"/>
      <c r="Z118" s="7">
        <f t="shared" si="97"/>
        <v>-0.34860784313725496</v>
      </c>
    </row>
    <row r="119" spans="1:26" s="29" customFormat="1" outlineLevel="1" collapsed="1" x14ac:dyDescent="0.25">
      <c r="A119" s="27"/>
      <c r="B119" s="14" t="str">
        <f>CONCATENATE("     ","Utilities                                         ")</f>
        <v xml:space="preserve">     Utilities                                         </v>
      </c>
      <c r="C119" s="14"/>
      <c r="D119" s="1">
        <f>SUM(OSRRefD22_24x_0)</f>
        <v>-12092</v>
      </c>
      <c r="E119" s="1"/>
      <c r="F119" s="5">
        <f t="shared" ref="F119:F120" si="98">IF(D$12=0,0,D119/D$12)</f>
        <v>-0.27784351886105296</v>
      </c>
      <c r="G119" s="1"/>
      <c r="H119" s="1">
        <f>SUM(OSRRefH22_24x_0)</f>
        <v>14696</v>
      </c>
      <c r="I119" s="1"/>
      <c r="J119" s="5">
        <f t="shared" ref="J119:J120" si="99">IF(H$12=0,0,H119/H$12)</f>
        <v>1.0491762905948179E-2</v>
      </c>
      <c r="K119" s="1"/>
      <c r="L119" s="1">
        <f t="shared" ref="L119:L120" si="100">+D119-H119</f>
        <v>-26788</v>
      </c>
      <c r="M119" s="1"/>
      <c r="N119" s="5">
        <f t="shared" ref="N119:N120" si="101">IF(H119=0,0,L119/H119)</f>
        <v>-1.8228089275993467</v>
      </c>
      <c r="O119" s="14"/>
      <c r="P119" s="1">
        <f>SUM(OSRRefP22_24x_0)</f>
        <v>-5042</v>
      </c>
      <c r="Q119" s="1"/>
      <c r="R119" s="5">
        <f t="shared" ref="R119:R120" si="102">IF(P$12=0,0,P119/P$12)</f>
        <v>-8.3367959751893511E-2</v>
      </c>
      <c r="S119" s="1"/>
      <c r="T119" s="1">
        <f>SUM(OSRRefT22_24x_0)</f>
        <v>46709.120000000003</v>
      </c>
      <c r="U119" s="1"/>
      <c r="V119" s="5">
        <f t="shared" ref="V119:V120" si="103">IF(T$12=0,0,T119/T$12)</f>
        <v>1.4465144294530233E-2</v>
      </c>
      <c r="W119" s="1"/>
      <c r="X119" s="1">
        <f t="shared" ref="X119:X120" si="104">+P119-T119</f>
        <v>-51751.12</v>
      </c>
      <c r="Y119" s="1"/>
      <c r="Z119" s="5">
        <f t="shared" ref="Z119:Z120" si="105">IF(T119=0,0,X119/T119)</f>
        <v>-1.107944658345094</v>
      </c>
    </row>
    <row r="120" spans="1:26" s="24" customFormat="1" hidden="1" outlineLevel="2" x14ac:dyDescent="0.25">
      <c r="A120" s="28"/>
      <c r="B120" s="11" t="str">
        <f>CONCATENATE("          ", "6274", " - ", "UTILITIES")</f>
        <v xml:space="preserve">          6274 - UTILITIES</v>
      </c>
      <c r="C120" s="11"/>
      <c r="D120" s="6">
        <v>-12092</v>
      </c>
      <c r="E120" s="2"/>
      <c r="F120" s="7">
        <f t="shared" si="98"/>
        <v>-0.27784351886105296</v>
      </c>
      <c r="G120" s="2"/>
      <c r="H120" s="6">
        <v>14696</v>
      </c>
      <c r="I120" s="2"/>
      <c r="J120" s="7">
        <f t="shared" si="99"/>
        <v>1.0491762905948179E-2</v>
      </c>
      <c r="K120" s="2"/>
      <c r="L120" s="6">
        <f t="shared" si="100"/>
        <v>-26788</v>
      </c>
      <c r="M120" s="2"/>
      <c r="N120" s="7">
        <f t="shared" si="101"/>
        <v>-1.8228089275993467</v>
      </c>
      <c r="O120" s="11"/>
      <c r="P120" s="6">
        <v>-5042</v>
      </c>
      <c r="Q120" s="2"/>
      <c r="R120" s="7">
        <f t="shared" si="102"/>
        <v>-8.3367959751893511E-2</v>
      </c>
      <c r="S120" s="2"/>
      <c r="T120" s="6">
        <v>46709.120000000003</v>
      </c>
      <c r="U120" s="2"/>
      <c r="V120" s="7">
        <f t="shared" si="103"/>
        <v>1.4465144294530233E-2</v>
      </c>
      <c r="W120" s="2"/>
      <c r="X120" s="6">
        <f t="shared" si="104"/>
        <v>-51751.12</v>
      </c>
      <c r="Y120" s="2"/>
      <c r="Z120" s="7">
        <f t="shared" si="105"/>
        <v>-1.107944658345094</v>
      </c>
    </row>
    <row r="121" spans="1:26" s="57" customFormat="1" x14ac:dyDescent="0.25">
      <c r="A121" s="37"/>
      <c r="B121" s="37"/>
      <c r="C121" s="37"/>
      <c r="D121" s="1"/>
      <c r="E121" s="1"/>
      <c r="F121" s="5"/>
      <c r="G121" s="1"/>
      <c r="H121" s="1"/>
      <c r="I121" s="1"/>
      <c r="J121" s="5"/>
      <c r="K121" s="1"/>
      <c r="L121" s="1"/>
      <c r="M121" s="1"/>
      <c r="N121" s="5"/>
      <c r="O121" s="37"/>
      <c r="P121" s="1"/>
      <c r="Q121" s="1"/>
      <c r="R121" s="5"/>
      <c r="S121" s="1"/>
      <c r="T121" s="1"/>
      <c r="U121" s="1"/>
      <c r="V121" s="5"/>
      <c r="W121" s="1"/>
      <c r="X121" s="1"/>
      <c r="Y121" s="1"/>
      <c r="Z121" s="5"/>
    </row>
    <row r="122" spans="1:26" s="23" customFormat="1" collapsed="1" x14ac:dyDescent="0.25">
      <c r="A122" s="10"/>
      <c r="B122" s="26" t="s">
        <v>0</v>
      </c>
      <c r="C122" s="10"/>
      <c r="D122" s="4">
        <f>SUM(OSRRefD25x_0)</f>
        <v>457.28</v>
      </c>
      <c r="E122" s="4"/>
      <c r="F122" s="12">
        <f t="shared" ref="F122:F125" si="106">IF(D$12=0,0,D122/D$12)</f>
        <v>1.0507135652066018E-2</v>
      </c>
      <c r="G122" s="4"/>
      <c r="H122" s="4">
        <f>SUM(OSRRefH25x_0)</f>
        <v>123863.64</v>
      </c>
      <c r="I122" s="4"/>
      <c r="J122" s="12">
        <f t="shared" ref="J122:J125" si="107">IF(H$12=0,0,H122/H$12)</f>
        <v>8.8428684237052191E-2</v>
      </c>
      <c r="K122" s="4"/>
      <c r="L122" s="4">
        <f t="shared" ref="L122:L125" si="108">+D122-H122</f>
        <v>-123406.36</v>
      </c>
      <c r="M122" s="4"/>
      <c r="N122" s="12">
        <f t="shared" ref="N122:N125" si="109">IF(H122=0,0,L122/H122)</f>
        <v>-0.9963081982735208</v>
      </c>
      <c r="O122" s="10"/>
      <c r="P122" s="4">
        <f>SUM(OSRRefP25x_0)</f>
        <v>4077.2</v>
      </c>
      <c r="Q122" s="4"/>
      <c r="R122" s="12">
        <f t="shared" ref="R122:R125" si="110">IF(P$12=0,0,P122/P$12)</f>
        <v>6.7415280741852476E-2</v>
      </c>
      <c r="S122" s="4"/>
      <c r="T122" s="4">
        <f>SUM(OSRRefT25x_0)</f>
        <v>426524.63</v>
      </c>
      <c r="U122" s="4"/>
      <c r="V122" s="12">
        <f t="shared" ref="V122:V125" si="111">IF(T$12=0,0,T122/T$12)</f>
        <v>0.13208855825417218</v>
      </c>
      <c r="W122" s="4"/>
      <c r="X122" s="4">
        <f t="shared" ref="X122:X125" si="112">+P122-T122</f>
        <v>-422447.43</v>
      </c>
      <c r="Y122" s="4"/>
      <c r="Z122" s="12">
        <f t="shared" ref="Z122:Z125" si="113">IF(T122=0,0,X122/T122)</f>
        <v>-0.99044088028398258</v>
      </c>
    </row>
    <row r="123" spans="1:26" s="24" customFormat="1" hidden="1" outlineLevel="1" x14ac:dyDescent="0.25">
      <c r="A123" s="44"/>
      <c r="B123" s="11" t="str">
        <f>CONCATENATE("          ", "9150", " - ", "MISC. INCOME")</f>
        <v xml:space="preserve">          9150 - MISC. INCOME</v>
      </c>
      <c r="C123" s="11"/>
      <c r="D123" s="2">
        <f>--119.09</f>
        <v>119.09</v>
      </c>
      <c r="E123" s="2"/>
      <c r="F123" s="19">
        <f t="shared" si="106"/>
        <v>2.7363864258321863E-3</v>
      </c>
      <c r="G123" s="2"/>
      <c r="H123" s="2">
        <f>--50769.74</f>
        <v>50769.74</v>
      </c>
      <c r="I123" s="2"/>
      <c r="J123" s="19">
        <f t="shared" si="107"/>
        <v>3.624551407707087E-2</v>
      </c>
      <c r="K123" s="2"/>
      <c r="L123" s="2">
        <f t="shared" si="108"/>
        <v>-50650.65</v>
      </c>
      <c r="M123" s="2"/>
      <c r="N123" s="19">
        <f t="shared" si="109"/>
        <v>-0.99765431140675531</v>
      </c>
      <c r="O123" s="11"/>
      <c r="P123" s="2">
        <f>--923.77</f>
        <v>923.77</v>
      </c>
      <c r="Q123" s="2"/>
      <c r="R123" s="19">
        <f t="shared" si="110"/>
        <v>1.5274260249902154E-2</v>
      </c>
      <c r="S123" s="2"/>
      <c r="T123" s="2">
        <f>--117296.68</f>
        <v>117296.68</v>
      </c>
      <c r="U123" s="2"/>
      <c r="V123" s="19">
        <f t="shared" si="111"/>
        <v>3.6325098855840961E-2</v>
      </c>
      <c r="W123" s="2"/>
      <c r="X123" s="2">
        <f t="shared" si="112"/>
        <v>-116372.90999999999</v>
      </c>
      <c r="Y123" s="2"/>
      <c r="Z123" s="19">
        <f t="shared" si="113"/>
        <v>-0.99212450002847474</v>
      </c>
    </row>
    <row r="124" spans="1:26" s="24" customFormat="1" hidden="1" outlineLevel="1" x14ac:dyDescent="0.25">
      <c r="A124" s="44"/>
      <c r="B124" s="11" t="str">
        <f>CONCATENATE("          ", "9160", " - ", "MISC. INCOME")</f>
        <v xml:space="preserve">          9160 - MISC. INCOME</v>
      </c>
      <c r="C124" s="11"/>
      <c r="D124" s="2">
        <f>--338.19</f>
        <v>338.19</v>
      </c>
      <c r="E124" s="2"/>
      <c r="F124" s="19">
        <f t="shared" si="106"/>
        <v>7.7707492262338324E-3</v>
      </c>
      <c r="G124" s="2"/>
      <c r="H124" s="2">
        <f>--65384.61</f>
        <v>65384.61</v>
      </c>
      <c r="I124" s="2"/>
      <c r="J124" s="19">
        <f t="shared" si="107"/>
        <v>4.6679356683307589E-2</v>
      </c>
      <c r="K124" s="2"/>
      <c r="L124" s="2">
        <f t="shared" si="108"/>
        <v>-65046.42</v>
      </c>
      <c r="M124" s="2"/>
      <c r="N124" s="19">
        <f t="shared" si="109"/>
        <v>-0.99482768192698556</v>
      </c>
      <c r="O124" s="11"/>
      <c r="P124" s="2">
        <f>--2328.25</f>
        <v>2328.25</v>
      </c>
      <c r="Q124" s="2"/>
      <c r="R124" s="19">
        <f t="shared" si="110"/>
        <v>3.8496916361036505E-2</v>
      </c>
      <c r="S124" s="2"/>
      <c r="T124" s="2">
        <f>--96357.88</f>
        <v>96357.88</v>
      </c>
      <c r="U124" s="2"/>
      <c r="V124" s="19">
        <f t="shared" si="111"/>
        <v>2.9840652919922894E-2</v>
      </c>
      <c r="W124" s="2"/>
      <c r="X124" s="2">
        <f t="shared" si="112"/>
        <v>-94029.63</v>
      </c>
      <c r="Y124" s="2"/>
      <c r="Z124" s="19">
        <f t="shared" si="113"/>
        <v>-0.97583747172519775</v>
      </c>
    </row>
    <row r="125" spans="1:26" s="24" customFormat="1" hidden="1" outlineLevel="1" x14ac:dyDescent="0.25">
      <c r="A125" s="44"/>
      <c r="B125" s="11" t="str">
        <f>CONCATENATE("          ", "9165", " - ", "OTHER INCOME")</f>
        <v xml:space="preserve">          9165 - OTHER INCOME</v>
      </c>
      <c r="C125" s="11"/>
      <c r="D125" s="2">
        <f>0</f>
        <v>0</v>
      </c>
      <c r="E125" s="2"/>
      <c r="F125" s="19">
        <f t="shared" si="106"/>
        <v>0</v>
      </c>
      <c r="G125" s="2"/>
      <c r="H125" s="2">
        <f>--7709.29</f>
        <v>7709.29</v>
      </c>
      <c r="I125" s="2"/>
      <c r="J125" s="19">
        <f t="shared" si="107"/>
        <v>5.5038134766737367E-3</v>
      </c>
      <c r="K125" s="2"/>
      <c r="L125" s="2">
        <f t="shared" si="108"/>
        <v>-7709.29</v>
      </c>
      <c r="M125" s="2"/>
      <c r="N125" s="19">
        <f t="shared" si="109"/>
        <v>-1</v>
      </c>
      <c r="O125" s="11"/>
      <c r="P125" s="2">
        <f>--825.18</f>
        <v>825.18</v>
      </c>
      <c r="Q125" s="2"/>
      <c r="R125" s="19">
        <f t="shared" si="110"/>
        <v>1.364410413091382E-2</v>
      </c>
      <c r="S125" s="2"/>
      <c r="T125" s="2">
        <f>--212870.07</f>
        <v>212870.07</v>
      </c>
      <c r="U125" s="2"/>
      <c r="V125" s="19">
        <f t="shared" si="111"/>
        <v>6.5922806478408313E-2</v>
      </c>
      <c r="W125" s="2"/>
      <c r="X125" s="2">
        <f t="shared" si="112"/>
        <v>-212044.89</v>
      </c>
      <c r="Y125" s="2"/>
      <c r="Z125" s="19">
        <f t="shared" si="113"/>
        <v>-0.99612355085898174</v>
      </c>
    </row>
    <row r="126" spans="1:26" x14ac:dyDescent="0.25">
      <c r="A126" s="9"/>
      <c r="B126" s="10"/>
      <c r="C126" s="10"/>
      <c r="D126" s="3"/>
      <c r="E126" s="3"/>
      <c r="F126" s="8"/>
      <c r="G126" s="3"/>
      <c r="H126" s="3"/>
      <c r="I126" s="3"/>
      <c r="J126" s="8"/>
      <c r="K126" s="3"/>
      <c r="L126" s="3"/>
      <c r="M126" s="3"/>
      <c r="N126" s="8"/>
      <c r="O126" s="10"/>
      <c r="P126" s="3"/>
      <c r="Q126" s="3"/>
      <c r="R126" s="8"/>
      <c r="S126" s="3"/>
      <c r="T126" s="3"/>
      <c r="U126" s="3"/>
      <c r="V126" s="8"/>
      <c r="W126" s="3"/>
      <c r="X126" s="3"/>
      <c r="Y126" s="3"/>
      <c r="Z126" s="8"/>
    </row>
    <row r="127" spans="1:26" s="23" customFormat="1" x14ac:dyDescent="0.25">
      <c r="A127" s="10"/>
      <c r="B127" s="25" t="s">
        <v>3</v>
      </c>
      <c r="C127" s="25"/>
      <c r="D127" s="20">
        <f>+D33-D35+D122</f>
        <v>-118845.23000000001</v>
      </c>
      <c r="E127" s="13"/>
      <c r="F127" s="21">
        <f>IF(D$12=0,0,D127/D$12)</f>
        <v>-2.7307622314795883</v>
      </c>
      <c r="G127" s="13"/>
      <c r="H127" s="20">
        <f>+H33-H35+H122</f>
        <v>278387.7300000001</v>
      </c>
      <c r="I127" s="13"/>
      <c r="J127" s="21">
        <f>IF(H$12=0,0,H127/H$12)</f>
        <v>0.1987464656426999</v>
      </c>
      <c r="K127" s="15"/>
      <c r="L127" s="20">
        <f>+D127-H127</f>
        <v>-397232.96000000008</v>
      </c>
      <c r="M127" s="15"/>
      <c r="N127" s="21">
        <f>IF(H127=0,0,L127/H127)</f>
        <v>-1.4269054171317104</v>
      </c>
      <c r="O127" s="26"/>
      <c r="P127" s="20">
        <f>+P33-P35+P122</f>
        <v>-529289.74999999977</v>
      </c>
      <c r="Q127" s="13"/>
      <c r="R127" s="21">
        <f>IF(P$12=0,0,P127/P$12)</f>
        <v>-8.7516474762177232</v>
      </c>
      <c r="S127" s="13"/>
      <c r="T127" s="20">
        <f>+T33-T35+T122</f>
        <v>69646.709999999148</v>
      </c>
      <c r="U127" s="13"/>
      <c r="V127" s="21">
        <f>IF(T$12=0,0,T127/T$12)</f>
        <v>2.1568586815364735E-2</v>
      </c>
      <c r="W127" s="15"/>
      <c r="X127" s="20">
        <f>+P127-T127</f>
        <v>-598936.45999999892</v>
      </c>
      <c r="Y127" s="15"/>
      <c r="Z127" s="21">
        <f>IF(T127=0,0,X127/T127)</f>
        <v>-8.5996375133872984</v>
      </c>
    </row>
    <row r="128" spans="1:26" x14ac:dyDescent="0.25">
      <c r="A128" s="9"/>
      <c r="B128" s="10"/>
      <c r="C128" s="9"/>
      <c r="D128" s="3"/>
      <c r="E128" s="3"/>
      <c r="F128" s="8"/>
      <c r="G128" s="3"/>
      <c r="H128" s="3"/>
      <c r="I128" s="3"/>
      <c r="J128" s="8"/>
      <c r="K128" s="3"/>
      <c r="L128" s="3"/>
      <c r="M128" s="3"/>
      <c r="N128" s="8"/>
      <c r="P128" s="3"/>
      <c r="Q128" s="3"/>
      <c r="R128" s="8"/>
      <c r="S128" s="3"/>
      <c r="T128" s="3"/>
      <c r="U128" s="3"/>
      <c r="V128" s="8"/>
      <c r="W128" s="3"/>
      <c r="X128" s="3"/>
      <c r="Y128" s="3"/>
      <c r="Z128" s="8"/>
    </row>
    <row r="129" spans="1:26" s="23" customFormat="1" x14ac:dyDescent="0.25">
      <c r="A129" s="51"/>
      <c r="B129" s="10" t="s">
        <v>13</v>
      </c>
      <c r="C129" s="10"/>
      <c r="D129" s="4">
        <v>9959.48</v>
      </c>
      <c r="E129" s="4"/>
      <c r="F129" s="12">
        <f>IF(D$12=0,0,D129/D$12)</f>
        <v>0.22884361306866355</v>
      </c>
      <c r="G129" s="4"/>
      <c r="H129" s="4">
        <v>128657.12</v>
      </c>
      <c r="I129" s="4"/>
      <c r="J129" s="12">
        <f>IF(H$12=0,0,H129/H$12)</f>
        <v>9.1850843712719343E-2</v>
      </c>
      <c r="K129" s="4"/>
      <c r="L129" s="4">
        <f>+D129-H129</f>
        <v>-118697.64</v>
      </c>
      <c r="M129" s="4"/>
      <c r="N129" s="12">
        <f>IF(H129=0,0,L129/H129)</f>
        <v>-0.92258897136823836</v>
      </c>
      <c r="O129" s="10"/>
      <c r="P129" s="4">
        <v>13101.04</v>
      </c>
      <c r="Q129" s="4"/>
      <c r="R129" s="12">
        <f>IF(P$12=0,0,P129/P$12)</f>
        <v>0.21662177219911682</v>
      </c>
      <c r="S129" s="4"/>
      <c r="T129" s="4">
        <v>325047.52</v>
      </c>
      <c r="U129" s="4"/>
      <c r="V129" s="12">
        <f>IF(T$12=0,0,T129/T$12)</f>
        <v>0.1006625532525383</v>
      </c>
      <c r="W129" s="4"/>
      <c r="X129" s="4">
        <f>+P129-T129</f>
        <v>-311946.48000000004</v>
      </c>
      <c r="Y129" s="4"/>
      <c r="Z129" s="12">
        <f>IF(T129=0,0,X129/T129)</f>
        <v>-0.95969500090325266</v>
      </c>
    </row>
    <row r="130" spans="1:26" x14ac:dyDescent="0.25">
      <c r="A130" s="9"/>
      <c r="B130" s="10"/>
      <c r="C130" s="10"/>
      <c r="D130" s="3"/>
      <c r="E130" s="3"/>
      <c r="F130" s="8"/>
      <c r="G130" s="3"/>
      <c r="H130" s="3"/>
      <c r="I130" s="3"/>
      <c r="J130" s="8"/>
      <c r="K130" s="3"/>
      <c r="L130" s="3"/>
      <c r="M130" s="3"/>
      <c r="N130" s="8"/>
      <c r="O130" s="10"/>
      <c r="P130" s="3"/>
      <c r="Q130" s="3"/>
      <c r="R130" s="8"/>
      <c r="S130" s="3"/>
      <c r="T130" s="3"/>
      <c r="U130" s="3"/>
      <c r="V130" s="8"/>
      <c r="W130" s="3"/>
      <c r="X130" s="3"/>
      <c r="Y130" s="3"/>
      <c r="Z130" s="8"/>
    </row>
    <row r="131" spans="1:26" s="23" customFormat="1" ht="15.75" thickBot="1" x14ac:dyDescent="0.3">
      <c r="A131" s="10"/>
      <c r="B131" s="25" t="s">
        <v>4</v>
      </c>
      <c r="C131" s="25"/>
      <c r="D131" s="30">
        <f>+D127-D129</f>
        <v>-128804.71</v>
      </c>
      <c r="E131" s="13"/>
      <c r="F131" s="33">
        <f>IF(D$12=0,0,D131/D$12)</f>
        <v>-2.9596058445482516</v>
      </c>
      <c r="G131" s="13"/>
      <c r="H131" s="30">
        <f>+H127-H129</f>
        <v>149730.6100000001</v>
      </c>
      <c r="I131" s="13"/>
      <c r="J131" s="33">
        <f>IF(H$12=0,0,H131/H$12)</f>
        <v>0.10689562192998057</v>
      </c>
      <c r="K131" s="15"/>
      <c r="L131" s="30">
        <f>D131-H131</f>
        <v>-278535.32000000012</v>
      </c>
      <c r="M131" s="15"/>
      <c r="N131" s="33">
        <f>IF(H131=0,0,L131/H131)</f>
        <v>-1.8602430057554693</v>
      </c>
      <c r="O131" s="26"/>
      <c r="P131" s="30">
        <f>+P127-P129</f>
        <v>-542390.7899999998</v>
      </c>
      <c r="Q131" s="13"/>
      <c r="R131" s="33">
        <f>IF(P$12=0,0,P131/P$12)</f>
        <v>-8.9682692484168403</v>
      </c>
      <c r="S131" s="13"/>
      <c r="T131" s="30">
        <f>+T127-T129</f>
        <v>-255400.81000000087</v>
      </c>
      <c r="U131" s="13"/>
      <c r="V131" s="33">
        <f>IF(T$12=0,0,T131/T$12)</f>
        <v>-7.9093966437173563E-2</v>
      </c>
      <c r="W131" s="15"/>
      <c r="X131" s="30">
        <f>P131-T131</f>
        <v>-286989.97999999893</v>
      </c>
      <c r="Y131" s="15"/>
      <c r="Z131" s="33">
        <f>IF(T131=0,0,X131/T131)</f>
        <v>1.1236846899584929</v>
      </c>
    </row>
    <row r="132" spans="1:26" ht="15.75" thickTop="1" x14ac:dyDescent="0.25">
      <c r="A132" s="9"/>
      <c r="B132" s="9"/>
      <c r="C132" s="9"/>
      <c r="D132" s="3"/>
      <c r="E132" s="3"/>
      <c r="F132" s="8"/>
      <c r="G132" s="3"/>
      <c r="H132" s="3"/>
      <c r="I132" s="3"/>
      <c r="J132" s="8"/>
      <c r="K132" s="3"/>
      <c r="L132" s="3"/>
      <c r="M132" s="3"/>
      <c r="N132" s="8"/>
      <c r="P132" s="3"/>
      <c r="Q132" s="3"/>
      <c r="R132" s="8"/>
      <c r="S132" s="3"/>
      <c r="T132" s="3"/>
      <c r="U132" s="3"/>
      <c r="V132" s="8"/>
      <c r="W132" s="3"/>
      <c r="X132" s="3"/>
      <c r="Y132" s="3"/>
      <c r="Z132" s="8"/>
    </row>
    <row r="133" spans="1:26" x14ac:dyDescent="0.25">
      <c r="A133" s="9"/>
      <c r="B133" s="9"/>
      <c r="C133" s="9"/>
      <c r="D133" s="3"/>
      <c r="E133" s="3"/>
      <c r="F133" s="8"/>
      <c r="G133" s="3"/>
      <c r="H133" s="3"/>
      <c r="I133" s="3"/>
      <c r="J133" s="8"/>
      <c r="K133" s="3"/>
      <c r="L133" s="3"/>
      <c r="M133" s="3"/>
      <c r="N133" s="8"/>
      <c r="P133" s="3"/>
      <c r="Q133" s="3"/>
      <c r="R133" s="8"/>
      <c r="S133" s="3"/>
      <c r="T133" s="3"/>
      <c r="U133" s="3"/>
      <c r="V133" s="8"/>
      <c r="W133" s="3"/>
      <c r="X133" s="3"/>
      <c r="Y133" s="3"/>
      <c r="Z133" s="8"/>
    </row>
    <row r="134" spans="1:26" s="23" customFormat="1" ht="15.75" thickBot="1" x14ac:dyDescent="0.3">
      <c r="A134" s="10"/>
      <c r="B134" s="25" t="s">
        <v>5</v>
      </c>
      <c r="C134" s="25"/>
      <c r="D134" s="34">
        <f>SUM(D131:D133)</f>
        <v>-128804.71</v>
      </c>
      <c r="E134" s="13"/>
      <c r="F134" s="35">
        <f>IF(D$12=0,0,D134/D$12)</f>
        <v>-2.9596058445482516</v>
      </c>
      <c r="G134" s="13"/>
      <c r="H134" s="34">
        <f>SUM(H131:H133)</f>
        <v>149730.6100000001</v>
      </c>
      <c r="I134" s="13"/>
      <c r="J134" s="35">
        <f>IF(H$12=0,0,H134/H$12)</f>
        <v>0.10689562192998057</v>
      </c>
      <c r="K134" s="15"/>
      <c r="L134" s="34">
        <f>+D134-H134</f>
        <v>-278535.32000000012</v>
      </c>
      <c r="M134" s="15"/>
      <c r="N134" s="35">
        <f>IF(H134=0,0,L134/H134)</f>
        <v>-1.8602430057554693</v>
      </c>
      <c r="O134" s="26"/>
      <c r="P134" s="34">
        <f>SUM(P131:P133)</f>
        <v>-542390.7899999998</v>
      </c>
      <c r="Q134" s="13"/>
      <c r="R134" s="35">
        <f>IF(P$12=0,0,P134/P$12)</f>
        <v>-8.9682692484168403</v>
      </c>
      <c r="S134" s="13"/>
      <c r="T134" s="34">
        <f>SUM(T131:T133)</f>
        <v>-255400.81000000087</v>
      </c>
      <c r="U134" s="13"/>
      <c r="V134" s="35">
        <f>IF(T$12=0,0,T134/T$12)</f>
        <v>-7.9093966437173563E-2</v>
      </c>
      <c r="W134" s="15"/>
      <c r="X134" s="34">
        <f>+P134-T134</f>
        <v>-286989.97999999893</v>
      </c>
      <c r="Y134" s="15"/>
      <c r="Z134" s="35">
        <f>IF(T134=0,0,X134/T134)</f>
        <v>1.1236846899584929</v>
      </c>
    </row>
    <row r="135" spans="1:26" ht="15.75" thickTop="1" x14ac:dyDescent="0.25">
      <c r="A135" s="9"/>
      <c r="C135" s="9"/>
      <c r="D135" s="18"/>
      <c r="E135" s="18"/>
      <c r="G135" s="18"/>
      <c r="H135" s="18"/>
      <c r="I135" s="18"/>
      <c r="J135" s="43"/>
      <c r="K135" s="18"/>
      <c r="L135" s="18"/>
      <c r="M135" s="18"/>
      <c r="P135" s="18"/>
      <c r="Q135" s="18"/>
      <c r="R135" s="43"/>
      <c r="S135" s="18"/>
      <c r="T135" s="18"/>
      <c r="U135" s="18"/>
      <c r="V135" s="43"/>
      <c r="W135" s="18"/>
      <c r="X135" s="18"/>
    </row>
    <row r="136" spans="1:26" x14ac:dyDescent="0.25">
      <c r="A136" s="9"/>
      <c r="B136" s="56">
        <v>44151.572027083334</v>
      </c>
      <c r="D136" s="18"/>
      <c r="E136" s="18"/>
      <c r="G136" s="18"/>
      <c r="H136" s="18"/>
      <c r="I136" s="18"/>
      <c r="J136" s="43"/>
      <c r="K136" s="18"/>
      <c r="L136" s="18"/>
      <c r="M136" s="18"/>
      <c r="P136" s="18"/>
      <c r="Q136" s="18"/>
      <c r="R136" s="43"/>
      <c r="S136" s="18"/>
      <c r="T136" s="18"/>
      <c r="U136" s="18"/>
      <c r="V136" s="43"/>
      <c r="W136" s="18"/>
      <c r="X136" s="18"/>
    </row>
    <row r="137" spans="1:26" x14ac:dyDescent="0.25">
      <c r="A137" s="9"/>
      <c r="B137" s="62" t="s">
        <v>313</v>
      </c>
      <c r="D137" s="18"/>
      <c r="E137" s="18"/>
      <c r="G137" s="18"/>
      <c r="H137" s="18"/>
      <c r="I137" s="18"/>
      <c r="J137" s="43"/>
      <c r="K137" s="18"/>
      <c r="L137" s="18"/>
      <c r="M137" s="18"/>
      <c r="P137" s="18"/>
      <c r="Q137" s="18"/>
      <c r="R137" s="43"/>
      <c r="S137" s="18"/>
      <c r="T137" s="18"/>
      <c r="U137" s="18"/>
      <c r="V137" s="43"/>
      <c r="W137" s="18"/>
      <c r="X137" s="18"/>
    </row>
    <row r="138" spans="1:26" x14ac:dyDescent="0.25">
      <c r="A138" s="9"/>
      <c r="B138" s="54"/>
      <c r="D138" s="18"/>
      <c r="E138" s="18"/>
      <c r="G138" s="18"/>
      <c r="H138" s="18"/>
      <c r="I138" s="18"/>
      <c r="J138" s="43"/>
      <c r="K138" s="18"/>
      <c r="L138" s="18"/>
      <c r="M138" s="18"/>
      <c r="P138" s="18"/>
      <c r="Q138" s="18"/>
      <c r="R138" s="43"/>
      <c r="S138" s="18"/>
      <c r="T138" s="18"/>
      <c r="U138" s="18"/>
      <c r="V138" s="43"/>
      <c r="W138" s="18"/>
      <c r="X138" s="18"/>
    </row>
    <row r="139" spans="1:26" x14ac:dyDescent="0.25">
      <c r="D139" s="18"/>
      <c r="E139" s="18"/>
      <c r="G139" s="18"/>
      <c r="H139" s="18"/>
      <c r="I139" s="18"/>
      <c r="J139" s="43"/>
      <c r="K139" s="18"/>
      <c r="L139" s="18"/>
      <c r="M139" s="18"/>
      <c r="P139" s="18"/>
      <c r="Q139" s="18"/>
      <c r="R139" s="43"/>
      <c r="S139" s="18"/>
      <c r="T139" s="18"/>
      <c r="U139" s="18"/>
      <c r="V139" s="43"/>
      <c r="W139" s="18"/>
      <c r="X139" s="18"/>
    </row>
  </sheetData>
  <pageMargins left="0.25" right="0.25" top="0.75" bottom="0.75" header="0.3" footer="0.3"/>
  <pageSetup scale="55" fitToWidth="2" orientation="landscape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30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",RIGHT(202104,2),", ",2021)</f>
        <v>Period 04,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44135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299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61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50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50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2"/>
      <c r="F10" s="31" t="s">
        <v>14</v>
      </c>
      <c r="G10" s="32"/>
      <c r="H10" s="49" t="s">
        <v>306</v>
      </c>
      <c r="I10" s="32"/>
      <c r="J10" s="31" t="s">
        <v>14</v>
      </c>
      <c r="K10" s="10"/>
      <c r="L10" s="42" t="s">
        <v>11</v>
      </c>
      <c r="M10" s="10"/>
      <c r="N10" s="31" t="s">
        <v>15</v>
      </c>
      <c r="O10" s="10"/>
      <c r="P10" s="59" t="s">
        <v>10</v>
      </c>
      <c r="Q10" s="32"/>
      <c r="R10" s="31" t="s">
        <v>14</v>
      </c>
      <c r="S10" s="32"/>
      <c r="T10" s="49" t="s">
        <v>306</v>
      </c>
      <c r="U10" s="32"/>
      <c r="V10" s="31" t="s">
        <v>14</v>
      </c>
      <c r="W10" s="10"/>
      <c r="X10" s="42" t="s">
        <v>11</v>
      </c>
      <c r="Y10" s="10"/>
      <c r="Z10" s="31" t="s">
        <v>15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43520.9</v>
      </c>
      <c r="E12" s="4"/>
      <c r="F12" s="12"/>
      <c r="G12" s="4"/>
      <c r="H12" s="4">
        <f>SUM(OSRRefH13x_0)</f>
        <v>871131.28999999992</v>
      </c>
      <c r="I12" s="4"/>
      <c r="J12" s="12"/>
      <c r="K12" s="4"/>
      <c r="L12" s="4">
        <f t="shared" ref="L12:L21" si="0">+D12-H12</f>
        <v>-827610.3899999999</v>
      </c>
      <c r="M12" s="4"/>
      <c r="N12" s="12">
        <f t="shared" ref="N12:N21" si="1">IF(H12=0,0,L12/H12)</f>
        <v>-0.95004094044193954</v>
      </c>
      <c r="O12" s="10"/>
      <c r="P12" s="4">
        <f>SUM(OSRRefP13x_0)</f>
        <v>57892.400000000009</v>
      </c>
      <c r="Q12" s="4"/>
      <c r="R12" s="12"/>
      <c r="S12" s="4"/>
      <c r="T12" s="4">
        <f>SUM(OSRRefT13x_0)</f>
        <v>2111008.38</v>
      </c>
      <c r="U12" s="4"/>
      <c r="V12" s="12"/>
      <c r="W12" s="4"/>
      <c r="X12" s="4">
        <f t="shared" ref="X12:X21" si="2">+P12-T12</f>
        <v>-2053115.98</v>
      </c>
      <c r="Y12" s="4"/>
      <c r="Z12" s="12">
        <f t="shared" ref="Z12:Z21" si="3">IF(T12=0,0,X12/T12)</f>
        <v>-0.97257594969850381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--6097.26</f>
        <v>6097.26</v>
      </c>
      <c r="E13" s="2"/>
      <c r="F13" s="19"/>
      <c r="G13" s="2"/>
      <c r="H13" s="2">
        <f>--89845.91</f>
        <v>89845.91</v>
      </c>
      <c r="I13" s="2"/>
      <c r="J13" s="19"/>
      <c r="K13" s="2"/>
      <c r="L13" s="2">
        <f t="shared" si="0"/>
        <v>-83748.650000000009</v>
      </c>
      <c r="M13" s="2"/>
      <c r="N13" s="19">
        <f t="shared" si="1"/>
        <v>-0.93213647677451328</v>
      </c>
      <c r="O13" s="11"/>
      <c r="P13" s="2">
        <f>--12749.94</f>
        <v>12749.94</v>
      </c>
      <c r="Q13" s="2"/>
      <c r="R13" s="19"/>
      <c r="S13" s="2"/>
      <c r="T13" s="2">
        <f>--225616.67</f>
        <v>225616.67</v>
      </c>
      <c r="U13" s="2"/>
      <c r="V13" s="19"/>
      <c r="W13" s="2"/>
      <c r="X13" s="2">
        <f t="shared" si="2"/>
        <v>-212866.73</v>
      </c>
      <c r="Y13" s="2"/>
      <c r="Z13" s="19">
        <f t="shared" si="3"/>
        <v>-0.94348848425074261</v>
      </c>
    </row>
    <row r="14" spans="1:26" s="24" customFormat="1" hidden="1" outlineLevel="1" x14ac:dyDescent="0.25">
      <c r="A14" s="44"/>
      <c r="B14" s="11" t="str">
        <f>CONCATENATE("          ", "4052", " - ", "TAXABLE SALES-FOOD")</f>
        <v xml:space="preserve">          4052 - TAXABLE SALES-FOOD</v>
      </c>
      <c r="C14" s="11"/>
      <c r="D14" s="2">
        <f>--30231.29</f>
        <v>30231.29</v>
      </c>
      <c r="E14" s="2"/>
      <c r="F14" s="19"/>
      <c r="G14" s="2"/>
      <c r="H14" s="2">
        <f>--115316.39</f>
        <v>115316.39</v>
      </c>
      <c r="I14" s="2"/>
      <c r="J14" s="19"/>
      <c r="K14" s="2"/>
      <c r="L14" s="2">
        <f t="shared" si="0"/>
        <v>-85085.1</v>
      </c>
      <c r="M14" s="2"/>
      <c r="N14" s="19">
        <f t="shared" si="1"/>
        <v>-0.73784047523513363</v>
      </c>
      <c r="O14" s="11"/>
      <c r="P14" s="2">
        <f>--30231.29</f>
        <v>30231.29</v>
      </c>
      <c r="Q14" s="2"/>
      <c r="R14" s="19"/>
      <c r="S14" s="2"/>
      <c r="T14" s="2">
        <f>--368822.4</f>
        <v>368822.4</v>
      </c>
      <c r="U14" s="2"/>
      <c r="V14" s="19"/>
      <c r="W14" s="2"/>
      <c r="X14" s="2">
        <f t="shared" si="2"/>
        <v>-338591.11000000004</v>
      </c>
      <c r="Y14" s="2"/>
      <c r="Z14" s="19">
        <f t="shared" si="3"/>
        <v>-0.91803293400834662</v>
      </c>
    </row>
    <row r="15" spans="1:26" s="24" customFormat="1" hidden="1" outlineLevel="1" x14ac:dyDescent="0.25">
      <c r="A15" s="44"/>
      <c r="B15" s="11" t="str">
        <f>CONCATENATE("          ", "4053", " - ", "TAXABLE SALES-FOOD")</f>
        <v xml:space="preserve">          4053 - TAXABLE SALES-FOOD</v>
      </c>
      <c r="C15" s="11"/>
      <c r="D15" s="2">
        <f t="shared" ref="D15:D17" si="4">0</f>
        <v>0</v>
      </c>
      <c r="E15" s="2"/>
      <c r="F15" s="19"/>
      <c r="G15" s="2"/>
      <c r="H15" s="2">
        <f>--13668.19</f>
        <v>13668.19</v>
      </c>
      <c r="I15" s="2"/>
      <c r="J15" s="19"/>
      <c r="K15" s="2"/>
      <c r="L15" s="2">
        <f t="shared" si="0"/>
        <v>-13668.19</v>
      </c>
      <c r="M15" s="2"/>
      <c r="N15" s="19">
        <f t="shared" si="1"/>
        <v>-1</v>
      </c>
      <c r="O15" s="11"/>
      <c r="P15" s="2">
        <f t="shared" ref="P15:P16" si="5">0</f>
        <v>0</v>
      </c>
      <c r="Q15" s="2"/>
      <c r="R15" s="19"/>
      <c r="S15" s="2"/>
      <c r="T15" s="2">
        <f>--60500.61</f>
        <v>60500.61</v>
      </c>
      <c r="U15" s="2"/>
      <c r="V15" s="19"/>
      <c r="W15" s="2"/>
      <c r="X15" s="2">
        <f t="shared" si="2"/>
        <v>-60500.61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"4055", " - ", "TAXABLE SALES-FOOD")</f>
        <v xml:space="preserve">          4055 - TAXABLE SALES-FOOD</v>
      </c>
      <c r="C16" s="11"/>
      <c r="D16" s="2">
        <f t="shared" si="4"/>
        <v>0</v>
      </c>
      <c r="E16" s="2"/>
      <c r="F16" s="19"/>
      <c r="G16" s="2"/>
      <c r="H16" s="2">
        <f>--75155.92</f>
        <v>75155.92</v>
      </c>
      <c r="I16" s="2"/>
      <c r="J16" s="19"/>
      <c r="K16" s="2"/>
      <c r="L16" s="2">
        <f t="shared" si="0"/>
        <v>-75155.92</v>
      </c>
      <c r="M16" s="2"/>
      <c r="N16" s="19">
        <f t="shared" si="1"/>
        <v>-1</v>
      </c>
      <c r="O16" s="11"/>
      <c r="P16" s="2">
        <f t="shared" si="5"/>
        <v>0</v>
      </c>
      <c r="Q16" s="2"/>
      <c r="R16" s="19"/>
      <c r="S16" s="2"/>
      <c r="T16" s="2">
        <f>--185991.6</f>
        <v>185991.6</v>
      </c>
      <c r="U16" s="2"/>
      <c r="V16" s="19"/>
      <c r="W16" s="2"/>
      <c r="X16" s="2">
        <f t="shared" si="2"/>
        <v>-185991.6</v>
      </c>
      <c r="Y16" s="2"/>
      <c r="Z16" s="19">
        <f t="shared" si="3"/>
        <v>-1</v>
      </c>
    </row>
    <row r="17" spans="1:26" s="24" customFormat="1" hidden="1" outlineLevel="1" x14ac:dyDescent="0.25">
      <c r="A17" s="44"/>
      <c r="B17" s="11" t="str">
        <f>CONCATENATE("          ", "4058", " - ", "TAXABLE SALES-FOOD")</f>
        <v xml:space="preserve">          4058 - TAXABLE SALES-FOOD</v>
      </c>
      <c r="C17" s="11"/>
      <c r="D17" s="2">
        <f t="shared" si="4"/>
        <v>0</v>
      </c>
      <c r="E17" s="2"/>
      <c r="F17" s="19"/>
      <c r="G17" s="2"/>
      <c r="H17" s="2">
        <f>--21855.03</f>
        <v>21855.03</v>
      </c>
      <c r="I17" s="2"/>
      <c r="J17" s="19"/>
      <c r="K17" s="2"/>
      <c r="L17" s="2">
        <f t="shared" si="0"/>
        <v>-21855.03</v>
      </c>
      <c r="M17" s="2"/>
      <c r="N17" s="19">
        <f t="shared" si="1"/>
        <v>-1</v>
      </c>
      <c r="O17" s="11"/>
      <c r="P17" s="2">
        <f>--974.91</f>
        <v>974.91</v>
      </c>
      <c r="Q17" s="2"/>
      <c r="R17" s="19"/>
      <c r="S17" s="2"/>
      <c r="T17" s="2">
        <f>--64145.93</f>
        <v>64145.93</v>
      </c>
      <c r="U17" s="2"/>
      <c r="V17" s="19"/>
      <c r="W17" s="2"/>
      <c r="X17" s="2">
        <f t="shared" si="2"/>
        <v>-63171.02</v>
      </c>
      <c r="Y17" s="2"/>
      <c r="Z17" s="19">
        <f t="shared" si="3"/>
        <v>-0.98480168578115546</v>
      </c>
    </row>
    <row r="18" spans="1:26" s="24" customFormat="1" hidden="1" outlineLevel="1" x14ac:dyDescent="0.25">
      <c r="A18" s="44"/>
      <c r="B18" s="11" t="str">
        <f>CONCATENATE("          ", "4151", " - ", "NON-TAXABLE SALES-FOOD")</f>
        <v xml:space="preserve">          4151 - NON-TAXABLE SALES-FOOD</v>
      </c>
      <c r="C18" s="11"/>
      <c r="D18" s="2">
        <f>--7192.35</f>
        <v>7192.35</v>
      </c>
      <c r="E18" s="2"/>
      <c r="F18" s="19"/>
      <c r="G18" s="2"/>
      <c r="H18" s="2">
        <f>--301473.99</f>
        <v>301473.99</v>
      </c>
      <c r="I18" s="2"/>
      <c r="J18" s="19"/>
      <c r="K18" s="2"/>
      <c r="L18" s="2">
        <f t="shared" si="0"/>
        <v>-294281.64</v>
      </c>
      <c r="M18" s="2"/>
      <c r="N18" s="19">
        <f t="shared" si="1"/>
        <v>-0.97614271798373065</v>
      </c>
      <c r="O18" s="11"/>
      <c r="P18" s="2">
        <f>--13936.26</f>
        <v>13936.26</v>
      </c>
      <c r="Q18" s="2"/>
      <c r="R18" s="19"/>
      <c r="S18" s="2"/>
      <c r="T18" s="2">
        <f>--641025.08</f>
        <v>641025.07999999996</v>
      </c>
      <c r="U18" s="2"/>
      <c r="V18" s="19"/>
      <c r="W18" s="2"/>
      <c r="X18" s="2">
        <f t="shared" si="2"/>
        <v>-627088.81999999995</v>
      </c>
      <c r="Y18" s="2"/>
      <c r="Z18" s="19">
        <f t="shared" si="3"/>
        <v>-0.97825941537264027</v>
      </c>
    </row>
    <row r="19" spans="1:26" s="24" customFormat="1" hidden="1" outlineLevel="1" x14ac:dyDescent="0.25">
      <c r="A19" s="44"/>
      <c r="B19" s="11" t="str">
        <f>CONCATENATE("          ", "4152", " - ", "NON-TAXABLE SALES-FOOD")</f>
        <v xml:space="preserve">          4152 - NON-TAXABLE SALES-FOOD</v>
      </c>
      <c r="C19" s="11"/>
      <c r="D19" s="2">
        <f t="shared" ref="D19:D21" si="6">0</f>
        <v>0</v>
      </c>
      <c r="E19" s="2"/>
      <c r="F19" s="19"/>
      <c r="G19" s="2"/>
      <c r="H19" s="2">
        <f>--9149.73</f>
        <v>9149.73</v>
      </c>
      <c r="I19" s="2"/>
      <c r="J19" s="19"/>
      <c r="K19" s="2"/>
      <c r="L19" s="2">
        <f t="shared" si="0"/>
        <v>-9149.73</v>
      </c>
      <c r="M19" s="2"/>
      <c r="N19" s="19">
        <f t="shared" si="1"/>
        <v>-1</v>
      </c>
      <c r="O19" s="11"/>
      <c r="P19" s="2">
        <f t="shared" ref="P19:P21" si="7">0</f>
        <v>0</v>
      </c>
      <c r="Q19" s="2"/>
      <c r="R19" s="19"/>
      <c r="S19" s="2"/>
      <c r="T19" s="2">
        <f>--24938.79</f>
        <v>24938.79</v>
      </c>
      <c r="U19" s="2"/>
      <c r="V19" s="19"/>
      <c r="W19" s="2"/>
      <c r="X19" s="2">
        <f t="shared" si="2"/>
        <v>-24938.79</v>
      </c>
      <c r="Y19" s="2"/>
      <c r="Z19" s="19">
        <f t="shared" si="3"/>
        <v>-1</v>
      </c>
    </row>
    <row r="20" spans="1:26" s="24" customFormat="1" hidden="1" outlineLevel="1" x14ac:dyDescent="0.25">
      <c r="A20" s="44"/>
      <c r="B20" s="11" t="str">
        <f>CONCATENATE("          ", "4155", " - ", "NON-TAXABLE SALES-FOOD")</f>
        <v xml:space="preserve">          4155 - NON-TAXABLE SALES-FOOD</v>
      </c>
      <c r="C20" s="11"/>
      <c r="D20" s="2">
        <f t="shared" si="6"/>
        <v>0</v>
      </c>
      <c r="E20" s="2"/>
      <c r="F20" s="19"/>
      <c r="G20" s="2"/>
      <c r="H20" s="2">
        <f>--149192.49</f>
        <v>149192.49</v>
      </c>
      <c r="I20" s="2"/>
      <c r="J20" s="19"/>
      <c r="K20" s="2"/>
      <c r="L20" s="2">
        <f t="shared" si="0"/>
        <v>-149192.49</v>
      </c>
      <c r="M20" s="2"/>
      <c r="N20" s="19">
        <f t="shared" si="1"/>
        <v>-1</v>
      </c>
      <c r="O20" s="11"/>
      <c r="P20" s="2">
        <f t="shared" si="7"/>
        <v>0</v>
      </c>
      <c r="Q20" s="2"/>
      <c r="R20" s="19"/>
      <c r="S20" s="2"/>
      <c r="T20" s="2">
        <f>--332247.03</f>
        <v>332247.03000000003</v>
      </c>
      <c r="U20" s="2"/>
      <c r="V20" s="19"/>
      <c r="W20" s="2"/>
      <c r="X20" s="2">
        <f t="shared" si="2"/>
        <v>-332247.03000000003</v>
      </c>
      <c r="Y20" s="2"/>
      <c r="Z20" s="19">
        <f t="shared" si="3"/>
        <v>-1</v>
      </c>
    </row>
    <row r="21" spans="1:26" s="24" customFormat="1" hidden="1" outlineLevel="1" x14ac:dyDescent="0.25">
      <c r="A21" s="44"/>
      <c r="B21" s="11" t="str">
        <f>CONCATENATE("          ", "4158", " - ", "NON-TAXABLE SALES-FOOD")</f>
        <v xml:space="preserve">          4158 - NON-TAXABLE SALES-FOOD</v>
      </c>
      <c r="C21" s="11"/>
      <c r="D21" s="2">
        <f t="shared" si="6"/>
        <v>0</v>
      </c>
      <c r="E21" s="2"/>
      <c r="F21" s="19"/>
      <c r="G21" s="2"/>
      <c r="H21" s="2">
        <f>--95473.64</f>
        <v>95473.64</v>
      </c>
      <c r="I21" s="2"/>
      <c r="J21" s="19"/>
      <c r="K21" s="2"/>
      <c r="L21" s="2">
        <f t="shared" si="0"/>
        <v>-95473.64</v>
      </c>
      <c r="M21" s="2"/>
      <c r="N21" s="19">
        <f t="shared" si="1"/>
        <v>-1</v>
      </c>
      <c r="O21" s="11"/>
      <c r="P21" s="2">
        <f t="shared" si="7"/>
        <v>0</v>
      </c>
      <c r="Q21" s="2"/>
      <c r="R21" s="19"/>
      <c r="S21" s="2"/>
      <c r="T21" s="2">
        <f>--207720.27</f>
        <v>207720.27</v>
      </c>
      <c r="U21" s="2"/>
      <c r="V21" s="19"/>
      <c r="W21" s="2"/>
      <c r="X21" s="2">
        <f t="shared" si="2"/>
        <v>-207720.27</v>
      </c>
      <c r="Y21" s="2"/>
      <c r="Z21" s="19">
        <f t="shared" si="3"/>
        <v>-1</v>
      </c>
    </row>
    <row r="22" spans="1:26" x14ac:dyDescent="0.25">
      <c r="A22" s="9"/>
      <c r="B22" s="10"/>
      <c r="C22" s="9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collapsed="1" x14ac:dyDescent="0.25">
      <c r="A23" s="10"/>
      <c r="B23" s="26" t="s">
        <v>8</v>
      </c>
      <c r="C23" s="10"/>
      <c r="D23" s="4">
        <f>SUM(OSRRefD16x_0)</f>
        <v>5796.07</v>
      </c>
      <c r="E23" s="4"/>
      <c r="F23" s="12">
        <f t="shared" ref="F23:F25" si="8">IF(D$12=0,0,D23/D$12)</f>
        <v>0.13317900135337274</v>
      </c>
      <c r="G23" s="4"/>
      <c r="H23" s="4">
        <f>SUM(OSRRefH16x_0)</f>
        <v>243493.85999999996</v>
      </c>
      <c r="I23" s="4"/>
      <c r="J23" s="12">
        <f t="shared" ref="J23:J25" si="9">IF(H$12=0,0,H23/H$12)</f>
        <v>0.27951453792917941</v>
      </c>
      <c r="K23" s="4"/>
      <c r="L23" s="4">
        <f t="shared" ref="L23:L25" si="10">+D23-H23</f>
        <v>-237697.78999999995</v>
      </c>
      <c r="M23" s="4"/>
      <c r="N23" s="12">
        <f t="shared" ref="N23:N25" si="11">IF(H23=0,0,L23/H23)</f>
        <v>-0.97619623755605167</v>
      </c>
      <c r="O23" s="10"/>
      <c r="P23" s="4">
        <f>SUM(OSRRefP16x_0)</f>
        <v>11812.47</v>
      </c>
      <c r="Q23" s="4"/>
      <c r="R23" s="12">
        <f t="shared" ref="R23:R25" si="12">IF(P$12=0,0,P23/P$12)</f>
        <v>0.20404180859663787</v>
      </c>
      <c r="S23" s="4"/>
      <c r="T23" s="4">
        <f>SUM(OSRRefT16x_0)</f>
        <v>685404.78999999992</v>
      </c>
      <c r="U23" s="4"/>
      <c r="V23" s="12">
        <f t="shared" ref="V23:V25" si="13">IF(T$12=0,0,T23/T$12)</f>
        <v>0.32468122651412684</v>
      </c>
      <c r="W23" s="4"/>
      <c r="X23" s="4">
        <f t="shared" ref="X23:X25" si="14">+P23-T23</f>
        <v>-673592.31999999995</v>
      </c>
      <c r="Y23" s="4"/>
      <c r="Z23" s="12">
        <f t="shared" ref="Z23:Z25" si="15">IF(T23=0,0,X23/T23)</f>
        <v>-0.9827657025857669</v>
      </c>
    </row>
    <row r="24" spans="1:26" s="24" customFormat="1" hidden="1" outlineLevel="1" x14ac:dyDescent="0.25">
      <c r="A24" s="44"/>
      <c r="B24" s="11" t="str">
        <f>CONCATENATE("          ", "5053", " - ", "PURCHASES @ COST-FOOD")</f>
        <v xml:space="preserve">          5053 - PURCHASES @ COST-FOOD</v>
      </c>
      <c r="C24" s="11"/>
      <c r="D24" s="2">
        <v>4199.07</v>
      </c>
      <c r="E24" s="2"/>
      <c r="F24" s="19">
        <f t="shared" si="8"/>
        <v>9.6483988152818514E-2</v>
      </c>
      <c r="G24" s="2"/>
      <c r="H24" s="2">
        <v>275289.89999999997</v>
      </c>
      <c r="I24" s="2"/>
      <c r="J24" s="19">
        <f t="shared" si="9"/>
        <v>0.31601424855259186</v>
      </c>
      <c r="K24" s="2"/>
      <c r="L24" s="2">
        <f t="shared" si="10"/>
        <v>-271090.82999999996</v>
      </c>
      <c r="M24" s="2"/>
      <c r="N24" s="19">
        <f t="shared" si="11"/>
        <v>-0.98474673426086456</v>
      </c>
      <c r="O24" s="11"/>
      <c r="P24" s="2">
        <v>9629.41</v>
      </c>
      <c r="Q24" s="2"/>
      <c r="R24" s="19">
        <f t="shared" si="12"/>
        <v>0.16633288652741982</v>
      </c>
      <c r="S24" s="2"/>
      <c r="T24" s="2">
        <v>725056.94</v>
      </c>
      <c r="U24" s="2"/>
      <c r="V24" s="19">
        <f t="shared" si="13"/>
        <v>0.34346473792775756</v>
      </c>
      <c r="W24" s="2"/>
      <c r="X24" s="2">
        <f t="shared" si="14"/>
        <v>-715427.52999999991</v>
      </c>
      <c r="Y24" s="2"/>
      <c r="Z24" s="19">
        <f t="shared" si="15"/>
        <v>-0.98671909822696124</v>
      </c>
    </row>
    <row r="25" spans="1:26" s="24" customFormat="1" hidden="1" outlineLevel="1" x14ac:dyDescent="0.25">
      <c r="A25" s="44"/>
      <c r="B25" s="11" t="str">
        <f>CONCATENATE("          ", "5059", " - ", "PURCHASES @ COST-FOOD")</f>
        <v xml:space="preserve">          5059 - PURCHASES @ COST-FOOD</v>
      </c>
      <c r="C25" s="11"/>
      <c r="D25" s="2">
        <v>1597</v>
      </c>
      <c r="E25" s="2"/>
      <c r="F25" s="19">
        <f t="shared" si="8"/>
        <v>3.6695013200554218E-2</v>
      </c>
      <c r="G25" s="2"/>
      <c r="H25" s="2">
        <v>-31796.04</v>
      </c>
      <c r="I25" s="2"/>
      <c r="J25" s="19">
        <f t="shared" si="9"/>
        <v>-3.6499710623412465E-2</v>
      </c>
      <c r="K25" s="2"/>
      <c r="L25" s="2">
        <f t="shared" si="10"/>
        <v>33393.040000000001</v>
      </c>
      <c r="M25" s="2"/>
      <c r="N25" s="19">
        <f t="shared" si="11"/>
        <v>-1.0502263803920238</v>
      </c>
      <c r="O25" s="11"/>
      <c r="P25" s="2">
        <v>2183.06</v>
      </c>
      <c r="Q25" s="2"/>
      <c r="R25" s="19">
        <f t="shared" si="12"/>
        <v>3.7708922069218061E-2</v>
      </c>
      <c r="S25" s="2"/>
      <c r="T25" s="2">
        <v>-39652.15</v>
      </c>
      <c r="U25" s="2"/>
      <c r="V25" s="19">
        <f t="shared" si="13"/>
        <v>-1.8783511413630678E-2</v>
      </c>
      <c r="W25" s="2"/>
      <c r="X25" s="2">
        <f t="shared" si="14"/>
        <v>41835.21</v>
      </c>
      <c r="Y25" s="2"/>
      <c r="Z25" s="19">
        <f t="shared" si="15"/>
        <v>-1.0550552744302641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6</v>
      </c>
      <c r="C27" s="25"/>
      <c r="D27" s="20">
        <f>D12-D23</f>
        <v>37724.83</v>
      </c>
      <c r="E27" s="13"/>
      <c r="F27" s="21">
        <f>IF(D$12=0,0,D27/D$12)</f>
        <v>0.86682099864662732</v>
      </c>
      <c r="G27" s="13"/>
      <c r="H27" s="20">
        <f>H12-H23</f>
        <v>627637.42999999993</v>
      </c>
      <c r="I27" s="13"/>
      <c r="J27" s="21">
        <f>IF(H$12=0,0,H27/H$12)</f>
        <v>0.72048546207082054</v>
      </c>
      <c r="K27" s="15"/>
      <c r="L27" s="20">
        <f>+D27-H27</f>
        <v>-589912.6</v>
      </c>
      <c r="M27" s="15"/>
      <c r="N27" s="21">
        <f>IF(H27=0,0,L27/H27)</f>
        <v>-0.93989391295544633</v>
      </c>
      <c r="O27" s="26"/>
      <c r="P27" s="20">
        <f>P12-P23</f>
        <v>46079.930000000008</v>
      </c>
      <c r="Q27" s="13"/>
      <c r="R27" s="21">
        <f>IF(P$12=0,0,P27/P$12)</f>
        <v>0.7959581914033621</v>
      </c>
      <c r="S27" s="13"/>
      <c r="T27" s="20">
        <f>T12-T23</f>
        <v>1425603.5899999999</v>
      </c>
      <c r="U27" s="13"/>
      <c r="V27" s="21">
        <f>IF(T$12=0,0,T27/T$12)</f>
        <v>0.6753187734858731</v>
      </c>
      <c r="W27" s="15"/>
      <c r="X27" s="20">
        <f>+P27-T27</f>
        <v>-1379523.66</v>
      </c>
      <c r="Y27" s="15"/>
      <c r="Z27" s="21">
        <f>IF(T27=0,0,X27/T27)</f>
        <v>-0.96767689817616132</v>
      </c>
    </row>
    <row r="28" spans="1:26" x14ac:dyDescent="0.25">
      <c r="A28" s="9"/>
      <c r="B28" s="10"/>
      <c r="C28" s="9"/>
      <c r="D28" s="1"/>
      <c r="E28" s="1"/>
      <c r="F28" s="5"/>
      <c r="G28" s="1"/>
      <c r="H28" s="1"/>
      <c r="I28" s="1"/>
      <c r="J28" s="5"/>
      <c r="K28" s="1"/>
      <c r="L28" s="1"/>
      <c r="M28" s="1"/>
      <c r="N28" s="5"/>
      <c r="O28" s="37"/>
      <c r="P28" s="1"/>
      <c r="Q28" s="1"/>
      <c r="R28" s="5"/>
      <c r="S28" s="1"/>
      <c r="T28" s="1"/>
      <c r="U28" s="1"/>
      <c r="V28" s="5"/>
      <c r="W28" s="1"/>
      <c r="X28" s="1"/>
      <c r="Y28" s="1"/>
      <c r="Z28" s="5"/>
    </row>
    <row r="29" spans="1:26" s="23" customFormat="1" x14ac:dyDescent="0.25">
      <c r="A29" s="10"/>
      <c r="B29" s="26" t="s">
        <v>9</v>
      </c>
      <c r="C29" s="10"/>
      <c r="D29" s="22">
        <f>SUM(OSRRefD22x_0)</f>
        <v>117574.27</v>
      </c>
      <c r="E29" s="22"/>
      <c r="F29" s="36">
        <f t="shared" ref="F29:F39" si="16">IF(D$12=0,0,D29/D$12)</f>
        <v>2.7015587912933787</v>
      </c>
      <c r="G29" s="22"/>
      <c r="H29" s="22">
        <f>SUM(OSRRefH22x_0)</f>
        <v>603646.81999999995</v>
      </c>
      <c r="I29" s="22"/>
      <c r="J29" s="36">
        <f t="shared" ref="J29:J39" si="17">IF(H$12=0,0,H29/H$12)</f>
        <v>0.69294585894165273</v>
      </c>
      <c r="K29" s="4"/>
      <c r="L29" s="22">
        <f t="shared" ref="L29:L39" si="18">+D29-H29</f>
        <v>-486072.54999999993</v>
      </c>
      <c r="M29" s="4"/>
      <c r="N29" s="36">
        <f t="shared" ref="N29:N39" si="19">IF(H29=0,0,L29/H29)</f>
        <v>-0.80522672181061095</v>
      </c>
      <c r="O29" s="10"/>
      <c r="P29" s="22">
        <f>SUM(OSRRefP22x_0)</f>
        <v>447356.03000000009</v>
      </c>
      <c r="Q29" s="22"/>
      <c r="R29" s="36">
        <f t="shared" ref="R29:R39" si="20">IF(P$12=0,0,P29/P$12)</f>
        <v>7.7273706047771382</v>
      </c>
      <c r="S29" s="22"/>
      <c r="T29" s="22">
        <f>SUM(OSRRefT22x_0)</f>
        <v>1929839.2100000004</v>
      </c>
      <c r="U29" s="22"/>
      <c r="V29" s="36">
        <f t="shared" ref="V29:V39" si="21">IF(T$12=0,0,T29/T$12)</f>
        <v>0.91417884849893416</v>
      </c>
      <c r="W29" s="4"/>
      <c r="X29" s="22">
        <f t="shared" ref="X29:X39" si="22">+P29-T29</f>
        <v>-1482483.1800000004</v>
      </c>
      <c r="Y29" s="4"/>
      <c r="Z29" s="36">
        <f t="shared" ref="Z29:Z39" si="23">IF(T29=0,0,X29/T29)</f>
        <v>-0.76818999858542625</v>
      </c>
    </row>
    <row r="30" spans="1:26" s="29" customFormat="1" outlineLevel="1" collapsed="1" x14ac:dyDescent="0.25">
      <c r="A30" s="27"/>
      <c r="B30" s="14" t="str">
        <f>CONCATENATE("     ","*Benefits                                         ")</f>
        <v xml:space="preserve">     *Benefits                                         </v>
      </c>
      <c r="C30" s="14"/>
      <c r="D30" s="1">
        <f>SUM(OSRRefD22_0x_0)</f>
        <v>23261.620000000003</v>
      </c>
      <c r="E30" s="1"/>
      <c r="F30" s="5">
        <f t="shared" si="16"/>
        <v>0.53449308263386097</v>
      </c>
      <c r="G30" s="1"/>
      <c r="H30" s="1">
        <f>SUM(OSRRefH22_0x_0)</f>
        <v>73113.73</v>
      </c>
      <c r="I30" s="1"/>
      <c r="J30" s="5">
        <f t="shared" si="17"/>
        <v>8.3929633614698879E-2</v>
      </c>
      <c r="K30" s="1"/>
      <c r="L30" s="1">
        <f t="shared" si="18"/>
        <v>-49852.109999999993</v>
      </c>
      <c r="M30" s="1"/>
      <c r="N30" s="5">
        <f t="shared" si="19"/>
        <v>-0.681843341872997</v>
      </c>
      <c r="O30" s="14"/>
      <c r="P30" s="1">
        <f>SUM(OSRRefP22_0x_0)</f>
        <v>92093</v>
      </c>
      <c r="Q30" s="1"/>
      <c r="R30" s="5">
        <f t="shared" si="20"/>
        <v>1.5907614816452589</v>
      </c>
      <c r="S30" s="1"/>
      <c r="T30" s="1">
        <f>SUM(OSRRefT22_0x_0)</f>
        <v>275996.31999999995</v>
      </c>
      <c r="U30" s="1"/>
      <c r="V30" s="5">
        <f t="shared" si="21"/>
        <v>0.13074146110211082</v>
      </c>
      <c r="W30" s="1"/>
      <c r="X30" s="1">
        <f t="shared" si="22"/>
        <v>-183903.31999999995</v>
      </c>
      <c r="Y30" s="1"/>
      <c r="Z30" s="5">
        <f t="shared" si="23"/>
        <v>-0.6663252611484094</v>
      </c>
    </row>
    <row r="31" spans="1:26" s="24" customFormat="1" hidden="1" outlineLevel="2" x14ac:dyDescent="0.25">
      <c r="A31" s="28"/>
      <c r="B31" s="11" t="str">
        <f>CONCATENATE("          ", "6111", " - ", "F.I.C.A.")</f>
        <v xml:space="preserve">          6111 - F.I.C.A.</v>
      </c>
      <c r="C31" s="11"/>
      <c r="D31" s="6">
        <v>4927.41</v>
      </c>
      <c r="E31" s="2"/>
      <c r="F31" s="7">
        <f t="shared" si="16"/>
        <v>0.11321939573859915</v>
      </c>
      <c r="G31" s="2"/>
      <c r="H31" s="6">
        <v>23590.09</v>
      </c>
      <c r="I31" s="2"/>
      <c r="J31" s="7">
        <f t="shared" si="17"/>
        <v>2.7079833167282973E-2</v>
      </c>
      <c r="K31" s="2"/>
      <c r="L31" s="6">
        <f t="shared" si="18"/>
        <v>-18662.68</v>
      </c>
      <c r="M31" s="2"/>
      <c r="N31" s="7">
        <f t="shared" si="19"/>
        <v>-0.79112373034609029</v>
      </c>
      <c r="O31" s="11"/>
      <c r="P31" s="6">
        <v>12347.79</v>
      </c>
      <c r="Q31" s="2"/>
      <c r="R31" s="7">
        <f t="shared" si="20"/>
        <v>0.21328861819513439</v>
      </c>
      <c r="S31" s="2"/>
      <c r="T31" s="6">
        <v>58001.82</v>
      </c>
      <c r="U31" s="2"/>
      <c r="V31" s="7">
        <f t="shared" si="21"/>
        <v>2.7475883350117258E-2</v>
      </c>
      <c r="W31" s="2"/>
      <c r="X31" s="6">
        <f t="shared" si="22"/>
        <v>-45654.03</v>
      </c>
      <c r="Y31" s="2"/>
      <c r="Z31" s="7">
        <f t="shared" si="23"/>
        <v>-0.78711374918924959</v>
      </c>
    </row>
    <row r="32" spans="1:26" s="24" customFormat="1" hidden="1" outlineLevel="2" x14ac:dyDescent="0.25">
      <c r="A32" s="28"/>
      <c r="B32" s="11" t="str">
        <f>CONCATENATE("          ", "6112", " - ", "COMPENSATION INSURANCE")</f>
        <v xml:space="preserve">          6112 - COMPENSATION INSURANCE</v>
      </c>
      <c r="C32" s="11"/>
      <c r="D32" s="6">
        <v>656.61</v>
      </c>
      <c r="E32" s="2"/>
      <c r="F32" s="7">
        <f t="shared" si="16"/>
        <v>1.5087233949665563E-2</v>
      </c>
      <c r="G32" s="2"/>
      <c r="H32" s="6">
        <v>-1855.04</v>
      </c>
      <c r="I32" s="2"/>
      <c r="J32" s="7">
        <f t="shared" si="17"/>
        <v>-2.1294608760982518E-3</v>
      </c>
      <c r="K32" s="2"/>
      <c r="L32" s="6">
        <f t="shared" si="18"/>
        <v>2511.65</v>
      </c>
      <c r="M32" s="2"/>
      <c r="N32" s="7">
        <f t="shared" si="19"/>
        <v>-1.3539600224253925</v>
      </c>
      <c r="O32" s="11"/>
      <c r="P32" s="6">
        <v>2664.1</v>
      </c>
      <c r="Q32" s="2"/>
      <c r="R32" s="7">
        <f t="shared" si="20"/>
        <v>4.6018130186345693E-2</v>
      </c>
      <c r="S32" s="2"/>
      <c r="T32" s="6">
        <v>18117.550000000003</v>
      </c>
      <c r="U32" s="2"/>
      <c r="V32" s="7">
        <f t="shared" si="21"/>
        <v>8.5824150068035277E-3</v>
      </c>
      <c r="W32" s="2"/>
      <c r="X32" s="6">
        <f t="shared" si="22"/>
        <v>-15453.450000000003</v>
      </c>
      <c r="Y32" s="2"/>
      <c r="Z32" s="7">
        <f t="shared" si="23"/>
        <v>-0.85295473173801095</v>
      </c>
    </row>
    <row r="33" spans="1:26" s="24" customFormat="1" hidden="1" outlineLevel="2" x14ac:dyDescent="0.25">
      <c r="A33" s="28"/>
      <c r="B33" s="11" t="str">
        <f>CONCATENATE("          ", "6113", " - ", "GROUP INSURANCE")</f>
        <v xml:space="preserve">          6113 - GROUP INSURANCE</v>
      </c>
      <c r="C33" s="11"/>
      <c r="D33" s="6">
        <v>8662.99</v>
      </c>
      <c r="E33" s="2"/>
      <c r="F33" s="7">
        <f t="shared" si="16"/>
        <v>0.19905355817549727</v>
      </c>
      <c r="G33" s="2"/>
      <c r="H33" s="6">
        <v>20713.7</v>
      </c>
      <c r="I33" s="2"/>
      <c r="J33" s="7">
        <f t="shared" si="17"/>
        <v>2.377793133799614E-2</v>
      </c>
      <c r="K33" s="2"/>
      <c r="L33" s="6">
        <f t="shared" si="18"/>
        <v>-12050.710000000001</v>
      </c>
      <c r="M33" s="2"/>
      <c r="N33" s="7">
        <f t="shared" si="19"/>
        <v>-0.58177486397891254</v>
      </c>
      <c r="O33" s="11"/>
      <c r="P33" s="6">
        <v>43605.87</v>
      </c>
      <c r="Q33" s="2"/>
      <c r="R33" s="7">
        <f t="shared" si="20"/>
        <v>0.75322270280727688</v>
      </c>
      <c r="S33" s="2"/>
      <c r="T33" s="6">
        <v>82561.100000000006</v>
      </c>
      <c r="U33" s="2"/>
      <c r="V33" s="7">
        <f t="shared" si="21"/>
        <v>3.9109792638530413E-2</v>
      </c>
      <c r="W33" s="2"/>
      <c r="X33" s="6">
        <f t="shared" si="22"/>
        <v>-38955.230000000003</v>
      </c>
      <c r="Y33" s="2"/>
      <c r="Z33" s="7">
        <f t="shared" si="23"/>
        <v>-0.47183516207996262</v>
      </c>
    </row>
    <row r="34" spans="1:26" s="24" customFormat="1" hidden="1" outlineLevel="2" x14ac:dyDescent="0.25">
      <c r="A34" s="28"/>
      <c r="B34" s="11" t="str">
        <f>CONCATENATE("          ", "6114", " - ", "STATE UNEMPLOYMENT INSURANCE")</f>
        <v xml:space="preserve">          6114 - STATE UNEMPLOYMENT INSURANCE</v>
      </c>
      <c r="C34" s="11"/>
      <c r="D34" s="6">
        <v>81.11</v>
      </c>
      <c r="E34" s="2"/>
      <c r="F34" s="7">
        <f t="shared" si="16"/>
        <v>1.86370226718657E-3</v>
      </c>
      <c r="G34" s="2"/>
      <c r="H34" s="6">
        <v>837.8</v>
      </c>
      <c r="I34" s="2"/>
      <c r="J34" s="7">
        <f t="shared" si="17"/>
        <v>9.6173792586419439E-4</v>
      </c>
      <c r="K34" s="2"/>
      <c r="L34" s="6">
        <f t="shared" si="18"/>
        <v>-756.68999999999994</v>
      </c>
      <c r="M34" s="2"/>
      <c r="N34" s="7">
        <f t="shared" si="19"/>
        <v>-0.90318691811888274</v>
      </c>
      <c r="O34" s="11"/>
      <c r="P34" s="6">
        <v>339.04</v>
      </c>
      <c r="Q34" s="2"/>
      <c r="R34" s="7">
        <f t="shared" si="20"/>
        <v>5.8563818394124266E-3</v>
      </c>
      <c r="S34" s="2"/>
      <c r="T34" s="6">
        <v>2251.42</v>
      </c>
      <c r="U34" s="2"/>
      <c r="V34" s="7">
        <f t="shared" si="21"/>
        <v>1.0665140040798892E-3</v>
      </c>
      <c r="W34" s="2"/>
      <c r="X34" s="6">
        <f t="shared" si="22"/>
        <v>-1912.38</v>
      </c>
      <c r="Y34" s="2"/>
      <c r="Z34" s="7">
        <f t="shared" si="23"/>
        <v>-0.84941059420276988</v>
      </c>
    </row>
    <row r="35" spans="1:26" s="24" customFormat="1" hidden="1" outlineLevel="2" x14ac:dyDescent="0.25">
      <c r="A35" s="28"/>
      <c r="B35" s="11" t="str">
        <f>CONCATENATE("          ", "6115", " - ", "P.E.R.S.")</f>
        <v xml:space="preserve">          6115 - P.E.R.S.</v>
      </c>
      <c r="C35" s="11"/>
      <c r="D35" s="6">
        <v>2662.31</v>
      </c>
      <c r="E35" s="2"/>
      <c r="F35" s="7">
        <f t="shared" si="16"/>
        <v>6.1173137504049777E-2</v>
      </c>
      <c r="G35" s="2"/>
      <c r="H35" s="6">
        <v>10986.56</v>
      </c>
      <c r="I35" s="2"/>
      <c r="J35" s="7">
        <f t="shared" si="17"/>
        <v>1.26118303017218E-2</v>
      </c>
      <c r="K35" s="2"/>
      <c r="L35" s="6">
        <f t="shared" si="18"/>
        <v>-8324.25</v>
      </c>
      <c r="M35" s="2"/>
      <c r="N35" s="7">
        <f t="shared" si="19"/>
        <v>-0.75767574199749521</v>
      </c>
      <c r="O35" s="11"/>
      <c r="P35" s="6">
        <v>12807.81</v>
      </c>
      <c r="Q35" s="2"/>
      <c r="R35" s="7">
        <f t="shared" si="20"/>
        <v>0.22123473892946219</v>
      </c>
      <c r="S35" s="2"/>
      <c r="T35" s="6">
        <v>28783.119999999999</v>
      </c>
      <c r="U35" s="2"/>
      <c r="V35" s="7">
        <f t="shared" si="21"/>
        <v>1.3634772970441737E-2</v>
      </c>
      <c r="W35" s="2"/>
      <c r="X35" s="6">
        <f t="shared" si="22"/>
        <v>-15975.31</v>
      </c>
      <c r="Y35" s="2"/>
      <c r="Z35" s="7">
        <f t="shared" si="23"/>
        <v>-0.55502356936982511</v>
      </c>
    </row>
    <row r="36" spans="1:26" s="24" customFormat="1" hidden="1" outlineLevel="2" x14ac:dyDescent="0.25">
      <c r="A36" s="28"/>
      <c r="B36" s="11" t="str">
        <f>CONCATENATE("          ", "6117", " - ", "RETIREMENT STAFF HOURLY")</f>
        <v xml:space="preserve">          6117 - RETIREMENT STAFF HOURLY</v>
      </c>
      <c r="C36" s="11"/>
      <c r="D36" s="6"/>
      <c r="E36" s="2"/>
      <c r="F36" s="7">
        <f t="shared" si="16"/>
        <v>0</v>
      </c>
      <c r="G36" s="2"/>
      <c r="H36" s="6">
        <v>56</v>
      </c>
      <c r="I36" s="2"/>
      <c r="J36" s="7">
        <f t="shared" si="17"/>
        <v>6.428422517115647E-5</v>
      </c>
      <c r="K36" s="2"/>
      <c r="L36" s="6">
        <f t="shared" si="18"/>
        <v>-56</v>
      </c>
      <c r="M36" s="2"/>
      <c r="N36" s="7">
        <f t="shared" si="19"/>
        <v>-1</v>
      </c>
      <c r="O36" s="11"/>
      <c r="P36" s="6"/>
      <c r="Q36" s="2"/>
      <c r="R36" s="7">
        <f t="shared" si="20"/>
        <v>0</v>
      </c>
      <c r="S36" s="2"/>
      <c r="T36" s="6">
        <v>252</v>
      </c>
      <c r="U36" s="2"/>
      <c r="V36" s="7">
        <f t="shared" si="21"/>
        <v>1.1937423005398018E-4</v>
      </c>
      <c r="W36" s="2"/>
      <c r="X36" s="6">
        <f t="shared" si="22"/>
        <v>-252</v>
      </c>
      <c r="Y36" s="2"/>
      <c r="Z36" s="7">
        <f t="shared" si="23"/>
        <v>-1</v>
      </c>
    </row>
    <row r="37" spans="1:26" s="24" customFormat="1" hidden="1" outlineLevel="2" x14ac:dyDescent="0.25">
      <c r="A37" s="28"/>
      <c r="B37" s="11" t="str">
        <f>CONCATENATE("          ", "6118", " - ", "VACATION")</f>
        <v xml:space="preserve">          6118 - VACATION</v>
      </c>
      <c r="C37" s="11"/>
      <c r="D37" s="6">
        <v>3600.57</v>
      </c>
      <c r="E37" s="2"/>
      <c r="F37" s="7">
        <f t="shared" si="16"/>
        <v>8.2731974752360354E-2</v>
      </c>
      <c r="G37" s="2"/>
      <c r="H37" s="6">
        <v>9256.32</v>
      </c>
      <c r="I37" s="2"/>
      <c r="J37" s="7">
        <f t="shared" si="17"/>
        <v>1.0625631413147841E-2</v>
      </c>
      <c r="K37" s="2"/>
      <c r="L37" s="6">
        <f t="shared" si="18"/>
        <v>-5655.75</v>
      </c>
      <c r="M37" s="2"/>
      <c r="N37" s="7">
        <f t="shared" si="19"/>
        <v>-0.61101496058908944</v>
      </c>
      <c r="O37" s="11"/>
      <c r="P37" s="6">
        <v>11284.54</v>
      </c>
      <c r="Q37" s="2"/>
      <c r="R37" s="7">
        <f t="shared" si="20"/>
        <v>0.19492264960512951</v>
      </c>
      <c r="S37" s="2"/>
      <c r="T37" s="6">
        <v>32741.84</v>
      </c>
      <c r="U37" s="2"/>
      <c r="V37" s="7">
        <f t="shared" si="21"/>
        <v>1.5510047383137344E-2</v>
      </c>
      <c r="W37" s="2"/>
      <c r="X37" s="6">
        <f t="shared" si="22"/>
        <v>-21457.3</v>
      </c>
      <c r="Y37" s="2"/>
      <c r="Z37" s="7">
        <f t="shared" si="23"/>
        <v>-0.65534801953708155</v>
      </c>
    </row>
    <row r="38" spans="1:26" s="24" customFormat="1" hidden="1" outlineLevel="2" x14ac:dyDescent="0.25">
      <c r="A38" s="28"/>
      <c r="B38" s="11" t="str">
        <f>CONCATENATE("          ", "6119", " - ", "SICK LEAVE")</f>
        <v xml:space="preserve">          6119 - SICK LEAVE</v>
      </c>
      <c r="C38" s="11"/>
      <c r="D38" s="6">
        <v>2052.15</v>
      </c>
      <c r="E38" s="2"/>
      <c r="F38" s="7">
        <f t="shared" si="16"/>
        <v>4.7153206850042165E-2</v>
      </c>
      <c r="G38" s="2"/>
      <c r="H38" s="6">
        <v>7053.18</v>
      </c>
      <c r="I38" s="2"/>
      <c r="J38" s="7">
        <f t="shared" si="17"/>
        <v>8.0965752016553105E-3</v>
      </c>
      <c r="K38" s="2"/>
      <c r="L38" s="6">
        <f t="shared" si="18"/>
        <v>-5001.0300000000007</v>
      </c>
      <c r="M38" s="2"/>
      <c r="N38" s="7">
        <f t="shared" si="19"/>
        <v>-0.7090461323828402</v>
      </c>
      <c r="O38" s="11"/>
      <c r="P38" s="6">
        <v>6623.36</v>
      </c>
      <c r="Q38" s="2"/>
      <c r="R38" s="7">
        <f t="shared" si="20"/>
        <v>0.114408108836393</v>
      </c>
      <c r="S38" s="2"/>
      <c r="T38" s="6">
        <v>43212</v>
      </c>
      <c r="U38" s="2"/>
      <c r="V38" s="7">
        <f t="shared" si="21"/>
        <v>2.0469838210684887E-2</v>
      </c>
      <c r="W38" s="2"/>
      <c r="X38" s="6">
        <f t="shared" si="22"/>
        <v>-36588.639999999999</v>
      </c>
      <c r="Y38" s="2"/>
      <c r="Z38" s="7">
        <f t="shared" si="23"/>
        <v>-0.84672405813200036</v>
      </c>
    </row>
    <row r="39" spans="1:26" s="24" customFormat="1" hidden="1" outlineLevel="2" x14ac:dyDescent="0.25">
      <c r="A39" s="28"/>
      <c r="B39" s="11" t="str">
        <f>CONCATENATE("          ", "6156", " - ", "EMPLOYEE MEALS")</f>
        <v xml:space="preserve">          6156 - EMPLOYEE MEALS</v>
      </c>
      <c r="C39" s="11"/>
      <c r="D39" s="6">
        <v>618.47</v>
      </c>
      <c r="E39" s="2"/>
      <c r="F39" s="7">
        <f t="shared" si="16"/>
        <v>1.4210873396460091E-2</v>
      </c>
      <c r="G39" s="2"/>
      <c r="H39" s="6">
        <v>2475.12</v>
      </c>
      <c r="I39" s="2"/>
      <c r="J39" s="7">
        <f t="shared" si="17"/>
        <v>2.8412709179577284E-3</v>
      </c>
      <c r="K39" s="2"/>
      <c r="L39" s="6">
        <f t="shared" si="18"/>
        <v>-1856.6499999999999</v>
      </c>
      <c r="M39" s="2"/>
      <c r="N39" s="7">
        <f t="shared" si="19"/>
        <v>-0.75012524645269718</v>
      </c>
      <c r="O39" s="11"/>
      <c r="P39" s="6">
        <v>2420.4899999999998</v>
      </c>
      <c r="Q39" s="2"/>
      <c r="R39" s="7">
        <f t="shared" si="20"/>
        <v>4.1810151246104835E-2</v>
      </c>
      <c r="S39" s="2"/>
      <c r="T39" s="6">
        <v>10075.469999999999</v>
      </c>
      <c r="U39" s="2"/>
      <c r="V39" s="7">
        <f t="shared" si="21"/>
        <v>4.7728233082618083E-3</v>
      </c>
      <c r="W39" s="2"/>
      <c r="X39" s="6">
        <f t="shared" si="22"/>
        <v>-7654.98</v>
      </c>
      <c r="Y39" s="2"/>
      <c r="Z39" s="7">
        <f t="shared" si="23"/>
        <v>-0.75976406063439228</v>
      </c>
    </row>
    <row r="40" spans="1:26" s="29" customFormat="1" outlineLevel="1" collapsed="1" x14ac:dyDescent="0.25">
      <c r="A40" s="27"/>
      <c r="B40" s="14" t="str">
        <f>CONCATENATE("     ","*Payroll                                          ")</f>
        <v xml:space="preserve">     *Payroll                                          </v>
      </c>
      <c r="C40" s="14"/>
      <c r="D40" s="1">
        <f>SUM(OSRRefD22_1x_0)</f>
        <v>31757.640000000003</v>
      </c>
      <c r="E40" s="1"/>
      <c r="F40" s="5">
        <f t="shared" ref="F40:F47" si="24">IF(D$12=0,0,D40/D$12)</f>
        <v>0.7297100933114895</v>
      </c>
      <c r="G40" s="1"/>
      <c r="H40" s="1">
        <f>SUM(OSRRefH22_1x_0)</f>
        <v>302215.24</v>
      </c>
      <c r="I40" s="1"/>
      <c r="J40" s="5">
        <f t="shared" ref="J40:J47" si="25">IF(H$12=0,0,H40/H$12)</f>
        <v>0.34692272389848378</v>
      </c>
      <c r="K40" s="1"/>
      <c r="L40" s="1">
        <f t="shared" ref="L40:L47" si="26">+D40-H40</f>
        <v>-270457.59999999998</v>
      </c>
      <c r="M40" s="1"/>
      <c r="N40" s="5">
        <f t="shared" ref="N40:N47" si="27">IF(H40=0,0,L40/H40)</f>
        <v>-0.89491714580641257</v>
      </c>
      <c r="O40" s="14"/>
      <c r="P40" s="1">
        <f>SUM(OSRRefP22_1x_0)</f>
        <v>128945.52</v>
      </c>
      <c r="Q40" s="1"/>
      <c r="R40" s="5">
        <f t="shared" ref="R40:R47" si="28">IF(P$12=0,0,P40/P$12)</f>
        <v>2.2273307031665639</v>
      </c>
      <c r="S40" s="1"/>
      <c r="T40" s="1">
        <f>SUM(OSRRefT22_1x_0)</f>
        <v>888745.76</v>
      </c>
      <c r="U40" s="1"/>
      <c r="V40" s="5">
        <f t="shared" ref="V40:V47" si="29">IF(T$12=0,0,T40/T$12)</f>
        <v>0.4210053206894423</v>
      </c>
      <c r="W40" s="1"/>
      <c r="X40" s="1">
        <f t="shared" ref="X40:X47" si="30">+P40-T40</f>
        <v>-759800.24</v>
      </c>
      <c r="Y40" s="1"/>
      <c r="Z40" s="5">
        <f t="shared" ref="Z40:Z47" si="31">IF(T40=0,0,X40/T40)</f>
        <v>-0.85491292807967934</v>
      </c>
    </row>
    <row r="41" spans="1:26" s="24" customFormat="1" hidden="1" outlineLevel="2" x14ac:dyDescent="0.25">
      <c r="A41" s="28"/>
      <c r="B41" s="11" t="str">
        <f>CONCATENATE("          ", "6001", " - ", "ADMINISTRATIVE SALARIES")</f>
        <v xml:space="preserve">          6001 - ADMINISTRATIVE SALARIES</v>
      </c>
      <c r="C41" s="11"/>
      <c r="D41" s="6">
        <v>10516.14</v>
      </c>
      <c r="E41" s="2"/>
      <c r="F41" s="7">
        <f t="shared" si="24"/>
        <v>0.24163424929171959</v>
      </c>
      <c r="G41" s="2"/>
      <c r="H41" s="6">
        <v>18561.289999999997</v>
      </c>
      <c r="I41" s="2"/>
      <c r="J41" s="7">
        <f t="shared" si="25"/>
        <v>2.1307109746913119E-2</v>
      </c>
      <c r="K41" s="2"/>
      <c r="L41" s="6">
        <f t="shared" si="26"/>
        <v>-8045.1499999999978</v>
      </c>
      <c r="M41" s="2"/>
      <c r="N41" s="7">
        <f t="shared" si="27"/>
        <v>-0.43343700788037898</v>
      </c>
      <c r="O41" s="11"/>
      <c r="P41" s="6">
        <v>43862.03</v>
      </c>
      <c r="Q41" s="2"/>
      <c r="R41" s="7">
        <f t="shared" si="28"/>
        <v>0.75764746322487908</v>
      </c>
      <c r="S41" s="2"/>
      <c r="T41" s="6">
        <v>70256.06</v>
      </c>
      <c r="U41" s="2"/>
      <c r="V41" s="7">
        <f t="shared" si="29"/>
        <v>3.3280805829866013E-2</v>
      </c>
      <c r="W41" s="2"/>
      <c r="X41" s="6">
        <f t="shared" si="30"/>
        <v>-26394.03</v>
      </c>
      <c r="Y41" s="2"/>
      <c r="Z41" s="7">
        <f t="shared" si="31"/>
        <v>-0.37568332183729064</v>
      </c>
    </row>
    <row r="42" spans="1:26" s="24" customFormat="1" hidden="1" outlineLevel="2" x14ac:dyDescent="0.25">
      <c r="A42" s="28"/>
      <c r="B42" s="11" t="str">
        <f>CONCATENATE("          ", "6002", " - ", "STAFF SALARIES")</f>
        <v xml:space="preserve">          6002 - STAFF SALARIES</v>
      </c>
      <c r="C42" s="11"/>
      <c r="D42" s="6">
        <v>16649.230000000003</v>
      </c>
      <c r="E42" s="2"/>
      <c r="F42" s="7">
        <f t="shared" si="24"/>
        <v>0.38255711623610733</v>
      </c>
      <c r="G42" s="2"/>
      <c r="H42" s="6">
        <v>76976.070000000007</v>
      </c>
      <c r="I42" s="2"/>
      <c r="J42" s="7">
        <f t="shared" si="25"/>
        <v>8.8363339583405406E-2</v>
      </c>
      <c r="K42" s="2"/>
      <c r="L42" s="6">
        <f t="shared" si="26"/>
        <v>-60326.840000000004</v>
      </c>
      <c r="M42" s="2"/>
      <c r="N42" s="7">
        <f t="shared" si="27"/>
        <v>-0.78370901502246082</v>
      </c>
      <c r="O42" s="11"/>
      <c r="P42" s="6">
        <v>67539.849999999991</v>
      </c>
      <c r="Q42" s="2"/>
      <c r="R42" s="7">
        <f t="shared" si="28"/>
        <v>1.1666444991052363</v>
      </c>
      <c r="S42" s="2"/>
      <c r="T42" s="6">
        <v>240490.38</v>
      </c>
      <c r="U42" s="2"/>
      <c r="V42" s="7">
        <f t="shared" si="29"/>
        <v>0.11392203947575046</v>
      </c>
      <c r="W42" s="2"/>
      <c r="X42" s="6">
        <f t="shared" si="30"/>
        <v>-172950.53000000003</v>
      </c>
      <c r="Y42" s="2"/>
      <c r="Z42" s="7">
        <f t="shared" si="31"/>
        <v>-0.71915778918059015</v>
      </c>
    </row>
    <row r="43" spans="1:26" s="24" customFormat="1" hidden="1" outlineLevel="2" x14ac:dyDescent="0.25">
      <c r="A43" s="28"/>
      <c r="B43" s="11" t="str">
        <f>CONCATENATE("          ", "6004", " - ", "STAFF HOURLY")</f>
        <v xml:space="preserve">          6004 - STAFF HOURLY</v>
      </c>
      <c r="C43" s="11"/>
      <c r="D43" s="6">
        <v>4641.7</v>
      </c>
      <c r="E43" s="2"/>
      <c r="F43" s="7">
        <f t="shared" si="24"/>
        <v>0.1066545039279978</v>
      </c>
      <c r="G43" s="2"/>
      <c r="H43" s="6">
        <v>30306.700000000004</v>
      </c>
      <c r="I43" s="2"/>
      <c r="J43" s="7">
        <f t="shared" si="25"/>
        <v>3.4790048696333717E-2</v>
      </c>
      <c r="K43" s="2"/>
      <c r="L43" s="6">
        <f t="shared" si="26"/>
        <v>-25665.000000000004</v>
      </c>
      <c r="M43" s="2"/>
      <c r="N43" s="7">
        <f t="shared" si="27"/>
        <v>-0.84684244737962233</v>
      </c>
      <c r="O43" s="11"/>
      <c r="P43" s="6">
        <v>15347.3</v>
      </c>
      <c r="Q43" s="2"/>
      <c r="R43" s="7">
        <f t="shared" si="28"/>
        <v>0.26510042768999037</v>
      </c>
      <c r="S43" s="2"/>
      <c r="T43" s="6">
        <v>82835.27</v>
      </c>
      <c r="U43" s="2"/>
      <c r="V43" s="7">
        <f t="shared" si="29"/>
        <v>3.923966895858557E-2</v>
      </c>
      <c r="W43" s="2"/>
      <c r="X43" s="6">
        <f t="shared" si="30"/>
        <v>-67487.97</v>
      </c>
      <c r="Y43" s="2"/>
      <c r="Z43" s="7">
        <f t="shared" si="31"/>
        <v>-0.81472505612645429</v>
      </c>
    </row>
    <row r="44" spans="1:26" s="24" customFormat="1" hidden="1" outlineLevel="2" x14ac:dyDescent="0.25">
      <c r="A44" s="28"/>
      <c r="B44" s="11" t="str">
        <f>CONCATENATE("          ", "6005", " - ", "TEMPORARY WAGES-HOURLY")</f>
        <v xml:space="preserve">          6005 - TEMPORARY WAGES-HOURLY</v>
      </c>
      <c r="C44" s="11"/>
      <c r="D44" s="6">
        <v>704.86</v>
      </c>
      <c r="E44" s="2"/>
      <c r="F44" s="7">
        <f t="shared" si="24"/>
        <v>1.6195896684121882E-2</v>
      </c>
      <c r="G44" s="2"/>
      <c r="H44" s="6">
        <v>76586.58</v>
      </c>
      <c r="I44" s="2"/>
      <c r="J44" s="7">
        <f t="shared" si="25"/>
        <v>8.7916231318014085E-2</v>
      </c>
      <c r="K44" s="2"/>
      <c r="L44" s="6">
        <f t="shared" si="26"/>
        <v>-75881.72</v>
      </c>
      <c r="M44" s="2"/>
      <c r="N44" s="7">
        <f t="shared" si="27"/>
        <v>-0.99079655991950544</v>
      </c>
      <c r="O44" s="11"/>
      <c r="P44" s="6">
        <v>2126.63</v>
      </c>
      <c r="Q44" s="2"/>
      <c r="R44" s="7">
        <f t="shared" si="28"/>
        <v>3.6734182725193631E-2</v>
      </c>
      <c r="S44" s="2"/>
      <c r="T44" s="6">
        <v>190484.81</v>
      </c>
      <c r="U44" s="2"/>
      <c r="V44" s="7">
        <f t="shared" si="29"/>
        <v>9.0234037820351998E-2</v>
      </c>
      <c r="W44" s="2"/>
      <c r="X44" s="6">
        <f t="shared" si="30"/>
        <v>-188358.18</v>
      </c>
      <c r="Y44" s="2"/>
      <c r="Z44" s="7">
        <f t="shared" si="31"/>
        <v>-0.98883569771258928</v>
      </c>
    </row>
    <row r="45" spans="1:26" s="24" customFormat="1" hidden="1" outlineLevel="2" x14ac:dyDescent="0.25">
      <c r="A45" s="28"/>
      <c r="B45" s="11" t="str">
        <f>CONCATENATE("          ", "6006", " - ", "TEMPORARY PART TIME")</f>
        <v xml:space="preserve">          6006 - TEMPORARY PART TIME</v>
      </c>
      <c r="C45" s="11"/>
      <c r="D45" s="6"/>
      <c r="E45" s="2"/>
      <c r="F45" s="7">
        <f t="shared" si="24"/>
        <v>0</v>
      </c>
      <c r="G45" s="2"/>
      <c r="H45" s="6">
        <v>2572.38</v>
      </c>
      <c r="I45" s="2"/>
      <c r="J45" s="7">
        <f t="shared" si="25"/>
        <v>2.9529188418889194E-3</v>
      </c>
      <c r="K45" s="2"/>
      <c r="L45" s="6">
        <f t="shared" si="26"/>
        <v>-2572.38</v>
      </c>
      <c r="M45" s="2"/>
      <c r="N45" s="7">
        <f t="shared" si="27"/>
        <v>-1</v>
      </c>
      <c r="O45" s="11"/>
      <c r="P45" s="6"/>
      <c r="Q45" s="2"/>
      <c r="R45" s="7">
        <f t="shared" si="28"/>
        <v>0</v>
      </c>
      <c r="S45" s="2"/>
      <c r="T45" s="6">
        <v>9462.9</v>
      </c>
      <c r="U45" s="2"/>
      <c r="V45" s="7">
        <f t="shared" si="29"/>
        <v>4.4826444507055909E-3</v>
      </c>
      <c r="W45" s="2"/>
      <c r="X45" s="6">
        <f t="shared" si="30"/>
        <v>-9462.9</v>
      </c>
      <c r="Y45" s="2"/>
      <c r="Z45" s="7">
        <f t="shared" si="31"/>
        <v>-1</v>
      </c>
    </row>
    <row r="46" spans="1:26" s="24" customFormat="1" hidden="1" outlineLevel="2" x14ac:dyDescent="0.25">
      <c r="A46" s="28"/>
      <c r="B46" s="11" t="str">
        <f>CONCATENATE("          ", "6007", " - ", "STUDENT HOURLY")</f>
        <v xml:space="preserve">          6007 - STUDENT HOURLY</v>
      </c>
      <c r="C46" s="11"/>
      <c r="D46" s="6">
        <v>-754.29</v>
      </c>
      <c r="E46" s="2"/>
      <c r="F46" s="7">
        <f t="shared" si="24"/>
        <v>-1.7331672828457132E-2</v>
      </c>
      <c r="G46" s="2"/>
      <c r="H46" s="6">
        <v>90282.72</v>
      </c>
      <c r="I46" s="2"/>
      <c r="J46" s="7">
        <f t="shared" si="25"/>
        <v>0.10363847681329413</v>
      </c>
      <c r="K46" s="2"/>
      <c r="L46" s="6">
        <f t="shared" si="26"/>
        <v>-91037.01</v>
      </c>
      <c r="M46" s="2"/>
      <c r="N46" s="7">
        <f t="shared" si="27"/>
        <v>-1.0083547549298471</v>
      </c>
      <c r="O46" s="11"/>
      <c r="P46" s="6">
        <v>69.709999999999994</v>
      </c>
      <c r="Q46" s="2"/>
      <c r="R46" s="7">
        <f t="shared" si="28"/>
        <v>1.2041304212642762E-3</v>
      </c>
      <c r="S46" s="2"/>
      <c r="T46" s="6">
        <v>280869.37</v>
      </c>
      <c r="U46" s="2"/>
      <c r="V46" s="7">
        <f t="shared" si="29"/>
        <v>0.13304986027577967</v>
      </c>
      <c r="W46" s="2"/>
      <c r="X46" s="6">
        <f t="shared" si="30"/>
        <v>-280799.65999999997</v>
      </c>
      <c r="Y46" s="2"/>
      <c r="Z46" s="7">
        <f t="shared" si="31"/>
        <v>-0.99975180632904181</v>
      </c>
    </row>
    <row r="47" spans="1:26" s="24" customFormat="1" hidden="1" outlineLevel="2" x14ac:dyDescent="0.25">
      <c r="A47" s="28"/>
      <c r="B47" s="11" t="str">
        <f>CONCATENATE("          ", "6008", " - ", "STUDENT HOURLY-FICA EXEMPT")</f>
        <v xml:space="preserve">          6008 - STUDENT HOURLY-FICA EXEMPT</v>
      </c>
      <c r="C47" s="11"/>
      <c r="D47" s="6"/>
      <c r="E47" s="2"/>
      <c r="F47" s="7">
        <f t="shared" si="24"/>
        <v>0</v>
      </c>
      <c r="G47" s="2"/>
      <c r="H47" s="6">
        <v>6929.5</v>
      </c>
      <c r="I47" s="2"/>
      <c r="J47" s="7">
        <f t="shared" si="25"/>
        <v>7.9545988986344414E-3</v>
      </c>
      <c r="K47" s="2"/>
      <c r="L47" s="6">
        <f t="shared" si="26"/>
        <v>-6929.5</v>
      </c>
      <c r="M47" s="2"/>
      <c r="N47" s="7">
        <f t="shared" si="27"/>
        <v>-1</v>
      </c>
      <c r="O47" s="11"/>
      <c r="P47" s="6"/>
      <c r="Q47" s="2"/>
      <c r="R47" s="7">
        <f t="shared" si="28"/>
        <v>0</v>
      </c>
      <c r="S47" s="2"/>
      <c r="T47" s="6">
        <v>14346.97</v>
      </c>
      <c r="U47" s="2"/>
      <c r="V47" s="7">
        <f t="shared" si="29"/>
        <v>6.7962638784029843E-3</v>
      </c>
      <c r="W47" s="2"/>
      <c r="X47" s="6">
        <f t="shared" si="30"/>
        <v>-14346.97</v>
      </c>
      <c r="Y47" s="2"/>
      <c r="Z47" s="7">
        <f t="shared" si="31"/>
        <v>-1</v>
      </c>
    </row>
    <row r="48" spans="1:26" s="29" customFormat="1" outlineLevel="1" collapsed="1" x14ac:dyDescent="0.25">
      <c r="A48" s="27"/>
      <c r="B48" s="14" t="str">
        <f>CONCATENATE("     ","Advertising/Promo                                 ")</f>
        <v xml:space="preserve">     Advertising/Promo                                 </v>
      </c>
      <c r="C48" s="14"/>
      <c r="D48" s="1">
        <f>SUM(OSRRefD22_2x_0)</f>
        <v>15.05</v>
      </c>
      <c r="E48" s="1"/>
      <c r="F48" s="5">
        <f t="shared" ref="F48:F57" si="32">IF(D$12=0,0,D48/D$12)</f>
        <v>3.4581086328637505E-4</v>
      </c>
      <c r="G48" s="1"/>
      <c r="H48" s="1">
        <f>SUM(OSRRefH22_2x_0)</f>
        <v>6031.99</v>
      </c>
      <c r="I48" s="1"/>
      <c r="J48" s="5">
        <f t="shared" ref="J48:J57" si="33">IF(H$12=0,0,H48/H$12)</f>
        <v>6.9243179176815012E-3</v>
      </c>
      <c r="K48" s="1"/>
      <c r="L48" s="1">
        <f t="shared" ref="L48:L57" si="34">+D48-H48</f>
        <v>-6016.94</v>
      </c>
      <c r="M48" s="1"/>
      <c r="N48" s="5">
        <f t="shared" ref="N48:N57" si="35">IF(H48=0,0,L48/H48)</f>
        <v>-0.99750496933847699</v>
      </c>
      <c r="O48" s="14"/>
      <c r="P48" s="1">
        <f>SUM(OSRRefP22_2x_0)</f>
        <v>110.63</v>
      </c>
      <c r="Q48" s="1"/>
      <c r="R48" s="5">
        <f t="shared" ref="R48:R57" si="36">IF(P$12=0,0,P48/P$12)</f>
        <v>1.9109589514340393E-3</v>
      </c>
      <c r="S48" s="1"/>
      <c r="T48" s="1">
        <f>SUM(OSRRefT22_2x_0)</f>
        <v>12669.11</v>
      </c>
      <c r="U48" s="1"/>
      <c r="V48" s="5">
        <f t="shared" ref="V48:V57" si="37">IF(T$12=0,0,T48/T$12)</f>
        <v>6.0014494115840514E-3</v>
      </c>
      <c r="W48" s="1"/>
      <c r="X48" s="1">
        <f t="shared" ref="X48:X57" si="38">+P48-T48</f>
        <v>-12558.480000000001</v>
      </c>
      <c r="Y48" s="1"/>
      <c r="Z48" s="5">
        <f t="shared" ref="Z48:Z57" si="39">IF(T48=0,0,X48/T48)</f>
        <v>-0.99126773703914484</v>
      </c>
    </row>
    <row r="49" spans="1:26" s="24" customFormat="1" hidden="1" outlineLevel="2" x14ac:dyDescent="0.25">
      <c r="A49" s="28"/>
      <c r="B49" s="11" t="str">
        <f>CONCATENATE("          ", "6362", " - ", "ADVERTISING EXPENSE")</f>
        <v xml:space="preserve">          6362 - ADVERTISING EXPENSE</v>
      </c>
      <c r="C49" s="11"/>
      <c r="D49" s="6">
        <v>15.05</v>
      </c>
      <c r="E49" s="2"/>
      <c r="F49" s="7">
        <f t="shared" si="32"/>
        <v>3.4581086328637505E-4</v>
      </c>
      <c r="G49" s="2"/>
      <c r="H49" s="6">
        <v>6031.99</v>
      </c>
      <c r="I49" s="2"/>
      <c r="J49" s="7">
        <f t="shared" si="33"/>
        <v>6.9243179176815012E-3</v>
      </c>
      <c r="K49" s="2"/>
      <c r="L49" s="6">
        <f t="shared" si="34"/>
        <v>-6016.94</v>
      </c>
      <c r="M49" s="2"/>
      <c r="N49" s="7">
        <f t="shared" si="35"/>
        <v>-0.99750496933847699</v>
      </c>
      <c r="O49" s="11"/>
      <c r="P49" s="6">
        <v>110.63</v>
      </c>
      <c r="Q49" s="2"/>
      <c r="R49" s="7">
        <f t="shared" si="36"/>
        <v>1.9109589514340393E-3</v>
      </c>
      <c r="S49" s="2"/>
      <c r="T49" s="6">
        <v>12669.11</v>
      </c>
      <c r="U49" s="2"/>
      <c r="V49" s="7">
        <f t="shared" si="37"/>
        <v>6.0014494115840514E-3</v>
      </c>
      <c r="W49" s="2"/>
      <c r="X49" s="6">
        <f t="shared" si="38"/>
        <v>-12558.480000000001</v>
      </c>
      <c r="Y49" s="2"/>
      <c r="Z49" s="7">
        <f t="shared" si="39"/>
        <v>-0.99126773703914484</v>
      </c>
    </row>
    <row r="50" spans="1:26" s="29" customFormat="1" outlineLevel="1" collapsed="1" x14ac:dyDescent="0.25">
      <c r="A50" s="27"/>
      <c r="B50" s="14" t="str">
        <f>CONCATENATE("     ","Bad Debts/Over/Short                              ")</f>
        <v xml:space="preserve">     Bad Debts/Over/Short                              </v>
      </c>
      <c r="C50" s="14"/>
      <c r="D50" s="1">
        <f>SUM(OSRRefD22_3x_0)</f>
        <v>1531.8</v>
      </c>
      <c r="E50" s="1"/>
      <c r="F50" s="5">
        <f t="shared" si="32"/>
        <v>3.5196882417413242E-2</v>
      </c>
      <c r="G50" s="1"/>
      <c r="H50" s="1">
        <f>SUM(OSRRefH22_3x_0)</f>
        <v>21.31</v>
      </c>
      <c r="I50" s="1"/>
      <c r="J50" s="5">
        <f t="shared" si="33"/>
        <v>2.446244354280972E-5</v>
      </c>
      <c r="K50" s="1"/>
      <c r="L50" s="1">
        <f t="shared" si="34"/>
        <v>1510.49</v>
      </c>
      <c r="M50" s="1"/>
      <c r="N50" s="5">
        <f t="shared" si="35"/>
        <v>70.881745659314873</v>
      </c>
      <c r="O50" s="14"/>
      <c r="P50" s="1">
        <f>SUM(OSRRefP22_3x_0)</f>
        <v>1338.28</v>
      </c>
      <c r="Q50" s="1"/>
      <c r="R50" s="5">
        <f t="shared" si="36"/>
        <v>2.311667852775148E-2</v>
      </c>
      <c r="S50" s="1"/>
      <c r="T50" s="1">
        <f>SUM(OSRRefT22_3x_0)</f>
        <v>-29.95</v>
      </c>
      <c r="U50" s="1"/>
      <c r="V50" s="5">
        <f t="shared" si="37"/>
        <v>-1.418753250046312E-5</v>
      </c>
      <c r="W50" s="1"/>
      <c r="X50" s="1">
        <f t="shared" si="38"/>
        <v>1368.23</v>
      </c>
      <c r="Y50" s="1"/>
      <c r="Z50" s="5">
        <f t="shared" si="39"/>
        <v>-45.683806343906511</v>
      </c>
    </row>
    <row r="51" spans="1:26" s="24" customFormat="1" hidden="1" outlineLevel="2" x14ac:dyDescent="0.25">
      <c r="A51" s="28"/>
      <c r="B51" s="11" t="str">
        <f>CONCATENATE("          ", "6272", " - ", "CASH (OVER/SHORT)")</f>
        <v xml:space="preserve">          6272 - CASH (OVER/SHORT)</v>
      </c>
      <c r="C51" s="11"/>
      <c r="D51" s="6">
        <v>1531.8</v>
      </c>
      <c r="E51" s="2"/>
      <c r="F51" s="7">
        <f t="shared" si="32"/>
        <v>3.5196882417413242E-2</v>
      </c>
      <c r="G51" s="2"/>
      <c r="H51" s="6">
        <v>21.31</v>
      </c>
      <c r="I51" s="2"/>
      <c r="J51" s="7">
        <f t="shared" si="33"/>
        <v>2.446244354280972E-5</v>
      </c>
      <c r="K51" s="2"/>
      <c r="L51" s="6">
        <f t="shared" si="34"/>
        <v>1510.49</v>
      </c>
      <c r="M51" s="2"/>
      <c r="N51" s="7">
        <f t="shared" si="35"/>
        <v>70.881745659314873</v>
      </c>
      <c r="O51" s="11"/>
      <c r="P51" s="6">
        <v>1338.28</v>
      </c>
      <c r="Q51" s="2"/>
      <c r="R51" s="7">
        <f t="shared" si="36"/>
        <v>2.311667852775148E-2</v>
      </c>
      <c r="S51" s="2"/>
      <c r="T51" s="6">
        <v>-29.95</v>
      </c>
      <c r="U51" s="2"/>
      <c r="V51" s="7">
        <f t="shared" si="37"/>
        <v>-1.418753250046312E-5</v>
      </c>
      <c r="W51" s="2"/>
      <c r="X51" s="6">
        <f t="shared" si="38"/>
        <v>1368.23</v>
      </c>
      <c r="Y51" s="2"/>
      <c r="Z51" s="7">
        <f t="shared" si="39"/>
        <v>-45.683806343906511</v>
      </c>
    </row>
    <row r="52" spans="1:26" s="29" customFormat="1" outlineLevel="1" collapsed="1" x14ac:dyDescent="0.25">
      <c r="A52" s="27"/>
      <c r="B52" s="14" t="str">
        <f>CONCATENATE("     ","Bank/card Fees                                    ")</f>
        <v xml:space="preserve">     Bank/card Fees                                    </v>
      </c>
      <c r="C52" s="14"/>
      <c r="D52" s="1">
        <f>SUM(OSRRefD22_4x_0)</f>
        <v>758.49</v>
      </c>
      <c r="E52" s="1"/>
      <c r="F52" s="5">
        <f t="shared" si="32"/>
        <v>1.7428178185653329E-2</v>
      </c>
      <c r="G52" s="1"/>
      <c r="H52" s="1">
        <f>SUM(OSRRefH22_4x_0)</f>
        <v>28761.3</v>
      </c>
      <c r="I52" s="1"/>
      <c r="J52" s="5">
        <f t="shared" si="33"/>
        <v>3.3016033668128261E-2</v>
      </c>
      <c r="K52" s="1"/>
      <c r="L52" s="1">
        <f t="shared" si="34"/>
        <v>-28002.809999999998</v>
      </c>
      <c r="M52" s="1"/>
      <c r="N52" s="5">
        <f t="shared" si="35"/>
        <v>-0.9736281044319971</v>
      </c>
      <c r="O52" s="14"/>
      <c r="P52" s="1">
        <f>SUM(OSRRefP22_4x_0)</f>
        <v>1867.81</v>
      </c>
      <c r="Q52" s="1"/>
      <c r="R52" s="5">
        <f t="shared" si="36"/>
        <v>3.2263474998445389E-2</v>
      </c>
      <c r="S52" s="1"/>
      <c r="T52" s="1">
        <f>SUM(OSRRefT22_4x_0)</f>
        <v>62906.47</v>
      </c>
      <c r="U52" s="1"/>
      <c r="V52" s="5">
        <f t="shared" si="37"/>
        <v>2.9799251673269057E-2</v>
      </c>
      <c r="W52" s="1"/>
      <c r="X52" s="1">
        <f t="shared" si="38"/>
        <v>-61038.66</v>
      </c>
      <c r="Y52" s="1"/>
      <c r="Z52" s="5">
        <f t="shared" si="39"/>
        <v>-0.97030814159497425</v>
      </c>
    </row>
    <row r="53" spans="1:26" s="24" customFormat="1" hidden="1" outlineLevel="2" x14ac:dyDescent="0.25">
      <c r="A53" s="28"/>
      <c r="B53" s="11" t="str">
        <f>CONCATENATE("          ", "6381", " - ", "BANK/CREDIT CARD FEES")</f>
        <v xml:space="preserve">          6381 - BANK/CREDIT CARD FEES</v>
      </c>
      <c r="C53" s="11"/>
      <c r="D53" s="6">
        <v>758.49</v>
      </c>
      <c r="E53" s="2"/>
      <c r="F53" s="7">
        <f t="shared" si="32"/>
        <v>1.7428178185653329E-2</v>
      </c>
      <c r="G53" s="2"/>
      <c r="H53" s="6">
        <v>28761.3</v>
      </c>
      <c r="I53" s="2"/>
      <c r="J53" s="7">
        <f t="shared" si="33"/>
        <v>3.3016033668128261E-2</v>
      </c>
      <c r="K53" s="2"/>
      <c r="L53" s="6">
        <f t="shared" si="34"/>
        <v>-28002.809999999998</v>
      </c>
      <c r="M53" s="2"/>
      <c r="N53" s="7">
        <f t="shared" si="35"/>
        <v>-0.9736281044319971</v>
      </c>
      <c r="O53" s="11"/>
      <c r="P53" s="6">
        <v>1867.81</v>
      </c>
      <c r="Q53" s="2"/>
      <c r="R53" s="7">
        <f t="shared" si="36"/>
        <v>3.2263474998445389E-2</v>
      </c>
      <c r="S53" s="2"/>
      <c r="T53" s="6">
        <v>62906.47</v>
      </c>
      <c r="U53" s="2"/>
      <c r="V53" s="7">
        <f t="shared" si="37"/>
        <v>2.9799251673269057E-2</v>
      </c>
      <c r="W53" s="2"/>
      <c r="X53" s="6">
        <f t="shared" si="38"/>
        <v>-61038.66</v>
      </c>
      <c r="Y53" s="2"/>
      <c r="Z53" s="7">
        <f t="shared" si="39"/>
        <v>-0.97030814159497425</v>
      </c>
    </row>
    <row r="54" spans="1:26" s="29" customFormat="1" outlineLevel="1" collapsed="1" x14ac:dyDescent="0.25">
      <c r="A54" s="27"/>
      <c r="B54" s="14" t="str">
        <f>CONCATENATE("     ","Depreciation                                      ")</f>
        <v xml:space="preserve">     Depreciation                                      </v>
      </c>
      <c r="C54" s="14"/>
      <c r="D54" s="1">
        <f>SUM(OSRRefD22_5x_0)</f>
        <v>36778.129999999997</v>
      </c>
      <c r="E54" s="1"/>
      <c r="F54" s="5">
        <f t="shared" si="32"/>
        <v>0.84506823158528421</v>
      </c>
      <c r="G54" s="1"/>
      <c r="H54" s="1">
        <f>SUM(OSRRefH22_5x_0)</f>
        <v>39571.050000000003</v>
      </c>
      <c r="I54" s="1"/>
      <c r="J54" s="5">
        <f t="shared" si="33"/>
        <v>4.5424898008198059E-2</v>
      </c>
      <c r="K54" s="1"/>
      <c r="L54" s="1">
        <f t="shared" si="34"/>
        <v>-2792.9200000000055</v>
      </c>
      <c r="M54" s="1"/>
      <c r="N54" s="5">
        <f t="shared" si="35"/>
        <v>-7.0579880998861672E-2</v>
      </c>
      <c r="O54" s="14"/>
      <c r="P54" s="1">
        <f>SUM(OSRRefP22_5x_0)</f>
        <v>149706.56</v>
      </c>
      <c r="Q54" s="1"/>
      <c r="R54" s="5">
        <f t="shared" si="36"/>
        <v>2.5859449599602016</v>
      </c>
      <c r="S54" s="1"/>
      <c r="T54" s="1">
        <f>SUM(OSRRefT22_5x_0)</f>
        <v>158284.20000000001</v>
      </c>
      <c r="U54" s="1"/>
      <c r="V54" s="5">
        <f t="shared" si="37"/>
        <v>7.4980375018691314E-2</v>
      </c>
      <c r="W54" s="1"/>
      <c r="X54" s="1">
        <f t="shared" si="38"/>
        <v>-8577.640000000014</v>
      </c>
      <c r="Y54" s="1"/>
      <c r="Z54" s="5">
        <f t="shared" si="39"/>
        <v>-5.4191384863429282E-2</v>
      </c>
    </row>
    <row r="55" spans="1:26" s="24" customFormat="1" hidden="1" outlineLevel="2" x14ac:dyDescent="0.25">
      <c r="A55" s="28"/>
      <c r="B55" s="11" t="str">
        <f>CONCATENATE("          ", "6321", " - ", "BUILDING DEPRECIATION")</f>
        <v xml:space="preserve">          6321 - BUILDING DEPRECIATION</v>
      </c>
      <c r="C55" s="11"/>
      <c r="D55" s="6">
        <v>23583.489999999998</v>
      </c>
      <c r="E55" s="2"/>
      <c r="F55" s="7">
        <f t="shared" si="32"/>
        <v>0.54188883961498946</v>
      </c>
      <c r="G55" s="2"/>
      <c r="H55" s="6">
        <v>24042.959999999999</v>
      </c>
      <c r="I55" s="2"/>
      <c r="J55" s="7">
        <f t="shared" si="33"/>
        <v>2.7599697400376929E-2</v>
      </c>
      <c r="K55" s="2"/>
      <c r="L55" s="6">
        <f t="shared" si="34"/>
        <v>-459.47000000000116</v>
      </c>
      <c r="M55" s="2"/>
      <c r="N55" s="7">
        <f t="shared" si="35"/>
        <v>-1.9110375760721689E-2</v>
      </c>
      <c r="O55" s="11"/>
      <c r="P55" s="6">
        <v>95118.150000000009</v>
      </c>
      <c r="Q55" s="2"/>
      <c r="R55" s="7">
        <f t="shared" si="36"/>
        <v>1.6430161817440629</v>
      </c>
      <c r="S55" s="2"/>
      <c r="T55" s="6">
        <v>96171.839999999997</v>
      </c>
      <c r="U55" s="2"/>
      <c r="V55" s="7">
        <f t="shared" si="37"/>
        <v>4.5557299019343543E-2</v>
      </c>
      <c r="W55" s="2"/>
      <c r="X55" s="6">
        <f t="shared" si="38"/>
        <v>-1053.6899999999878</v>
      </c>
      <c r="Y55" s="2"/>
      <c r="Z55" s="7">
        <f t="shared" si="39"/>
        <v>-1.0956325677037975E-2</v>
      </c>
    </row>
    <row r="56" spans="1:26" s="24" customFormat="1" hidden="1" outlineLevel="2" x14ac:dyDescent="0.25">
      <c r="A56" s="28"/>
      <c r="B56" s="11" t="str">
        <f>CONCATENATE("          ", "6322", " - ", "EQUIPMENT DEPRECIATION EXPENSE")</f>
        <v xml:space="preserve">          6322 - EQUIPMENT DEPRECIATION EXPENSE</v>
      </c>
      <c r="C56" s="11"/>
      <c r="D56" s="6">
        <v>13194.64</v>
      </c>
      <c r="E56" s="2"/>
      <c r="F56" s="7">
        <f t="shared" si="32"/>
        <v>0.3031793919702947</v>
      </c>
      <c r="G56" s="2"/>
      <c r="H56" s="6">
        <v>15103.84</v>
      </c>
      <c r="I56" s="2"/>
      <c r="J56" s="7">
        <f t="shared" si="33"/>
        <v>1.733819020552E-2</v>
      </c>
      <c r="K56" s="2"/>
      <c r="L56" s="6">
        <f t="shared" si="34"/>
        <v>-1909.2000000000007</v>
      </c>
      <c r="M56" s="2"/>
      <c r="N56" s="7">
        <f t="shared" si="35"/>
        <v>-0.12640494073030439</v>
      </c>
      <c r="O56" s="11"/>
      <c r="P56" s="6">
        <v>54588.409999999996</v>
      </c>
      <c r="Q56" s="2"/>
      <c r="R56" s="7">
        <f t="shared" si="36"/>
        <v>0.94292877821613874</v>
      </c>
      <c r="S56" s="2"/>
      <c r="T56" s="6">
        <v>60415.360000000001</v>
      </c>
      <c r="U56" s="2"/>
      <c r="V56" s="7">
        <f t="shared" si="37"/>
        <v>2.8619194775531872E-2</v>
      </c>
      <c r="W56" s="2"/>
      <c r="X56" s="6">
        <f t="shared" si="38"/>
        <v>-5826.9500000000044</v>
      </c>
      <c r="Y56" s="2"/>
      <c r="Z56" s="7">
        <f t="shared" si="39"/>
        <v>-9.6448154906302042E-2</v>
      </c>
    </row>
    <row r="57" spans="1:26" s="24" customFormat="1" hidden="1" outlineLevel="2" x14ac:dyDescent="0.25">
      <c r="A57" s="28"/>
      <c r="B57" s="11" t="str">
        <f>CONCATENATE("          ", "6326", " - ", "VEHICLES DEPRECIATION EXPENSE")</f>
        <v xml:space="preserve">          6326 - VEHICLES DEPRECIATION EXPENSE</v>
      </c>
      <c r="C57" s="11"/>
      <c r="D57" s="6"/>
      <c r="E57" s="2"/>
      <c r="F57" s="7">
        <f t="shared" si="32"/>
        <v>0</v>
      </c>
      <c r="G57" s="2"/>
      <c r="H57" s="6">
        <v>424.25</v>
      </c>
      <c r="I57" s="2"/>
      <c r="J57" s="7">
        <f t="shared" si="33"/>
        <v>4.8701040230112738E-4</v>
      </c>
      <c r="K57" s="2"/>
      <c r="L57" s="6">
        <f t="shared" si="34"/>
        <v>-424.25</v>
      </c>
      <c r="M57" s="2"/>
      <c r="N57" s="7">
        <f t="shared" si="35"/>
        <v>-1</v>
      </c>
      <c r="O57" s="11"/>
      <c r="P57" s="6"/>
      <c r="Q57" s="2"/>
      <c r="R57" s="7">
        <f t="shared" si="36"/>
        <v>0</v>
      </c>
      <c r="S57" s="2"/>
      <c r="T57" s="6">
        <v>1697</v>
      </c>
      <c r="U57" s="2"/>
      <c r="V57" s="7">
        <f t="shared" si="37"/>
        <v>8.038812238158903E-4</v>
      </c>
      <c r="W57" s="2"/>
      <c r="X57" s="6">
        <f t="shared" si="38"/>
        <v>-1697</v>
      </c>
      <c r="Y57" s="2"/>
      <c r="Z57" s="7">
        <f t="shared" si="39"/>
        <v>-1</v>
      </c>
    </row>
    <row r="58" spans="1:26" s="29" customFormat="1" outlineLevel="1" collapsed="1" x14ac:dyDescent="0.25">
      <c r="A58" s="27"/>
      <c r="B58" s="14" t="str">
        <f>CONCATENATE("     ","Donations                                         ")</f>
        <v xml:space="preserve">     Donations                                         </v>
      </c>
      <c r="C58" s="14"/>
      <c r="D58" s="1">
        <f>SUM(OSRRefD22_6x_0)</f>
        <v>0</v>
      </c>
      <c r="E58" s="1"/>
      <c r="F58" s="5">
        <f t="shared" ref="F58:F68" si="40">IF(D$12=0,0,D58/D$12)</f>
        <v>0</v>
      </c>
      <c r="G58" s="1"/>
      <c r="H58" s="1">
        <f>SUM(OSRRefH22_6x_0)</f>
        <v>163.68</v>
      </c>
      <c r="I58" s="1"/>
      <c r="J58" s="5">
        <f t="shared" ref="J58:J68" si="41">IF(H$12=0,0,H58/H$12)</f>
        <v>1.8789360671455163E-4</v>
      </c>
      <c r="K58" s="1"/>
      <c r="L58" s="1">
        <f t="shared" ref="L58:L68" si="42">+D58-H58</f>
        <v>-163.68</v>
      </c>
      <c r="M58" s="1"/>
      <c r="N58" s="5">
        <f t="shared" ref="N58:N68" si="43">IF(H58=0,0,L58/H58)</f>
        <v>-1</v>
      </c>
      <c r="O58" s="14"/>
      <c r="P58" s="1">
        <f>SUM(OSRRefP22_6x_0)</f>
        <v>0</v>
      </c>
      <c r="Q58" s="1"/>
      <c r="R58" s="5">
        <f t="shared" ref="R58:R68" si="44">IF(P$12=0,0,P58/P$12)</f>
        <v>0</v>
      </c>
      <c r="S58" s="1"/>
      <c r="T58" s="1">
        <f>SUM(OSRRefT22_6x_0)</f>
        <v>163.68</v>
      </c>
      <c r="U58" s="1"/>
      <c r="V58" s="5">
        <f t="shared" ref="V58:V68" si="45">IF(T$12=0,0,T58/T$12)</f>
        <v>7.7536404663632841E-5</v>
      </c>
      <c r="W58" s="1"/>
      <c r="X58" s="1">
        <f t="shared" ref="X58:X68" si="46">+P58-T58</f>
        <v>-163.68</v>
      </c>
      <c r="Y58" s="1"/>
      <c r="Z58" s="5">
        <f t="shared" ref="Z58:Z68" si="47">IF(T58=0,0,X58/T58)</f>
        <v>-1</v>
      </c>
    </row>
    <row r="59" spans="1:26" s="24" customFormat="1" hidden="1" outlineLevel="2" x14ac:dyDescent="0.25">
      <c r="A59" s="28"/>
      <c r="B59" s="11" t="str">
        <f>CONCATENATE("          ", "6399", " - ", "DONATION-ON CAMPUS")</f>
        <v xml:space="preserve">          6399 - DONATION-ON CAMPUS</v>
      </c>
      <c r="C59" s="11"/>
      <c r="D59" s="6"/>
      <c r="E59" s="2"/>
      <c r="F59" s="7">
        <f t="shared" si="40"/>
        <v>0</v>
      </c>
      <c r="G59" s="2"/>
      <c r="H59" s="6">
        <v>163.68</v>
      </c>
      <c r="I59" s="2"/>
      <c r="J59" s="7">
        <f t="shared" si="41"/>
        <v>1.8789360671455163E-4</v>
      </c>
      <c r="K59" s="2"/>
      <c r="L59" s="6">
        <f t="shared" si="42"/>
        <v>-163.68</v>
      </c>
      <c r="M59" s="2"/>
      <c r="N59" s="7">
        <f t="shared" si="43"/>
        <v>-1</v>
      </c>
      <c r="O59" s="11"/>
      <c r="P59" s="6"/>
      <c r="Q59" s="2"/>
      <c r="R59" s="7">
        <f t="shared" si="44"/>
        <v>0</v>
      </c>
      <c r="S59" s="2"/>
      <c r="T59" s="6">
        <v>163.68</v>
      </c>
      <c r="U59" s="2"/>
      <c r="V59" s="7">
        <f t="shared" si="45"/>
        <v>7.7536404663632841E-5</v>
      </c>
      <c r="W59" s="2"/>
      <c r="X59" s="6">
        <f t="shared" si="46"/>
        <v>-163.68</v>
      </c>
      <c r="Y59" s="2"/>
      <c r="Z59" s="7">
        <f t="shared" si="47"/>
        <v>-1</v>
      </c>
    </row>
    <row r="60" spans="1:26" s="29" customFormat="1" outlineLevel="1" collapsed="1" x14ac:dyDescent="0.25">
      <c r="A60" s="27"/>
      <c r="B60" s="14" t="str">
        <f>CONCATENATE("     ","Employees' Appreciation                           ")</f>
        <v xml:space="preserve">     Employees' Appreciation                           </v>
      </c>
      <c r="C60" s="14"/>
      <c r="D60" s="1">
        <f>SUM(OSRRefD22_7x_0)</f>
        <v>0</v>
      </c>
      <c r="E60" s="1"/>
      <c r="F60" s="5">
        <f t="shared" si="40"/>
        <v>0</v>
      </c>
      <c r="G60" s="1"/>
      <c r="H60" s="1">
        <f>SUM(OSRRefH22_7x_0)</f>
        <v>33.28</v>
      </c>
      <c r="I60" s="1"/>
      <c r="J60" s="5">
        <f t="shared" si="41"/>
        <v>3.8203196673144418E-5</v>
      </c>
      <c r="K60" s="1"/>
      <c r="L60" s="1">
        <f t="shared" si="42"/>
        <v>-33.28</v>
      </c>
      <c r="M60" s="1"/>
      <c r="N60" s="5">
        <f t="shared" si="43"/>
        <v>-1</v>
      </c>
      <c r="O60" s="14"/>
      <c r="P60" s="1">
        <f>SUM(OSRRefP22_7x_0)</f>
        <v>0</v>
      </c>
      <c r="Q60" s="1"/>
      <c r="R60" s="5">
        <f t="shared" si="44"/>
        <v>0</v>
      </c>
      <c r="S60" s="1"/>
      <c r="T60" s="1">
        <f>SUM(OSRRefT22_7x_0)</f>
        <v>452.84</v>
      </c>
      <c r="U60" s="1"/>
      <c r="V60" s="5">
        <f t="shared" si="45"/>
        <v>2.1451359657795389E-4</v>
      </c>
      <c r="W60" s="1"/>
      <c r="X60" s="1">
        <f t="shared" si="46"/>
        <v>-452.84</v>
      </c>
      <c r="Y60" s="1"/>
      <c r="Z60" s="5">
        <f t="shared" si="47"/>
        <v>-1</v>
      </c>
    </row>
    <row r="61" spans="1:26" s="24" customFormat="1" hidden="1" outlineLevel="2" x14ac:dyDescent="0.25">
      <c r="A61" s="28"/>
      <c r="B61" s="11" t="str">
        <f>CONCATENATE("          ", "6277", " - ", "EMPLOYEE APPRECIATION")</f>
        <v xml:space="preserve">          6277 - EMPLOYEE APPRECIATION</v>
      </c>
      <c r="C61" s="11"/>
      <c r="D61" s="6"/>
      <c r="E61" s="2"/>
      <c r="F61" s="7">
        <f t="shared" si="40"/>
        <v>0</v>
      </c>
      <c r="G61" s="2"/>
      <c r="H61" s="6">
        <v>33.28</v>
      </c>
      <c r="I61" s="2"/>
      <c r="J61" s="7">
        <f t="shared" si="41"/>
        <v>3.8203196673144418E-5</v>
      </c>
      <c r="K61" s="2"/>
      <c r="L61" s="6">
        <f t="shared" si="42"/>
        <v>-33.28</v>
      </c>
      <c r="M61" s="2"/>
      <c r="N61" s="7">
        <f t="shared" si="43"/>
        <v>-1</v>
      </c>
      <c r="O61" s="11"/>
      <c r="P61" s="6"/>
      <c r="Q61" s="2"/>
      <c r="R61" s="7">
        <f t="shared" si="44"/>
        <v>0</v>
      </c>
      <c r="S61" s="2"/>
      <c r="T61" s="6">
        <v>452.84</v>
      </c>
      <c r="U61" s="2"/>
      <c r="V61" s="7">
        <f t="shared" si="45"/>
        <v>2.1451359657795389E-4</v>
      </c>
      <c r="W61" s="2"/>
      <c r="X61" s="6">
        <f t="shared" si="46"/>
        <v>-452.84</v>
      </c>
      <c r="Y61" s="2"/>
      <c r="Z61" s="7">
        <f t="shared" si="47"/>
        <v>-1</v>
      </c>
    </row>
    <row r="62" spans="1:26" s="29" customFormat="1" outlineLevel="1" collapsed="1" x14ac:dyDescent="0.25">
      <c r="A62" s="27"/>
      <c r="B62" s="14" t="str">
        <f>CONCATENATE("     ","Equipment Rental                                  ")</f>
        <v xml:space="preserve">     Equipment Rental                                  </v>
      </c>
      <c r="C62" s="14"/>
      <c r="D62" s="1">
        <f>SUM(OSRRefD22_8x_0)</f>
        <v>1984.06</v>
      </c>
      <c r="E62" s="1"/>
      <c r="F62" s="5">
        <f t="shared" si="40"/>
        <v>4.5588671190163806E-2</v>
      </c>
      <c r="G62" s="1"/>
      <c r="H62" s="1">
        <f>SUM(OSRRefH22_8x_0)</f>
        <v>3845.35</v>
      </c>
      <c r="I62" s="1"/>
      <c r="J62" s="5">
        <f t="shared" si="41"/>
        <v>4.4142025939626168E-3</v>
      </c>
      <c r="K62" s="1"/>
      <c r="L62" s="1">
        <f t="shared" si="42"/>
        <v>-1861.29</v>
      </c>
      <c r="M62" s="1"/>
      <c r="N62" s="5">
        <f t="shared" si="43"/>
        <v>-0.48403656364180114</v>
      </c>
      <c r="O62" s="14"/>
      <c r="P62" s="1">
        <f>SUM(OSRRefP22_8x_0)</f>
        <v>3300.67</v>
      </c>
      <c r="Q62" s="1"/>
      <c r="R62" s="5">
        <f t="shared" si="44"/>
        <v>5.7013874014551123E-2</v>
      </c>
      <c r="S62" s="1"/>
      <c r="T62" s="1">
        <f>SUM(OSRRefT22_8x_0)</f>
        <v>10214.16</v>
      </c>
      <c r="U62" s="1"/>
      <c r="V62" s="5">
        <f t="shared" si="45"/>
        <v>4.8385217684450881E-3</v>
      </c>
      <c r="W62" s="1"/>
      <c r="X62" s="1">
        <f t="shared" si="46"/>
        <v>-6913.49</v>
      </c>
      <c r="Y62" s="1"/>
      <c r="Z62" s="5">
        <f t="shared" si="47"/>
        <v>-0.67685350532985578</v>
      </c>
    </row>
    <row r="63" spans="1:26" s="24" customFormat="1" hidden="1" outlineLevel="2" x14ac:dyDescent="0.25">
      <c r="A63" s="28"/>
      <c r="B63" s="11" t="str">
        <f>CONCATENATE("          ", "6351", " - ", "EQUIPMENT RENTAL")</f>
        <v xml:space="preserve">          6351 - EQUIPMENT RENTAL</v>
      </c>
      <c r="C63" s="11"/>
      <c r="D63" s="6">
        <v>1984.06</v>
      </c>
      <c r="E63" s="2"/>
      <c r="F63" s="7">
        <f t="shared" si="40"/>
        <v>4.5588671190163806E-2</v>
      </c>
      <c r="G63" s="2"/>
      <c r="H63" s="6">
        <v>3845.35</v>
      </c>
      <c r="I63" s="2"/>
      <c r="J63" s="7">
        <f t="shared" si="41"/>
        <v>4.4142025939626168E-3</v>
      </c>
      <c r="K63" s="2"/>
      <c r="L63" s="6">
        <f t="shared" si="42"/>
        <v>-1861.29</v>
      </c>
      <c r="M63" s="2"/>
      <c r="N63" s="7">
        <f t="shared" si="43"/>
        <v>-0.48403656364180114</v>
      </c>
      <c r="O63" s="11"/>
      <c r="P63" s="6">
        <v>3300.67</v>
      </c>
      <c r="Q63" s="2"/>
      <c r="R63" s="7">
        <f t="shared" si="44"/>
        <v>5.7013874014551123E-2</v>
      </c>
      <c r="S63" s="2"/>
      <c r="T63" s="6">
        <v>10214.16</v>
      </c>
      <c r="U63" s="2"/>
      <c r="V63" s="7">
        <f t="shared" si="45"/>
        <v>4.8385217684450881E-3</v>
      </c>
      <c r="W63" s="2"/>
      <c r="X63" s="6">
        <f t="shared" si="46"/>
        <v>-6913.49</v>
      </c>
      <c r="Y63" s="2"/>
      <c r="Z63" s="7">
        <f t="shared" si="47"/>
        <v>-0.67685350532985578</v>
      </c>
    </row>
    <row r="64" spans="1:26" s="29" customFormat="1" outlineLevel="1" collapsed="1" x14ac:dyDescent="0.25">
      <c r="A64" s="27"/>
      <c r="B64" s="14" t="str">
        <f>CONCATENATE("     ","Freight out/Postage                               ")</f>
        <v xml:space="preserve">     Freight out/Postage                               </v>
      </c>
      <c r="C64" s="14"/>
      <c r="D64" s="1">
        <f>SUM(OSRRefD22_9x_0)</f>
        <v>0</v>
      </c>
      <c r="E64" s="1"/>
      <c r="F64" s="5">
        <f t="shared" si="40"/>
        <v>0</v>
      </c>
      <c r="G64" s="1"/>
      <c r="H64" s="1">
        <f>SUM(OSRRefH22_9x_0)</f>
        <v>0</v>
      </c>
      <c r="I64" s="1"/>
      <c r="J64" s="5">
        <f t="shared" si="41"/>
        <v>0</v>
      </c>
      <c r="K64" s="1"/>
      <c r="L64" s="1">
        <f t="shared" si="42"/>
        <v>0</v>
      </c>
      <c r="M64" s="1"/>
      <c r="N64" s="5">
        <f t="shared" si="43"/>
        <v>0</v>
      </c>
      <c r="O64" s="14"/>
      <c r="P64" s="1">
        <f>SUM(OSRRefP22_9x_0)</f>
        <v>-5.41</v>
      </c>
      <c r="Q64" s="1"/>
      <c r="R64" s="5">
        <f t="shared" si="44"/>
        <v>-9.3449226496051277E-5</v>
      </c>
      <c r="S64" s="1"/>
      <c r="T64" s="1">
        <f>SUM(OSRRefT22_9x_0)</f>
        <v>0</v>
      </c>
      <c r="U64" s="1"/>
      <c r="V64" s="5">
        <f t="shared" si="45"/>
        <v>0</v>
      </c>
      <c r="W64" s="1"/>
      <c r="X64" s="1">
        <f t="shared" si="46"/>
        <v>-5.41</v>
      </c>
      <c r="Y64" s="1"/>
      <c r="Z64" s="5">
        <f t="shared" si="47"/>
        <v>0</v>
      </c>
    </row>
    <row r="65" spans="1:26" s="24" customFormat="1" hidden="1" outlineLevel="2" x14ac:dyDescent="0.25">
      <c r="A65" s="28"/>
      <c r="B65" s="11" t="str">
        <f>CONCATENATE("          ", "6307", " - ", "POSTAGE")</f>
        <v xml:space="preserve">          6307 - POSTAGE</v>
      </c>
      <c r="C65" s="11"/>
      <c r="D65" s="6"/>
      <c r="E65" s="2"/>
      <c r="F65" s="7">
        <f t="shared" si="40"/>
        <v>0</v>
      </c>
      <c r="G65" s="2"/>
      <c r="H65" s="6"/>
      <c r="I65" s="2"/>
      <c r="J65" s="7">
        <f t="shared" si="41"/>
        <v>0</v>
      </c>
      <c r="K65" s="2"/>
      <c r="L65" s="6">
        <f t="shared" si="42"/>
        <v>0</v>
      </c>
      <c r="M65" s="2"/>
      <c r="N65" s="7">
        <f t="shared" si="43"/>
        <v>0</v>
      </c>
      <c r="O65" s="11"/>
      <c r="P65" s="6">
        <v>-5.41</v>
      </c>
      <c r="Q65" s="2"/>
      <c r="R65" s="7">
        <f t="shared" si="44"/>
        <v>-9.3449226496051277E-5</v>
      </c>
      <c r="S65" s="2"/>
      <c r="T65" s="6"/>
      <c r="U65" s="2"/>
      <c r="V65" s="7">
        <f t="shared" si="45"/>
        <v>0</v>
      </c>
      <c r="W65" s="2"/>
      <c r="X65" s="6">
        <f t="shared" si="46"/>
        <v>-5.41</v>
      </c>
      <c r="Y65" s="2"/>
      <c r="Z65" s="7">
        <f t="shared" si="47"/>
        <v>0</v>
      </c>
    </row>
    <row r="66" spans="1:26" s="29" customFormat="1" outlineLevel="1" collapsed="1" x14ac:dyDescent="0.25">
      <c r="A66" s="27"/>
      <c r="B66" s="14" t="str">
        <f>CONCATENATE("     ","General                                           ")</f>
        <v xml:space="preserve">     General                                           </v>
      </c>
      <c r="C66" s="14"/>
      <c r="D66" s="1">
        <f>SUM(OSRRefD22_10x_0)</f>
        <v>0</v>
      </c>
      <c r="E66" s="1"/>
      <c r="F66" s="5">
        <f t="shared" si="40"/>
        <v>0</v>
      </c>
      <c r="G66" s="1"/>
      <c r="H66" s="1">
        <f>SUM(OSRRefH22_10x_0)</f>
        <v>9600.36</v>
      </c>
      <c r="I66" s="1"/>
      <c r="J66" s="5">
        <f t="shared" si="41"/>
        <v>1.1020566142217209E-2</v>
      </c>
      <c r="K66" s="1"/>
      <c r="L66" s="1">
        <f t="shared" si="42"/>
        <v>-9600.36</v>
      </c>
      <c r="M66" s="1"/>
      <c r="N66" s="5">
        <f t="shared" si="43"/>
        <v>-1</v>
      </c>
      <c r="O66" s="14"/>
      <c r="P66" s="1">
        <f>SUM(OSRRefP22_10x_0)</f>
        <v>3766.45</v>
      </c>
      <c r="Q66" s="1"/>
      <c r="R66" s="5">
        <f t="shared" si="44"/>
        <v>6.5059489673946827E-2</v>
      </c>
      <c r="S66" s="1"/>
      <c r="T66" s="1">
        <f>SUM(OSRRefT22_10x_0)</f>
        <v>39118.49</v>
      </c>
      <c r="U66" s="1"/>
      <c r="V66" s="5">
        <f t="shared" si="45"/>
        <v>1.8530712796128265E-2</v>
      </c>
      <c r="W66" s="1"/>
      <c r="X66" s="1">
        <f t="shared" si="46"/>
        <v>-35352.04</v>
      </c>
      <c r="Y66" s="1"/>
      <c r="Z66" s="5">
        <f t="shared" si="47"/>
        <v>-0.90371688682257423</v>
      </c>
    </row>
    <row r="67" spans="1:26" s="24" customFormat="1" hidden="1" outlineLevel="2" x14ac:dyDescent="0.25">
      <c r="A67" s="28"/>
      <c r="B67" s="11" t="str">
        <f>CONCATENATE("          ", "6269", " - ", "ENTERTAINMENT")</f>
        <v xml:space="preserve">          6269 - ENTERTAINMENT</v>
      </c>
      <c r="C67" s="11"/>
      <c r="D67" s="6"/>
      <c r="E67" s="2"/>
      <c r="F67" s="7">
        <f t="shared" si="40"/>
        <v>0</v>
      </c>
      <c r="G67" s="2"/>
      <c r="H67" s="6">
        <v>1850</v>
      </c>
      <c r="I67" s="2"/>
      <c r="J67" s="7">
        <f t="shared" si="41"/>
        <v>2.1236752958328476E-3</v>
      </c>
      <c r="K67" s="2"/>
      <c r="L67" s="6">
        <f t="shared" si="42"/>
        <v>-1850</v>
      </c>
      <c r="M67" s="2"/>
      <c r="N67" s="7">
        <f t="shared" si="43"/>
        <v>-1</v>
      </c>
      <c r="O67" s="11"/>
      <c r="P67" s="6"/>
      <c r="Q67" s="2"/>
      <c r="R67" s="7">
        <f t="shared" si="44"/>
        <v>0</v>
      </c>
      <c r="S67" s="2"/>
      <c r="T67" s="6">
        <v>5500</v>
      </c>
      <c r="U67" s="2"/>
      <c r="V67" s="7">
        <f t="shared" si="45"/>
        <v>2.6053899416543292E-3</v>
      </c>
      <c r="W67" s="2"/>
      <c r="X67" s="6">
        <f t="shared" si="46"/>
        <v>-5500</v>
      </c>
      <c r="Y67" s="2"/>
      <c r="Z67" s="7">
        <f t="shared" si="47"/>
        <v>-1</v>
      </c>
    </row>
    <row r="68" spans="1:26" s="24" customFormat="1" hidden="1" outlineLevel="2" x14ac:dyDescent="0.25">
      <c r="A68" s="28"/>
      <c r="B68" s="11" t="str">
        <f>CONCATENATE("          ", "6279", " - ", "GENERAL EXPENSE")</f>
        <v xml:space="preserve">          6279 - GENERAL EXPENSE</v>
      </c>
      <c r="C68" s="11"/>
      <c r="D68" s="6"/>
      <c r="E68" s="2"/>
      <c r="F68" s="7">
        <f t="shared" si="40"/>
        <v>0</v>
      </c>
      <c r="G68" s="2"/>
      <c r="H68" s="6">
        <v>7750.36</v>
      </c>
      <c r="I68" s="2"/>
      <c r="J68" s="7">
        <f t="shared" si="41"/>
        <v>8.8968908463843612E-3</v>
      </c>
      <c r="K68" s="2"/>
      <c r="L68" s="6">
        <f t="shared" si="42"/>
        <v>-7750.36</v>
      </c>
      <c r="M68" s="2"/>
      <c r="N68" s="7">
        <f t="shared" si="43"/>
        <v>-1</v>
      </c>
      <c r="O68" s="11"/>
      <c r="P68" s="6">
        <v>3766.45</v>
      </c>
      <c r="Q68" s="2"/>
      <c r="R68" s="7">
        <f t="shared" si="44"/>
        <v>6.5059489673946827E-2</v>
      </c>
      <c r="S68" s="2"/>
      <c r="T68" s="6">
        <v>33618.49</v>
      </c>
      <c r="U68" s="2"/>
      <c r="V68" s="7">
        <f t="shared" si="45"/>
        <v>1.5925322854473935E-2</v>
      </c>
      <c r="W68" s="2"/>
      <c r="X68" s="6">
        <f t="shared" si="46"/>
        <v>-29852.039999999997</v>
      </c>
      <c r="Y68" s="2"/>
      <c r="Z68" s="7">
        <f t="shared" si="47"/>
        <v>-0.88796492644375158</v>
      </c>
    </row>
    <row r="69" spans="1:26" s="29" customFormat="1" outlineLevel="1" collapsed="1" x14ac:dyDescent="0.25">
      <c r="A69" s="27"/>
      <c r="B69" s="14" t="str">
        <f>CONCATENATE("     ","Insurance                                         ")</f>
        <v xml:space="preserve">     Insurance                                         </v>
      </c>
      <c r="C69" s="14"/>
      <c r="D69" s="1">
        <f>SUM(OSRRefD22_11x_0)</f>
        <v>10352.129999999999</v>
      </c>
      <c r="E69" s="1"/>
      <c r="F69" s="5">
        <f t="shared" ref="F69:F80" si="48">IF(D$12=0,0,D69/D$12)</f>
        <v>0.23786571509320806</v>
      </c>
      <c r="G69" s="1"/>
      <c r="H69" s="1">
        <f>SUM(OSRRefH22_11x_0)</f>
        <v>4240.13</v>
      </c>
      <c r="I69" s="1"/>
      <c r="J69" s="5">
        <f t="shared" ref="J69:J80" si="49">IF(H$12=0,0,H69/H$12)</f>
        <v>4.8673834227674229E-3</v>
      </c>
      <c r="K69" s="1"/>
      <c r="L69" s="1">
        <f t="shared" ref="L69:L80" si="50">+D69-H69</f>
        <v>6111.9999999999991</v>
      </c>
      <c r="M69" s="1"/>
      <c r="N69" s="5">
        <f t="shared" ref="N69:N80" si="51">IF(H69=0,0,L69/H69)</f>
        <v>1.4414652380941149</v>
      </c>
      <c r="O69" s="14"/>
      <c r="P69" s="1">
        <f>SUM(OSRRefP22_11x_0)</f>
        <v>23072.52</v>
      </c>
      <c r="Q69" s="1"/>
      <c r="R69" s="5">
        <f t="shared" ref="R69:R80" si="52">IF(P$12=0,0,P69/P$12)</f>
        <v>0.39854143203598397</v>
      </c>
      <c r="S69" s="1"/>
      <c r="T69" s="1">
        <f>SUM(OSRRefT22_11x_0)</f>
        <v>16960.52</v>
      </c>
      <c r="U69" s="1"/>
      <c r="V69" s="5">
        <f t="shared" ref="V69:V80" si="53">IF(T$12=0,0,T69/T$12)</f>
        <v>8.0343214933140152E-3</v>
      </c>
      <c r="W69" s="1"/>
      <c r="X69" s="1">
        <f t="shared" ref="X69:X80" si="54">+P69-T69</f>
        <v>6112</v>
      </c>
      <c r="Y69" s="1"/>
      <c r="Z69" s="5">
        <f t="shared" ref="Z69:Z80" si="55">IF(T69=0,0,X69/T69)</f>
        <v>0.36036630952352877</v>
      </c>
    </row>
    <row r="70" spans="1:26" s="24" customFormat="1" hidden="1" outlineLevel="2" x14ac:dyDescent="0.25">
      <c r="A70" s="28"/>
      <c r="B70" s="11" t="str">
        <f>CONCATENATE("          ", "6314", " - ", "LIABILITY INSURANCE")</f>
        <v xml:space="preserve">          6314 - LIABILITY INSURANCE</v>
      </c>
      <c r="C70" s="11"/>
      <c r="D70" s="6">
        <v>10352.129999999999</v>
      </c>
      <c r="E70" s="2"/>
      <c r="F70" s="7">
        <f t="shared" si="48"/>
        <v>0.23786571509320806</v>
      </c>
      <c r="G70" s="2"/>
      <c r="H70" s="6">
        <v>4240.13</v>
      </c>
      <c r="I70" s="2"/>
      <c r="J70" s="7">
        <f t="shared" si="49"/>
        <v>4.8673834227674229E-3</v>
      </c>
      <c r="K70" s="2"/>
      <c r="L70" s="6">
        <f t="shared" si="50"/>
        <v>6111.9999999999991</v>
      </c>
      <c r="M70" s="2"/>
      <c r="N70" s="7">
        <f t="shared" si="51"/>
        <v>1.4414652380941149</v>
      </c>
      <c r="O70" s="11"/>
      <c r="P70" s="6">
        <v>23072.52</v>
      </c>
      <c r="Q70" s="2"/>
      <c r="R70" s="7">
        <f t="shared" si="52"/>
        <v>0.39854143203598397</v>
      </c>
      <c r="S70" s="2"/>
      <c r="T70" s="6">
        <v>16960.52</v>
      </c>
      <c r="U70" s="2"/>
      <c r="V70" s="7">
        <f t="shared" si="53"/>
        <v>8.0343214933140152E-3</v>
      </c>
      <c r="W70" s="2"/>
      <c r="X70" s="6">
        <f t="shared" si="54"/>
        <v>6112</v>
      </c>
      <c r="Y70" s="2"/>
      <c r="Z70" s="7">
        <f t="shared" si="55"/>
        <v>0.36036630952352877</v>
      </c>
    </row>
    <row r="71" spans="1:26" s="29" customFormat="1" outlineLevel="1" collapsed="1" x14ac:dyDescent="0.25">
      <c r="A71" s="27"/>
      <c r="B71" s="14" t="str">
        <f>CONCATENATE("     ","Interest                                          ")</f>
        <v xml:space="preserve">     Interest                                          </v>
      </c>
      <c r="C71" s="14"/>
      <c r="D71" s="1">
        <f>SUM(OSRRefD22_12x_0)</f>
        <v>7023.15</v>
      </c>
      <c r="E71" s="1"/>
      <c r="F71" s="5">
        <f t="shared" si="48"/>
        <v>0.16137419033154185</v>
      </c>
      <c r="G71" s="1"/>
      <c r="H71" s="1">
        <f>SUM(OSRRefH22_12x_0)</f>
        <v>7733.05</v>
      </c>
      <c r="I71" s="1"/>
      <c r="J71" s="5">
        <f t="shared" si="49"/>
        <v>8.8770201332109208E-3</v>
      </c>
      <c r="K71" s="1"/>
      <c r="L71" s="1">
        <f t="shared" si="50"/>
        <v>-709.90000000000055</v>
      </c>
      <c r="M71" s="1"/>
      <c r="N71" s="5">
        <f t="shared" si="51"/>
        <v>-9.1800777183646889E-2</v>
      </c>
      <c r="O71" s="14"/>
      <c r="P71" s="1">
        <f>SUM(OSRRefP22_12x_0)</f>
        <v>29553.15</v>
      </c>
      <c r="Q71" s="1"/>
      <c r="R71" s="5">
        <f t="shared" si="52"/>
        <v>0.51048410499478336</v>
      </c>
      <c r="S71" s="1"/>
      <c r="T71" s="1">
        <f>SUM(OSRRefT22_12x_0)</f>
        <v>30623.05</v>
      </c>
      <c r="U71" s="1"/>
      <c r="V71" s="5">
        <f t="shared" si="53"/>
        <v>1.4506361173232292E-2</v>
      </c>
      <c r="W71" s="1"/>
      <c r="X71" s="1">
        <f t="shared" si="54"/>
        <v>-1069.8999999999978</v>
      </c>
      <c r="Y71" s="1"/>
      <c r="Z71" s="5">
        <f t="shared" si="55"/>
        <v>-3.4937734810869522E-2</v>
      </c>
    </row>
    <row r="72" spans="1:26" s="24" customFormat="1" hidden="1" outlineLevel="2" x14ac:dyDescent="0.25">
      <c r="A72" s="28"/>
      <c r="B72" s="11" t="str">
        <f>CONCATENATE("          ", "6401", " - ", "INTEREST EXPENSE")</f>
        <v xml:space="preserve">          6401 - INTEREST EXPENSE</v>
      </c>
      <c r="C72" s="11"/>
      <c r="D72" s="6">
        <v>7023.15</v>
      </c>
      <c r="E72" s="2"/>
      <c r="F72" s="7">
        <f t="shared" si="48"/>
        <v>0.16137419033154185</v>
      </c>
      <c r="G72" s="2"/>
      <c r="H72" s="6">
        <v>7733.05</v>
      </c>
      <c r="I72" s="2"/>
      <c r="J72" s="7">
        <f t="shared" si="49"/>
        <v>8.8770201332109208E-3</v>
      </c>
      <c r="K72" s="2"/>
      <c r="L72" s="6">
        <f t="shared" si="50"/>
        <v>-709.90000000000055</v>
      </c>
      <c r="M72" s="2"/>
      <c r="N72" s="7">
        <f t="shared" si="51"/>
        <v>-9.1800777183646889E-2</v>
      </c>
      <c r="O72" s="11"/>
      <c r="P72" s="6">
        <v>29553.15</v>
      </c>
      <c r="Q72" s="2"/>
      <c r="R72" s="7">
        <f t="shared" si="52"/>
        <v>0.51048410499478336</v>
      </c>
      <c r="S72" s="2"/>
      <c r="T72" s="6">
        <v>30623.05</v>
      </c>
      <c r="U72" s="2"/>
      <c r="V72" s="7">
        <f t="shared" si="53"/>
        <v>1.4506361173232292E-2</v>
      </c>
      <c r="W72" s="2"/>
      <c r="X72" s="6">
        <f t="shared" si="54"/>
        <v>-1069.8999999999978</v>
      </c>
      <c r="Y72" s="2"/>
      <c r="Z72" s="7">
        <f t="shared" si="55"/>
        <v>-3.4937734810869522E-2</v>
      </c>
    </row>
    <row r="73" spans="1:26" s="29" customFormat="1" outlineLevel="1" collapsed="1" x14ac:dyDescent="0.25">
      <c r="A73" s="27"/>
      <c r="B73" s="14" t="str">
        <f>CONCATENATE("     ","Professional Services                             ")</f>
        <v xml:space="preserve">     Professional Services                             </v>
      </c>
      <c r="C73" s="14"/>
      <c r="D73" s="1">
        <f>SUM(OSRRefD22_13x_0)</f>
        <v>0</v>
      </c>
      <c r="E73" s="1"/>
      <c r="F73" s="5">
        <f t="shared" si="48"/>
        <v>0</v>
      </c>
      <c r="G73" s="1"/>
      <c r="H73" s="1">
        <f>SUM(OSRRefH22_13x_0)</f>
        <v>0</v>
      </c>
      <c r="I73" s="1"/>
      <c r="J73" s="5">
        <f t="shared" si="49"/>
        <v>0</v>
      </c>
      <c r="K73" s="1"/>
      <c r="L73" s="1">
        <f t="shared" si="50"/>
        <v>0</v>
      </c>
      <c r="M73" s="1"/>
      <c r="N73" s="5">
        <f t="shared" si="51"/>
        <v>0</v>
      </c>
      <c r="O73" s="14"/>
      <c r="P73" s="1">
        <f>SUM(OSRRefP22_13x_0)</f>
        <v>0</v>
      </c>
      <c r="Q73" s="1"/>
      <c r="R73" s="5">
        <f t="shared" si="52"/>
        <v>0</v>
      </c>
      <c r="S73" s="1"/>
      <c r="T73" s="1">
        <f>SUM(OSRRefT22_13x_0)</f>
        <v>125</v>
      </c>
      <c r="U73" s="1"/>
      <c r="V73" s="5">
        <f t="shared" si="53"/>
        <v>5.9213407764871121E-5</v>
      </c>
      <c r="W73" s="1"/>
      <c r="X73" s="1">
        <f t="shared" si="54"/>
        <v>-125</v>
      </c>
      <c r="Y73" s="1"/>
      <c r="Z73" s="5">
        <f t="shared" si="55"/>
        <v>-1</v>
      </c>
    </row>
    <row r="74" spans="1:26" s="24" customFormat="1" hidden="1" outlineLevel="2" x14ac:dyDescent="0.25">
      <c r="A74" s="28"/>
      <c r="B74" s="11" t="str">
        <f>CONCATENATE("          ", "6336", " - ", "PROFESSIONAL SERVICES")</f>
        <v xml:space="preserve">          6336 - PROFESSIONAL SERVICES</v>
      </c>
      <c r="C74" s="11"/>
      <c r="D74" s="6"/>
      <c r="E74" s="2"/>
      <c r="F74" s="7">
        <f t="shared" si="48"/>
        <v>0</v>
      </c>
      <c r="G74" s="2"/>
      <c r="H74" s="6"/>
      <c r="I74" s="2"/>
      <c r="J74" s="7">
        <f t="shared" si="49"/>
        <v>0</v>
      </c>
      <c r="K74" s="2"/>
      <c r="L74" s="6">
        <f t="shared" si="50"/>
        <v>0</v>
      </c>
      <c r="M74" s="2"/>
      <c r="N74" s="7">
        <f t="shared" si="51"/>
        <v>0</v>
      </c>
      <c r="O74" s="11"/>
      <c r="P74" s="6"/>
      <c r="Q74" s="2"/>
      <c r="R74" s="7">
        <f t="shared" si="52"/>
        <v>0</v>
      </c>
      <c r="S74" s="2"/>
      <c r="T74" s="6">
        <v>125</v>
      </c>
      <c r="U74" s="2"/>
      <c r="V74" s="7">
        <f t="shared" si="53"/>
        <v>5.9213407764871121E-5</v>
      </c>
      <c r="W74" s="2"/>
      <c r="X74" s="6">
        <f t="shared" si="54"/>
        <v>-125</v>
      </c>
      <c r="Y74" s="2"/>
      <c r="Z74" s="7">
        <f t="shared" si="55"/>
        <v>-1</v>
      </c>
    </row>
    <row r="75" spans="1:26" s="29" customFormat="1" outlineLevel="1" collapsed="1" x14ac:dyDescent="0.25">
      <c r="A75" s="27"/>
      <c r="B75" s="14" t="str">
        <f>CONCATENATE("     ","Rent                                              ")</f>
        <v xml:space="preserve">     Rent                                              </v>
      </c>
      <c r="C75" s="14"/>
      <c r="D75" s="1">
        <f>SUM(OSRRefD22_14x_0)</f>
        <v>0</v>
      </c>
      <c r="E75" s="1"/>
      <c r="F75" s="5">
        <f t="shared" si="48"/>
        <v>0</v>
      </c>
      <c r="G75" s="1"/>
      <c r="H75" s="1">
        <f>SUM(OSRRefH22_14x_0)</f>
        <v>1850</v>
      </c>
      <c r="I75" s="1"/>
      <c r="J75" s="5">
        <f t="shared" si="49"/>
        <v>2.1236752958328476E-3</v>
      </c>
      <c r="K75" s="1"/>
      <c r="L75" s="1">
        <f t="shared" si="50"/>
        <v>-1850</v>
      </c>
      <c r="M75" s="1"/>
      <c r="N75" s="5">
        <f t="shared" si="51"/>
        <v>-1</v>
      </c>
      <c r="O75" s="14"/>
      <c r="P75" s="1">
        <f>SUM(OSRRefP22_14x_0)</f>
        <v>5550</v>
      </c>
      <c r="Q75" s="1"/>
      <c r="R75" s="5">
        <f t="shared" si="52"/>
        <v>9.5867505924784588E-2</v>
      </c>
      <c r="S75" s="1"/>
      <c r="T75" s="1">
        <f>SUM(OSRRefT22_14x_0)</f>
        <v>7400</v>
      </c>
      <c r="U75" s="1"/>
      <c r="V75" s="5">
        <f t="shared" si="53"/>
        <v>3.5054337396803704E-3</v>
      </c>
      <c r="W75" s="1"/>
      <c r="X75" s="1">
        <f t="shared" si="54"/>
        <v>-1850</v>
      </c>
      <c r="Y75" s="1"/>
      <c r="Z75" s="5">
        <f t="shared" si="55"/>
        <v>-0.25</v>
      </c>
    </row>
    <row r="76" spans="1:26" s="24" customFormat="1" hidden="1" outlineLevel="2" x14ac:dyDescent="0.25">
      <c r="A76" s="28"/>
      <c r="B76" s="11" t="str">
        <f>CONCATENATE("          ", "6273", " - ", "RENT")</f>
        <v xml:space="preserve">          6273 - RENT</v>
      </c>
      <c r="C76" s="11"/>
      <c r="D76" s="6"/>
      <c r="E76" s="2"/>
      <c r="F76" s="7">
        <f t="shared" si="48"/>
        <v>0</v>
      </c>
      <c r="G76" s="2"/>
      <c r="H76" s="6">
        <v>1850</v>
      </c>
      <c r="I76" s="2"/>
      <c r="J76" s="7">
        <f t="shared" si="49"/>
        <v>2.1236752958328476E-3</v>
      </c>
      <c r="K76" s="2"/>
      <c r="L76" s="6">
        <f t="shared" si="50"/>
        <v>-1850</v>
      </c>
      <c r="M76" s="2"/>
      <c r="N76" s="7">
        <f t="shared" si="51"/>
        <v>-1</v>
      </c>
      <c r="O76" s="11"/>
      <c r="P76" s="6">
        <v>5550</v>
      </c>
      <c r="Q76" s="2"/>
      <c r="R76" s="7">
        <f t="shared" si="52"/>
        <v>9.5867505924784588E-2</v>
      </c>
      <c r="S76" s="2"/>
      <c r="T76" s="6">
        <v>7400</v>
      </c>
      <c r="U76" s="2"/>
      <c r="V76" s="7">
        <f t="shared" si="53"/>
        <v>3.5054337396803704E-3</v>
      </c>
      <c r="W76" s="2"/>
      <c r="X76" s="6">
        <f t="shared" si="54"/>
        <v>-1850</v>
      </c>
      <c r="Y76" s="2"/>
      <c r="Z76" s="7">
        <f t="shared" si="55"/>
        <v>-0.25</v>
      </c>
    </row>
    <row r="77" spans="1:26" s="29" customFormat="1" outlineLevel="1" collapsed="1" x14ac:dyDescent="0.25">
      <c r="A77" s="27"/>
      <c r="B77" s="14" t="str">
        <f>CONCATENATE("     ","Repair and Maintenance                            ")</f>
        <v xml:space="preserve">     Repair and Maintenance                            </v>
      </c>
      <c r="C77" s="14"/>
      <c r="D77" s="1">
        <f>SUM(OSRRefD22_15x_0)</f>
        <v>3999.3799999999997</v>
      </c>
      <c r="E77" s="1"/>
      <c r="F77" s="5">
        <f t="shared" si="48"/>
        <v>9.1895617967459306E-2</v>
      </c>
      <c r="G77" s="1"/>
      <c r="H77" s="1">
        <f>SUM(OSRRefH22_15x_0)</f>
        <v>26000.78</v>
      </c>
      <c r="I77" s="1"/>
      <c r="J77" s="5">
        <f t="shared" si="49"/>
        <v>2.98471427883161E-2</v>
      </c>
      <c r="K77" s="1"/>
      <c r="L77" s="1">
        <f t="shared" si="50"/>
        <v>-22001.399999999998</v>
      </c>
      <c r="M77" s="1"/>
      <c r="N77" s="5">
        <f t="shared" si="51"/>
        <v>-0.84618230683848705</v>
      </c>
      <c r="O77" s="14"/>
      <c r="P77" s="1">
        <f>SUM(OSRRefP22_15x_0)</f>
        <v>15007.130000000001</v>
      </c>
      <c r="Q77" s="1"/>
      <c r="R77" s="5">
        <f t="shared" si="52"/>
        <v>0.25922452688090319</v>
      </c>
      <c r="S77" s="1"/>
      <c r="T77" s="1">
        <f>SUM(OSRRefT22_15x_0)</f>
        <v>106108.16</v>
      </c>
      <c r="U77" s="1"/>
      <c r="V77" s="5">
        <f t="shared" si="53"/>
        <v>5.0264205962081497E-2</v>
      </c>
      <c r="W77" s="1"/>
      <c r="X77" s="1">
        <f t="shared" si="54"/>
        <v>-91101.03</v>
      </c>
      <c r="Y77" s="1"/>
      <c r="Z77" s="5">
        <f t="shared" si="55"/>
        <v>-0.85856761628888856</v>
      </c>
    </row>
    <row r="78" spans="1:26" s="24" customFormat="1" hidden="1" outlineLevel="2" x14ac:dyDescent="0.25">
      <c r="A78" s="28"/>
      <c r="B78" s="11" t="str">
        <f>CONCATENATE("          ", "6371", " - ", "COMPUTER SOFTWARE MAINTENANCE")</f>
        <v xml:space="preserve">          6371 - COMPUTER SOFTWARE MAINTENANCE</v>
      </c>
      <c r="C78" s="11"/>
      <c r="D78" s="6"/>
      <c r="E78" s="2"/>
      <c r="F78" s="7">
        <f t="shared" si="48"/>
        <v>0</v>
      </c>
      <c r="G78" s="2"/>
      <c r="H78" s="6"/>
      <c r="I78" s="2"/>
      <c r="J78" s="7">
        <f t="shared" si="49"/>
        <v>0</v>
      </c>
      <c r="K78" s="2"/>
      <c r="L78" s="6">
        <f t="shared" si="50"/>
        <v>0</v>
      </c>
      <c r="M78" s="2"/>
      <c r="N78" s="7">
        <f t="shared" si="51"/>
        <v>0</v>
      </c>
      <c r="O78" s="11"/>
      <c r="P78" s="6"/>
      <c r="Q78" s="2"/>
      <c r="R78" s="7">
        <f t="shared" si="52"/>
        <v>0</v>
      </c>
      <c r="S78" s="2"/>
      <c r="T78" s="6">
        <v>10932.69</v>
      </c>
      <c r="U78" s="2"/>
      <c r="V78" s="7">
        <f t="shared" si="53"/>
        <v>5.1788946474954313E-3</v>
      </c>
      <c r="W78" s="2"/>
      <c r="X78" s="6">
        <f t="shared" si="54"/>
        <v>-10932.69</v>
      </c>
      <c r="Y78" s="2"/>
      <c r="Z78" s="7">
        <f t="shared" si="55"/>
        <v>-1</v>
      </c>
    </row>
    <row r="79" spans="1:26" s="24" customFormat="1" hidden="1" outlineLevel="2" x14ac:dyDescent="0.25">
      <c r="A79" s="28"/>
      <c r="B79" s="11" t="str">
        <f>CONCATENATE("          ", "6373", " - ", "MAINTENANCE CONTRACTS")</f>
        <v xml:space="preserve">          6373 - MAINTENANCE CONTRACTS</v>
      </c>
      <c r="C79" s="11"/>
      <c r="D79" s="6">
        <v>3179.47</v>
      </c>
      <c r="E79" s="2"/>
      <c r="F79" s="7">
        <f t="shared" si="48"/>
        <v>7.3056163820141587E-2</v>
      </c>
      <c r="G79" s="2"/>
      <c r="H79" s="6">
        <v>7636.87</v>
      </c>
      <c r="I79" s="2"/>
      <c r="J79" s="7">
        <f t="shared" si="49"/>
        <v>8.7666119764794586E-3</v>
      </c>
      <c r="K79" s="2"/>
      <c r="L79" s="6">
        <f t="shared" si="50"/>
        <v>-4457.3999999999996</v>
      </c>
      <c r="M79" s="2"/>
      <c r="N79" s="7">
        <f t="shared" si="51"/>
        <v>-0.58366844008081842</v>
      </c>
      <c r="O79" s="11"/>
      <c r="P79" s="6">
        <v>8877.18</v>
      </c>
      <c r="Q79" s="2"/>
      <c r="R79" s="7">
        <f t="shared" si="52"/>
        <v>0.15333929842259086</v>
      </c>
      <c r="S79" s="2"/>
      <c r="T79" s="6">
        <v>32445.379999999997</v>
      </c>
      <c r="U79" s="2"/>
      <c r="V79" s="7">
        <f t="shared" si="53"/>
        <v>1.5369612128209552E-2</v>
      </c>
      <c r="W79" s="2"/>
      <c r="X79" s="6">
        <f t="shared" si="54"/>
        <v>-23568.199999999997</v>
      </c>
      <c r="Y79" s="2"/>
      <c r="Z79" s="7">
        <f t="shared" si="55"/>
        <v>-0.72639617720612304</v>
      </c>
    </row>
    <row r="80" spans="1:26" s="24" customFormat="1" hidden="1" outlineLevel="2" x14ac:dyDescent="0.25">
      <c r="A80" s="28"/>
      <c r="B80" s="11" t="str">
        <f>CONCATENATE("          ", "6375", " - ", "OUTSIDE REPAIRS &amp; MAINTENANCE")</f>
        <v xml:space="preserve">          6375 - OUTSIDE REPAIRS &amp; MAINTENANCE</v>
      </c>
      <c r="C80" s="11"/>
      <c r="D80" s="6">
        <v>819.91</v>
      </c>
      <c r="E80" s="2"/>
      <c r="F80" s="7">
        <f t="shared" si="48"/>
        <v>1.8839454147317723E-2</v>
      </c>
      <c r="G80" s="2"/>
      <c r="H80" s="6">
        <v>18363.91</v>
      </c>
      <c r="I80" s="2"/>
      <c r="J80" s="7">
        <f t="shared" si="49"/>
        <v>2.1080530811836643E-2</v>
      </c>
      <c r="K80" s="2"/>
      <c r="L80" s="6">
        <f t="shared" si="50"/>
        <v>-17544</v>
      </c>
      <c r="M80" s="2"/>
      <c r="N80" s="7">
        <f t="shared" si="51"/>
        <v>-0.95535210094146616</v>
      </c>
      <c r="O80" s="11"/>
      <c r="P80" s="6">
        <v>6129.95</v>
      </c>
      <c r="Q80" s="2"/>
      <c r="R80" s="7">
        <f t="shared" si="52"/>
        <v>0.1058852284583123</v>
      </c>
      <c r="S80" s="2"/>
      <c r="T80" s="6">
        <v>62730.09</v>
      </c>
      <c r="U80" s="2"/>
      <c r="V80" s="7">
        <f t="shared" si="53"/>
        <v>2.9715699186376513E-2</v>
      </c>
      <c r="W80" s="2"/>
      <c r="X80" s="6">
        <f t="shared" si="54"/>
        <v>-56600.14</v>
      </c>
      <c r="Y80" s="2"/>
      <c r="Z80" s="7">
        <f t="shared" si="55"/>
        <v>-0.90228054829827287</v>
      </c>
    </row>
    <row r="81" spans="1:26" s="29" customFormat="1" outlineLevel="1" collapsed="1" x14ac:dyDescent="0.25">
      <c r="A81" s="27"/>
      <c r="B81" s="14" t="str">
        <f>CONCATENATE("     ","Royalty &amp; Commissions                             ")</f>
        <v xml:space="preserve">     Royalty &amp; Commissions                             </v>
      </c>
      <c r="C81" s="14"/>
      <c r="D81" s="1">
        <f>SUM(OSRRefD22_16x_0)</f>
        <v>0</v>
      </c>
      <c r="E81" s="1"/>
      <c r="F81" s="5">
        <f t="shared" ref="F81:F83" si="56">IF(D$12=0,0,D81/D$12)</f>
        <v>0</v>
      </c>
      <c r="G81" s="1"/>
      <c r="H81" s="1">
        <f>SUM(OSRRefH22_16x_0)</f>
        <v>32085.1</v>
      </c>
      <c r="I81" s="1"/>
      <c r="J81" s="5">
        <f t="shared" ref="J81:J83" si="57">IF(H$12=0,0,H81/H$12)</f>
        <v>3.6831532018554866E-2</v>
      </c>
      <c r="K81" s="1"/>
      <c r="L81" s="1">
        <f t="shared" ref="L81:L83" si="58">+D81-H81</f>
        <v>-32085.1</v>
      </c>
      <c r="M81" s="1"/>
      <c r="N81" s="5">
        <f t="shared" ref="N81:N83" si="59">IF(H81=0,0,L81/H81)</f>
        <v>-1</v>
      </c>
      <c r="O81" s="14"/>
      <c r="P81" s="1">
        <f>SUM(OSRRefP22_16x_0)</f>
        <v>0</v>
      </c>
      <c r="Q81" s="1"/>
      <c r="R81" s="5">
        <f t="shared" ref="R81:R83" si="60">IF(P$12=0,0,P81/P$12)</f>
        <v>0</v>
      </c>
      <c r="S81" s="1"/>
      <c r="T81" s="1">
        <f>SUM(OSRRefT22_16x_0)</f>
        <v>92348.87</v>
      </c>
      <c r="U81" s="1"/>
      <c r="V81" s="5">
        <f t="shared" ref="V81:V83" si="61">IF(T$12=0,0,T81/T$12)</f>
        <v>4.3746330367480588E-2</v>
      </c>
      <c r="W81" s="1"/>
      <c r="X81" s="1">
        <f t="shared" ref="X81:X83" si="62">+P81-T81</f>
        <v>-92348.87</v>
      </c>
      <c r="Y81" s="1"/>
      <c r="Z81" s="5">
        <f t="shared" ref="Z81:Z83" si="63">IF(T81=0,0,X81/T81)</f>
        <v>-1</v>
      </c>
    </row>
    <row r="82" spans="1:26" s="24" customFormat="1" hidden="1" outlineLevel="2" x14ac:dyDescent="0.25">
      <c r="A82" s="28"/>
      <c r="B82" s="11" t="str">
        <f>CONCATENATE("          ", "6254", " - ", "ROYALTY &amp; COMMISSIONS")</f>
        <v xml:space="preserve">          6254 - ROYALTY &amp; COMMISSIONS</v>
      </c>
      <c r="C82" s="11"/>
      <c r="D82" s="6"/>
      <c r="E82" s="2"/>
      <c r="F82" s="7">
        <f t="shared" si="56"/>
        <v>0</v>
      </c>
      <c r="G82" s="2"/>
      <c r="H82" s="6">
        <v>10321.9</v>
      </c>
      <c r="I82" s="2"/>
      <c r="J82" s="7">
        <f t="shared" si="57"/>
        <v>1.1848845424895713E-2</v>
      </c>
      <c r="K82" s="2"/>
      <c r="L82" s="6">
        <f t="shared" si="58"/>
        <v>-10321.9</v>
      </c>
      <c r="M82" s="2"/>
      <c r="N82" s="7">
        <f t="shared" si="59"/>
        <v>-1</v>
      </c>
      <c r="O82" s="11"/>
      <c r="P82" s="6"/>
      <c r="Q82" s="2"/>
      <c r="R82" s="7">
        <f t="shared" si="60"/>
        <v>0</v>
      </c>
      <c r="S82" s="2"/>
      <c r="T82" s="6">
        <v>44979.51</v>
      </c>
      <c r="U82" s="2"/>
      <c r="V82" s="7">
        <f t="shared" si="61"/>
        <v>2.1307120533552788E-2</v>
      </c>
      <c r="W82" s="2"/>
      <c r="X82" s="6">
        <f t="shared" si="62"/>
        <v>-44979.51</v>
      </c>
      <c r="Y82" s="2"/>
      <c r="Z82" s="7">
        <f t="shared" si="63"/>
        <v>-1</v>
      </c>
    </row>
    <row r="83" spans="1:26" s="24" customFormat="1" hidden="1" outlineLevel="2" x14ac:dyDescent="0.25">
      <c r="A83" s="28"/>
      <c r="B83" s="11" t="str">
        <f>CONCATENATE("          ", "6259", " - ", "ROYALTY &amp; COMMISSIONS")</f>
        <v xml:space="preserve">          6259 - ROYALTY &amp; COMMISSIONS</v>
      </c>
      <c r="C83" s="11"/>
      <c r="D83" s="6"/>
      <c r="E83" s="2"/>
      <c r="F83" s="7">
        <f t="shared" si="56"/>
        <v>0</v>
      </c>
      <c r="G83" s="2"/>
      <c r="H83" s="6">
        <v>21763.200000000001</v>
      </c>
      <c r="I83" s="2"/>
      <c r="J83" s="7">
        <f t="shared" si="57"/>
        <v>2.498268659365915E-2</v>
      </c>
      <c r="K83" s="2"/>
      <c r="L83" s="6">
        <f t="shared" si="58"/>
        <v>-21763.200000000001</v>
      </c>
      <c r="M83" s="2"/>
      <c r="N83" s="7">
        <f t="shared" si="59"/>
        <v>-1</v>
      </c>
      <c r="O83" s="11"/>
      <c r="P83" s="6"/>
      <c r="Q83" s="2"/>
      <c r="R83" s="7">
        <f t="shared" si="60"/>
        <v>0</v>
      </c>
      <c r="S83" s="2"/>
      <c r="T83" s="6">
        <v>47369.36</v>
      </c>
      <c r="U83" s="2"/>
      <c r="V83" s="7">
        <f t="shared" si="61"/>
        <v>2.2439209833927803E-2</v>
      </c>
      <c r="W83" s="2"/>
      <c r="X83" s="6">
        <f t="shared" si="62"/>
        <v>-47369.36</v>
      </c>
      <c r="Y83" s="2"/>
      <c r="Z83" s="7">
        <f t="shared" si="63"/>
        <v>-1</v>
      </c>
    </row>
    <row r="84" spans="1:26" s="29" customFormat="1" outlineLevel="1" collapsed="1" x14ac:dyDescent="0.25">
      <c r="A84" s="27"/>
      <c r="B84" s="14" t="str">
        <f>CONCATENATE("     ","Services                                          ")</f>
        <v xml:space="preserve">     Services                                          </v>
      </c>
      <c r="C84" s="14"/>
      <c r="D84" s="1">
        <f>SUM(OSRRefD22_17x_0)</f>
        <v>6452.73</v>
      </c>
      <c r="E84" s="1"/>
      <c r="F84" s="5">
        <f t="shared" ref="F84:F89" si="64">IF(D$12=0,0,D84/D$12)</f>
        <v>0.14826738417633825</v>
      </c>
      <c r="G84" s="1"/>
      <c r="H84" s="1">
        <f>SUM(OSRRefH22_17x_0)</f>
        <v>23526.43</v>
      </c>
      <c r="I84" s="1"/>
      <c r="J84" s="5">
        <f t="shared" ref="J84:J89" si="65">IF(H$12=0,0,H84/H$12)</f>
        <v>2.7006755778454478E-2</v>
      </c>
      <c r="K84" s="1"/>
      <c r="L84" s="1">
        <f t="shared" ref="L84:L89" si="66">+D84-H84</f>
        <v>-17073.7</v>
      </c>
      <c r="M84" s="1"/>
      <c r="N84" s="5">
        <f t="shared" ref="N84:N89" si="67">IF(H84=0,0,L84/H84)</f>
        <v>-0.72572421740145021</v>
      </c>
      <c r="O84" s="14"/>
      <c r="P84" s="1">
        <f>SUM(OSRRefP22_17x_0)</f>
        <v>16980.79</v>
      </c>
      <c r="Q84" s="1"/>
      <c r="R84" s="5">
        <f t="shared" ref="R84:R89" si="68">IF(P$12=0,0,P84/P$12)</f>
        <v>0.29331639386171582</v>
      </c>
      <c r="S84" s="1"/>
      <c r="T84" s="1">
        <f>SUM(OSRRefT22_17x_0)</f>
        <v>82053.969999999987</v>
      </c>
      <c r="U84" s="1"/>
      <c r="V84" s="5">
        <f t="shared" ref="V84:V89" si="69">IF(T$12=0,0,T84/T$12)</f>
        <v>3.8869561474692012E-2</v>
      </c>
      <c r="W84" s="1"/>
      <c r="X84" s="1">
        <f t="shared" ref="X84:X89" si="70">+P84-T84</f>
        <v>-65073.179999999986</v>
      </c>
      <c r="Y84" s="1"/>
      <c r="Z84" s="5">
        <f t="shared" ref="Z84:Z89" si="71">IF(T84=0,0,X84/T84)</f>
        <v>-0.79305340131623125</v>
      </c>
    </row>
    <row r="85" spans="1:26" s="24" customFormat="1" hidden="1" outlineLevel="2" x14ac:dyDescent="0.25">
      <c r="A85" s="28"/>
      <c r="B85" s="11" t="str">
        <f>CONCATENATE("          ", "6282", " - ", "JANITORIAL/EXTERMINATOR EXPENS")</f>
        <v xml:space="preserve">          6282 - JANITORIAL/EXTERMINATOR EXPENS</v>
      </c>
      <c r="C85" s="11"/>
      <c r="D85" s="6">
        <v>971.78</v>
      </c>
      <c r="E85" s="2"/>
      <c r="F85" s="7">
        <f t="shared" si="64"/>
        <v>2.2329041908600234E-2</v>
      </c>
      <c r="G85" s="2"/>
      <c r="H85" s="6">
        <v>1277.57</v>
      </c>
      <c r="I85" s="2"/>
      <c r="J85" s="7">
        <f t="shared" si="65"/>
        <v>1.4665642419984708E-3</v>
      </c>
      <c r="K85" s="2"/>
      <c r="L85" s="6">
        <f t="shared" si="66"/>
        <v>-305.78999999999996</v>
      </c>
      <c r="M85" s="2"/>
      <c r="N85" s="7">
        <f t="shared" si="67"/>
        <v>-0.23935283389559867</v>
      </c>
      <c r="O85" s="11"/>
      <c r="P85" s="6">
        <v>1752.65</v>
      </c>
      <c r="Q85" s="2"/>
      <c r="R85" s="7">
        <f t="shared" si="68"/>
        <v>3.0274267434067335E-2</v>
      </c>
      <c r="S85" s="2"/>
      <c r="T85" s="6">
        <v>5110.28</v>
      </c>
      <c r="U85" s="2"/>
      <c r="V85" s="7">
        <f t="shared" si="69"/>
        <v>2.4207767474613245E-3</v>
      </c>
      <c r="W85" s="2"/>
      <c r="X85" s="6">
        <f t="shared" si="70"/>
        <v>-3357.6299999999997</v>
      </c>
      <c r="Y85" s="2"/>
      <c r="Z85" s="7">
        <f t="shared" si="71"/>
        <v>-0.65703444821027412</v>
      </c>
    </row>
    <row r="86" spans="1:26" s="24" customFormat="1" hidden="1" outlineLevel="2" x14ac:dyDescent="0.25">
      <c r="A86" s="28"/>
      <c r="B86" s="11" t="str">
        <f>CONCATENATE("          ", "6283", " - ", "PLANT SERVICE")</f>
        <v xml:space="preserve">          6283 - PLANT SERVICE</v>
      </c>
      <c r="C86" s="11"/>
      <c r="D86" s="6"/>
      <c r="E86" s="2"/>
      <c r="F86" s="7">
        <f t="shared" si="64"/>
        <v>0</v>
      </c>
      <c r="G86" s="2"/>
      <c r="H86" s="6"/>
      <c r="I86" s="2"/>
      <c r="J86" s="7">
        <f t="shared" si="65"/>
        <v>0</v>
      </c>
      <c r="K86" s="2"/>
      <c r="L86" s="6">
        <f t="shared" si="66"/>
        <v>0</v>
      </c>
      <c r="M86" s="2"/>
      <c r="N86" s="7">
        <f t="shared" si="67"/>
        <v>0</v>
      </c>
      <c r="O86" s="11"/>
      <c r="P86" s="6"/>
      <c r="Q86" s="2"/>
      <c r="R86" s="7">
        <f t="shared" si="68"/>
        <v>0</v>
      </c>
      <c r="S86" s="2"/>
      <c r="T86" s="6">
        <v>599.34</v>
      </c>
      <c r="U86" s="2"/>
      <c r="V86" s="7">
        <f t="shared" si="69"/>
        <v>2.8391171047838286E-4</v>
      </c>
      <c r="W86" s="2"/>
      <c r="X86" s="6">
        <f t="shared" si="70"/>
        <v>-599.34</v>
      </c>
      <c r="Y86" s="2"/>
      <c r="Z86" s="7">
        <f t="shared" si="71"/>
        <v>-1</v>
      </c>
    </row>
    <row r="87" spans="1:26" s="24" customFormat="1" hidden="1" outlineLevel="2" x14ac:dyDescent="0.25">
      <c r="A87" s="28"/>
      <c r="B87" s="11" t="str">
        <f>CONCATENATE("          ", "6284", " - ", "TRASH REMOVAL EXPENSE")</f>
        <v xml:space="preserve">          6284 - TRASH REMOVAL EXPENSE</v>
      </c>
      <c r="C87" s="11"/>
      <c r="D87" s="6">
        <v>5369</v>
      </c>
      <c r="E87" s="2"/>
      <c r="F87" s="7">
        <f t="shared" si="64"/>
        <v>0.12336601494913937</v>
      </c>
      <c r="G87" s="2"/>
      <c r="H87" s="6">
        <v>4199</v>
      </c>
      <c r="I87" s="2"/>
      <c r="J87" s="7">
        <f t="shared" si="65"/>
        <v>4.8201689552443928E-3</v>
      </c>
      <c r="K87" s="2"/>
      <c r="L87" s="6">
        <f t="shared" si="66"/>
        <v>1170</v>
      </c>
      <c r="M87" s="2"/>
      <c r="N87" s="7">
        <f t="shared" si="67"/>
        <v>0.27863777089783281</v>
      </c>
      <c r="O87" s="11"/>
      <c r="P87" s="6">
        <v>8130</v>
      </c>
      <c r="Q87" s="2"/>
      <c r="R87" s="7">
        <f t="shared" si="68"/>
        <v>0.1404329411114412</v>
      </c>
      <c r="S87" s="2"/>
      <c r="T87" s="6">
        <v>9021</v>
      </c>
      <c r="U87" s="2"/>
      <c r="V87" s="7">
        <f t="shared" si="69"/>
        <v>4.2733132115752191E-3</v>
      </c>
      <c r="W87" s="2"/>
      <c r="X87" s="6">
        <f t="shared" si="70"/>
        <v>-891</v>
      </c>
      <c r="Y87" s="2"/>
      <c r="Z87" s="7">
        <f t="shared" si="71"/>
        <v>-9.8769537745261052E-2</v>
      </c>
    </row>
    <row r="88" spans="1:26" s="24" customFormat="1" hidden="1" outlineLevel="2" x14ac:dyDescent="0.25">
      <c r="A88" s="28"/>
      <c r="B88" s="11" t="str">
        <f>CONCATENATE("          ", "6285", " - ", "JANITORIAL SERVICES")</f>
        <v xml:space="preserve">          6285 - JANITORIAL SERVICES</v>
      </c>
      <c r="C88" s="11"/>
      <c r="D88" s="6"/>
      <c r="E88" s="2"/>
      <c r="F88" s="7">
        <f t="shared" si="64"/>
        <v>0</v>
      </c>
      <c r="G88" s="2"/>
      <c r="H88" s="6">
        <v>13194.46</v>
      </c>
      <c r="I88" s="2"/>
      <c r="J88" s="7">
        <f t="shared" si="65"/>
        <v>1.5146350672353877E-2</v>
      </c>
      <c r="K88" s="2"/>
      <c r="L88" s="6">
        <f t="shared" si="66"/>
        <v>-13194.46</v>
      </c>
      <c r="M88" s="2"/>
      <c r="N88" s="7">
        <f t="shared" si="67"/>
        <v>-1</v>
      </c>
      <c r="O88" s="11"/>
      <c r="P88" s="6">
        <v>6411.93</v>
      </c>
      <c r="Q88" s="2"/>
      <c r="R88" s="7">
        <f t="shared" si="68"/>
        <v>0.110755988696271</v>
      </c>
      <c r="S88" s="2"/>
      <c r="T88" s="6">
        <v>53007.839999999997</v>
      </c>
      <c r="U88" s="2"/>
      <c r="V88" s="7">
        <f t="shared" si="69"/>
        <v>2.5110198757240368E-2</v>
      </c>
      <c r="W88" s="2"/>
      <c r="X88" s="6">
        <f t="shared" si="70"/>
        <v>-46595.909999999996</v>
      </c>
      <c r="Y88" s="2"/>
      <c r="Z88" s="7">
        <f t="shared" si="71"/>
        <v>-0.87903808191392063</v>
      </c>
    </row>
    <row r="89" spans="1:26" s="24" customFormat="1" hidden="1" outlineLevel="2" x14ac:dyDescent="0.25">
      <c r="A89" s="28"/>
      <c r="B89" s="11" t="str">
        <f>CONCATENATE("          ", "6286", " - ", "LAUNDRY EXPENSE")</f>
        <v xml:space="preserve">          6286 - LAUNDRY EXPENSE</v>
      </c>
      <c r="C89" s="11"/>
      <c r="D89" s="6">
        <v>111.95</v>
      </c>
      <c r="E89" s="2"/>
      <c r="F89" s="7">
        <f t="shared" si="64"/>
        <v>2.5723273185986502E-3</v>
      </c>
      <c r="G89" s="2"/>
      <c r="H89" s="6">
        <v>4855.3999999999996</v>
      </c>
      <c r="I89" s="2"/>
      <c r="J89" s="7">
        <f t="shared" si="65"/>
        <v>5.5736719088577335E-3</v>
      </c>
      <c r="K89" s="2"/>
      <c r="L89" s="6">
        <f t="shared" si="66"/>
        <v>-4743.45</v>
      </c>
      <c r="M89" s="2"/>
      <c r="N89" s="7">
        <f t="shared" si="67"/>
        <v>-0.97694319726490098</v>
      </c>
      <c r="O89" s="11"/>
      <c r="P89" s="6">
        <v>686.21</v>
      </c>
      <c r="Q89" s="2"/>
      <c r="R89" s="7">
        <f t="shared" si="68"/>
        <v>1.1853196619936295E-2</v>
      </c>
      <c r="S89" s="2"/>
      <c r="T89" s="6">
        <v>14315.51</v>
      </c>
      <c r="U89" s="2"/>
      <c r="V89" s="7">
        <f t="shared" si="69"/>
        <v>6.7813610479367219E-3</v>
      </c>
      <c r="W89" s="2"/>
      <c r="X89" s="6">
        <f t="shared" si="70"/>
        <v>-13629.3</v>
      </c>
      <c r="Y89" s="2"/>
      <c r="Z89" s="7">
        <f t="shared" si="71"/>
        <v>-0.95206527745082081</v>
      </c>
    </row>
    <row r="90" spans="1:26" s="29" customFormat="1" outlineLevel="1" collapsed="1" x14ac:dyDescent="0.25">
      <c r="A90" s="27"/>
      <c r="B90" s="14" t="str">
        <f>CONCATENATE("     ","Subscriptions &amp; Dues                              ")</f>
        <v xml:space="preserve">     Subscriptions &amp; Dues                              </v>
      </c>
      <c r="C90" s="14"/>
      <c r="D90" s="1">
        <f>SUM(OSRRefD22_18x_0)</f>
        <v>130.66999999999999</v>
      </c>
      <c r="E90" s="1"/>
      <c r="F90" s="5">
        <f t="shared" ref="F90:F101" si="72">IF(D$12=0,0,D90/D$12)</f>
        <v>3.0024654821017025E-3</v>
      </c>
      <c r="G90" s="1"/>
      <c r="H90" s="1">
        <f>SUM(OSRRefH22_18x_0)</f>
        <v>393.42</v>
      </c>
      <c r="I90" s="1"/>
      <c r="J90" s="5">
        <f t="shared" ref="J90:J101" si="73">IF(H$12=0,0,H90/H$12)</f>
        <v>4.5161964047922104E-4</v>
      </c>
      <c r="K90" s="1"/>
      <c r="L90" s="1">
        <f t="shared" ref="L90:L101" si="74">+D90-H90</f>
        <v>-262.75</v>
      </c>
      <c r="M90" s="1"/>
      <c r="N90" s="5">
        <f t="shared" ref="N90:N101" si="75">IF(H90=0,0,L90/H90)</f>
        <v>-0.66786131869249143</v>
      </c>
      <c r="O90" s="14"/>
      <c r="P90" s="1">
        <f>SUM(OSRRefP22_18x_0)</f>
        <v>271.33</v>
      </c>
      <c r="Q90" s="1"/>
      <c r="R90" s="5">
        <f t="shared" ref="R90:R101" si="76">IF(P$12=0,0,P90/P$12)</f>
        <v>4.686798267130054E-3</v>
      </c>
      <c r="S90" s="1"/>
      <c r="T90" s="1">
        <f>SUM(OSRRefT22_18x_0)</f>
        <v>1696.4</v>
      </c>
      <c r="U90" s="1"/>
      <c r="V90" s="5">
        <f t="shared" ref="V90:V101" si="77">IF(T$12=0,0,T90/T$12)</f>
        <v>8.0359699945861901E-4</v>
      </c>
      <c r="W90" s="1"/>
      <c r="X90" s="1">
        <f t="shared" ref="X90:X101" si="78">+P90-T90</f>
        <v>-1425.0700000000002</v>
      </c>
      <c r="Y90" s="1"/>
      <c r="Z90" s="5">
        <f t="shared" ref="Z90:Z101" si="79">IF(T90=0,0,X90/T90)</f>
        <v>-0.84005541145956153</v>
      </c>
    </row>
    <row r="91" spans="1:26" s="24" customFormat="1" hidden="1" outlineLevel="2" x14ac:dyDescent="0.25">
      <c r="A91" s="28"/>
      <c r="B91" s="11" t="str">
        <f>CONCATENATE("          ", "6275", " - ", "SUBSCRIPTIONS")</f>
        <v xml:space="preserve">          6275 - SUBSCRIPTIONS</v>
      </c>
      <c r="C91" s="11"/>
      <c r="D91" s="6">
        <v>130.66999999999999</v>
      </c>
      <c r="E91" s="2"/>
      <c r="F91" s="7">
        <f t="shared" si="72"/>
        <v>3.0024654821017025E-3</v>
      </c>
      <c r="G91" s="2"/>
      <c r="H91" s="6">
        <v>393.42</v>
      </c>
      <c r="I91" s="2"/>
      <c r="J91" s="7">
        <f t="shared" si="73"/>
        <v>4.5161964047922104E-4</v>
      </c>
      <c r="K91" s="2"/>
      <c r="L91" s="6">
        <f t="shared" si="74"/>
        <v>-262.75</v>
      </c>
      <c r="M91" s="2"/>
      <c r="N91" s="7">
        <f t="shared" si="75"/>
        <v>-0.66786131869249143</v>
      </c>
      <c r="O91" s="11"/>
      <c r="P91" s="6">
        <v>271.33</v>
      </c>
      <c r="Q91" s="2"/>
      <c r="R91" s="7">
        <f t="shared" si="76"/>
        <v>4.686798267130054E-3</v>
      </c>
      <c r="S91" s="2"/>
      <c r="T91" s="6">
        <v>1696.4</v>
      </c>
      <c r="U91" s="2"/>
      <c r="V91" s="7">
        <f t="shared" si="77"/>
        <v>8.0359699945861901E-4</v>
      </c>
      <c r="W91" s="2"/>
      <c r="X91" s="6">
        <f t="shared" si="78"/>
        <v>-1425.0700000000002</v>
      </c>
      <c r="Y91" s="2"/>
      <c r="Z91" s="7">
        <f t="shared" si="79"/>
        <v>-0.84005541145956153</v>
      </c>
    </row>
    <row r="92" spans="1:26" s="29" customFormat="1" outlineLevel="1" collapsed="1" x14ac:dyDescent="0.25">
      <c r="A92" s="27"/>
      <c r="B92" s="14" t="str">
        <f>CONCATENATE("     ","Supplies                                          ")</f>
        <v xml:space="preserve">     Supplies                                          </v>
      </c>
      <c r="C92" s="14"/>
      <c r="D92" s="1">
        <f>SUM(OSRRefD22_19x_0)</f>
        <v>6392.76</v>
      </c>
      <c r="E92" s="1"/>
      <c r="F92" s="5">
        <f t="shared" si="72"/>
        <v>0.14688942554037257</v>
      </c>
      <c r="G92" s="1"/>
      <c r="H92" s="1">
        <f>SUM(OSRRefH22_19x_0)</f>
        <v>28173.599999999999</v>
      </c>
      <c r="I92" s="1"/>
      <c r="J92" s="5">
        <f t="shared" si="73"/>
        <v>3.2341393683608818E-2</v>
      </c>
      <c r="K92" s="1"/>
      <c r="L92" s="1">
        <f t="shared" si="74"/>
        <v>-21780.839999999997</v>
      </c>
      <c r="M92" s="1"/>
      <c r="N92" s="5">
        <f t="shared" si="75"/>
        <v>-0.7730939603032625</v>
      </c>
      <c r="O92" s="14"/>
      <c r="P92" s="1">
        <f>SUM(OSRRefP22_19x_0)</f>
        <v>-21642.68</v>
      </c>
      <c r="Q92" s="1"/>
      <c r="R92" s="5">
        <f t="shared" si="76"/>
        <v>-0.37384319876184086</v>
      </c>
      <c r="S92" s="1"/>
      <c r="T92" s="1">
        <f>SUM(OSRRefT22_19x_0)</f>
        <v>89543.52</v>
      </c>
      <c r="U92" s="1"/>
      <c r="V92" s="5">
        <f t="shared" si="77"/>
        <v>4.2417415699695142E-2</v>
      </c>
      <c r="W92" s="1"/>
      <c r="X92" s="1">
        <f t="shared" si="78"/>
        <v>-111186.20000000001</v>
      </c>
      <c r="Y92" s="1"/>
      <c r="Z92" s="5">
        <f t="shared" si="79"/>
        <v>-1.2417001252575284</v>
      </c>
    </row>
    <row r="93" spans="1:26" s="24" customFormat="1" hidden="1" outlineLevel="2" x14ac:dyDescent="0.25">
      <c r="A93" s="28"/>
      <c r="B93" s="11" t="str">
        <f>CONCATENATE("          ", "6234", " - ", "EXPENDABLE SUPPLIES &amp; EQUIPMEN")</f>
        <v xml:space="preserve">          6234 - EXPENDABLE SUPPLIES &amp; EQUIPMEN</v>
      </c>
      <c r="C93" s="11"/>
      <c r="D93" s="6">
        <v>55.13</v>
      </c>
      <c r="E93" s="2"/>
      <c r="F93" s="7">
        <f t="shared" si="72"/>
        <v>1.2667477005300902E-3</v>
      </c>
      <c r="G93" s="2"/>
      <c r="H93" s="6">
        <v>3976.8</v>
      </c>
      <c r="I93" s="2"/>
      <c r="J93" s="7">
        <f t="shared" si="73"/>
        <v>4.5650983332259833E-3</v>
      </c>
      <c r="K93" s="2"/>
      <c r="L93" s="6">
        <f t="shared" si="74"/>
        <v>-3921.67</v>
      </c>
      <c r="M93" s="2"/>
      <c r="N93" s="7">
        <f t="shared" si="75"/>
        <v>-0.98613709515188086</v>
      </c>
      <c r="O93" s="11"/>
      <c r="P93" s="6">
        <v>310.91000000000003</v>
      </c>
      <c r="Q93" s="2"/>
      <c r="R93" s="7">
        <f t="shared" si="76"/>
        <v>5.3704804084819422E-3</v>
      </c>
      <c r="S93" s="2"/>
      <c r="T93" s="6">
        <v>11646.89</v>
      </c>
      <c r="U93" s="2"/>
      <c r="V93" s="7">
        <f t="shared" si="77"/>
        <v>5.5172163741007982E-3</v>
      </c>
      <c r="W93" s="2"/>
      <c r="X93" s="6">
        <f t="shared" si="78"/>
        <v>-11335.98</v>
      </c>
      <c r="Y93" s="2"/>
      <c r="Z93" s="7">
        <f t="shared" si="79"/>
        <v>-0.97330532013267057</v>
      </c>
    </row>
    <row r="94" spans="1:26" s="24" customFormat="1" hidden="1" outlineLevel="2" x14ac:dyDescent="0.25">
      <c r="A94" s="28"/>
      <c r="B94" s="11" t="str">
        <f>CONCATENATE("          ", "6235", " - ", "COVID-19 EXPENSES")</f>
        <v xml:space="preserve">          6235 - COVID-19 EXPENSES</v>
      </c>
      <c r="C94" s="11"/>
      <c r="D94" s="6">
        <v>5932</v>
      </c>
      <c r="E94" s="2"/>
      <c r="F94" s="7">
        <f t="shared" si="72"/>
        <v>0.13630232830662969</v>
      </c>
      <c r="G94" s="2"/>
      <c r="H94" s="6"/>
      <c r="I94" s="2"/>
      <c r="J94" s="7">
        <f t="shared" si="73"/>
        <v>0</v>
      </c>
      <c r="K94" s="2"/>
      <c r="L94" s="6">
        <f t="shared" si="74"/>
        <v>5932</v>
      </c>
      <c r="M94" s="2"/>
      <c r="N94" s="7">
        <f t="shared" si="75"/>
        <v>0</v>
      </c>
      <c r="O94" s="11"/>
      <c r="P94" s="6">
        <v>6881.86</v>
      </c>
      <c r="Q94" s="2"/>
      <c r="R94" s="7">
        <f t="shared" si="76"/>
        <v>0.11887328906730414</v>
      </c>
      <c r="S94" s="2"/>
      <c r="T94" s="6"/>
      <c r="U94" s="2"/>
      <c r="V94" s="7">
        <f t="shared" si="77"/>
        <v>0</v>
      </c>
      <c r="W94" s="2"/>
      <c r="X94" s="6">
        <f t="shared" si="78"/>
        <v>6881.86</v>
      </c>
      <c r="Y94" s="2"/>
      <c r="Z94" s="7">
        <f t="shared" si="79"/>
        <v>0</v>
      </c>
    </row>
    <row r="95" spans="1:26" s="24" customFormat="1" hidden="1" outlineLevel="2" x14ac:dyDescent="0.25">
      <c r="A95" s="28"/>
      <c r="B95" s="11" t="str">
        <f>CONCATENATE("          ", "6237", " - ", "JANITORIAL SUPPLIES")</f>
        <v xml:space="preserve">          6237 - JANITORIAL SUPPLIES</v>
      </c>
      <c r="C95" s="11"/>
      <c r="D95" s="6">
        <v>268.05</v>
      </c>
      <c r="E95" s="2"/>
      <c r="F95" s="7">
        <f t="shared" si="72"/>
        <v>6.1591097610573312E-3</v>
      </c>
      <c r="G95" s="2"/>
      <c r="H95" s="6">
        <v>7833.23</v>
      </c>
      <c r="I95" s="2"/>
      <c r="J95" s="7">
        <f t="shared" si="73"/>
        <v>8.9920200203117487E-3</v>
      </c>
      <c r="K95" s="2"/>
      <c r="L95" s="6">
        <f t="shared" si="74"/>
        <v>-7565.1799999999994</v>
      </c>
      <c r="M95" s="2"/>
      <c r="N95" s="7">
        <f t="shared" si="75"/>
        <v>-0.96578039965633589</v>
      </c>
      <c r="O95" s="11"/>
      <c r="P95" s="6">
        <v>268.05</v>
      </c>
      <c r="Q95" s="2"/>
      <c r="R95" s="7">
        <f t="shared" si="76"/>
        <v>4.6301414347997318E-3</v>
      </c>
      <c r="S95" s="2"/>
      <c r="T95" s="6">
        <v>19196.099999999999</v>
      </c>
      <c r="U95" s="2"/>
      <c r="V95" s="7">
        <f t="shared" si="77"/>
        <v>9.0933319743619397E-3</v>
      </c>
      <c r="W95" s="2"/>
      <c r="X95" s="6">
        <f t="shared" si="78"/>
        <v>-18928.05</v>
      </c>
      <c r="Y95" s="2"/>
      <c r="Z95" s="7">
        <f t="shared" si="79"/>
        <v>-0.98603622610842834</v>
      </c>
    </row>
    <row r="96" spans="1:26" s="24" customFormat="1" hidden="1" outlineLevel="2" x14ac:dyDescent="0.25">
      <c r="A96" s="28"/>
      <c r="B96" s="11" t="str">
        <f>CONCATENATE("          ", "6239", " - ", "KITCHEN SUPPLIES")</f>
        <v xml:space="preserve">          6239 - KITCHEN SUPPLIES</v>
      </c>
      <c r="C96" s="11"/>
      <c r="D96" s="6">
        <v>19.829999999999998</v>
      </c>
      <c r="E96" s="2"/>
      <c r="F96" s="7">
        <f t="shared" si="72"/>
        <v>4.5564315076204758E-4</v>
      </c>
      <c r="G96" s="2"/>
      <c r="H96" s="6">
        <v>9909.17</v>
      </c>
      <c r="I96" s="2"/>
      <c r="J96" s="7">
        <f t="shared" si="73"/>
        <v>1.1375059206058366E-2</v>
      </c>
      <c r="K96" s="2"/>
      <c r="L96" s="6">
        <f t="shared" si="74"/>
        <v>-9889.34</v>
      </c>
      <c r="M96" s="2"/>
      <c r="N96" s="7">
        <f t="shared" si="75"/>
        <v>-0.99799882331214418</v>
      </c>
      <c r="O96" s="11"/>
      <c r="P96" s="6">
        <v>19.829999999999998</v>
      </c>
      <c r="Q96" s="2"/>
      <c r="R96" s="7">
        <f t="shared" si="76"/>
        <v>3.4253200765558167E-4</v>
      </c>
      <c r="S96" s="2"/>
      <c r="T96" s="6">
        <v>27903.53</v>
      </c>
      <c r="U96" s="2"/>
      <c r="V96" s="7">
        <f t="shared" si="77"/>
        <v>1.3218104799754514E-2</v>
      </c>
      <c r="W96" s="2"/>
      <c r="X96" s="6">
        <f t="shared" si="78"/>
        <v>-27883.699999999997</v>
      </c>
      <c r="Y96" s="2"/>
      <c r="Z96" s="7">
        <f t="shared" si="79"/>
        <v>-0.99928933722722535</v>
      </c>
    </row>
    <row r="97" spans="1:26" s="24" customFormat="1" hidden="1" outlineLevel="2" x14ac:dyDescent="0.25">
      <c r="A97" s="28"/>
      <c r="B97" s="11" t="str">
        <f>CONCATENATE("          ", "6241", " - ", "OFFICE EXPENSE")</f>
        <v xml:space="preserve">          6241 - OFFICE EXPENSE</v>
      </c>
      <c r="C97" s="11"/>
      <c r="D97" s="6">
        <v>117.75</v>
      </c>
      <c r="E97" s="2"/>
      <c r="F97" s="7">
        <f t="shared" si="72"/>
        <v>2.7055966213933992E-3</v>
      </c>
      <c r="G97" s="2"/>
      <c r="H97" s="6">
        <v>2255.5500000000002</v>
      </c>
      <c r="I97" s="2"/>
      <c r="J97" s="7">
        <f t="shared" si="73"/>
        <v>2.5892193586571784E-3</v>
      </c>
      <c r="K97" s="2"/>
      <c r="L97" s="6">
        <f t="shared" si="74"/>
        <v>-2137.8000000000002</v>
      </c>
      <c r="M97" s="2"/>
      <c r="N97" s="7">
        <f t="shared" si="75"/>
        <v>-0.94779543791979781</v>
      </c>
      <c r="O97" s="11"/>
      <c r="P97" s="6">
        <v>-29123.329999999998</v>
      </c>
      <c r="Q97" s="2"/>
      <c r="R97" s="7">
        <f t="shared" si="76"/>
        <v>-0.50305964168008221</v>
      </c>
      <c r="S97" s="2"/>
      <c r="T97" s="6">
        <v>11021.24</v>
      </c>
      <c r="U97" s="2"/>
      <c r="V97" s="7">
        <f t="shared" si="77"/>
        <v>5.2208414255560656E-3</v>
      </c>
      <c r="W97" s="2"/>
      <c r="X97" s="6">
        <f t="shared" si="78"/>
        <v>-40144.57</v>
      </c>
      <c r="Y97" s="2"/>
      <c r="Z97" s="7">
        <f t="shared" si="79"/>
        <v>-3.6424730792542399</v>
      </c>
    </row>
    <row r="98" spans="1:26" s="24" customFormat="1" hidden="1" outlineLevel="2" x14ac:dyDescent="0.25">
      <c r="A98" s="28"/>
      <c r="B98" s="11" t="str">
        <f>CONCATENATE("          ", "6243", " - ", "PAPER SUPPLIES")</f>
        <v xml:space="preserve">          6243 - PAPER SUPPLIES</v>
      </c>
      <c r="C98" s="11"/>
      <c r="D98" s="6"/>
      <c r="E98" s="2"/>
      <c r="F98" s="7">
        <f t="shared" si="72"/>
        <v>0</v>
      </c>
      <c r="G98" s="2"/>
      <c r="H98" s="6">
        <v>3899.07</v>
      </c>
      <c r="I98" s="2"/>
      <c r="J98" s="7">
        <f t="shared" si="73"/>
        <v>4.475869532823233E-3</v>
      </c>
      <c r="K98" s="2"/>
      <c r="L98" s="6">
        <f t="shared" si="74"/>
        <v>-3899.07</v>
      </c>
      <c r="M98" s="2"/>
      <c r="N98" s="7">
        <f t="shared" si="75"/>
        <v>-1</v>
      </c>
      <c r="O98" s="11"/>
      <c r="P98" s="6"/>
      <c r="Q98" s="2"/>
      <c r="R98" s="7">
        <f t="shared" si="76"/>
        <v>0</v>
      </c>
      <c r="S98" s="2"/>
      <c r="T98" s="6">
        <v>14239.81</v>
      </c>
      <c r="U98" s="2"/>
      <c r="V98" s="7">
        <f t="shared" si="77"/>
        <v>6.7455014081943153E-3</v>
      </c>
      <c r="W98" s="2"/>
      <c r="X98" s="6">
        <f t="shared" si="78"/>
        <v>-14239.81</v>
      </c>
      <c r="Y98" s="2"/>
      <c r="Z98" s="7">
        <f t="shared" si="79"/>
        <v>-1</v>
      </c>
    </row>
    <row r="99" spans="1:26" s="24" customFormat="1" hidden="1" outlineLevel="2" x14ac:dyDescent="0.25">
      <c r="A99" s="28"/>
      <c r="B99" s="11" t="str">
        <f>CONCATENATE("          ", "6245", " - ", "PRINTING")</f>
        <v xml:space="preserve">          6245 - PRINTING</v>
      </c>
      <c r="C99" s="11"/>
      <c r="D99" s="6"/>
      <c r="E99" s="2"/>
      <c r="F99" s="7">
        <f t="shared" si="72"/>
        <v>0</v>
      </c>
      <c r="G99" s="2"/>
      <c r="H99" s="6">
        <v>55.72</v>
      </c>
      <c r="I99" s="2"/>
      <c r="J99" s="7">
        <f t="shared" si="73"/>
        <v>6.3962804045300685E-5</v>
      </c>
      <c r="K99" s="2"/>
      <c r="L99" s="6">
        <f t="shared" si="74"/>
        <v>-55.72</v>
      </c>
      <c r="M99" s="2"/>
      <c r="N99" s="7">
        <f t="shared" si="75"/>
        <v>-1</v>
      </c>
      <c r="O99" s="11"/>
      <c r="P99" s="6"/>
      <c r="Q99" s="2"/>
      <c r="R99" s="7">
        <f t="shared" si="76"/>
        <v>0</v>
      </c>
      <c r="S99" s="2"/>
      <c r="T99" s="6">
        <v>254.91</v>
      </c>
      <c r="U99" s="2"/>
      <c r="V99" s="7">
        <f t="shared" si="77"/>
        <v>1.2075271818674637E-4</v>
      </c>
      <c r="W99" s="2"/>
      <c r="X99" s="6">
        <f t="shared" si="78"/>
        <v>-254.91</v>
      </c>
      <c r="Y99" s="2"/>
      <c r="Z99" s="7">
        <f t="shared" si="79"/>
        <v>-1</v>
      </c>
    </row>
    <row r="100" spans="1:26" s="24" customFormat="1" hidden="1" outlineLevel="2" x14ac:dyDescent="0.25">
      <c r="A100" s="28"/>
      <c r="B100" s="11" t="str">
        <f>CONCATENATE("          ", "6247", " - ", "STORE SUPPLIES")</f>
        <v xml:space="preserve">          6247 - STORE SUPPLIES</v>
      </c>
      <c r="C100" s="11"/>
      <c r="D100" s="6"/>
      <c r="E100" s="2"/>
      <c r="F100" s="7">
        <f t="shared" si="72"/>
        <v>0</v>
      </c>
      <c r="G100" s="2"/>
      <c r="H100" s="6">
        <v>104.65</v>
      </c>
      <c r="I100" s="2"/>
      <c r="J100" s="7">
        <f t="shared" si="73"/>
        <v>1.2013114578859866E-4</v>
      </c>
      <c r="K100" s="2"/>
      <c r="L100" s="6">
        <f t="shared" si="74"/>
        <v>-104.65</v>
      </c>
      <c r="M100" s="2"/>
      <c r="N100" s="7">
        <f t="shared" si="75"/>
        <v>-1</v>
      </c>
      <c r="O100" s="11"/>
      <c r="P100" s="6"/>
      <c r="Q100" s="2"/>
      <c r="R100" s="7">
        <f t="shared" si="76"/>
        <v>0</v>
      </c>
      <c r="S100" s="2"/>
      <c r="T100" s="6">
        <v>1797.8</v>
      </c>
      <c r="U100" s="2"/>
      <c r="V100" s="7">
        <f t="shared" si="77"/>
        <v>8.5163091583748238E-4</v>
      </c>
      <c r="W100" s="2"/>
      <c r="X100" s="6">
        <f t="shared" si="78"/>
        <v>-1797.8</v>
      </c>
      <c r="Y100" s="2"/>
      <c r="Z100" s="7">
        <f t="shared" si="79"/>
        <v>-1</v>
      </c>
    </row>
    <row r="101" spans="1:26" s="24" customFormat="1" hidden="1" outlineLevel="2" x14ac:dyDescent="0.25">
      <c r="A101" s="28"/>
      <c r="B101" s="11" t="str">
        <f>CONCATENATE("          ", "6248", " - ", "UNIFORMS")</f>
        <v xml:space="preserve">          6248 - UNIFORMS</v>
      </c>
      <c r="C101" s="11"/>
      <c r="D101" s="6"/>
      <c r="E101" s="2"/>
      <c r="F101" s="7">
        <f t="shared" si="72"/>
        <v>0</v>
      </c>
      <c r="G101" s="2"/>
      <c r="H101" s="6">
        <v>139.41</v>
      </c>
      <c r="I101" s="2"/>
      <c r="J101" s="7">
        <f t="shared" si="73"/>
        <v>1.6003328269840935E-4</v>
      </c>
      <c r="K101" s="2"/>
      <c r="L101" s="6">
        <f t="shared" si="74"/>
        <v>-139.41</v>
      </c>
      <c r="M101" s="2"/>
      <c r="N101" s="7">
        <f t="shared" si="75"/>
        <v>-1</v>
      </c>
      <c r="O101" s="11"/>
      <c r="P101" s="6"/>
      <c r="Q101" s="2"/>
      <c r="R101" s="7">
        <f t="shared" si="76"/>
        <v>0</v>
      </c>
      <c r="S101" s="2"/>
      <c r="T101" s="6">
        <v>3483.24</v>
      </c>
      <c r="U101" s="2"/>
      <c r="V101" s="7">
        <f t="shared" si="77"/>
        <v>1.6500360837032773E-3</v>
      </c>
      <c r="W101" s="2"/>
      <c r="X101" s="6">
        <f t="shared" si="78"/>
        <v>-3483.24</v>
      </c>
      <c r="Y101" s="2"/>
      <c r="Z101" s="7">
        <f t="shared" si="79"/>
        <v>-1</v>
      </c>
    </row>
    <row r="102" spans="1:26" s="29" customFormat="1" outlineLevel="1" collapsed="1" x14ac:dyDescent="0.25">
      <c r="A102" s="27"/>
      <c r="B102" s="14" t="str">
        <f>CONCATENATE("     ","Telephone/Data Lines                              ")</f>
        <v xml:space="preserve">     Telephone/Data Lines                              </v>
      </c>
      <c r="C102" s="14"/>
      <c r="D102" s="1">
        <f>SUM(OSRRefD22_20x_0)</f>
        <v>364.66</v>
      </c>
      <c r="E102" s="1"/>
      <c r="F102" s="5">
        <f t="shared" ref="F102:F109" si="80">IF(D$12=0,0,D102/D$12)</f>
        <v>8.3789627512298685E-3</v>
      </c>
      <c r="G102" s="1"/>
      <c r="H102" s="1">
        <f>SUM(OSRRefH22_20x_0)</f>
        <v>2407.0700000000002</v>
      </c>
      <c r="I102" s="1"/>
      <c r="J102" s="5">
        <f t="shared" ref="J102:J109" si="81">IF(H$12=0,0,H102/H$12)</f>
        <v>2.7631541050488501E-3</v>
      </c>
      <c r="K102" s="1"/>
      <c r="L102" s="1">
        <f t="shared" ref="L102:L109" si="82">+D102-H102</f>
        <v>-2042.41</v>
      </c>
      <c r="M102" s="1"/>
      <c r="N102" s="5">
        <f t="shared" ref="N102:N109" si="83">IF(H102=0,0,L102/H102)</f>
        <v>-0.84850461349275252</v>
      </c>
      <c r="O102" s="14"/>
      <c r="P102" s="1">
        <f>SUM(OSRRefP22_20x_0)</f>
        <v>3436.07</v>
      </c>
      <c r="Q102" s="1"/>
      <c r="R102" s="5">
        <f t="shared" ref="R102:R109" si="84">IF(P$12=0,0,P102/P$12)</f>
        <v>5.9352695690626053E-2</v>
      </c>
      <c r="S102" s="1"/>
      <c r="T102" s="1">
        <f>SUM(OSRRefT22_20x_0)</f>
        <v>7140.96</v>
      </c>
      <c r="U102" s="1"/>
      <c r="V102" s="5">
        <f t="shared" ref="V102:V109" si="85">IF(T$12=0,0,T102/T$12)</f>
        <v>3.3827246105010726E-3</v>
      </c>
      <c r="W102" s="1"/>
      <c r="X102" s="1">
        <f t="shared" ref="X102:X109" si="86">+P102-T102</f>
        <v>-3704.89</v>
      </c>
      <c r="Y102" s="1"/>
      <c r="Z102" s="5">
        <f t="shared" ref="Z102:Z109" si="87">IF(T102=0,0,X102/T102)</f>
        <v>-0.51882239922923523</v>
      </c>
    </row>
    <row r="103" spans="1:26" s="24" customFormat="1" hidden="1" outlineLevel="2" x14ac:dyDescent="0.25">
      <c r="A103" s="28"/>
      <c r="B103" s="11" t="str">
        <f>CONCATENATE("          ", "6309", " - ", "TELEPHONE")</f>
        <v xml:space="preserve">          6309 - TELEPHONE</v>
      </c>
      <c r="C103" s="11"/>
      <c r="D103" s="6">
        <v>364.66</v>
      </c>
      <c r="E103" s="2"/>
      <c r="F103" s="7">
        <f t="shared" si="80"/>
        <v>8.3789627512298685E-3</v>
      </c>
      <c r="G103" s="2"/>
      <c r="H103" s="6">
        <v>2407.0700000000002</v>
      </c>
      <c r="I103" s="2"/>
      <c r="J103" s="7">
        <f t="shared" si="81"/>
        <v>2.7631541050488501E-3</v>
      </c>
      <c r="K103" s="2"/>
      <c r="L103" s="6">
        <f t="shared" si="82"/>
        <v>-2042.41</v>
      </c>
      <c r="M103" s="2"/>
      <c r="N103" s="7">
        <f t="shared" si="83"/>
        <v>-0.84850461349275252</v>
      </c>
      <c r="O103" s="11"/>
      <c r="P103" s="6">
        <v>3436.07</v>
      </c>
      <c r="Q103" s="2"/>
      <c r="R103" s="7">
        <f t="shared" si="84"/>
        <v>5.9352695690626053E-2</v>
      </c>
      <c r="S103" s="2"/>
      <c r="T103" s="6">
        <v>7140.96</v>
      </c>
      <c r="U103" s="2"/>
      <c r="V103" s="7">
        <f t="shared" si="85"/>
        <v>3.3827246105010726E-3</v>
      </c>
      <c r="W103" s="2"/>
      <c r="X103" s="6">
        <f t="shared" si="86"/>
        <v>-3704.89</v>
      </c>
      <c r="Y103" s="2"/>
      <c r="Z103" s="7">
        <f t="shared" si="87"/>
        <v>-0.51882239922923523</v>
      </c>
    </row>
    <row r="104" spans="1:26" s="29" customFormat="1" outlineLevel="1" collapsed="1" x14ac:dyDescent="0.25">
      <c r="A104" s="27"/>
      <c r="B104" s="14" t="str">
        <f>CONCATENATE("     ","Training                                          ")</f>
        <v xml:space="preserve">     Training                                          </v>
      </c>
      <c r="C104" s="14"/>
      <c r="D104" s="1">
        <f>SUM(OSRRefD22_21x_0)</f>
        <v>0</v>
      </c>
      <c r="E104" s="1"/>
      <c r="F104" s="5">
        <f t="shared" si="80"/>
        <v>0</v>
      </c>
      <c r="G104" s="1"/>
      <c r="H104" s="1">
        <f>SUM(OSRRefH22_21x_0)</f>
        <v>188.95</v>
      </c>
      <c r="I104" s="1"/>
      <c r="J104" s="5">
        <f t="shared" si="81"/>
        <v>2.1690186332303597E-4</v>
      </c>
      <c r="K104" s="1"/>
      <c r="L104" s="1">
        <f t="shared" si="82"/>
        <v>-188.95</v>
      </c>
      <c r="M104" s="1"/>
      <c r="N104" s="5">
        <f t="shared" si="83"/>
        <v>-1</v>
      </c>
      <c r="O104" s="14"/>
      <c r="P104" s="1">
        <f>SUM(OSRRefP22_21x_0)</f>
        <v>0</v>
      </c>
      <c r="Q104" s="1"/>
      <c r="R104" s="5">
        <f t="shared" si="84"/>
        <v>0</v>
      </c>
      <c r="S104" s="1"/>
      <c r="T104" s="1">
        <f>SUM(OSRRefT22_21x_0)</f>
        <v>1567.5</v>
      </c>
      <c r="U104" s="1"/>
      <c r="V104" s="5">
        <f t="shared" si="85"/>
        <v>7.4253613337148391E-4</v>
      </c>
      <c r="W104" s="1"/>
      <c r="X104" s="1">
        <f t="shared" si="86"/>
        <v>-1567.5</v>
      </c>
      <c r="Y104" s="1"/>
      <c r="Z104" s="5">
        <f t="shared" si="87"/>
        <v>-1</v>
      </c>
    </row>
    <row r="105" spans="1:26" s="24" customFormat="1" hidden="1" outlineLevel="2" x14ac:dyDescent="0.25">
      <c r="A105" s="28"/>
      <c r="B105" s="11" t="str">
        <f>CONCATENATE("          ", "6376", " - ", "TRAINING")</f>
        <v xml:space="preserve">          6376 - TRAINING</v>
      </c>
      <c r="C105" s="11"/>
      <c r="D105" s="6"/>
      <c r="E105" s="2"/>
      <c r="F105" s="7">
        <f t="shared" si="80"/>
        <v>0</v>
      </c>
      <c r="G105" s="2"/>
      <c r="H105" s="6">
        <v>188.95</v>
      </c>
      <c r="I105" s="2"/>
      <c r="J105" s="7">
        <f t="shared" si="81"/>
        <v>2.1690186332303597E-4</v>
      </c>
      <c r="K105" s="2"/>
      <c r="L105" s="6">
        <f t="shared" si="82"/>
        <v>-188.95</v>
      </c>
      <c r="M105" s="2"/>
      <c r="N105" s="7">
        <f t="shared" si="83"/>
        <v>-1</v>
      </c>
      <c r="O105" s="11"/>
      <c r="P105" s="6"/>
      <c r="Q105" s="2"/>
      <c r="R105" s="7">
        <f t="shared" si="84"/>
        <v>0</v>
      </c>
      <c r="S105" s="2"/>
      <c r="T105" s="6">
        <v>1567.5</v>
      </c>
      <c r="U105" s="2"/>
      <c r="V105" s="7">
        <f t="shared" si="85"/>
        <v>7.4253613337148391E-4</v>
      </c>
      <c r="W105" s="2"/>
      <c r="X105" s="6">
        <f t="shared" si="86"/>
        <v>-1567.5</v>
      </c>
      <c r="Y105" s="2"/>
      <c r="Z105" s="7">
        <f t="shared" si="87"/>
        <v>-1</v>
      </c>
    </row>
    <row r="106" spans="1:26" s="29" customFormat="1" outlineLevel="1" collapsed="1" x14ac:dyDescent="0.25">
      <c r="A106" s="27"/>
      <c r="B106" s="14" t="str">
        <f>CONCATENATE("     ","Travel                                            ")</f>
        <v xml:space="preserve">     Travel                                            </v>
      </c>
      <c r="C106" s="14"/>
      <c r="D106" s="1">
        <f>SUM(OSRRefD22_22x_0)</f>
        <v>0</v>
      </c>
      <c r="E106" s="1"/>
      <c r="F106" s="5">
        <f t="shared" si="80"/>
        <v>0</v>
      </c>
      <c r="G106" s="1"/>
      <c r="H106" s="1">
        <f>SUM(OSRRefH22_22x_0)</f>
        <v>0</v>
      </c>
      <c r="I106" s="1"/>
      <c r="J106" s="5">
        <f t="shared" si="81"/>
        <v>0</v>
      </c>
      <c r="K106" s="1"/>
      <c r="L106" s="1">
        <f t="shared" si="82"/>
        <v>0</v>
      </c>
      <c r="M106" s="1"/>
      <c r="N106" s="5">
        <f t="shared" si="83"/>
        <v>0</v>
      </c>
      <c r="O106" s="14"/>
      <c r="P106" s="1">
        <f>SUM(OSRRefP22_22x_0)</f>
        <v>332.21</v>
      </c>
      <c r="Q106" s="1"/>
      <c r="R106" s="5">
        <f t="shared" si="84"/>
        <v>5.7384043501392222E-3</v>
      </c>
      <c r="S106" s="1"/>
      <c r="T106" s="1">
        <f>SUM(OSRRefT22_22x_0)</f>
        <v>1101.18</v>
      </c>
      <c r="U106" s="1"/>
      <c r="V106" s="5">
        <f t="shared" si="85"/>
        <v>5.216369629001663E-4</v>
      </c>
      <c r="W106" s="1"/>
      <c r="X106" s="1">
        <f t="shared" si="86"/>
        <v>-768.97</v>
      </c>
      <c r="Y106" s="1"/>
      <c r="Z106" s="5">
        <f t="shared" si="87"/>
        <v>-0.69831453531666032</v>
      </c>
    </row>
    <row r="107" spans="1:26" s="24" customFormat="1" hidden="1" outlineLevel="2" x14ac:dyDescent="0.25">
      <c r="A107" s="28"/>
      <c r="B107" s="11" t="str">
        <f>CONCATENATE("          ", "6292", " - ", "TRAVEL/CONFERENCE")</f>
        <v xml:space="preserve">          6292 - TRAVEL/CONFERENCE</v>
      </c>
      <c r="C107" s="11"/>
      <c r="D107" s="6"/>
      <c r="E107" s="2"/>
      <c r="F107" s="7">
        <f t="shared" si="80"/>
        <v>0</v>
      </c>
      <c r="G107" s="2"/>
      <c r="H107" s="6"/>
      <c r="I107" s="2"/>
      <c r="J107" s="7">
        <f t="shared" si="81"/>
        <v>0</v>
      </c>
      <c r="K107" s="2"/>
      <c r="L107" s="6">
        <f t="shared" si="82"/>
        <v>0</v>
      </c>
      <c r="M107" s="2"/>
      <c r="N107" s="7">
        <f t="shared" si="83"/>
        <v>0</v>
      </c>
      <c r="O107" s="11"/>
      <c r="P107" s="6"/>
      <c r="Q107" s="2"/>
      <c r="R107" s="7">
        <f t="shared" si="84"/>
        <v>0</v>
      </c>
      <c r="S107" s="2"/>
      <c r="T107" s="6">
        <v>545.69000000000005</v>
      </c>
      <c r="U107" s="2"/>
      <c r="V107" s="7">
        <f t="shared" si="85"/>
        <v>2.5849731586570019E-4</v>
      </c>
      <c r="W107" s="2"/>
      <c r="X107" s="6">
        <f t="shared" si="86"/>
        <v>-545.69000000000005</v>
      </c>
      <c r="Y107" s="2"/>
      <c r="Z107" s="7">
        <f t="shared" si="87"/>
        <v>-1</v>
      </c>
    </row>
    <row r="108" spans="1:26" s="24" customFormat="1" hidden="1" outlineLevel="2" x14ac:dyDescent="0.25">
      <c r="A108" s="28"/>
      <c r="B108" s="11" t="str">
        <f>CONCATENATE("          ", "6294", " - ", "TRAVEL OPERATIONAL")</f>
        <v xml:space="preserve">          6294 - TRAVEL OPERATIONAL</v>
      </c>
      <c r="C108" s="11"/>
      <c r="D108" s="6"/>
      <c r="E108" s="2"/>
      <c r="F108" s="7">
        <f t="shared" si="80"/>
        <v>0</v>
      </c>
      <c r="G108" s="2"/>
      <c r="H108" s="6"/>
      <c r="I108" s="2"/>
      <c r="J108" s="7">
        <f t="shared" si="81"/>
        <v>0</v>
      </c>
      <c r="K108" s="2"/>
      <c r="L108" s="6">
        <f t="shared" si="82"/>
        <v>0</v>
      </c>
      <c r="M108" s="2"/>
      <c r="N108" s="7">
        <f t="shared" si="83"/>
        <v>0</v>
      </c>
      <c r="O108" s="11"/>
      <c r="P108" s="6"/>
      <c r="Q108" s="2"/>
      <c r="R108" s="7">
        <f t="shared" si="84"/>
        <v>0</v>
      </c>
      <c r="S108" s="2"/>
      <c r="T108" s="6">
        <v>45.49</v>
      </c>
      <c r="U108" s="2"/>
      <c r="V108" s="7">
        <f t="shared" si="85"/>
        <v>2.15489433537919E-5</v>
      </c>
      <c r="W108" s="2"/>
      <c r="X108" s="6">
        <f t="shared" si="86"/>
        <v>-45.49</v>
      </c>
      <c r="Y108" s="2"/>
      <c r="Z108" s="7">
        <f t="shared" si="87"/>
        <v>-1</v>
      </c>
    </row>
    <row r="109" spans="1:26" s="24" customFormat="1" hidden="1" outlineLevel="2" x14ac:dyDescent="0.25">
      <c r="A109" s="28"/>
      <c r="B109" s="11" t="str">
        <f>CONCATENATE("          ", "6298", " - ", "VEHICLE MILEAGE")</f>
        <v xml:space="preserve">          6298 - VEHICLE MILEAGE</v>
      </c>
      <c r="C109" s="11"/>
      <c r="D109" s="6"/>
      <c r="E109" s="2"/>
      <c r="F109" s="7">
        <f t="shared" si="80"/>
        <v>0</v>
      </c>
      <c r="G109" s="2"/>
      <c r="H109" s="6"/>
      <c r="I109" s="2"/>
      <c r="J109" s="7">
        <f t="shared" si="81"/>
        <v>0</v>
      </c>
      <c r="K109" s="2"/>
      <c r="L109" s="6">
        <f t="shared" si="82"/>
        <v>0</v>
      </c>
      <c r="M109" s="2"/>
      <c r="N109" s="7">
        <f t="shared" si="83"/>
        <v>0</v>
      </c>
      <c r="O109" s="11"/>
      <c r="P109" s="6">
        <v>332.21</v>
      </c>
      <c r="Q109" s="2"/>
      <c r="R109" s="7">
        <f t="shared" si="84"/>
        <v>5.7384043501392222E-3</v>
      </c>
      <c r="S109" s="2"/>
      <c r="T109" s="6">
        <v>510</v>
      </c>
      <c r="U109" s="2"/>
      <c r="V109" s="7">
        <f t="shared" si="85"/>
        <v>2.4159070368067416E-4</v>
      </c>
      <c r="W109" s="2"/>
      <c r="X109" s="6">
        <f t="shared" si="86"/>
        <v>-177.79000000000002</v>
      </c>
      <c r="Y109" s="2"/>
      <c r="Z109" s="7">
        <f t="shared" si="87"/>
        <v>-0.34860784313725496</v>
      </c>
    </row>
    <row r="110" spans="1:26" s="29" customFormat="1" outlineLevel="1" collapsed="1" x14ac:dyDescent="0.25">
      <c r="A110" s="27"/>
      <c r="B110" s="14" t="str">
        <f>CONCATENATE("     ","Utilities                                         ")</f>
        <v xml:space="preserve">     Utilities                                         </v>
      </c>
      <c r="C110" s="14"/>
      <c r="D110" s="1">
        <f>SUM(OSRRefD22_23x_0)</f>
        <v>-13228</v>
      </c>
      <c r="E110" s="1"/>
      <c r="F110" s="5">
        <f t="shared" ref="F110:F111" si="88">IF(D$12=0,0,D110/D$12)</f>
        <v>-0.30394592023602451</v>
      </c>
      <c r="G110" s="1"/>
      <c r="H110" s="1">
        <f>SUM(OSRRefH22_23x_0)</f>
        <v>13691</v>
      </c>
      <c r="I110" s="1"/>
      <c r="J110" s="5">
        <f t="shared" ref="J110:J111" si="89">IF(H$12=0,0,H110/H$12)</f>
        <v>1.5716345121755414E-2</v>
      </c>
      <c r="K110" s="1"/>
      <c r="L110" s="1">
        <f t="shared" ref="L110:L111" si="90">+D110-H110</f>
        <v>-26919</v>
      </c>
      <c r="M110" s="1"/>
      <c r="N110" s="5">
        <f t="shared" ref="N110:N111" si="91">IF(H110=0,0,L110/H110)</f>
        <v>-1.96618216346505</v>
      </c>
      <c r="O110" s="14"/>
      <c r="P110" s="1">
        <f>SUM(OSRRefP22_23x_0)</f>
        <v>-6328</v>
      </c>
      <c r="Q110" s="1"/>
      <c r="R110" s="5">
        <f t="shared" ref="R110:R111" si="92">IF(P$12=0,0,P110/P$12)</f>
        <v>-0.10930623017874538</v>
      </c>
      <c r="S110" s="1"/>
      <c r="T110" s="1">
        <f>SUM(OSRRefT22_23x_0)</f>
        <v>44649</v>
      </c>
      <c r="U110" s="1"/>
      <c r="V110" s="5">
        <f t="shared" ref="V110:V111" si="93">IF(T$12=0,0,T110/T$12)</f>
        <v>2.1150555546349845E-2</v>
      </c>
      <c r="W110" s="1"/>
      <c r="X110" s="1">
        <f t="shared" ref="X110:X111" si="94">+P110-T110</f>
        <v>-50977</v>
      </c>
      <c r="Y110" s="1"/>
      <c r="Z110" s="5">
        <f t="shared" ref="Z110:Z111" si="95">IF(T110=0,0,X110/T110)</f>
        <v>-1.1417276982687181</v>
      </c>
    </row>
    <row r="111" spans="1:26" s="24" customFormat="1" hidden="1" outlineLevel="2" x14ac:dyDescent="0.25">
      <c r="A111" s="28"/>
      <c r="B111" s="11" t="str">
        <f>CONCATENATE("          ", "6274", " - ", "UTILITIES")</f>
        <v xml:space="preserve">          6274 - UTILITIES</v>
      </c>
      <c r="C111" s="11"/>
      <c r="D111" s="6">
        <v>-13228</v>
      </c>
      <c r="E111" s="2"/>
      <c r="F111" s="7">
        <f t="shared" si="88"/>
        <v>-0.30394592023602451</v>
      </c>
      <c r="G111" s="2"/>
      <c r="H111" s="6">
        <v>13691</v>
      </c>
      <c r="I111" s="2"/>
      <c r="J111" s="7">
        <f t="shared" si="89"/>
        <v>1.5716345121755414E-2</v>
      </c>
      <c r="K111" s="2"/>
      <c r="L111" s="6">
        <f t="shared" si="90"/>
        <v>-26919</v>
      </c>
      <c r="M111" s="2"/>
      <c r="N111" s="7">
        <f t="shared" si="91"/>
        <v>-1.96618216346505</v>
      </c>
      <c r="O111" s="11"/>
      <c r="P111" s="6">
        <v>-6328</v>
      </c>
      <c r="Q111" s="2"/>
      <c r="R111" s="7">
        <f t="shared" si="92"/>
        <v>-0.10930623017874538</v>
      </c>
      <c r="S111" s="2"/>
      <c r="T111" s="6">
        <v>44649</v>
      </c>
      <c r="U111" s="2"/>
      <c r="V111" s="7">
        <f t="shared" si="93"/>
        <v>2.1150555546349845E-2</v>
      </c>
      <c r="W111" s="2"/>
      <c r="X111" s="6">
        <f t="shared" si="94"/>
        <v>-50977</v>
      </c>
      <c r="Y111" s="2"/>
      <c r="Z111" s="7">
        <f t="shared" si="95"/>
        <v>-1.1417276982687181</v>
      </c>
    </row>
    <row r="112" spans="1:26" s="57" customFormat="1" x14ac:dyDescent="0.25">
      <c r="A112" s="37"/>
      <c r="B112" s="37"/>
      <c r="C112" s="37"/>
      <c r="D112" s="1"/>
      <c r="E112" s="1"/>
      <c r="F112" s="5"/>
      <c r="G112" s="1"/>
      <c r="H112" s="1"/>
      <c r="I112" s="1"/>
      <c r="J112" s="5"/>
      <c r="K112" s="1"/>
      <c r="L112" s="1"/>
      <c r="M112" s="1"/>
      <c r="N112" s="5"/>
      <c r="O112" s="37"/>
      <c r="P112" s="1"/>
      <c r="Q112" s="1"/>
      <c r="R112" s="5"/>
      <c r="S112" s="1"/>
      <c r="T112" s="1"/>
      <c r="U112" s="1"/>
      <c r="V112" s="5"/>
      <c r="W112" s="1"/>
      <c r="X112" s="1"/>
      <c r="Y112" s="1"/>
      <c r="Z112" s="5"/>
    </row>
    <row r="113" spans="1:26" s="23" customFormat="1" collapsed="1" x14ac:dyDescent="0.25">
      <c r="A113" s="10"/>
      <c r="B113" s="26" t="s">
        <v>0</v>
      </c>
      <c r="C113" s="10"/>
      <c r="D113" s="4">
        <f>SUM(OSRRefD25x_0)</f>
        <v>457.28</v>
      </c>
      <c r="E113" s="4"/>
      <c r="F113" s="12">
        <f t="shared" ref="F113:F116" si="96">IF(D$12=0,0,D113/D$12)</f>
        <v>1.0507135652066018E-2</v>
      </c>
      <c r="G113" s="4"/>
      <c r="H113" s="4">
        <f>SUM(OSRRefH25x_0)</f>
        <v>123863.64</v>
      </c>
      <c r="I113" s="4"/>
      <c r="J113" s="12">
        <f t="shared" ref="J113:J116" si="97">IF(H$12=0,0,H113/H$12)</f>
        <v>0.14218710936212614</v>
      </c>
      <c r="K113" s="4"/>
      <c r="L113" s="4">
        <f t="shared" ref="L113:L116" si="98">+D113-H113</f>
        <v>-123406.36</v>
      </c>
      <c r="M113" s="4"/>
      <c r="N113" s="12">
        <f t="shared" ref="N113:N116" si="99">IF(H113=0,0,L113/H113)</f>
        <v>-0.9963081982735208</v>
      </c>
      <c r="O113" s="10"/>
      <c r="P113" s="4">
        <f>SUM(OSRRefP25x_0)</f>
        <v>4077.2</v>
      </c>
      <c r="Q113" s="4"/>
      <c r="R113" s="12">
        <f t="shared" ref="R113:R116" si="100">IF(P$12=0,0,P113/P$12)</f>
        <v>7.0427206334510217E-2</v>
      </c>
      <c r="S113" s="4"/>
      <c r="T113" s="4">
        <f>SUM(OSRRefT25x_0)</f>
        <v>426524.63</v>
      </c>
      <c r="U113" s="4"/>
      <c r="V113" s="12">
        <f t="shared" ref="V113:V116" si="101">IF(T$12=0,0,T113/T$12)</f>
        <v>0.20204781470360625</v>
      </c>
      <c r="W113" s="4"/>
      <c r="X113" s="4">
        <f t="shared" ref="X113:X116" si="102">+P113-T113</f>
        <v>-422447.43</v>
      </c>
      <c r="Y113" s="4"/>
      <c r="Z113" s="12">
        <f t="shared" ref="Z113:Z116" si="103">IF(T113=0,0,X113/T113)</f>
        <v>-0.99044088028398258</v>
      </c>
    </row>
    <row r="114" spans="1:26" s="24" customFormat="1" hidden="1" outlineLevel="1" x14ac:dyDescent="0.25">
      <c r="A114" s="44"/>
      <c r="B114" s="11" t="str">
        <f>CONCATENATE("          ", "9150", " - ", "MISC. INCOME")</f>
        <v xml:space="preserve">          9150 - MISC. INCOME</v>
      </c>
      <c r="C114" s="11"/>
      <c r="D114" s="2">
        <f>--119.09</f>
        <v>119.09</v>
      </c>
      <c r="E114" s="2"/>
      <c r="F114" s="19">
        <f t="shared" si="96"/>
        <v>2.7363864258321863E-3</v>
      </c>
      <c r="G114" s="2"/>
      <c r="H114" s="2">
        <f>--50769.74</f>
        <v>50769.74</v>
      </c>
      <c r="I114" s="2"/>
      <c r="J114" s="19">
        <f t="shared" si="97"/>
        <v>5.8280239250733383E-2</v>
      </c>
      <c r="K114" s="2"/>
      <c r="L114" s="2">
        <f t="shared" si="98"/>
        <v>-50650.65</v>
      </c>
      <c r="M114" s="2"/>
      <c r="N114" s="19">
        <f t="shared" si="99"/>
        <v>-0.99765431140675531</v>
      </c>
      <c r="O114" s="11"/>
      <c r="P114" s="2">
        <f>--923.77</f>
        <v>923.77</v>
      </c>
      <c r="Q114" s="2"/>
      <c r="R114" s="19">
        <f t="shared" si="100"/>
        <v>1.5956671342006894E-2</v>
      </c>
      <c r="S114" s="2"/>
      <c r="T114" s="2">
        <f>--117296.68</f>
        <v>117296.68</v>
      </c>
      <c r="U114" s="2"/>
      <c r="V114" s="19">
        <f t="shared" si="101"/>
        <v>5.5564289138444821E-2</v>
      </c>
      <c r="W114" s="2"/>
      <c r="X114" s="2">
        <f t="shared" si="102"/>
        <v>-116372.90999999999</v>
      </c>
      <c r="Y114" s="2"/>
      <c r="Z114" s="19">
        <f t="shared" si="103"/>
        <v>-0.99212450002847474</v>
      </c>
    </row>
    <row r="115" spans="1:26" s="24" customFormat="1" hidden="1" outlineLevel="1" x14ac:dyDescent="0.25">
      <c r="A115" s="44"/>
      <c r="B115" s="11" t="str">
        <f>CONCATENATE("          ", "9160", " - ", "MISC. INCOME")</f>
        <v xml:space="preserve">          9160 - MISC. INCOME</v>
      </c>
      <c r="C115" s="11"/>
      <c r="D115" s="2">
        <f>--338.19</f>
        <v>338.19</v>
      </c>
      <c r="E115" s="2"/>
      <c r="F115" s="19">
        <f t="shared" si="96"/>
        <v>7.7707492262338324E-3</v>
      </c>
      <c r="G115" s="2"/>
      <c r="H115" s="2">
        <f>--65384.61</f>
        <v>65384.61</v>
      </c>
      <c r="I115" s="2"/>
      <c r="J115" s="19">
        <f t="shared" si="97"/>
        <v>7.5057124856575869E-2</v>
      </c>
      <c r="K115" s="2"/>
      <c r="L115" s="2">
        <f t="shared" si="98"/>
        <v>-65046.42</v>
      </c>
      <c r="M115" s="2"/>
      <c r="N115" s="19">
        <f t="shared" si="99"/>
        <v>-0.99482768192698556</v>
      </c>
      <c r="O115" s="11"/>
      <c r="P115" s="2">
        <f>--2328.25</f>
        <v>2328.25</v>
      </c>
      <c r="Q115" s="2"/>
      <c r="R115" s="19">
        <f t="shared" si="100"/>
        <v>4.0216850571059407E-2</v>
      </c>
      <c r="S115" s="2"/>
      <c r="T115" s="2">
        <f>--96357.88</f>
        <v>96357.88</v>
      </c>
      <c r="U115" s="2"/>
      <c r="V115" s="19">
        <f t="shared" si="101"/>
        <v>4.5645427518388161E-2</v>
      </c>
      <c r="W115" s="2"/>
      <c r="X115" s="2">
        <f t="shared" si="102"/>
        <v>-94029.63</v>
      </c>
      <c r="Y115" s="2"/>
      <c r="Z115" s="19">
        <f t="shared" si="103"/>
        <v>-0.97583747172519775</v>
      </c>
    </row>
    <row r="116" spans="1:26" s="24" customFormat="1" hidden="1" outlineLevel="1" x14ac:dyDescent="0.25">
      <c r="A116" s="44"/>
      <c r="B116" s="11" t="str">
        <f>CONCATENATE("          ", "9165", " - ", "OTHER INCOME")</f>
        <v xml:space="preserve">          9165 - OTHER INCOME</v>
      </c>
      <c r="C116" s="11"/>
      <c r="D116" s="2">
        <f>0</f>
        <v>0</v>
      </c>
      <c r="E116" s="2"/>
      <c r="F116" s="19">
        <f t="shared" si="96"/>
        <v>0</v>
      </c>
      <c r="G116" s="2"/>
      <c r="H116" s="2">
        <f>--7709.29</f>
        <v>7709.29</v>
      </c>
      <c r="I116" s="2"/>
      <c r="J116" s="19">
        <f t="shared" si="97"/>
        <v>8.8497452548168716E-3</v>
      </c>
      <c r="K116" s="2"/>
      <c r="L116" s="2">
        <f t="shared" si="98"/>
        <v>-7709.29</v>
      </c>
      <c r="M116" s="2"/>
      <c r="N116" s="19">
        <f t="shared" si="99"/>
        <v>-1</v>
      </c>
      <c r="O116" s="11"/>
      <c r="P116" s="2">
        <f>--825.18</f>
        <v>825.18</v>
      </c>
      <c r="Q116" s="2"/>
      <c r="R116" s="19">
        <f t="shared" si="100"/>
        <v>1.4253684421443917E-2</v>
      </c>
      <c r="S116" s="2"/>
      <c r="T116" s="2">
        <f>--212870.07</f>
        <v>212870.07</v>
      </c>
      <c r="U116" s="2"/>
      <c r="V116" s="19">
        <f t="shared" si="101"/>
        <v>0.10083809804677328</v>
      </c>
      <c r="W116" s="2"/>
      <c r="X116" s="2">
        <f t="shared" si="102"/>
        <v>-212044.89</v>
      </c>
      <c r="Y116" s="2"/>
      <c r="Z116" s="19">
        <f t="shared" si="103"/>
        <v>-0.99612355085898174</v>
      </c>
    </row>
    <row r="117" spans="1:26" x14ac:dyDescent="0.25">
      <c r="A117" s="9"/>
      <c r="B117" s="10"/>
      <c r="C117" s="10"/>
      <c r="D117" s="3"/>
      <c r="E117" s="3"/>
      <c r="F117" s="8"/>
      <c r="G117" s="3"/>
      <c r="H117" s="3"/>
      <c r="I117" s="3"/>
      <c r="J117" s="8"/>
      <c r="K117" s="3"/>
      <c r="L117" s="3"/>
      <c r="M117" s="3"/>
      <c r="N117" s="8"/>
      <c r="O117" s="10"/>
      <c r="P117" s="3"/>
      <c r="Q117" s="3"/>
      <c r="R117" s="8"/>
      <c r="S117" s="3"/>
      <c r="T117" s="3"/>
      <c r="U117" s="3"/>
      <c r="V117" s="8"/>
      <c r="W117" s="3"/>
      <c r="X117" s="3"/>
      <c r="Y117" s="3"/>
      <c r="Z117" s="8"/>
    </row>
    <row r="118" spans="1:26" s="23" customFormat="1" x14ac:dyDescent="0.25">
      <c r="A118" s="10"/>
      <c r="B118" s="25" t="s">
        <v>3</v>
      </c>
      <c r="C118" s="25"/>
      <c r="D118" s="20">
        <f>+D27-D29+D113</f>
        <v>-79392.160000000003</v>
      </c>
      <c r="E118" s="13"/>
      <c r="F118" s="21">
        <f>IF(D$12=0,0,D118/D$12)</f>
        <v>-1.8242306569946853</v>
      </c>
      <c r="G118" s="13"/>
      <c r="H118" s="20">
        <f>+H27-H29+H113</f>
        <v>147854.25</v>
      </c>
      <c r="I118" s="13"/>
      <c r="J118" s="21">
        <f>IF(H$12=0,0,H118/H$12)</f>
        <v>0.16972671249129395</v>
      </c>
      <c r="K118" s="15"/>
      <c r="L118" s="20">
        <f>+D118-H118</f>
        <v>-227246.41</v>
      </c>
      <c r="M118" s="15"/>
      <c r="N118" s="21">
        <f>IF(H118=0,0,L118/H118)</f>
        <v>-1.536962312547661</v>
      </c>
      <c r="O118" s="26"/>
      <c r="P118" s="20">
        <f>+P27-P29+P113</f>
        <v>-397198.90000000008</v>
      </c>
      <c r="Q118" s="13"/>
      <c r="R118" s="21">
        <f>IF(P$12=0,0,P118/P$12)</f>
        <v>-6.8609852070392661</v>
      </c>
      <c r="S118" s="13"/>
      <c r="T118" s="20">
        <f>+T27-T29+T113</f>
        <v>-77710.990000000573</v>
      </c>
      <c r="U118" s="13"/>
      <c r="V118" s="21">
        <f>IF(T$12=0,0,T118/T$12)</f>
        <v>-3.681226030945485E-2</v>
      </c>
      <c r="W118" s="15"/>
      <c r="X118" s="20">
        <f>+P118-T118</f>
        <v>-319487.90999999951</v>
      </c>
      <c r="Y118" s="15"/>
      <c r="Z118" s="21">
        <f>IF(T118=0,0,X118/T118)</f>
        <v>4.1112320149311845</v>
      </c>
    </row>
    <row r="119" spans="1:26" x14ac:dyDescent="0.25">
      <c r="A119" s="9"/>
      <c r="B119" s="10"/>
      <c r="C119" s="9"/>
      <c r="D119" s="3"/>
      <c r="E119" s="3"/>
      <c r="F119" s="8"/>
      <c r="G119" s="3"/>
      <c r="H119" s="3"/>
      <c r="I119" s="3"/>
      <c r="J119" s="8"/>
      <c r="K119" s="3"/>
      <c r="L119" s="3"/>
      <c r="M119" s="3"/>
      <c r="N119" s="8"/>
      <c r="P119" s="3"/>
      <c r="Q119" s="3"/>
      <c r="R119" s="8"/>
      <c r="S119" s="3"/>
      <c r="T119" s="3"/>
      <c r="U119" s="3"/>
      <c r="V119" s="8"/>
      <c r="W119" s="3"/>
      <c r="X119" s="3"/>
      <c r="Y119" s="3"/>
      <c r="Z119" s="8"/>
    </row>
    <row r="120" spans="1:26" s="23" customFormat="1" x14ac:dyDescent="0.25">
      <c r="A120" s="51"/>
      <c r="B120" s="10" t="s">
        <v>13</v>
      </c>
      <c r="C120" s="10"/>
      <c r="D120" s="4">
        <v>9878.35</v>
      </c>
      <c r="E120" s="4"/>
      <c r="F120" s="12">
        <f>IF(D$12=0,0,D120/D$12)</f>
        <v>0.22697945125215702</v>
      </c>
      <c r="G120" s="4"/>
      <c r="H120" s="4">
        <v>79320.259999999995</v>
      </c>
      <c r="I120" s="4"/>
      <c r="J120" s="12">
        <f>IF(H$12=0,0,H120/H$12)</f>
        <v>9.1054311687047779E-2</v>
      </c>
      <c r="K120" s="4"/>
      <c r="L120" s="4">
        <f>+D120-H120</f>
        <v>-69441.909999999989</v>
      </c>
      <c r="M120" s="4"/>
      <c r="N120" s="12">
        <f>IF(H120=0,0,L120/H120)</f>
        <v>-0.87546246066263511</v>
      </c>
      <c r="O120" s="10"/>
      <c r="P120" s="4">
        <v>12540.75</v>
      </c>
      <c r="Q120" s="4"/>
      <c r="R120" s="12">
        <f>IF(P$12=0,0,P120/P$12)</f>
        <v>0.21662169818490853</v>
      </c>
      <c r="S120" s="4"/>
      <c r="T120" s="4">
        <v>212499.49</v>
      </c>
      <c r="U120" s="4"/>
      <c r="V120" s="12">
        <f>IF(T$12=0,0,T120/T$12)</f>
        <v>0.10066255160957722</v>
      </c>
      <c r="W120" s="4"/>
      <c r="X120" s="4">
        <f>+P120-T120</f>
        <v>-199958.74</v>
      </c>
      <c r="Y120" s="4"/>
      <c r="Z120" s="12">
        <f>IF(T120=0,0,X120/T120)</f>
        <v>-0.94098456424530708</v>
      </c>
    </row>
    <row r="121" spans="1:26" x14ac:dyDescent="0.25">
      <c r="A121" s="9"/>
      <c r="B121" s="10"/>
      <c r="C121" s="10"/>
      <c r="D121" s="3"/>
      <c r="E121" s="3"/>
      <c r="F121" s="8"/>
      <c r="G121" s="3"/>
      <c r="H121" s="3"/>
      <c r="I121" s="3"/>
      <c r="J121" s="8"/>
      <c r="K121" s="3"/>
      <c r="L121" s="3"/>
      <c r="M121" s="3"/>
      <c r="N121" s="8"/>
      <c r="O121" s="10"/>
      <c r="P121" s="3"/>
      <c r="Q121" s="3"/>
      <c r="R121" s="8"/>
      <c r="S121" s="3"/>
      <c r="T121" s="3"/>
      <c r="U121" s="3"/>
      <c r="V121" s="8"/>
      <c r="W121" s="3"/>
      <c r="X121" s="3"/>
      <c r="Y121" s="3"/>
      <c r="Z121" s="8"/>
    </row>
    <row r="122" spans="1:26" s="23" customFormat="1" ht="15.75" thickBot="1" x14ac:dyDescent="0.3">
      <c r="A122" s="10"/>
      <c r="B122" s="25" t="s">
        <v>4</v>
      </c>
      <c r="C122" s="25"/>
      <c r="D122" s="30">
        <f>+D118-D120</f>
        <v>-89270.510000000009</v>
      </c>
      <c r="E122" s="13"/>
      <c r="F122" s="33">
        <f>IF(D$12=0,0,D122/D$12)</f>
        <v>-2.0512101082468424</v>
      </c>
      <c r="G122" s="13"/>
      <c r="H122" s="30">
        <f>+H118-H120</f>
        <v>68533.990000000005</v>
      </c>
      <c r="I122" s="13"/>
      <c r="J122" s="33">
        <f>IF(H$12=0,0,H122/H$12)</f>
        <v>7.8672400804246173E-2</v>
      </c>
      <c r="K122" s="15"/>
      <c r="L122" s="30">
        <f>D122-H122</f>
        <v>-157804.5</v>
      </c>
      <c r="M122" s="15"/>
      <c r="N122" s="33">
        <f>IF(H122=0,0,L122/H122)</f>
        <v>-2.3025727817685793</v>
      </c>
      <c r="O122" s="26"/>
      <c r="P122" s="30">
        <f>+P118-P120</f>
        <v>-409739.65000000008</v>
      </c>
      <c r="Q122" s="13"/>
      <c r="R122" s="33">
        <f>IF(P$12=0,0,P122/P$12)</f>
        <v>-7.077606905224175</v>
      </c>
      <c r="S122" s="13"/>
      <c r="T122" s="30">
        <f>+T118-T120</f>
        <v>-290210.48000000056</v>
      </c>
      <c r="U122" s="13"/>
      <c r="V122" s="33">
        <f>IF(T$12=0,0,T122/T$12)</f>
        <v>-0.13747481191903207</v>
      </c>
      <c r="W122" s="15"/>
      <c r="X122" s="30">
        <f>P122-T122</f>
        <v>-119529.16999999952</v>
      </c>
      <c r="Y122" s="15"/>
      <c r="Z122" s="33">
        <f>IF(T122=0,0,X122/T122)</f>
        <v>0.41187061886944704</v>
      </c>
    </row>
    <row r="123" spans="1:26" ht="15.75" thickTop="1" x14ac:dyDescent="0.25">
      <c r="A123" s="9"/>
      <c r="B123" s="9"/>
      <c r="C123" s="9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x14ac:dyDescent="0.25">
      <c r="A124" s="9"/>
      <c r="B124" s="9"/>
      <c r="C124" s="9"/>
      <c r="D124" s="3"/>
      <c r="E124" s="3"/>
      <c r="F124" s="8"/>
      <c r="G124" s="3"/>
      <c r="H124" s="3"/>
      <c r="I124" s="3"/>
      <c r="J124" s="8"/>
      <c r="K124" s="3"/>
      <c r="L124" s="3"/>
      <c r="M124" s="3"/>
      <c r="N124" s="8"/>
      <c r="P124" s="3"/>
      <c r="Q124" s="3"/>
      <c r="R124" s="8"/>
      <c r="S124" s="3"/>
      <c r="T124" s="3"/>
      <c r="U124" s="3"/>
      <c r="V124" s="8"/>
      <c r="W124" s="3"/>
      <c r="X124" s="3"/>
      <c r="Y124" s="3"/>
      <c r="Z124" s="8"/>
    </row>
    <row r="125" spans="1:26" s="23" customFormat="1" ht="15.75" thickBot="1" x14ac:dyDescent="0.3">
      <c r="A125" s="10"/>
      <c r="B125" s="25" t="s">
        <v>5</v>
      </c>
      <c r="C125" s="25"/>
      <c r="D125" s="34">
        <f>SUM(D122:D124)</f>
        <v>-89270.510000000009</v>
      </c>
      <c r="E125" s="13"/>
      <c r="F125" s="35">
        <f>IF(D$12=0,0,D125/D$12)</f>
        <v>-2.0512101082468424</v>
      </c>
      <c r="G125" s="13"/>
      <c r="H125" s="34">
        <f>SUM(H122:H124)</f>
        <v>68533.990000000005</v>
      </c>
      <c r="I125" s="13"/>
      <c r="J125" s="35">
        <f>IF(H$12=0,0,H125/H$12)</f>
        <v>7.8672400804246173E-2</v>
      </c>
      <c r="K125" s="15"/>
      <c r="L125" s="34">
        <f>+D125-H125</f>
        <v>-157804.5</v>
      </c>
      <c r="M125" s="15"/>
      <c r="N125" s="35">
        <f>IF(H125=0,0,L125/H125)</f>
        <v>-2.3025727817685793</v>
      </c>
      <c r="O125" s="26"/>
      <c r="P125" s="34">
        <f>SUM(P122:P124)</f>
        <v>-409739.65000000008</v>
      </c>
      <c r="Q125" s="13"/>
      <c r="R125" s="35">
        <f>IF(P$12=0,0,P125/P$12)</f>
        <v>-7.077606905224175</v>
      </c>
      <c r="S125" s="13"/>
      <c r="T125" s="34">
        <f>SUM(T122:T124)</f>
        <v>-290210.48000000056</v>
      </c>
      <c r="U125" s="13"/>
      <c r="V125" s="35">
        <f>IF(T$12=0,0,T125/T$12)</f>
        <v>-0.13747481191903207</v>
      </c>
      <c r="W125" s="15"/>
      <c r="X125" s="34">
        <f>+P125-T125</f>
        <v>-119529.16999999952</v>
      </c>
      <c r="Y125" s="15"/>
      <c r="Z125" s="35">
        <f>IF(T125=0,0,X125/T125)</f>
        <v>0.41187061886944704</v>
      </c>
    </row>
    <row r="126" spans="1:26" ht="15.75" thickTop="1" x14ac:dyDescent="0.25">
      <c r="A126" s="9"/>
      <c r="C126" s="9"/>
      <c r="D126" s="18"/>
      <c r="E126" s="18"/>
      <c r="G126" s="18"/>
      <c r="H126" s="18"/>
      <c r="I126" s="18"/>
      <c r="J126" s="43"/>
      <c r="K126" s="18"/>
      <c r="L126" s="18"/>
      <c r="M126" s="18"/>
      <c r="P126" s="18"/>
      <c r="Q126" s="18"/>
      <c r="R126" s="43"/>
      <c r="S126" s="18"/>
      <c r="T126" s="18"/>
      <c r="U126" s="18"/>
      <c r="V126" s="43"/>
      <c r="W126" s="18"/>
      <c r="X126" s="18"/>
    </row>
    <row r="127" spans="1:26" x14ac:dyDescent="0.25">
      <c r="A127" s="9"/>
      <c r="B127" s="56">
        <v>44151.572057870369</v>
      </c>
      <c r="D127" s="18"/>
      <c r="E127" s="18"/>
      <c r="G127" s="18"/>
      <c r="H127" s="18"/>
      <c r="I127" s="18"/>
      <c r="J127" s="43"/>
      <c r="K127" s="18"/>
      <c r="L127" s="18"/>
      <c r="M127" s="18"/>
      <c r="P127" s="18"/>
      <c r="Q127" s="18"/>
      <c r="R127" s="43"/>
      <c r="S127" s="18"/>
      <c r="T127" s="18"/>
      <c r="U127" s="18"/>
      <c r="V127" s="43"/>
      <c r="W127" s="18"/>
      <c r="X127" s="18"/>
    </row>
    <row r="128" spans="1:26" x14ac:dyDescent="0.25">
      <c r="A128" s="9"/>
      <c r="B128" s="62" t="s">
        <v>313</v>
      </c>
      <c r="D128" s="18"/>
      <c r="E128" s="18"/>
      <c r="G128" s="18"/>
      <c r="H128" s="18"/>
      <c r="I128" s="18"/>
      <c r="J128" s="43"/>
      <c r="K128" s="18"/>
      <c r="L128" s="18"/>
      <c r="M128" s="18"/>
      <c r="P128" s="18"/>
      <c r="Q128" s="18"/>
      <c r="R128" s="43"/>
      <c r="S128" s="18"/>
      <c r="T128" s="18"/>
      <c r="U128" s="18"/>
      <c r="V128" s="43"/>
      <c r="W128" s="18"/>
      <c r="X128" s="18"/>
    </row>
    <row r="129" spans="1:24" x14ac:dyDescent="0.25">
      <c r="A129" s="9"/>
      <c r="B129" s="54"/>
      <c r="D129" s="18"/>
      <c r="E129" s="18"/>
      <c r="G129" s="18"/>
      <c r="H129" s="18"/>
      <c r="I129" s="18"/>
      <c r="J129" s="43"/>
      <c r="K129" s="18"/>
      <c r="L129" s="18"/>
      <c r="M129" s="18"/>
      <c r="P129" s="18"/>
      <c r="Q129" s="18"/>
      <c r="R129" s="43"/>
      <c r="S129" s="18"/>
      <c r="T129" s="18"/>
      <c r="U129" s="18"/>
      <c r="V129" s="43"/>
      <c r="W129" s="18"/>
      <c r="X129" s="18"/>
    </row>
    <row r="130" spans="1:24" x14ac:dyDescent="0.25">
      <c r="D130" s="18"/>
      <c r="E130" s="18"/>
      <c r="G130" s="18"/>
      <c r="H130" s="18"/>
      <c r="I130" s="18"/>
      <c r="J130" s="43"/>
      <c r="K130" s="18"/>
      <c r="L130" s="18"/>
      <c r="M130" s="18"/>
      <c r="P130" s="18"/>
      <c r="Q130" s="18"/>
      <c r="R130" s="43"/>
      <c r="S130" s="18"/>
      <c r="T130" s="18"/>
      <c r="U130" s="18"/>
      <c r="V130" s="43"/>
      <c r="W130" s="18"/>
      <c r="X130" s="18"/>
    </row>
  </sheetData>
  <pageMargins left="0.25" right="0.25" top="0.75" bottom="0.75" header="0.3" footer="0.3"/>
  <pageSetup scale="55" fitToWidth="2" orientation="landscape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",RIGHT(202104,2),", ",2021)</f>
        <v>Period 04,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44135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","405", " - ", "Library Starbucks")</f>
        <v>Department 405 - Library Starbucks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61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50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50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2"/>
      <c r="F10" s="31" t="s">
        <v>14</v>
      </c>
      <c r="G10" s="32"/>
      <c r="H10" s="49" t="s">
        <v>306</v>
      </c>
      <c r="I10" s="32"/>
      <c r="J10" s="31" t="s">
        <v>14</v>
      </c>
      <c r="K10" s="10"/>
      <c r="L10" s="42" t="s">
        <v>11</v>
      </c>
      <c r="M10" s="10"/>
      <c r="N10" s="31" t="s">
        <v>15</v>
      </c>
      <c r="O10" s="10"/>
      <c r="P10" s="59" t="s">
        <v>10</v>
      </c>
      <c r="Q10" s="32"/>
      <c r="R10" s="31" t="s">
        <v>14</v>
      </c>
      <c r="S10" s="32"/>
      <c r="T10" s="49" t="s">
        <v>306</v>
      </c>
      <c r="U10" s="32"/>
      <c r="V10" s="31" t="s">
        <v>14</v>
      </c>
      <c r="W10" s="10"/>
      <c r="X10" s="42" t="s">
        <v>11</v>
      </c>
      <c r="Y10" s="10"/>
      <c r="Z10" s="31" t="s">
        <v>15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154711.46000000002</v>
      </c>
      <c r="I12" s="4"/>
      <c r="J12" s="12"/>
      <c r="K12" s="4"/>
      <c r="L12" s="4">
        <f t="shared" ref="L12:L14" si="0">+D12-H12</f>
        <v>-154711.46000000002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325833.23</v>
      </c>
      <c r="U12" s="4"/>
      <c r="V12" s="12"/>
      <c r="W12" s="4"/>
      <c r="X12" s="4">
        <f t="shared" ref="X12:X14" si="2">+P12-T12</f>
        <v>-325833.23</v>
      </c>
      <c r="Y12" s="4"/>
      <c r="Z12" s="12">
        <f t="shared" ref="Z12:Z14" si="3">IF(T12=0,0,X12/T12)</f>
        <v>-1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 t="shared" ref="D13:D14" si="4">0</f>
        <v>0</v>
      </c>
      <c r="E13" s="2"/>
      <c r="F13" s="19"/>
      <c r="G13" s="2"/>
      <c r="H13" s="2">
        <f>--31084.39</f>
        <v>31084.39</v>
      </c>
      <c r="I13" s="2"/>
      <c r="J13" s="19"/>
      <c r="K13" s="2"/>
      <c r="L13" s="2">
        <f t="shared" si="0"/>
        <v>-31084.39</v>
      </c>
      <c r="M13" s="2"/>
      <c r="N13" s="19">
        <f t="shared" si="1"/>
        <v>-1</v>
      </c>
      <c r="O13" s="11"/>
      <c r="P13" s="2">
        <f t="shared" ref="P13:P14" si="5">0</f>
        <v>0</v>
      </c>
      <c r="Q13" s="2"/>
      <c r="R13" s="19"/>
      <c r="S13" s="2"/>
      <c r="T13" s="2">
        <f>--74412.79</f>
        <v>74412.789999999994</v>
      </c>
      <c r="U13" s="2"/>
      <c r="V13" s="19"/>
      <c r="W13" s="2"/>
      <c r="X13" s="2">
        <f t="shared" si="2"/>
        <v>-74412.789999999994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 t="shared" si="4"/>
        <v>0</v>
      </c>
      <c r="E14" s="2"/>
      <c r="F14" s="19"/>
      <c r="G14" s="2"/>
      <c r="H14" s="2">
        <f>--123627.07</f>
        <v>123627.07</v>
      </c>
      <c r="I14" s="2"/>
      <c r="J14" s="19"/>
      <c r="K14" s="2"/>
      <c r="L14" s="2">
        <f t="shared" si="0"/>
        <v>-123627.07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f>--251420.44</f>
        <v>251420.44</v>
      </c>
      <c r="U14" s="2"/>
      <c r="V14" s="19"/>
      <c r="W14" s="2"/>
      <c r="X14" s="2">
        <f t="shared" si="2"/>
        <v>-251420.44</v>
      </c>
      <c r="Y14" s="2"/>
      <c r="Z14" s="19">
        <f t="shared" si="3"/>
        <v>-1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6" t="s">
        <v>8</v>
      </c>
      <c r="C16" s="10"/>
      <c r="D16" s="4">
        <f>SUM(OSRRefD16x_0)</f>
        <v>0</v>
      </c>
      <c r="E16" s="4"/>
      <c r="F16" s="12">
        <f t="shared" ref="F16:F18" si="6">IF(D$12=0,0,D16/D$12)</f>
        <v>0</v>
      </c>
      <c r="G16" s="4"/>
      <c r="H16" s="4">
        <f>SUM(OSRRefH16x_0)</f>
        <v>44043.07</v>
      </c>
      <c r="I16" s="4"/>
      <c r="J16" s="12">
        <f t="shared" ref="J16:J18" si="7">IF(H$12=0,0,H16/H$12)</f>
        <v>0.28467878203721941</v>
      </c>
      <c r="K16" s="4"/>
      <c r="L16" s="4">
        <f t="shared" ref="L16:L18" si="8">+D16-H16</f>
        <v>-44043.07</v>
      </c>
      <c r="M16" s="4"/>
      <c r="N16" s="12">
        <f t="shared" ref="N16:N18" si="9">IF(H16=0,0,L16/H16)</f>
        <v>-1</v>
      </c>
      <c r="O16" s="10"/>
      <c r="P16" s="4">
        <f>SUM(OSRRefP16x_0)</f>
        <v>0</v>
      </c>
      <c r="Q16" s="4"/>
      <c r="R16" s="12">
        <f t="shared" ref="R16:R18" si="10">IF(P$12=0,0,P16/P$12)</f>
        <v>0</v>
      </c>
      <c r="S16" s="4"/>
      <c r="T16" s="4">
        <f>SUM(OSRRefT16x_0)</f>
        <v>125040.73999999999</v>
      </c>
      <c r="U16" s="4"/>
      <c r="V16" s="12">
        <f t="shared" ref="V16:V18" si="11">IF(T$12=0,0,T16/T$12)</f>
        <v>0.38375686850601454</v>
      </c>
      <c r="W16" s="4"/>
      <c r="X16" s="4">
        <f t="shared" ref="X16:X18" si="12">+P16-T16</f>
        <v>-125040.73999999999</v>
      </c>
      <c r="Y16" s="4"/>
      <c r="Z16" s="12">
        <f t="shared" ref="Z16:Z18" si="13">IF(T16=0,0,X16/T16)</f>
        <v>-1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6"/>
        <v>0</v>
      </c>
      <c r="G17" s="2"/>
      <c r="H17" s="2">
        <v>49158.07</v>
      </c>
      <c r="I17" s="2"/>
      <c r="J17" s="19">
        <f t="shared" si="7"/>
        <v>0.31774032770423077</v>
      </c>
      <c r="K17" s="2"/>
      <c r="L17" s="2">
        <f t="shared" si="8"/>
        <v>-49158.07</v>
      </c>
      <c r="M17" s="2"/>
      <c r="N17" s="19">
        <f t="shared" si="9"/>
        <v>-1</v>
      </c>
      <c r="O17" s="11"/>
      <c r="P17" s="2"/>
      <c r="Q17" s="2"/>
      <c r="R17" s="19">
        <f t="shared" si="10"/>
        <v>0</v>
      </c>
      <c r="S17" s="2"/>
      <c r="T17" s="2">
        <v>133839.74</v>
      </c>
      <c r="U17" s="2"/>
      <c r="V17" s="19">
        <f t="shared" si="11"/>
        <v>0.41076148065069973</v>
      </c>
      <c r="W17" s="2"/>
      <c r="X17" s="2">
        <f t="shared" si="12"/>
        <v>-133839.74</v>
      </c>
      <c r="Y17" s="2"/>
      <c r="Z17" s="19">
        <f t="shared" si="13"/>
        <v>-1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/>
      <c r="E18" s="2"/>
      <c r="F18" s="19">
        <f t="shared" si="6"/>
        <v>0</v>
      </c>
      <c r="G18" s="2"/>
      <c r="H18" s="2">
        <v>-5115</v>
      </c>
      <c r="I18" s="2"/>
      <c r="J18" s="19">
        <f t="shared" si="7"/>
        <v>-3.3061545667011347E-2</v>
      </c>
      <c r="K18" s="2"/>
      <c r="L18" s="2">
        <f t="shared" si="8"/>
        <v>5115</v>
      </c>
      <c r="M18" s="2"/>
      <c r="N18" s="19">
        <f t="shared" si="9"/>
        <v>-1</v>
      </c>
      <c r="O18" s="11"/>
      <c r="P18" s="2"/>
      <c r="Q18" s="2"/>
      <c r="R18" s="19">
        <f t="shared" si="10"/>
        <v>0</v>
      </c>
      <c r="S18" s="2"/>
      <c r="T18" s="2">
        <v>-8799</v>
      </c>
      <c r="U18" s="2"/>
      <c r="V18" s="19">
        <f t="shared" si="11"/>
        <v>-2.7004612144685181E-2</v>
      </c>
      <c r="W18" s="2"/>
      <c r="X18" s="2">
        <f t="shared" si="12"/>
        <v>8799</v>
      </c>
      <c r="Y18" s="2"/>
      <c r="Z18" s="19">
        <f t="shared" si="13"/>
        <v>-1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5" t="s">
        <v>6</v>
      </c>
      <c r="C20" s="25"/>
      <c r="D20" s="20">
        <f>D12-D16</f>
        <v>0</v>
      </c>
      <c r="E20" s="13"/>
      <c r="F20" s="21">
        <f>IF(D$12=0,0,D20/D$12)</f>
        <v>0</v>
      </c>
      <c r="G20" s="13"/>
      <c r="H20" s="20">
        <f>H12-H16</f>
        <v>110668.39000000001</v>
      </c>
      <c r="I20" s="13"/>
      <c r="J20" s="21">
        <f>IF(H$12=0,0,H20/H$12)</f>
        <v>0.71532121796278048</v>
      </c>
      <c r="K20" s="15"/>
      <c r="L20" s="20">
        <f>+D20-H20</f>
        <v>-110668.39000000001</v>
      </c>
      <c r="M20" s="15"/>
      <c r="N20" s="21">
        <f>IF(H20=0,0,L20/H20)</f>
        <v>-1</v>
      </c>
      <c r="O20" s="26"/>
      <c r="P20" s="20">
        <f>P12-P16</f>
        <v>0</v>
      </c>
      <c r="Q20" s="13"/>
      <c r="R20" s="21">
        <f>IF(P$12=0,0,P20/P$12)</f>
        <v>0</v>
      </c>
      <c r="S20" s="13"/>
      <c r="T20" s="20">
        <f>T12-T16</f>
        <v>200792.49</v>
      </c>
      <c r="U20" s="13"/>
      <c r="V20" s="21">
        <f>IF(T$12=0,0,T20/T$12)</f>
        <v>0.61624313149398546</v>
      </c>
      <c r="W20" s="15"/>
      <c r="X20" s="20">
        <f>+P20-T20</f>
        <v>-200792.49</v>
      </c>
      <c r="Y20" s="15"/>
      <c r="Z20" s="21">
        <f>IF(T20=0,0,X20/T20)</f>
        <v>-1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6" t="s">
        <v>9</v>
      </c>
      <c r="C22" s="10"/>
      <c r="D22" s="22">
        <f>SUM(OSRRefD22x_0)</f>
        <v>5704.4400000000005</v>
      </c>
      <c r="E22" s="22"/>
      <c r="F22" s="36">
        <f t="shared" ref="F22:F31" si="14">IF(D$12=0,0,D22/D$12)</f>
        <v>0</v>
      </c>
      <c r="G22" s="22"/>
      <c r="H22" s="22">
        <f>SUM(OSRRefH22x_0)</f>
        <v>77056.529999999941</v>
      </c>
      <c r="I22" s="22"/>
      <c r="J22" s="36">
        <f t="shared" ref="J22:J31" si="15">IF(H$12=0,0,H22/H$12)</f>
        <v>0.49806607732872493</v>
      </c>
      <c r="K22" s="4"/>
      <c r="L22" s="22">
        <f t="shared" ref="L22:L31" si="16">+D22-H22</f>
        <v>-71352.089999999938</v>
      </c>
      <c r="M22" s="4"/>
      <c r="N22" s="36">
        <f t="shared" ref="N22:N31" si="17">IF(H22=0,0,L22/H22)</f>
        <v>-0.92597071267029529</v>
      </c>
      <c r="O22" s="10"/>
      <c r="P22" s="22">
        <f>SUM(OSRRefP22x_0)</f>
        <v>28102.84</v>
      </c>
      <c r="Q22" s="22"/>
      <c r="R22" s="36">
        <f t="shared" ref="R22:R31" si="18">IF(P$12=0,0,P22/P$12)</f>
        <v>0</v>
      </c>
      <c r="S22" s="22"/>
      <c r="T22" s="22">
        <f>SUM(OSRRefT22x_0)</f>
        <v>226244.30999999994</v>
      </c>
      <c r="U22" s="22"/>
      <c r="V22" s="36">
        <f t="shared" ref="V22:V31" si="19">IF(T$12=0,0,T22/T$12)</f>
        <v>0.69435615882394797</v>
      </c>
      <c r="W22" s="4"/>
      <c r="X22" s="22">
        <f t="shared" ref="X22:X31" si="20">+P22-T22</f>
        <v>-198141.46999999994</v>
      </c>
      <c r="Y22" s="4"/>
      <c r="Z22" s="36">
        <f t="shared" ref="Z22:Z31" si="21">IF(T22=0,0,X22/T22)</f>
        <v>-0.87578542859265718</v>
      </c>
    </row>
    <row r="23" spans="1:26" s="29" customFormat="1" outlineLevel="1" collapsed="1" x14ac:dyDescent="0.25">
      <c r="A23" s="27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0</v>
      </c>
      <c r="E23" s="1"/>
      <c r="F23" s="5">
        <f t="shared" si="14"/>
        <v>0</v>
      </c>
      <c r="G23" s="1"/>
      <c r="H23" s="1">
        <f>SUM(OSRRefH22_0x_0)</f>
        <v>5253.35</v>
      </c>
      <c r="I23" s="1"/>
      <c r="J23" s="5">
        <f t="shared" si="15"/>
        <v>3.3955790993117123E-2</v>
      </c>
      <c r="K23" s="1"/>
      <c r="L23" s="1">
        <f t="shared" si="16"/>
        <v>-5253.35</v>
      </c>
      <c r="M23" s="1"/>
      <c r="N23" s="5">
        <f t="shared" si="17"/>
        <v>-1</v>
      </c>
      <c r="O23" s="14"/>
      <c r="P23" s="1">
        <f>SUM(OSRRefP22_0x_0)</f>
        <v>0</v>
      </c>
      <c r="Q23" s="1"/>
      <c r="R23" s="5">
        <f t="shared" si="18"/>
        <v>0</v>
      </c>
      <c r="S23" s="1"/>
      <c r="T23" s="1">
        <f>SUM(OSRRefT22_0x_0)</f>
        <v>20525.8</v>
      </c>
      <c r="U23" s="1"/>
      <c r="V23" s="5">
        <f t="shared" si="19"/>
        <v>6.2994802586587018E-2</v>
      </c>
      <c r="W23" s="1"/>
      <c r="X23" s="1">
        <f t="shared" si="20"/>
        <v>-20525.8</v>
      </c>
      <c r="Y23" s="1"/>
      <c r="Z23" s="5">
        <f t="shared" si="21"/>
        <v>-1</v>
      </c>
    </row>
    <row r="24" spans="1:26" s="24" customFormat="1" hidden="1" outlineLevel="2" x14ac:dyDescent="0.25">
      <c r="A24" s="28"/>
      <c r="B24" s="11" t="str">
        <f>CONCATENATE("          ", "6111", " - ", "F.I.C.A.")</f>
        <v xml:space="preserve">          6111 - F.I.C.A.</v>
      </c>
      <c r="C24" s="11"/>
      <c r="D24" s="6"/>
      <c r="E24" s="2"/>
      <c r="F24" s="7">
        <f t="shared" si="14"/>
        <v>0</v>
      </c>
      <c r="G24" s="2"/>
      <c r="H24" s="6">
        <v>1774.44</v>
      </c>
      <c r="I24" s="2"/>
      <c r="J24" s="7">
        <f t="shared" si="15"/>
        <v>1.14693507513923E-2</v>
      </c>
      <c r="K24" s="2"/>
      <c r="L24" s="6">
        <f t="shared" si="16"/>
        <v>-1774.44</v>
      </c>
      <c r="M24" s="2"/>
      <c r="N24" s="7">
        <f t="shared" si="17"/>
        <v>-1</v>
      </c>
      <c r="O24" s="11"/>
      <c r="P24" s="6"/>
      <c r="Q24" s="2"/>
      <c r="R24" s="7">
        <f t="shared" si="18"/>
        <v>0</v>
      </c>
      <c r="S24" s="2"/>
      <c r="T24" s="6">
        <v>4912.9399999999996</v>
      </c>
      <c r="U24" s="2"/>
      <c r="V24" s="7">
        <f t="shared" si="19"/>
        <v>1.507808150813838E-2</v>
      </c>
      <c r="W24" s="2"/>
      <c r="X24" s="6">
        <f t="shared" si="20"/>
        <v>-4912.9399999999996</v>
      </c>
      <c r="Y24" s="2"/>
      <c r="Z24" s="7">
        <f t="shared" si="21"/>
        <v>-1</v>
      </c>
    </row>
    <row r="25" spans="1:26" s="24" customFormat="1" hidden="1" outlineLevel="2" x14ac:dyDescent="0.25">
      <c r="A25" s="28"/>
      <c r="B25" s="11" t="str">
        <f>CONCATENATE("          ", "6112", " - ", "COMPENSATION INSURANCE")</f>
        <v xml:space="preserve">          6112 - COMPENSATION INSURANCE</v>
      </c>
      <c r="C25" s="11"/>
      <c r="D25" s="6"/>
      <c r="E25" s="2"/>
      <c r="F25" s="7">
        <f t="shared" si="14"/>
        <v>0</v>
      </c>
      <c r="G25" s="2"/>
      <c r="H25" s="6">
        <v>35.4</v>
      </c>
      <c r="I25" s="2"/>
      <c r="J25" s="7">
        <f t="shared" si="15"/>
        <v>2.2881304332594363E-4</v>
      </c>
      <c r="K25" s="2"/>
      <c r="L25" s="6">
        <f t="shared" si="16"/>
        <v>-35.4</v>
      </c>
      <c r="M25" s="2"/>
      <c r="N25" s="7">
        <f t="shared" si="17"/>
        <v>-1</v>
      </c>
      <c r="O25" s="11"/>
      <c r="P25" s="6"/>
      <c r="Q25" s="2"/>
      <c r="R25" s="7">
        <f t="shared" si="18"/>
        <v>0</v>
      </c>
      <c r="S25" s="2"/>
      <c r="T25" s="6">
        <v>2381.19</v>
      </c>
      <c r="U25" s="2"/>
      <c r="V25" s="7">
        <f t="shared" si="19"/>
        <v>7.3080023176273342E-3</v>
      </c>
      <c r="W25" s="2"/>
      <c r="X25" s="6">
        <f t="shared" si="20"/>
        <v>-2381.19</v>
      </c>
      <c r="Y25" s="2"/>
      <c r="Z25" s="7">
        <f t="shared" si="21"/>
        <v>-1</v>
      </c>
    </row>
    <row r="26" spans="1:26" s="24" customFormat="1" hidden="1" outlineLevel="2" x14ac:dyDescent="0.25">
      <c r="A26" s="28"/>
      <c r="B26" s="11" t="str">
        <f>CONCATENATE("          ", "6113", " - ", "GROUP INSURANCE")</f>
        <v xml:space="preserve">          6113 - GROUP INSURANCE</v>
      </c>
      <c r="C26" s="11"/>
      <c r="D26" s="6"/>
      <c r="E26" s="2"/>
      <c r="F26" s="7">
        <f t="shared" si="14"/>
        <v>0</v>
      </c>
      <c r="G26" s="2"/>
      <c r="H26" s="6">
        <v>1376.23</v>
      </c>
      <c r="I26" s="2"/>
      <c r="J26" s="7">
        <f t="shared" si="15"/>
        <v>8.8954625597871019E-3</v>
      </c>
      <c r="K26" s="2"/>
      <c r="L26" s="6">
        <f t="shared" si="16"/>
        <v>-1376.23</v>
      </c>
      <c r="M26" s="2"/>
      <c r="N26" s="7">
        <f t="shared" si="17"/>
        <v>-1</v>
      </c>
      <c r="O26" s="11"/>
      <c r="P26" s="6"/>
      <c r="Q26" s="2"/>
      <c r="R26" s="7">
        <f t="shared" si="18"/>
        <v>0</v>
      </c>
      <c r="S26" s="2"/>
      <c r="T26" s="6">
        <v>5504.92</v>
      </c>
      <c r="U26" s="2"/>
      <c r="V26" s="7">
        <f t="shared" si="19"/>
        <v>1.6894900498638524E-2</v>
      </c>
      <c r="W26" s="2"/>
      <c r="X26" s="6">
        <f t="shared" si="20"/>
        <v>-5504.92</v>
      </c>
      <c r="Y26" s="2"/>
      <c r="Z26" s="7">
        <f t="shared" si="21"/>
        <v>-1</v>
      </c>
    </row>
    <row r="27" spans="1:26" s="24" customFormat="1" hidden="1" outlineLevel="2" x14ac:dyDescent="0.25">
      <c r="A27" s="28"/>
      <c r="B27" s="11" t="str">
        <f>CONCATENATE("          ", "6114", " - ", "STATE UNEMPLOYMENT INSURANCE")</f>
        <v xml:space="preserve">          6114 - STATE UNEMPLOYMENT INSURANCE</v>
      </c>
      <c r="C27" s="11"/>
      <c r="D27" s="6"/>
      <c r="E27" s="2"/>
      <c r="F27" s="7">
        <f t="shared" si="14"/>
        <v>0</v>
      </c>
      <c r="G27" s="2"/>
      <c r="H27" s="6">
        <v>104.55</v>
      </c>
      <c r="I27" s="2"/>
      <c r="J27" s="7">
        <f t="shared" si="15"/>
        <v>6.7577411524653689E-4</v>
      </c>
      <c r="K27" s="2"/>
      <c r="L27" s="6">
        <f t="shared" si="16"/>
        <v>-104.55</v>
      </c>
      <c r="M27" s="2"/>
      <c r="N27" s="7">
        <f t="shared" si="17"/>
        <v>-1</v>
      </c>
      <c r="O27" s="11"/>
      <c r="P27" s="6"/>
      <c r="Q27" s="2"/>
      <c r="R27" s="7">
        <f t="shared" si="18"/>
        <v>0</v>
      </c>
      <c r="S27" s="2"/>
      <c r="T27" s="6">
        <v>263.68</v>
      </c>
      <c r="U27" s="2"/>
      <c r="V27" s="7">
        <f t="shared" si="19"/>
        <v>8.092483384828491E-4</v>
      </c>
      <c r="W27" s="2"/>
      <c r="X27" s="6">
        <f t="shared" si="20"/>
        <v>-263.68</v>
      </c>
      <c r="Y27" s="2"/>
      <c r="Z27" s="7">
        <f t="shared" si="21"/>
        <v>-1</v>
      </c>
    </row>
    <row r="28" spans="1:26" s="24" customFormat="1" hidden="1" outlineLevel="2" x14ac:dyDescent="0.25">
      <c r="A28" s="28"/>
      <c r="B28" s="11" t="str">
        <f>CONCATENATE("          ", "6115", " - ", "P.E.R.S.")</f>
        <v xml:space="preserve">          6115 - P.E.R.S.</v>
      </c>
      <c r="C28" s="11"/>
      <c r="D28" s="6"/>
      <c r="E28" s="2"/>
      <c r="F28" s="7">
        <f t="shared" si="14"/>
        <v>0</v>
      </c>
      <c r="G28" s="2"/>
      <c r="H28" s="6">
        <v>696.67</v>
      </c>
      <c r="I28" s="2"/>
      <c r="J28" s="7">
        <f t="shared" si="15"/>
        <v>4.5030277653639872E-3</v>
      </c>
      <c r="K28" s="2"/>
      <c r="L28" s="6">
        <f t="shared" si="16"/>
        <v>-696.67</v>
      </c>
      <c r="M28" s="2"/>
      <c r="N28" s="7">
        <f t="shared" si="17"/>
        <v>-1</v>
      </c>
      <c r="O28" s="11"/>
      <c r="P28" s="6"/>
      <c r="Q28" s="2"/>
      <c r="R28" s="7">
        <f t="shared" si="18"/>
        <v>0</v>
      </c>
      <c r="S28" s="2"/>
      <c r="T28" s="6">
        <v>2786.68</v>
      </c>
      <c r="U28" s="2"/>
      <c r="V28" s="7">
        <f t="shared" si="19"/>
        <v>8.5524733005286173E-3</v>
      </c>
      <c r="W28" s="2"/>
      <c r="X28" s="6">
        <f t="shared" si="20"/>
        <v>-2786.68</v>
      </c>
      <c r="Y28" s="2"/>
      <c r="Z28" s="7">
        <f t="shared" si="21"/>
        <v>-1</v>
      </c>
    </row>
    <row r="29" spans="1:26" s="24" customFormat="1" hidden="1" outlineLevel="2" x14ac:dyDescent="0.25">
      <c r="A29" s="28"/>
      <c r="B29" s="11" t="str">
        <f>CONCATENATE("          ", "6118", " - ", "VACATION")</f>
        <v xml:space="preserve">          6118 - VACATION</v>
      </c>
      <c r="C29" s="11"/>
      <c r="D29" s="6"/>
      <c r="E29" s="2"/>
      <c r="F29" s="7">
        <f t="shared" si="14"/>
        <v>0</v>
      </c>
      <c r="G29" s="2"/>
      <c r="H29" s="6">
        <v>576</v>
      </c>
      <c r="I29" s="2"/>
      <c r="J29" s="7">
        <f t="shared" si="15"/>
        <v>3.7230596880153538E-3</v>
      </c>
      <c r="K29" s="2"/>
      <c r="L29" s="6">
        <f t="shared" si="16"/>
        <v>-576</v>
      </c>
      <c r="M29" s="2"/>
      <c r="N29" s="7">
        <f t="shared" si="17"/>
        <v>-1</v>
      </c>
      <c r="O29" s="11"/>
      <c r="P29" s="6"/>
      <c r="Q29" s="2"/>
      <c r="R29" s="7">
        <f t="shared" si="18"/>
        <v>0</v>
      </c>
      <c r="S29" s="2"/>
      <c r="T29" s="6">
        <v>1728</v>
      </c>
      <c r="U29" s="2"/>
      <c r="V29" s="7">
        <f t="shared" si="19"/>
        <v>5.3033264900575064E-3</v>
      </c>
      <c r="W29" s="2"/>
      <c r="X29" s="6">
        <f t="shared" si="20"/>
        <v>-1728</v>
      </c>
      <c r="Y29" s="2"/>
      <c r="Z29" s="7">
        <f t="shared" si="21"/>
        <v>-1</v>
      </c>
    </row>
    <row r="30" spans="1:26" s="24" customFormat="1" hidden="1" outlineLevel="2" x14ac:dyDescent="0.25">
      <c r="A30" s="28"/>
      <c r="B30" s="11" t="str">
        <f>CONCATENATE("          ", "6119", " - ", "SICK LEAVE")</f>
        <v xml:space="preserve">          6119 - SICK LEAVE</v>
      </c>
      <c r="C30" s="11"/>
      <c r="D30" s="6"/>
      <c r="E30" s="2"/>
      <c r="F30" s="7">
        <f t="shared" si="14"/>
        <v>0</v>
      </c>
      <c r="G30" s="2"/>
      <c r="H30" s="6">
        <v>690.06</v>
      </c>
      <c r="I30" s="2"/>
      <c r="J30" s="7">
        <f t="shared" si="15"/>
        <v>4.4603030699858943E-3</v>
      </c>
      <c r="K30" s="2"/>
      <c r="L30" s="6">
        <f t="shared" si="16"/>
        <v>-690.06</v>
      </c>
      <c r="M30" s="2"/>
      <c r="N30" s="7">
        <f t="shared" si="17"/>
        <v>-1</v>
      </c>
      <c r="O30" s="11"/>
      <c r="P30" s="6"/>
      <c r="Q30" s="2"/>
      <c r="R30" s="7">
        <f t="shared" si="18"/>
        <v>0</v>
      </c>
      <c r="S30" s="2"/>
      <c r="T30" s="6">
        <v>2070.1799999999998</v>
      </c>
      <c r="U30" s="2"/>
      <c r="V30" s="7">
        <f t="shared" si="19"/>
        <v>6.3534956210574344E-3</v>
      </c>
      <c r="W30" s="2"/>
      <c r="X30" s="6">
        <f t="shared" si="20"/>
        <v>-2070.1799999999998</v>
      </c>
      <c r="Y30" s="2"/>
      <c r="Z30" s="7">
        <f t="shared" si="21"/>
        <v>-1</v>
      </c>
    </row>
    <row r="31" spans="1:26" s="24" customFormat="1" hidden="1" outlineLevel="2" x14ac:dyDescent="0.25">
      <c r="A31" s="28"/>
      <c r="B31" s="11" t="str">
        <f>CONCATENATE("          ", "6156", " - ", "EMPLOYEE MEALS")</f>
        <v xml:space="preserve">          6156 - EMPLOYEE MEALS</v>
      </c>
      <c r="C31" s="11"/>
      <c r="D31" s="6"/>
      <c r="E31" s="2"/>
      <c r="F31" s="7">
        <f t="shared" si="14"/>
        <v>0</v>
      </c>
      <c r="G31" s="2"/>
      <c r="H31" s="6"/>
      <c r="I31" s="2"/>
      <c r="J31" s="7">
        <f t="shared" si="15"/>
        <v>0</v>
      </c>
      <c r="K31" s="2"/>
      <c r="L31" s="6">
        <f t="shared" si="16"/>
        <v>0</v>
      </c>
      <c r="M31" s="2"/>
      <c r="N31" s="7">
        <f t="shared" si="17"/>
        <v>0</v>
      </c>
      <c r="O31" s="11"/>
      <c r="P31" s="6"/>
      <c r="Q31" s="2"/>
      <c r="R31" s="7">
        <f t="shared" si="18"/>
        <v>0</v>
      </c>
      <c r="S31" s="2"/>
      <c r="T31" s="6">
        <v>878.21</v>
      </c>
      <c r="U31" s="2"/>
      <c r="V31" s="7">
        <f t="shared" si="19"/>
        <v>2.6952745120563675E-3</v>
      </c>
      <c r="W31" s="2"/>
      <c r="X31" s="6">
        <f t="shared" si="20"/>
        <v>-878.21</v>
      </c>
      <c r="Y31" s="2"/>
      <c r="Z31" s="7">
        <f t="shared" si="21"/>
        <v>-1</v>
      </c>
    </row>
    <row r="32" spans="1:26" s="29" customFormat="1" outlineLevel="1" collapsed="1" x14ac:dyDescent="0.25">
      <c r="A32" s="27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0</v>
      </c>
      <c r="E32" s="1"/>
      <c r="F32" s="5">
        <f t="shared" ref="F32:F36" si="22">IF(D$12=0,0,D32/D$12)</f>
        <v>0</v>
      </c>
      <c r="G32" s="1"/>
      <c r="H32" s="1">
        <f>SUM(OSRRefH22_1x_0)</f>
        <v>40324.04</v>
      </c>
      <c r="I32" s="1"/>
      <c r="J32" s="5">
        <f t="shared" ref="J32:J36" si="23">IF(H$12=0,0,H32/H$12)</f>
        <v>0.26064029128805322</v>
      </c>
      <c r="K32" s="1"/>
      <c r="L32" s="1">
        <f t="shared" ref="L32:L36" si="24">+D32-H32</f>
        <v>-40324.04</v>
      </c>
      <c r="M32" s="1"/>
      <c r="N32" s="5">
        <f t="shared" ref="N32:N36" si="25">IF(H32=0,0,L32/H32)</f>
        <v>-1</v>
      </c>
      <c r="O32" s="14"/>
      <c r="P32" s="1">
        <f>SUM(OSRRefP22_1x_0)</f>
        <v>0</v>
      </c>
      <c r="Q32" s="1"/>
      <c r="R32" s="5">
        <f t="shared" ref="R32:R36" si="26">IF(P$12=0,0,P32/P$12)</f>
        <v>0</v>
      </c>
      <c r="S32" s="1"/>
      <c r="T32" s="1">
        <f>SUM(OSRRefT22_1x_0)</f>
        <v>107058.69</v>
      </c>
      <c r="U32" s="1"/>
      <c r="V32" s="5">
        <f t="shared" ref="V32:V36" si="27">IF(T$12=0,0,T32/T$12)</f>
        <v>0.3285689737661196</v>
      </c>
      <c r="W32" s="1"/>
      <c r="X32" s="1">
        <f t="shared" ref="X32:X36" si="28">+P32-T32</f>
        <v>-107058.69</v>
      </c>
      <c r="Y32" s="1"/>
      <c r="Z32" s="5">
        <f t="shared" ref="Z32:Z36" si="29">IF(T32=0,0,X32/T32)</f>
        <v>-1</v>
      </c>
    </row>
    <row r="33" spans="1:26" s="24" customFormat="1" hidden="1" outlineLevel="2" x14ac:dyDescent="0.25">
      <c r="A33" s="28"/>
      <c r="B33" s="11" t="str">
        <f>CONCATENATE("          ", "6002", " - ", "STAFF SALARIES")</f>
        <v xml:space="preserve">          6002 - STAFF SALARIES</v>
      </c>
      <c r="C33" s="11"/>
      <c r="D33" s="6"/>
      <c r="E33" s="2"/>
      <c r="F33" s="7">
        <f t="shared" si="22"/>
        <v>0</v>
      </c>
      <c r="G33" s="2"/>
      <c r="H33" s="6">
        <v>12176.57</v>
      </c>
      <c r="I33" s="2"/>
      <c r="J33" s="7">
        <f t="shared" si="23"/>
        <v>7.8705029349474168E-2</v>
      </c>
      <c r="K33" s="2"/>
      <c r="L33" s="6">
        <f t="shared" si="24"/>
        <v>-12176.57</v>
      </c>
      <c r="M33" s="2"/>
      <c r="N33" s="7">
        <f t="shared" si="25"/>
        <v>-1</v>
      </c>
      <c r="O33" s="11"/>
      <c r="P33" s="6"/>
      <c r="Q33" s="2"/>
      <c r="R33" s="7">
        <f t="shared" si="26"/>
        <v>0</v>
      </c>
      <c r="S33" s="2"/>
      <c r="T33" s="6">
        <v>44176.09</v>
      </c>
      <c r="U33" s="2"/>
      <c r="V33" s="7">
        <f t="shared" si="27"/>
        <v>0.13557883583574334</v>
      </c>
      <c r="W33" s="2"/>
      <c r="X33" s="6">
        <f t="shared" si="28"/>
        <v>-44176.09</v>
      </c>
      <c r="Y33" s="2"/>
      <c r="Z33" s="7">
        <f t="shared" si="29"/>
        <v>-1</v>
      </c>
    </row>
    <row r="34" spans="1:26" s="24" customFormat="1" hidden="1" outlineLevel="2" x14ac:dyDescent="0.25">
      <c r="A34" s="28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22"/>
        <v>0</v>
      </c>
      <c r="G34" s="2"/>
      <c r="H34" s="6"/>
      <c r="I34" s="2"/>
      <c r="J34" s="7">
        <f t="shared" si="23"/>
        <v>0</v>
      </c>
      <c r="K34" s="2"/>
      <c r="L34" s="6">
        <f t="shared" si="24"/>
        <v>0</v>
      </c>
      <c r="M34" s="2"/>
      <c r="N34" s="7">
        <f t="shared" si="25"/>
        <v>0</v>
      </c>
      <c r="O34" s="11"/>
      <c r="P34" s="6"/>
      <c r="Q34" s="2"/>
      <c r="R34" s="7">
        <f t="shared" si="26"/>
        <v>0</v>
      </c>
      <c r="S34" s="2"/>
      <c r="T34" s="6">
        <v>45.5</v>
      </c>
      <c r="U34" s="2"/>
      <c r="V34" s="7">
        <f t="shared" si="27"/>
        <v>1.3964198801945401E-4</v>
      </c>
      <c r="W34" s="2"/>
      <c r="X34" s="6">
        <f t="shared" si="28"/>
        <v>-45.5</v>
      </c>
      <c r="Y34" s="2"/>
      <c r="Z34" s="7">
        <f t="shared" si="29"/>
        <v>-1</v>
      </c>
    </row>
    <row r="35" spans="1:26" s="24" customFormat="1" hidden="1" outlineLevel="2" x14ac:dyDescent="0.25">
      <c r="A35" s="28"/>
      <c r="B35" s="11" t="str">
        <f>CONCATENATE("          ", "6007", " - ", "STUDENT HOURLY")</f>
        <v xml:space="preserve">          6007 - STUDENT HOURLY</v>
      </c>
      <c r="C35" s="11"/>
      <c r="D35" s="6"/>
      <c r="E35" s="2"/>
      <c r="F35" s="7">
        <f t="shared" si="22"/>
        <v>0</v>
      </c>
      <c r="G35" s="2"/>
      <c r="H35" s="6">
        <v>26557.47</v>
      </c>
      <c r="I35" s="2"/>
      <c r="J35" s="7">
        <f t="shared" si="23"/>
        <v>0.17165806592478669</v>
      </c>
      <c r="K35" s="2"/>
      <c r="L35" s="6">
        <f t="shared" si="24"/>
        <v>-26557.47</v>
      </c>
      <c r="M35" s="2"/>
      <c r="N35" s="7">
        <f t="shared" si="25"/>
        <v>-1</v>
      </c>
      <c r="O35" s="11"/>
      <c r="P35" s="6"/>
      <c r="Q35" s="2"/>
      <c r="R35" s="7">
        <f t="shared" si="26"/>
        <v>0</v>
      </c>
      <c r="S35" s="2"/>
      <c r="T35" s="6">
        <v>61121.100000000006</v>
      </c>
      <c r="U35" s="2"/>
      <c r="V35" s="7">
        <f t="shared" si="27"/>
        <v>0.18758399810848025</v>
      </c>
      <c r="W35" s="2"/>
      <c r="X35" s="6">
        <f t="shared" si="28"/>
        <v>-61121.100000000006</v>
      </c>
      <c r="Y35" s="2"/>
      <c r="Z35" s="7">
        <f t="shared" si="29"/>
        <v>-1</v>
      </c>
    </row>
    <row r="36" spans="1:26" s="24" customFormat="1" hidden="1" outlineLevel="2" x14ac:dyDescent="0.25">
      <c r="A36" s="28"/>
      <c r="B36" s="11" t="str">
        <f>CONCATENATE("          ", "6008", " - ", "STUDENT HOURLY-FICA EXEMPT")</f>
        <v xml:space="preserve">          6008 - STUDENT HOURLY-FICA EXEMPT</v>
      </c>
      <c r="C36" s="11"/>
      <c r="D36" s="6"/>
      <c r="E36" s="2"/>
      <c r="F36" s="7">
        <f t="shared" si="22"/>
        <v>0</v>
      </c>
      <c r="G36" s="2"/>
      <c r="H36" s="6">
        <v>1590</v>
      </c>
      <c r="I36" s="2"/>
      <c r="J36" s="7">
        <f t="shared" si="23"/>
        <v>1.0277196013792383E-2</v>
      </c>
      <c r="K36" s="2"/>
      <c r="L36" s="6">
        <f t="shared" si="24"/>
        <v>-1590</v>
      </c>
      <c r="M36" s="2"/>
      <c r="N36" s="7">
        <f t="shared" si="25"/>
        <v>-1</v>
      </c>
      <c r="O36" s="11"/>
      <c r="P36" s="6"/>
      <c r="Q36" s="2"/>
      <c r="R36" s="7">
        <f t="shared" si="26"/>
        <v>0</v>
      </c>
      <c r="S36" s="2"/>
      <c r="T36" s="6">
        <v>1716</v>
      </c>
      <c r="U36" s="2"/>
      <c r="V36" s="7">
        <f t="shared" si="27"/>
        <v>5.2664978338765513E-3</v>
      </c>
      <c r="W36" s="2"/>
      <c r="X36" s="6">
        <f t="shared" si="28"/>
        <v>-1716</v>
      </c>
      <c r="Y36" s="2"/>
      <c r="Z36" s="7">
        <f t="shared" si="29"/>
        <v>-1</v>
      </c>
    </row>
    <row r="37" spans="1:26" s="29" customFormat="1" outlineLevel="1" collapsed="1" x14ac:dyDescent="0.25">
      <c r="A37" s="27"/>
      <c r="B37" s="14" t="str">
        <f>CONCATENATE("     ","Advertising/Promo                                 ")</f>
        <v xml:space="preserve">     Advertising/Promo                                 </v>
      </c>
      <c r="C37" s="14"/>
      <c r="D37" s="1">
        <f>SUM(OSRRefD22_2x_0)</f>
        <v>0</v>
      </c>
      <c r="E37" s="1"/>
      <c r="F37" s="5">
        <f t="shared" ref="F37:F45" si="30">IF(D$12=0,0,D37/D$12)</f>
        <v>0</v>
      </c>
      <c r="G37" s="1"/>
      <c r="H37" s="1">
        <f>SUM(OSRRefH22_2x_0)</f>
        <v>36.68</v>
      </c>
      <c r="I37" s="1"/>
      <c r="J37" s="5">
        <f t="shared" ref="J37:J45" si="31">IF(H$12=0,0,H37/H$12)</f>
        <v>2.3708650929931107E-4</v>
      </c>
      <c r="K37" s="1"/>
      <c r="L37" s="1">
        <f t="shared" ref="L37:L45" si="32">+D37-H37</f>
        <v>-36.68</v>
      </c>
      <c r="M37" s="1"/>
      <c r="N37" s="5">
        <f t="shared" ref="N37:N45" si="33">IF(H37=0,0,L37/H37)</f>
        <v>-1</v>
      </c>
      <c r="O37" s="14"/>
      <c r="P37" s="1">
        <f>SUM(OSRRefP22_2x_0)</f>
        <v>0</v>
      </c>
      <c r="Q37" s="1"/>
      <c r="R37" s="5">
        <f t="shared" ref="R37:R45" si="34">IF(P$12=0,0,P37/P$12)</f>
        <v>0</v>
      </c>
      <c r="S37" s="1"/>
      <c r="T37" s="1">
        <f>SUM(OSRRefT22_2x_0)</f>
        <v>464.94</v>
      </c>
      <c r="U37" s="1"/>
      <c r="V37" s="5">
        <f t="shared" ref="V37:V45" si="35">IF(T$12=0,0,T37/T$12)</f>
        <v>1.4269262837310977E-3</v>
      </c>
      <c r="W37" s="1"/>
      <c r="X37" s="1">
        <f t="shared" ref="X37:X45" si="36">+P37-T37</f>
        <v>-464.94</v>
      </c>
      <c r="Y37" s="1"/>
      <c r="Z37" s="5">
        <f t="shared" ref="Z37:Z45" si="37">IF(T37=0,0,X37/T37)</f>
        <v>-1</v>
      </c>
    </row>
    <row r="38" spans="1:26" s="24" customFormat="1" hidden="1" outlineLevel="2" x14ac:dyDescent="0.25">
      <c r="A38" s="28"/>
      <c r="B38" s="11" t="str">
        <f>CONCATENATE("          ", "6362", " - ", "ADVERTISING EXPENSE")</f>
        <v xml:space="preserve">          6362 - ADVERTISING EXPENSE</v>
      </c>
      <c r="C38" s="11"/>
      <c r="D38" s="6"/>
      <c r="E38" s="2"/>
      <c r="F38" s="7">
        <f t="shared" si="30"/>
        <v>0</v>
      </c>
      <c r="G38" s="2"/>
      <c r="H38" s="6">
        <v>36.68</v>
      </c>
      <c r="I38" s="2"/>
      <c r="J38" s="7">
        <f t="shared" si="31"/>
        <v>2.3708650929931107E-4</v>
      </c>
      <c r="K38" s="2"/>
      <c r="L38" s="6">
        <f t="shared" si="32"/>
        <v>-36.68</v>
      </c>
      <c r="M38" s="2"/>
      <c r="N38" s="7">
        <f t="shared" si="33"/>
        <v>-1</v>
      </c>
      <c r="O38" s="11"/>
      <c r="P38" s="6"/>
      <c r="Q38" s="2"/>
      <c r="R38" s="7">
        <f t="shared" si="34"/>
        <v>0</v>
      </c>
      <c r="S38" s="2"/>
      <c r="T38" s="6">
        <v>464.94</v>
      </c>
      <c r="U38" s="2"/>
      <c r="V38" s="7">
        <f t="shared" si="35"/>
        <v>1.4269262837310977E-3</v>
      </c>
      <c r="W38" s="2"/>
      <c r="X38" s="6">
        <f t="shared" si="36"/>
        <v>-464.94</v>
      </c>
      <c r="Y38" s="2"/>
      <c r="Z38" s="7">
        <f t="shared" si="37"/>
        <v>-1</v>
      </c>
    </row>
    <row r="39" spans="1:26" s="29" customFormat="1" outlineLevel="1" collapsed="1" x14ac:dyDescent="0.25">
      <c r="A39" s="27"/>
      <c r="B39" s="14" t="str">
        <f>CONCATENATE("     ","Bad Debts/Over/Short                              ")</f>
        <v xml:space="preserve">     Bad Debts/Over/Short                              </v>
      </c>
      <c r="C39" s="14"/>
      <c r="D39" s="1">
        <f>SUM(OSRRefD22_3x_0)</f>
        <v>0</v>
      </c>
      <c r="E39" s="1"/>
      <c r="F39" s="5">
        <f t="shared" si="30"/>
        <v>0</v>
      </c>
      <c r="G39" s="1"/>
      <c r="H39" s="1">
        <f>SUM(OSRRefH22_3x_0)</f>
        <v>1.7</v>
      </c>
      <c r="I39" s="1"/>
      <c r="J39" s="5">
        <f t="shared" si="31"/>
        <v>1.0988196995878649E-5</v>
      </c>
      <c r="K39" s="1"/>
      <c r="L39" s="1">
        <f t="shared" si="32"/>
        <v>-1.7</v>
      </c>
      <c r="M39" s="1"/>
      <c r="N39" s="5">
        <f t="shared" si="33"/>
        <v>-1</v>
      </c>
      <c r="O39" s="14"/>
      <c r="P39" s="1">
        <f>SUM(OSRRefP22_3x_0)</f>
        <v>0</v>
      </c>
      <c r="Q39" s="1"/>
      <c r="R39" s="5">
        <f t="shared" si="34"/>
        <v>0</v>
      </c>
      <c r="S39" s="1"/>
      <c r="T39" s="1">
        <f>SUM(OSRRefT22_3x_0)</f>
        <v>-5.94</v>
      </c>
      <c r="U39" s="1"/>
      <c r="V39" s="5">
        <f t="shared" si="35"/>
        <v>-1.8230184809572678E-5</v>
      </c>
      <c r="W39" s="1"/>
      <c r="X39" s="1">
        <f t="shared" si="36"/>
        <v>5.94</v>
      </c>
      <c r="Y39" s="1"/>
      <c r="Z39" s="5">
        <f t="shared" si="37"/>
        <v>-1</v>
      </c>
    </row>
    <row r="40" spans="1:26" s="24" customFormat="1" hidden="1" outlineLevel="2" x14ac:dyDescent="0.25">
      <c r="A40" s="28"/>
      <c r="B40" s="11" t="str">
        <f>CONCATENATE("          ", "6272", " - ", "CASH (OVER/SHORT)")</f>
        <v xml:space="preserve">          6272 - CASH (OVER/SHORT)</v>
      </c>
      <c r="C40" s="11"/>
      <c r="D40" s="6"/>
      <c r="E40" s="2"/>
      <c r="F40" s="7">
        <f t="shared" si="30"/>
        <v>0</v>
      </c>
      <c r="G40" s="2"/>
      <c r="H40" s="6">
        <v>1.7</v>
      </c>
      <c r="I40" s="2"/>
      <c r="J40" s="7">
        <f t="shared" si="31"/>
        <v>1.0988196995878649E-5</v>
      </c>
      <c r="K40" s="2"/>
      <c r="L40" s="6">
        <f t="shared" si="32"/>
        <v>-1.7</v>
      </c>
      <c r="M40" s="2"/>
      <c r="N40" s="7">
        <f t="shared" si="33"/>
        <v>-1</v>
      </c>
      <c r="O40" s="11"/>
      <c r="P40" s="6"/>
      <c r="Q40" s="2"/>
      <c r="R40" s="7">
        <f t="shared" si="34"/>
        <v>0</v>
      </c>
      <c r="S40" s="2"/>
      <c r="T40" s="6">
        <v>-5.94</v>
      </c>
      <c r="U40" s="2"/>
      <c r="V40" s="7">
        <f t="shared" si="35"/>
        <v>-1.8230184809572678E-5</v>
      </c>
      <c r="W40" s="2"/>
      <c r="X40" s="6">
        <f t="shared" si="36"/>
        <v>5.94</v>
      </c>
      <c r="Y40" s="2"/>
      <c r="Z40" s="7">
        <f t="shared" si="37"/>
        <v>-1</v>
      </c>
    </row>
    <row r="41" spans="1:26" s="29" customFormat="1" outlineLevel="1" collapsed="1" x14ac:dyDescent="0.25">
      <c r="A41" s="27"/>
      <c r="B41" s="14" t="str">
        <f>CONCATENATE("     ","Bank/card Fees                                    ")</f>
        <v xml:space="preserve">     Bank/card Fees                                    </v>
      </c>
      <c r="C41" s="14"/>
      <c r="D41" s="1">
        <f>SUM(OSRRefD22_4x_0)</f>
        <v>0</v>
      </c>
      <c r="E41" s="1"/>
      <c r="F41" s="5">
        <f t="shared" si="30"/>
        <v>0</v>
      </c>
      <c r="G41" s="1"/>
      <c r="H41" s="1">
        <f>SUM(OSRRefH22_4x_0)</f>
        <v>5237.16</v>
      </c>
      <c r="I41" s="1"/>
      <c r="J41" s="5">
        <f t="shared" si="31"/>
        <v>3.3851144575844601E-2</v>
      </c>
      <c r="K41" s="1"/>
      <c r="L41" s="1">
        <f t="shared" si="32"/>
        <v>-5237.16</v>
      </c>
      <c r="M41" s="1"/>
      <c r="N41" s="5">
        <f t="shared" si="33"/>
        <v>-1</v>
      </c>
      <c r="O41" s="14"/>
      <c r="P41" s="1">
        <f>SUM(OSRRefP22_4x_0)</f>
        <v>0</v>
      </c>
      <c r="Q41" s="1"/>
      <c r="R41" s="5">
        <f t="shared" si="34"/>
        <v>0</v>
      </c>
      <c r="S41" s="1"/>
      <c r="T41" s="1">
        <f>SUM(OSRRefT22_4x_0)</f>
        <v>9641.02</v>
      </c>
      <c r="U41" s="1"/>
      <c r="V41" s="5">
        <f t="shared" si="35"/>
        <v>2.9588817567809154E-2</v>
      </c>
      <c r="W41" s="1"/>
      <c r="X41" s="1">
        <f t="shared" si="36"/>
        <v>-9641.02</v>
      </c>
      <c r="Y41" s="1"/>
      <c r="Z41" s="5">
        <f t="shared" si="37"/>
        <v>-1</v>
      </c>
    </row>
    <row r="42" spans="1:26" s="24" customFormat="1" hidden="1" outlineLevel="2" x14ac:dyDescent="0.25">
      <c r="A42" s="28"/>
      <c r="B42" s="11" t="str">
        <f>CONCATENATE("          ", "6381", " - ", "BANK/CREDIT CARD FEES")</f>
        <v xml:space="preserve">          6381 - BANK/CREDIT CARD FEES</v>
      </c>
      <c r="C42" s="11"/>
      <c r="D42" s="6"/>
      <c r="E42" s="2"/>
      <c r="F42" s="7">
        <f t="shared" si="30"/>
        <v>0</v>
      </c>
      <c r="G42" s="2"/>
      <c r="H42" s="6">
        <v>5237.16</v>
      </c>
      <c r="I42" s="2"/>
      <c r="J42" s="7">
        <f t="shared" si="31"/>
        <v>3.3851144575844601E-2</v>
      </c>
      <c r="K42" s="2"/>
      <c r="L42" s="6">
        <f t="shared" si="32"/>
        <v>-5237.16</v>
      </c>
      <c r="M42" s="2"/>
      <c r="N42" s="7">
        <f t="shared" si="33"/>
        <v>-1</v>
      </c>
      <c r="O42" s="11"/>
      <c r="P42" s="6"/>
      <c r="Q42" s="2"/>
      <c r="R42" s="7">
        <f t="shared" si="34"/>
        <v>0</v>
      </c>
      <c r="S42" s="2"/>
      <c r="T42" s="6">
        <v>9641.02</v>
      </c>
      <c r="U42" s="2"/>
      <c r="V42" s="7">
        <f t="shared" si="35"/>
        <v>2.9588817567809154E-2</v>
      </c>
      <c r="W42" s="2"/>
      <c r="X42" s="6">
        <f t="shared" si="36"/>
        <v>-9641.02</v>
      </c>
      <c r="Y42" s="2"/>
      <c r="Z42" s="7">
        <f t="shared" si="37"/>
        <v>-1</v>
      </c>
    </row>
    <row r="43" spans="1:26" s="29" customFormat="1" outlineLevel="1" collapsed="1" x14ac:dyDescent="0.25">
      <c r="A43" s="27"/>
      <c r="B43" s="14" t="str">
        <f>CONCATENATE("     ","Depreciation                                      ")</f>
        <v xml:space="preserve">     Depreciation                                      </v>
      </c>
      <c r="C43" s="14"/>
      <c r="D43" s="1">
        <f>SUM(OSRRefD22_5x_0)</f>
        <v>5233.01</v>
      </c>
      <c r="E43" s="1"/>
      <c r="F43" s="5">
        <f t="shared" si="30"/>
        <v>0</v>
      </c>
      <c r="G43" s="1"/>
      <c r="H43" s="1">
        <f>SUM(OSRRefH22_5x_0)</f>
        <v>5612.57</v>
      </c>
      <c r="I43" s="1"/>
      <c r="J43" s="5">
        <f t="shared" si="31"/>
        <v>3.627766165479919E-2</v>
      </c>
      <c r="K43" s="1"/>
      <c r="L43" s="1">
        <f t="shared" si="32"/>
        <v>-379.55999999999949</v>
      </c>
      <c r="M43" s="1"/>
      <c r="N43" s="5">
        <f t="shared" si="33"/>
        <v>-6.7626773474540103E-2</v>
      </c>
      <c r="O43" s="14"/>
      <c r="P43" s="1">
        <f>SUM(OSRRefP22_5x_0)</f>
        <v>21223.16</v>
      </c>
      <c r="Q43" s="1"/>
      <c r="R43" s="5">
        <f t="shared" si="34"/>
        <v>0</v>
      </c>
      <c r="S43" s="1"/>
      <c r="T43" s="1">
        <f>SUM(OSRRefT22_5x_0)</f>
        <v>22450.28</v>
      </c>
      <c r="U43" s="1"/>
      <c r="V43" s="5">
        <f t="shared" si="35"/>
        <v>6.8901136940514016E-2</v>
      </c>
      <c r="W43" s="1"/>
      <c r="X43" s="1">
        <f t="shared" si="36"/>
        <v>-1227.119999999999</v>
      </c>
      <c r="Y43" s="1"/>
      <c r="Z43" s="5">
        <f t="shared" si="37"/>
        <v>-5.4659451908840292E-2</v>
      </c>
    </row>
    <row r="44" spans="1:26" s="24" customFormat="1" hidden="1" outlineLevel="2" x14ac:dyDescent="0.25">
      <c r="A44" s="28"/>
      <c r="B44" s="11" t="str">
        <f>CONCATENATE("          ", "6321", " - ", "BUILDING DEPRECIATION")</f>
        <v xml:space="preserve">          6321 - BUILDING DEPRECIATION</v>
      </c>
      <c r="C44" s="11"/>
      <c r="D44" s="6">
        <v>4626.5</v>
      </c>
      <c r="E44" s="2"/>
      <c r="F44" s="7">
        <f t="shared" si="30"/>
        <v>0</v>
      </c>
      <c r="G44" s="2"/>
      <c r="H44" s="6">
        <v>4626.5</v>
      </c>
      <c r="I44" s="2"/>
      <c r="J44" s="7">
        <f t="shared" si="31"/>
        <v>2.990405494201916E-2</v>
      </c>
      <c r="K44" s="2"/>
      <c r="L44" s="6">
        <f t="shared" si="32"/>
        <v>0</v>
      </c>
      <c r="M44" s="2"/>
      <c r="N44" s="7">
        <f t="shared" si="33"/>
        <v>0</v>
      </c>
      <c r="O44" s="11"/>
      <c r="P44" s="6">
        <v>18506</v>
      </c>
      <c r="Q44" s="2"/>
      <c r="R44" s="7">
        <f t="shared" si="34"/>
        <v>0</v>
      </c>
      <c r="S44" s="2"/>
      <c r="T44" s="6">
        <v>18506</v>
      </c>
      <c r="U44" s="2"/>
      <c r="V44" s="7">
        <f t="shared" si="35"/>
        <v>5.6795925940395953E-2</v>
      </c>
      <c r="W44" s="2"/>
      <c r="X44" s="6">
        <f t="shared" si="36"/>
        <v>0</v>
      </c>
      <c r="Y44" s="2"/>
      <c r="Z44" s="7">
        <f t="shared" si="37"/>
        <v>0</v>
      </c>
    </row>
    <row r="45" spans="1:26" s="24" customFormat="1" hidden="1" outlineLevel="2" x14ac:dyDescent="0.25">
      <c r="A45" s="28"/>
      <c r="B45" s="11" t="str">
        <f>CONCATENATE("          ", "6322", " - ", "EQUIPMENT DEPRECIATION EXPENSE")</f>
        <v xml:space="preserve">          6322 - EQUIPMENT DEPRECIATION EXPENSE</v>
      </c>
      <c r="C45" s="11"/>
      <c r="D45" s="6">
        <v>606.51</v>
      </c>
      <c r="E45" s="2"/>
      <c r="F45" s="7">
        <f t="shared" si="30"/>
        <v>0</v>
      </c>
      <c r="G45" s="2"/>
      <c r="H45" s="6">
        <v>986.07</v>
      </c>
      <c r="I45" s="2"/>
      <c r="J45" s="7">
        <f t="shared" si="31"/>
        <v>6.3736067127800351E-3</v>
      </c>
      <c r="K45" s="2"/>
      <c r="L45" s="6">
        <f t="shared" si="32"/>
        <v>-379.56000000000006</v>
      </c>
      <c r="M45" s="2"/>
      <c r="N45" s="7">
        <f t="shared" si="33"/>
        <v>-0.38492196294380726</v>
      </c>
      <c r="O45" s="11"/>
      <c r="P45" s="6">
        <v>2717.16</v>
      </c>
      <c r="Q45" s="2"/>
      <c r="R45" s="7">
        <f t="shared" si="34"/>
        <v>0</v>
      </c>
      <c r="S45" s="2"/>
      <c r="T45" s="6">
        <v>3944.28</v>
      </c>
      <c r="U45" s="2"/>
      <c r="V45" s="7">
        <f t="shared" si="35"/>
        <v>1.2105211000118068E-2</v>
      </c>
      <c r="W45" s="2"/>
      <c r="X45" s="6">
        <f t="shared" si="36"/>
        <v>-1227.1200000000003</v>
      </c>
      <c r="Y45" s="2"/>
      <c r="Z45" s="7">
        <f t="shared" si="37"/>
        <v>-0.31111381544920752</v>
      </c>
    </row>
    <row r="46" spans="1:26" s="29" customFormat="1" outlineLevel="1" collapsed="1" x14ac:dyDescent="0.25">
      <c r="A46" s="27"/>
      <c r="B46" s="14" t="str">
        <f>CONCATENATE("     ","Equipment Rental                                  ")</f>
        <v xml:space="preserve">     Equipment Rental                                  </v>
      </c>
      <c r="C46" s="14"/>
      <c r="D46" s="1">
        <f>SUM(OSRRefD22_6x_0)</f>
        <v>0</v>
      </c>
      <c r="E46" s="1"/>
      <c r="F46" s="5">
        <f t="shared" ref="F46:F54" si="38">IF(D$12=0,0,D46/D$12)</f>
        <v>0</v>
      </c>
      <c r="G46" s="1"/>
      <c r="H46" s="1">
        <f>SUM(OSRRefH22_6x_0)</f>
        <v>448.34</v>
      </c>
      <c r="I46" s="1"/>
      <c r="J46" s="5">
        <f t="shared" ref="J46:J54" si="39">IF(H$12=0,0,H46/H$12)</f>
        <v>2.8979107300777843E-3</v>
      </c>
      <c r="K46" s="1"/>
      <c r="L46" s="1">
        <f t="shared" ref="L46:L54" si="40">+D46-H46</f>
        <v>-448.34</v>
      </c>
      <c r="M46" s="1"/>
      <c r="N46" s="5">
        <f t="shared" ref="N46:N54" si="41">IF(H46=0,0,L46/H46)</f>
        <v>-1</v>
      </c>
      <c r="O46" s="14"/>
      <c r="P46" s="1">
        <f>SUM(OSRRefP22_6x_0)</f>
        <v>96.3</v>
      </c>
      <c r="Q46" s="1"/>
      <c r="R46" s="5">
        <f t="shared" ref="R46:R54" si="42">IF(P$12=0,0,P46/P$12)</f>
        <v>0</v>
      </c>
      <c r="S46" s="1"/>
      <c r="T46" s="1">
        <f>SUM(OSRRefT22_6x_0)</f>
        <v>1608.28</v>
      </c>
      <c r="U46" s="1"/>
      <c r="V46" s="5">
        <f t="shared" ref="V46:V54" si="43">IF(T$12=0,0,T46/T$12)</f>
        <v>4.9358992635588463E-3</v>
      </c>
      <c r="W46" s="1"/>
      <c r="X46" s="1">
        <f t="shared" ref="X46:X54" si="44">+P46-T46</f>
        <v>-1511.98</v>
      </c>
      <c r="Y46" s="1"/>
      <c r="Z46" s="5">
        <f t="shared" ref="Z46:Z54" si="45">IF(T46=0,0,X46/T46)</f>
        <v>-0.94012236675205818</v>
      </c>
    </row>
    <row r="47" spans="1:26" s="24" customFormat="1" hidden="1" outlineLevel="2" x14ac:dyDescent="0.25">
      <c r="A47" s="28"/>
      <c r="B47" s="11" t="str">
        <f>CONCATENATE("          ", "6351", " - ", "EQUIPMENT RENTAL")</f>
        <v xml:space="preserve">          6351 - EQUIPMENT RENTAL</v>
      </c>
      <c r="C47" s="11"/>
      <c r="D47" s="6"/>
      <c r="E47" s="2"/>
      <c r="F47" s="7">
        <f t="shared" si="38"/>
        <v>0</v>
      </c>
      <c r="G47" s="2"/>
      <c r="H47" s="6">
        <v>448.34</v>
      </c>
      <c r="I47" s="2"/>
      <c r="J47" s="7">
        <f t="shared" si="39"/>
        <v>2.8979107300777843E-3</v>
      </c>
      <c r="K47" s="2"/>
      <c r="L47" s="6">
        <f t="shared" si="40"/>
        <v>-448.34</v>
      </c>
      <c r="M47" s="2"/>
      <c r="N47" s="7">
        <f t="shared" si="41"/>
        <v>-1</v>
      </c>
      <c r="O47" s="11"/>
      <c r="P47" s="6">
        <v>96.3</v>
      </c>
      <c r="Q47" s="2"/>
      <c r="R47" s="7">
        <f t="shared" si="42"/>
        <v>0</v>
      </c>
      <c r="S47" s="2"/>
      <c r="T47" s="6">
        <v>1608.28</v>
      </c>
      <c r="U47" s="2"/>
      <c r="V47" s="7">
        <f t="shared" si="43"/>
        <v>4.9358992635588463E-3</v>
      </c>
      <c r="W47" s="2"/>
      <c r="X47" s="6">
        <f t="shared" si="44"/>
        <v>-1511.98</v>
      </c>
      <c r="Y47" s="2"/>
      <c r="Z47" s="7">
        <f t="shared" si="45"/>
        <v>-0.94012236675205818</v>
      </c>
    </row>
    <row r="48" spans="1:26" s="29" customFormat="1" outlineLevel="1" collapsed="1" x14ac:dyDescent="0.25">
      <c r="A48" s="27"/>
      <c r="B48" s="14" t="str">
        <f>CONCATENATE("     ","General                                           ")</f>
        <v xml:space="preserve">     General                                           </v>
      </c>
      <c r="C48" s="14"/>
      <c r="D48" s="1">
        <f>SUM(OSRRefD22_7x_0)</f>
        <v>0</v>
      </c>
      <c r="E48" s="1"/>
      <c r="F48" s="5">
        <f t="shared" si="38"/>
        <v>0</v>
      </c>
      <c r="G48" s="1"/>
      <c r="H48" s="1">
        <f>SUM(OSRRefH22_7x_0)</f>
        <v>1502.95</v>
      </c>
      <c r="I48" s="1"/>
      <c r="J48" s="5">
        <f t="shared" si="39"/>
        <v>9.7145356911504804E-3</v>
      </c>
      <c r="K48" s="1"/>
      <c r="L48" s="1">
        <f t="shared" si="40"/>
        <v>-1502.95</v>
      </c>
      <c r="M48" s="1"/>
      <c r="N48" s="5">
        <f t="shared" si="41"/>
        <v>-1</v>
      </c>
      <c r="O48" s="14"/>
      <c r="P48" s="1">
        <f>SUM(OSRRefP22_7x_0)</f>
        <v>0</v>
      </c>
      <c r="Q48" s="1"/>
      <c r="R48" s="5">
        <f t="shared" si="42"/>
        <v>0</v>
      </c>
      <c r="S48" s="1"/>
      <c r="T48" s="1">
        <f>SUM(OSRRefT22_7x_0)</f>
        <v>4687.82</v>
      </c>
      <c r="U48" s="1"/>
      <c r="V48" s="5">
        <f t="shared" si="43"/>
        <v>1.4387175918183667E-2</v>
      </c>
      <c r="W48" s="1"/>
      <c r="X48" s="1">
        <f t="shared" si="44"/>
        <v>-4687.82</v>
      </c>
      <c r="Y48" s="1"/>
      <c r="Z48" s="5">
        <f t="shared" si="45"/>
        <v>-1</v>
      </c>
    </row>
    <row r="49" spans="1:26" s="24" customFormat="1" hidden="1" outlineLevel="2" x14ac:dyDescent="0.25">
      <c r="A49" s="28"/>
      <c r="B49" s="11" t="str">
        <f>CONCATENATE("          ", "6279", " - ", "GENERAL EXPENSE")</f>
        <v xml:space="preserve">          6279 - GENERAL EXPENSE</v>
      </c>
      <c r="C49" s="11"/>
      <c r="D49" s="6"/>
      <c r="E49" s="2"/>
      <c r="F49" s="7">
        <f t="shared" si="38"/>
        <v>0</v>
      </c>
      <c r="G49" s="2"/>
      <c r="H49" s="6">
        <v>1502.95</v>
      </c>
      <c r="I49" s="2"/>
      <c r="J49" s="7">
        <f t="shared" si="39"/>
        <v>9.7145356911504804E-3</v>
      </c>
      <c r="K49" s="2"/>
      <c r="L49" s="6">
        <f t="shared" si="40"/>
        <v>-1502.95</v>
      </c>
      <c r="M49" s="2"/>
      <c r="N49" s="7">
        <f t="shared" si="41"/>
        <v>-1</v>
      </c>
      <c r="O49" s="11"/>
      <c r="P49" s="6">
        <v>0</v>
      </c>
      <c r="Q49" s="2"/>
      <c r="R49" s="7">
        <f t="shared" si="42"/>
        <v>0</v>
      </c>
      <c r="S49" s="2"/>
      <c r="T49" s="6">
        <v>4687.82</v>
      </c>
      <c r="U49" s="2"/>
      <c r="V49" s="7">
        <f t="shared" si="43"/>
        <v>1.4387175918183667E-2</v>
      </c>
      <c r="W49" s="2"/>
      <c r="X49" s="6">
        <f t="shared" si="44"/>
        <v>-4687.82</v>
      </c>
      <c r="Y49" s="2"/>
      <c r="Z49" s="7">
        <f t="shared" si="45"/>
        <v>-1</v>
      </c>
    </row>
    <row r="50" spans="1:26" s="29" customFormat="1" outlineLevel="1" collapsed="1" x14ac:dyDescent="0.25">
      <c r="A50" s="27"/>
      <c r="B50" s="14" t="str">
        <f>CONCATENATE("     ","Rent                                              ")</f>
        <v xml:space="preserve">     Rent                                              </v>
      </c>
      <c r="C50" s="14"/>
      <c r="D50" s="1">
        <f>SUM(OSRRefD22_8x_0)</f>
        <v>0</v>
      </c>
      <c r="E50" s="1"/>
      <c r="F50" s="5">
        <f t="shared" si="38"/>
        <v>0</v>
      </c>
      <c r="G50" s="1"/>
      <c r="H50" s="1">
        <f>SUM(OSRRefH22_8x_0)</f>
        <v>1850</v>
      </c>
      <c r="I50" s="1"/>
      <c r="J50" s="5">
        <f t="shared" si="39"/>
        <v>1.1957743789632647E-2</v>
      </c>
      <c r="K50" s="1"/>
      <c r="L50" s="1">
        <f t="shared" si="40"/>
        <v>-1850</v>
      </c>
      <c r="M50" s="1"/>
      <c r="N50" s="5">
        <f t="shared" si="41"/>
        <v>-1</v>
      </c>
      <c r="O50" s="14"/>
      <c r="P50" s="1">
        <f>SUM(OSRRefP22_8x_0)</f>
        <v>5550</v>
      </c>
      <c r="Q50" s="1"/>
      <c r="R50" s="5">
        <f t="shared" si="42"/>
        <v>0</v>
      </c>
      <c r="S50" s="1"/>
      <c r="T50" s="1">
        <f>SUM(OSRRefT22_8x_0)</f>
        <v>7400</v>
      </c>
      <c r="U50" s="1"/>
      <c r="V50" s="5">
        <f t="shared" si="43"/>
        <v>2.2711004644922192E-2</v>
      </c>
      <c r="W50" s="1"/>
      <c r="X50" s="1">
        <f t="shared" si="44"/>
        <v>-1850</v>
      </c>
      <c r="Y50" s="1"/>
      <c r="Z50" s="5">
        <f t="shared" si="45"/>
        <v>-0.25</v>
      </c>
    </row>
    <row r="51" spans="1:26" s="24" customFormat="1" hidden="1" outlineLevel="2" x14ac:dyDescent="0.25">
      <c r="A51" s="28"/>
      <c r="B51" s="11" t="str">
        <f>CONCATENATE("          ", "6273", " - ", "RENT")</f>
        <v xml:space="preserve">          6273 - RENT</v>
      </c>
      <c r="C51" s="11"/>
      <c r="D51" s="6"/>
      <c r="E51" s="2"/>
      <c r="F51" s="7">
        <f t="shared" si="38"/>
        <v>0</v>
      </c>
      <c r="G51" s="2"/>
      <c r="H51" s="6">
        <v>1850</v>
      </c>
      <c r="I51" s="2"/>
      <c r="J51" s="7">
        <f t="shared" si="39"/>
        <v>1.1957743789632647E-2</v>
      </c>
      <c r="K51" s="2"/>
      <c r="L51" s="6">
        <f t="shared" si="40"/>
        <v>-1850</v>
      </c>
      <c r="M51" s="2"/>
      <c r="N51" s="7">
        <f t="shared" si="41"/>
        <v>-1</v>
      </c>
      <c r="O51" s="11"/>
      <c r="P51" s="6">
        <v>5550</v>
      </c>
      <c r="Q51" s="2"/>
      <c r="R51" s="7">
        <f t="shared" si="42"/>
        <v>0</v>
      </c>
      <c r="S51" s="2"/>
      <c r="T51" s="6">
        <v>7400</v>
      </c>
      <c r="U51" s="2"/>
      <c r="V51" s="7">
        <f t="shared" si="43"/>
        <v>2.2711004644922192E-2</v>
      </c>
      <c r="W51" s="2"/>
      <c r="X51" s="6">
        <f t="shared" si="44"/>
        <v>-1850</v>
      </c>
      <c r="Y51" s="2"/>
      <c r="Z51" s="7">
        <f t="shared" si="45"/>
        <v>-0.25</v>
      </c>
    </row>
    <row r="52" spans="1:26" s="29" customFormat="1" outlineLevel="1" collapsed="1" x14ac:dyDescent="0.25">
      <c r="A52" s="27"/>
      <c r="B52" s="14" t="str">
        <f>CONCATENATE("     ","Repair and Maintenance                            ")</f>
        <v xml:space="preserve">     Repair and Maintenance                            </v>
      </c>
      <c r="C52" s="14"/>
      <c r="D52" s="1">
        <f>SUM(OSRRefD22_9x_0)</f>
        <v>0</v>
      </c>
      <c r="E52" s="1"/>
      <c r="F52" s="5">
        <f t="shared" si="38"/>
        <v>0</v>
      </c>
      <c r="G52" s="1"/>
      <c r="H52" s="1">
        <f>SUM(OSRRefH22_9x_0)</f>
        <v>2497.9499999999998</v>
      </c>
      <c r="I52" s="1"/>
      <c r="J52" s="5">
        <f t="shared" si="39"/>
        <v>1.6145862756385333E-2</v>
      </c>
      <c r="K52" s="1"/>
      <c r="L52" s="1">
        <f t="shared" si="40"/>
        <v>-2497.9499999999998</v>
      </c>
      <c r="M52" s="1"/>
      <c r="N52" s="5">
        <f t="shared" si="41"/>
        <v>-1</v>
      </c>
      <c r="O52" s="14"/>
      <c r="P52" s="1">
        <f>SUM(OSRRefP22_9x_0)</f>
        <v>692.95</v>
      </c>
      <c r="Q52" s="1"/>
      <c r="R52" s="5">
        <f t="shared" si="42"/>
        <v>0</v>
      </c>
      <c r="S52" s="1"/>
      <c r="T52" s="1">
        <f>SUM(OSRRefT22_9x_0)</f>
        <v>13104.67</v>
      </c>
      <c r="U52" s="1"/>
      <c r="V52" s="5">
        <f t="shared" si="43"/>
        <v>4.0218948816239525E-2</v>
      </c>
      <c r="W52" s="1"/>
      <c r="X52" s="1">
        <f t="shared" si="44"/>
        <v>-12411.72</v>
      </c>
      <c r="Y52" s="1"/>
      <c r="Z52" s="5">
        <f t="shared" si="45"/>
        <v>-0.94712190387091011</v>
      </c>
    </row>
    <row r="53" spans="1:26" s="24" customFormat="1" hidden="1" outlineLevel="2" x14ac:dyDescent="0.25">
      <c r="A53" s="28"/>
      <c r="B53" s="11" t="str">
        <f>CONCATENATE("          ", "6373", " - ", "MAINTENANCE CONTRACTS")</f>
        <v xml:space="preserve">          6373 - MAINTENANCE CONTRACTS</v>
      </c>
      <c r="C53" s="11"/>
      <c r="D53" s="6"/>
      <c r="E53" s="2"/>
      <c r="F53" s="7">
        <f t="shared" si="38"/>
        <v>0</v>
      </c>
      <c r="G53" s="2"/>
      <c r="H53" s="6">
        <v>1856.06</v>
      </c>
      <c r="I53" s="2"/>
      <c r="J53" s="7">
        <f t="shared" si="39"/>
        <v>1.1996913480100308E-2</v>
      </c>
      <c r="K53" s="2"/>
      <c r="L53" s="6">
        <f t="shared" si="40"/>
        <v>-1856.06</v>
      </c>
      <c r="M53" s="2"/>
      <c r="N53" s="7">
        <f t="shared" si="41"/>
        <v>-1</v>
      </c>
      <c r="O53" s="11"/>
      <c r="P53" s="6">
        <v>150.94999999999999</v>
      </c>
      <c r="Q53" s="2"/>
      <c r="R53" s="7">
        <f t="shared" si="42"/>
        <v>0</v>
      </c>
      <c r="S53" s="2"/>
      <c r="T53" s="6">
        <v>7252.06</v>
      </c>
      <c r="U53" s="2"/>
      <c r="V53" s="7">
        <f t="shared" si="43"/>
        <v>2.2256968695304653E-2</v>
      </c>
      <c r="W53" s="2"/>
      <c r="X53" s="6">
        <f t="shared" si="44"/>
        <v>-7101.1100000000006</v>
      </c>
      <c r="Y53" s="2"/>
      <c r="Z53" s="7">
        <f t="shared" si="45"/>
        <v>-0.97918522461204127</v>
      </c>
    </row>
    <row r="54" spans="1:26" s="24" customFormat="1" hidden="1" outlineLevel="2" x14ac:dyDescent="0.25">
      <c r="A54" s="28"/>
      <c r="B54" s="11" t="str">
        <f>CONCATENATE("          ", "6375", " - ", "OUTSIDE REPAIRS &amp; MAINTENANCE")</f>
        <v xml:space="preserve">          6375 - OUTSIDE REPAIRS &amp; MAINTENANCE</v>
      </c>
      <c r="C54" s="11"/>
      <c r="D54" s="6"/>
      <c r="E54" s="2"/>
      <c r="F54" s="7">
        <f t="shared" si="38"/>
        <v>0</v>
      </c>
      <c r="G54" s="2"/>
      <c r="H54" s="6">
        <v>641.89</v>
      </c>
      <c r="I54" s="2"/>
      <c r="J54" s="7">
        <f t="shared" si="39"/>
        <v>4.1489492762850268E-3</v>
      </c>
      <c r="K54" s="2"/>
      <c r="L54" s="6">
        <f t="shared" si="40"/>
        <v>-641.89</v>
      </c>
      <c r="M54" s="2"/>
      <c r="N54" s="7">
        <f t="shared" si="41"/>
        <v>-1</v>
      </c>
      <c r="O54" s="11"/>
      <c r="P54" s="6">
        <v>542</v>
      </c>
      <c r="Q54" s="2"/>
      <c r="R54" s="7">
        <f t="shared" si="42"/>
        <v>0</v>
      </c>
      <c r="S54" s="2"/>
      <c r="T54" s="6">
        <v>5852.61</v>
      </c>
      <c r="U54" s="2"/>
      <c r="V54" s="7">
        <f t="shared" si="43"/>
        <v>1.7961980120934872E-2</v>
      </c>
      <c r="W54" s="2"/>
      <c r="X54" s="6">
        <f t="shared" si="44"/>
        <v>-5310.61</v>
      </c>
      <c r="Y54" s="2"/>
      <c r="Z54" s="7">
        <f t="shared" si="45"/>
        <v>-0.90739174487963492</v>
      </c>
    </row>
    <row r="55" spans="1:26" s="29" customFormat="1" outlineLevel="1" collapsed="1" x14ac:dyDescent="0.25">
      <c r="A55" s="27"/>
      <c r="B55" s="14" t="str">
        <f>CONCATENATE("     ","Royalty &amp; Commissions                             ")</f>
        <v xml:space="preserve">     Royalty &amp; Commissions                             </v>
      </c>
      <c r="C55" s="14"/>
      <c r="D55" s="1">
        <f>SUM(OSRRefD22_10x_0)</f>
        <v>0</v>
      </c>
      <c r="E55" s="1"/>
      <c r="F55" s="5">
        <f t="shared" ref="F55:F60" si="46">IF(D$12=0,0,D55/D$12)</f>
        <v>0</v>
      </c>
      <c r="G55" s="1"/>
      <c r="H55" s="1">
        <f>SUM(OSRRefH22_10x_0)</f>
        <v>12376.88</v>
      </c>
      <c r="I55" s="1"/>
      <c r="J55" s="5">
        <f t="shared" ref="J55:J60" si="47">IF(H$12=0,0,H55/H$12)</f>
        <v>7.9999762137853245E-2</v>
      </c>
      <c r="K55" s="1"/>
      <c r="L55" s="1">
        <f t="shared" ref="L55:L60" si="48">+D55-H55</f>
        <v>-12376.88</v>
      </c>
      <c r="M55" s="1"/>
      <c r="N55" s="5">
        <f t="shared" ref="N55:N60" si="49">IF(H55=0,0,L55/H55)</f>
        <v>-1</v>
      </c>
      <c r="O55" s="14"/>
      <c r="P55" s="1">
        <f>SUM(OSRRefP22_10x_0)</f>
        <v>0</v>
      </c>
      <c r="Q55" s="1"/>
      <c r="R55" s="5">
        <f t="shared" ref="R55:R60" si="50">IF(P$12=0,0,P55/P$12)</f>
        <v>0</v>
      </c>
      <c r="S55" s="1"/>
      <c r="T55" s="1">
        <f>SUM(OSRRefT22_10x_0)</f>
        <v>28839.84</v>
      </c>
      <c r="U55" s="1"/>
      <c r="V55" s="5">
        <f t="shared" ref="V55:V60" si="51">IF(T$12=0,0,T55/T$12)</f>
        <v>8.8511045972812535E-2</v>
      </c>
      <c r="W55" s="1"/>
      <c r="X55" s="1">
        <f t="shared" ref="X55:X60" si="52">+P55-T55</f>
        <v>-28839.84</v>
      </c>
      <c r="Y55" s="1"/>
      <c r="Z55" s="5">
        <f t="shared" ref="Z55:Z60" si="53">IF(T55=0,0,X55/T55)</f>
        <v>-1</v>
      </c>
    </row>
    <row r="56" spans="1:26" s="24" customFormat="1" hidden="1" outlineLevel="2" x14ac:dyDescent="0.25">
      <c r="A56" s="28"/>
      <c r="B56" s="11" t="str">
        <f>CONCATENATE("          ", "6259", " - ", "ROYALTY &amp; COMMISSIONS")</f>
        <v xml:space="preserve">          6259 - ROYALTY &amp; COMMISSIONS</v>
      </c>
      <c r="C56" s="11"/>
      <c r="D56" s="6"/>
      <c r="E56" s="2"/>
      <c r="F56" s="7">
        <f t="shared" si="46"/>
        <v>0</v>
      </c>
      <c r="G56" s="2"/>
      <c r="H56" s="6">
        <v>12376.88</v>
      </c>
      <c r="I56" s="2"/>
      <c r="J56" s="7">
        <f t="shared" si="47"/>
        <v>7.9999762137853245E-2</v>
      </c>
      <c r="K56" s="2"/>
      <c r="L56" s="6">
        <f t="shared" si="48"/>
        <v>-12376.88</v>
      </c>
      <c r="M56" s="2"/>
      <c r="N56" s="7">
        <f t="shared" si="49"/>
        <v>-1</v>
      </c>
      <c r="O56" s="11"/>
      <c r="P56" s="6"/>
      <c r="Q56" s="2"/>
      <c r="R56" s="7">
        <f t="shared" si="50"/>
        <v>0</v>
      </c>
      <c r="S56" s="2"/>
      <c r="T56" s="6">
        <v>28839.84</v>
      </c>
      <c r="U56" s="2"/>
      <c r="V56" s="7">
        <f t="shared" si="51"/>
        <v>8.8511045972812535E-2</v>
      </c>
      <c r="W56" s="2"/>
      <c r="X56" s="6">
        <f t="shared" si="52"/>
        <v>-28839.84</v>
      </c>
      <c r="Y56" s="2"/>
      <c r="Z56" s="7">
        <f t="shared" si="53"/>
        <v>-1</v>
      </c>
    </row>
    <row r="57" spans="1:26" s="29" customFormat="1" outlineLevel="1" collapsed="1" x14ac:dyDescent="0.25">
      <c r="A57" s="27"/>
      <c r="B57" s="14" t="str">
        <f>CONCATENATE("     ","Services                                          ")</f>
        <v xml:space="preserve">     Services                                          </v>
      </c>
      <c r="C57" s="14"/>
      <c r="D57" s="1">
        <f>SUM(OSRRefD22_11x_0)</f>
        <v>115</v>
      </c>
      <c r="E57" s="1"/>
      <c r="F57" s="5">
        <f t="shared" si="46"/>
        <v>0</v>
      </c>
      <c r="G57" s="1"/>
      <c r="H57" s="1">
        <f>SUM(OSRRefH22_11x_0)</f>
        <v>402.96999999999997</v>
      </c>
      <c r="I57" s="1"/>
      <c r="J57" s="5">
        <f t="shared" si="47"/>
        <v>2.6046551431936583E-3</v>
      </c>
      <c r="K57" s="1"/>
      <c r="L57" s="1">
        <f t="shared" si="48"/>
        <v>-287.96999999999997</v>
      </c>
      <c r="M57" s="1"/>
      <c r="N57" s="5">
        <f t="shared" si="49"/>
        <v>-0.71461895426458544</v>
      </c>
      <c r="O57" s="14"/>
      <c r="P57" s="1">
        <f>SUM(OSRRefP22_11x_0)</f>
        <v>115</v>
      </c>
      <c r="Q57" s="1"/>
      <c r="R57" s="5">
        <f t="shared" si="50"/>
        <v>0</v>
      </c>
      <c r="S57" s="1"/>
      <c r="T57" s="1">
        <f>SUM(OSRRefT22_11x_0)</f>
        <v>1494.55</v>
      </c>
      <c r="U57" s="1"/>
      <c r="V57" s="5">
        <f t="shared" si="51"/>
        <v>4.5868556746038458E-3</v>
      </c>
      <c r="W57" s="1"/>
      <c r="X57" s="1">
        <f t="shared" si="52"/>
        <v>-1379.55</v>
      </c>
      <c r="Y57" s="1"/>
      <c r="Z57" s="5">
        <f t="shared" si="53"/>
        <v>-0.92305376200194034</v>
      </c>
    </row>
    <row r="58" spans="1:26" s="24" customFormat="1" hidden="1" outlineLevel="2" x14ac:dyDescent="0.25">
      <c r="A58" s="28"/>
      <c r="B58" s="11" t="str">
        <f>CONCATENATE("          ", "6282", " - ", "JANITORIAL/EXTERMINATOR EXPENS")</f>
        <v xml:space="preserve">          6282 - JANITORIAL/EXTERMINATOR EXPENS</v>
      </c>
      <c r="C58" s="11"/>
      <c r="D58" s="6"/>
      <c r="E58" s="2"/>
      <c r="F58" s="7">
        <f t="shared" si="46"/>
        <v>0</v>
      </c>
      <c r="G58" s="2"/>
      <c r="H58" s="6">
        <v>96.96</v>
      </c>
      <c r="I58" s="2"/>
      <c r="J58" s="7">
        <f t="shared" si="47"/>
        <v>6.2671504748258451E-4</v>
      </c>
      <c r="K58" s="2"/>
      <c r="L58" s="6">
        <f t="shared" si="48"/>
        <v>-96.96</v>
      </c>
      <c r="M58" s="2"/>
      <c r="N58" s="7">
        <f t="shared" si="49"/>
        <v>-1</v>
      </c>
      <c r="O58" s="11"/>
      <c r="P58" s="6"/>
      <c r="Q58" s="2"/>
      <c r="R58" s="7">
        <f t="shared" si="50"/>
        <v>0</v>
      </c>
      <c r="S58" s="2"/>
      <c r="T58" s="6">
        <v>387.84</v>
      </c>
      <c r="U58" s="2"/>
      <c r="V58" s="7">
        <f t="shared" si="51"/>
        <v>1.1903021677684624E-3</v>
      </c>
      <c r="W58" s="2"/>
      <c r="X58" s="6">
        <f t="shared" si="52"/>
        <v>-387.84</v>
      </c>
      <c r="Y58" s="2"/>
      <c r="Z58" s="7">
        <f t="shared" si="53"/>
        <v>-1</v>
      </c>
    </row>
    <row r="59" spans="1:26" s="24" customFormat="1" hidden="1" outlineLevel="2" x14ac:dyDescent="0.25">
      <c r="A59" s="28"/>
      <c r="B59" s="11" t="str">
        <f>CONCATENATE("          ", "6284", " - ", "TRASH REMOVAL EXPENSE")</f>
        <v xml:space="preserve">          6284 - TRASH REMOVAL EXPENSE</v>
      </c>
      <c r="C59" s="11"/>
      <c r="D59" s="6">
        <v>115</v>
      </c>
      <c r="E59" s="2"/>
      <c r="F59" s="7">
        <f t="shared" si="46"/>
        <v>0</v>
      </c>
      <c r="G59" s="2"/>
      <c r="H59" s="6">
        <v>94</v>
      </c>
      <c r="I59" s="2"/>
      <c r="J59" s="7">
        <f t="shared" si="47"/>
        <v>6.0758265741917233E-4</v>
      </c>
      <c r="K59" s="2"/>
      <c r="L59" s="6">
        <f t="shared" si="48"/>
        <v>21</v>
      </c>
      <c r="M59" s="2"/>
      <c r="N59" s="7">
        <f t="shared" si="49"/>
        <v>0.22340425531914893</v>
      </c>
      <c r="O59" s="11"/>
      <c r="P59" s="6">
        <v>115</v>
      </c>
      <c r="Q59" s="2"/>
      <c r="R59" s="7">
        <f t="shared" si="50"/>
        <v>0</v>
      </c>
      <c r="S59" s="2"/>
      <c r="T59" s="6">
        <v>188</v>
      </c>
      <c r="U59" s="2"/>
      <c r="V59" s="7">
        <f t="shared" si="51"/>
        <v>5.7698228016829349E-4</v>
      </c>
      <c r="W59" s="2"/>
      <c r="X59" s="6">
        <f t="shared" si="52"/>
        <v>-73</v>
      </c>
      <c r="Y59" s="2"/>
      <c r="Z59" s="7">
        <f t="shared" si="53"/>
        <v>-0.38829787234042551</v>
      </c>
    </row>
    <row r="60" spans="1:26" s="24" customFormat="1" hidden="1" outlineLevel="2" x14ac:dyDescent="0.25">
      <c r="A60" s="28"/>
      <c r="B60" s="11" t="str">
        <f>CONCATENATE("          ", "6286", " - ", "LAUNDRY EXPENSE")</f>
        <v xml:space="preserve">          6286 - LAUNDRY EXPENSE</v>
      </c>
      <c r="C60" s="11"/>
      <c r="D60" s="6"/>
      <c r="E60" s="2"/>
      <c r="F60" s="7">
        <f t="shared" si="46"/>
        <v>0</v>
      </c>
      <c r="G60" s="2"/>
      <c r="H60" s="6">
        <v>212.01</v>
      </c>
      <c r="I60" s="2"/>
      <c r="J60" s="7">
        <f t="shared" si="47"/>
        <v>1.3703574382919013E-3</v>
      </c>
      <c r="K60" s="2"/>
      <c r="L60" s="6">
        <f t="shared" si="48"/>
        <v>-212.01</v>
      </c>
      <c r="M60" s="2"/>
      <c r="N60" s="7">
        <f t="shared" si="49"/>
        <v>-1</v>
      </c>
      <c r="O60" s="11"/>
      <c r="P60" s="6"/>
      <c r="Q60" s="2"/>
      <c r="R60" s="7">
        <f t="shared" si="50"/>
        <v>0</v>
      </c>
      <c r="S60" s="2"/>
      <c r="T60" s="6">
        <v>918.71</v>
      </c>
      <c r="U60" s="2"/>
      <c r="V60" s="7">
        <f t="shared" si="51"/>
        <v>2.8195712266670899E-3</v>
      </c>
      <c r="W60" s="2"/>
      <c r="X60" s="6">
        <f t="shared" si="52"/>
        <v>-918.71</v>
      </c>
      <c r="Y60" s="2"/>
      <c r="Z60" s="7">
        <f t="shared" si="53"/>
        <v>-1</v>
      </c>
    </row>
    <row r="61" spans="1:26" s="29" customFormat="1" outlineLevel="1" collapsed="1" x14ac:dyDescent="0.25">
      <c r="A61" s="27"/>
      <c r="B61" s="14" t="str">
        <f>CONCATENATE("     ","Subscriptions &amp; Dues                              ")</f>
        <v xml:space="preserve">     Subscriptions &amp; Dues                              </v>
      </c>
      <c r="C61" s="14"/>
      <c r="D61" s="1">
        <f>SUM(OSRRefD22_12x_0)</f>
        <v>0</v>
      </c>
      <c r="E61" s="1"/>
      <c r="F61" s="5">
        <f t="shared" ref="F61:F70" si="54">IF(D$12=0,0,D61/D$12)</f>
        <v>0</v>
      </c>
      <c r="G61" s="1"/>
      <c r="H61" s="1">
        <f>SUM(OSRRefH22_12x_0)</f>
        <v>0</v>
      </c>
      <c r="I61" s="1"/>
      <c r="J61" s="5">
        <f t="shared" ref="J61:J70" si="55">IF(H$12=0,0,H61/H$12)</f>
        <v>0</v>
      </c>
      <c r="K61" s="1"/>
      <c r="L61" s="1">
        <f t="shared" ref="L61:L70" si="56">+D61-H61</f>
        <v>0</v>
      </c>
      <c r="M61" s="1"/>
      <c r="N61" s="5">
        <f t="shared" ref="N61:N70" si="57">IF(H61=0,0,L61/H61)</f>
        <v>0</v>
      </c>
      <c r="O61" s="14"/>
      <c r="P61" s="1">
        <f>SUM(OSRRefP22_12x_0)</f>
        <v>0</v>
      </c>
      <c r="Q61" s="1"/>
      <c r="R61" s="5">
        <f t="shared" ref="R61:R70" si="58">IF(P$12=0,0,P61/P$12)</f>
        <v>0</v>
      </c>
      <c r="S61" s="1"/>
      <c r="T61" s="1">
        <f>SUM(OSRRefT22_12x_0)</f>
        <v>61.36</v>
      </c>
      <c r="U61" s="1"/>
      <c r="V61" s="5">
        <f t="shared" ref="V61:V70" si="59">IF(T$12=0,0,T61/T$12)</f>
        <v>1.883171952719494E-4</v>
      </c>
      <c r="W61" s="1"/>
      <c r="X61" s="1">
        <f t="shared" ref="X61:X70" si="60">+P61-T61</f>
        <v>-61.36</v>
      </c>
      <c r="Y61" s="1"/>
      <c r="Z61" s="5">
        <f t="shared" ref="Z61:Z70" si="61">IF(T61=0,0,X61/T61)</f>
        <v>-1</v>
      </c>
    </row>
    <row r="62" spans="1:26" s="24" customFormat="1" hidden="1" outlineLevel="2" x14ac:dyDescent="0.25">
      <c r="A62" s="28"/>
      <c r="B62" s="11" t="str">
        <f>CONCATENATE("          ", "6275", " - ", "SUBSCRIPTIONS")</f>
        <v xml:space="preserve">          6275 - SUBSCRIPTIONS</v>
      </c>
      <c r="C62" s="11"/>
      <c r="D62" s="6"/>
      <c r="E62" s="2"/>
      <c r="F62" s="7">
        <f t="shared" si="54"/>
        <v>0</v>
      </c>
      <c r="G62" s="2"/>
      <c r="H62" s="6"/>
      <c r="I62" s="2"/>
      <c r="J62" s="7">
        <f t="shared" si="55"/>
        <v>0</v>
      </c>
      <c r="K62" s="2"/>
      <c r="L62" s="6">
        <f t="shared" si="56"/>
        <v>0</v>
      </c>
      <c r="M62" s="2"/>
      <c r="N62" s="7">
        <f t="shared" si="57"/>
        <v>0</v>
      </c>
      <c r="O62" s="11"/>
      <c r="P62" s="6"/>
      <c r="Q62" s="2"/>
      <c r="R62" s="7">
        <f t="shared" si="58"/>
        <v>0</v>
      </c>
      <c r="S62" s="2"/>
      <c r="T62" s="6">
        <v>61.36</v>
      </c>
      <c r="U62" s="2"/>
      <c r="V62" s="7">
        <f t="shared" si="59"/>
        <v>1.883171952719494E-4</v>
      </c>
      <c r="W62" s="2"/>
      <c r="X62" s="6">
        <f t="shared" si="60"/>
        <v>-61.36</v>
      </c>
      <c r="Y62" s="2"/>
      <c r="Z62" s="7">
        <f t="shared" si="61"/>
        <v>-1</v>
      </c>
    </row>
    <row r="63" spans="1:26" s="29" customFormat="1" outlineLevel="1" collapsed="1" x14ac:dyDescent="0.25">
      <c r="A63" s="27"/>
      <c r="B63" s="14" t="str">
        <f>CONCATENATE("     ","Supplies                                          ")</f>
        <v xml:space="preserve">     Supplies                                          </v>
      </c>
      <c r="C63" s="14"/>
      <c r="D63" s="1">
        <f>SUM(OSRRefD22_13x_0)</f>
        <v>0</v>
      </c>
      <c r="E63" s="1"/>
      <c r="F63" s="5">
        <f t="shared" si="54"/>
        <v>0</v>
      </c>
      <c r="G63" s="1"/>
      <c r="H63" s="1">
        <f>SUM(OSRRefH22_13x_0)</f>
        <v>1127.79</v>
      </c>
      <c r="I63" s="1"/>
      <c r="J63" s="5">
        <f t="shared" si="55"/>
        <v>7.2896345235188122E-3</v>
      </c>
      <c r="K63" s="1"/>
      <c r="L63" s="1">
        <f t="shared" si="56"/>
        <v>-1127.79</v>
      </c>
      <c r="M63" s="1"/>
      <c r="N63" s="5">
        <f t="shared" si="57"/>
        <v>-1</v>
      </c>
      <c r="O63" s="14"/>
      <c r="P63" s="1">
        <f>SUM(OSRRefP22_13x_0)</f>
        <v>0</v>
      </c>
      <c r="Q63" s="1"/>
      <c r="R63" s="5">
        <f t="shared" si="58"/>
        <v>0</v>
      </c>
      <c r="S63" s="1"/>
      <c r="T63" s="1">
        <f>SUM(OSRRefT22_13x_0)</f>
        <v>7174.2499999999991</v>
      </c>
      <c r="U63" s="1"/>
      <c r="V63" s="5">
        <f t="shared" si="59"/>
        <v>2.2018165550517974E-2</v>
      </c>
      <c r="W63" s="1"/>
      <c r="X63" s="1">
        <f t="shared" si="60"/>
        <v>-7174.2499999999991</v>
      </c>
      <c r="Y63" s="1"/>
      <c r="Z63" s="5">
        <f t="shared" si="61"/>
        <v>-1</v>
      </c>
    </row>
    <row r="64" spans="1:26" s="24" customFormat="1" hidden="1" outlineLevel="2" x14ac:dyDescent="0.25">
      <c r="A64" s="28"/>
      <c r="B64" s="11" t="str">
        <f>CONCATENATE("          ", "6237", " - ", "JANITORIAL SUPPLIES")</f>
        <v xml:space="preserve">          6237 - JANITORIAL SUPPLIES</v>
      </c>
      <c r="C64" s="11"/>
      <c r="D64" s="6"/>
      <c r="E64" s="2"/>
      <c r="F64" s="7">
        <f t="shared" si="54"/>
        <v>0</v>
      </c>
      <c r="G64" s="2"/>
      <c r="H64" s="6">
        <v>146.09</v>
      </c>
      <c r="I64" s="2"/>
      <c r="J64" s="7">
        <f t="shared" si="55"/>
        <v>9.4427394066347759E-4</v>
      </c>
      <c r="K64" s="2"/>
      <c r="L64" s="6">
        <f t="shared" si="56"/>
        <v>-146.09</v>
      </c>
      <c r="M64" s="2"/>
      <c r="N64" s="7">
        <f t="shared" si="57"/>
        <v>-1</v>
      </c>
      <c r="O64" s="11"/>
      <c r="P64" s="6"/>
      <c r="Q64" s="2"/>
      <c r="R64" s="7">
        <f t="shared" si="58"/>
        <v>0</v>
      </c>
      <c r="S64" s="2"/>
      <c r="T64" s="6">
        <v>744.97</v>
      </c>
      <c r="U64" s="2"/>
      <c r="V64" s="7">
        <f t="shared" si="59"/>
        <v>2.2863536662604978E-3</v>
      </c>
      <c r="W64" s="2"/>
      <c r="X64" s="6">
        <f t="shared" si="60"/>
        <v>-744.97</v>
      </c>
      <c r="Y64" s="2"/>
      <c r="Z64" s="7">
        <f t="shared" si="61"/>
        <v>-1</v>
      </c>
    </row>
    <row r="65" spans="1:26" s="24" customFormat="1" hidden="1" outlineLevel="2" x14ac:dyDescent="0.25">
      <c r="A65" s="28"/>
      <c r="B65" s="11" t="str">
        <f>CONCATENATE("          ", "6239", " - ", "KITCHEN SUPPLIES")</f>
        <v xml:space="preserve">          6239 - KITCHEN SUPPLIES</v>
      </c>
      <c r="C65" s="11"/>
      <c r="D65" s="6"/>
      <c r="E65" s="2"/>
      <c r="F65" s="7">
        <f t="shared" si="54"/>
        <v>0</v>
      </c>
      <c r="G65" s="2"/>
      <c r="H65" s="6">
        <v>262.23</v>
      </c>
      <c r="I65" s="2"/>
      <c r="J65" s="7">
        <f t="shared" si="55"/>
        <v>1.6949617048407403E-3</v>
      </c>
      <c r="K65" s="2"/>
      <c r="L65" s="6">
        <f t="shared" si="56"/>
        <v>-262.23</v>
      </c>
      <c r="M65" s="2"/>
      <c r="N65" s="7">
        <f t="shared" si="57"/>
        <v>-1</v>
      </c>
      <c r="O65" s="11"/>
      <c r="P65" s="6"/>
      <c r="Q65" s="2"/>
      <c r="R65" s="7">
        <f t="shared" si="58"/>
        <v>0</v>
      </c>
      <c r="S65" s="2"/>
      <c r="T65" s="6">
        <v>3380.93</v>
      </c>
      <c r="U65" s="2"/>
      <c r="V65" s="7">
        <f t="shared" si="59"/>
        <v>1.0376259045156322E-2</v>
      </c>
      <c r="W65" s="2"/>
      <c r="X65" s="6">
        <f t="shared" si="60"/>
        <v>-3380.93</v>
      </c>
      <c r="Y65" s="2"/>
      <c r="Z65" s="7">
        <f t="shared" si="61"/>
        <v>-1</v>
      </c>
    </row>
    <row r="66" spans="1:26" s="24" customFormat="1" hidden="1" outlineLevel="2" x14ac:dyDescent="0.25">
      <c r="A66" s="28"/>
      <c r="B66" s="11" t="str">
        <f>CONCATENATE("          ", "6241", " - ", "OFFICE EXPENSE")</f>
        <v xml:space="preserve">          6241 - OFFICE EXPENSE</v>
      </c>
      <c r="C66" s="11"/>
      <c r="D66" s="6"/>
      <c r="E66" s="2"/>
      <c r="F66" s="7">
        <f t="shared" si="54"/>
        <v>0</v>
      </c>
      <c r="G66" s="2"/>
      <c r="H66" s="6">
        <v>31.4</v>
      </c>
      <c r="I66" s="2"/>
      <c r="J66" s="7">
        <f t="shared" si="55"/>
        <v>2.0295846215917033E-4</v>
      </c>
      <c r="K66" s="2"/>
      <c r="L66" s="6">
        <f t="shared" si="56"/>
        <v>-31.4</v>
      </c>
      <c r="M66" s="2"/>
      <c r="N66" s="7">
        <f t="shared" si="57"/>
        <v>-1</v>
      </c>
      <c r="O66" s="11"/>
      <c r="P66" s="6"/>
      <c r="Q66" s="2"/>
      <c r="R66" s="7">
        <f t="shared" si="58"/>
        <v>0</v>
      </c>
      <c r="S66" s="2"/>
      <c r="T66" s="6">
        <v>699.58</v>
      </c>
      <c r="U66" s="2"/>
      <c r="V66" s="7">
        <f t="shared" si="59"/>
        <v>2.1470492742560361E-3</v>
      </c>
      <c r="W66" s="2"/>
      <c r="X66" s="6">
        <f t="shared" si="60"/>
        <v>-699.58</v>
      </c>
      <c r="Y66" s="2"/>
      <c r="Z66" s="7">
        <f t="shared" si="61"/>
        <v>-1</v>
      </c>
    </row>
    <row r="67" spans="1:26" s="24" customFormat="1" hidden="1" outlineLevel="2" x14ac:dyDescent="0.25">
      <c r="A67" s="28"/>
      <c r="B67" s="11" t="str">
        <f>CONCATENATE("          ", "6243", " - ", "PAPER SUPPLIES")</f>
        <v xml:space="preserve">          6243 - PAPER SUPPLIES</v>
      </c>
      <c r="C67" s="11"/>
      <c r="D67" s="6"/>
      <c r="E67" s="2"/>
      <c r="F67" s="7">
        <f t="shared" si="54"/>
        <v>0</v>
      </c>
      <c r="G67" s="2"/>
      <c r="H67" s="6">
        <v>518.15</v>
      </c>
      <c r="I67" s="2"/>
      <c r="J67" s="7">
        <f t="shared" si="55"/>
        <v>3.3491378078908951E-3</v>
      </c>
      <c r="K67" s="2"/>
      <c r="L67" s="6">
        <f t="shared" si="56"/>
        <v>-518.15</v>
      </c>
      <c r="M67" s="2"/>
      <c r="N67" s="7">
        <f t="shared" si="57"/>
        <v>-1</v>
      </c>
      <c r="O67" s="11"/>
      <c r="P67" s="6"/>
      <c r="Q67" s="2"/>
      <c r="R67" s="7">
        <f t="shared" si="58"/>
        <v>0</v>
      </c>
      <c r="S67" s="2"/>
      <c r="T67" s="6">
        <v>2817.49</v>
      </c>
      <c r="U67" s="2"/>
      <c r="V67" s="7">
        <f t="shared" si="59"/>
        <v>8.6470308752732185E-3</v>
      </c>
      <c r="W67" s="2"/>
      <c r="X67" s="6">
        <f t="shared" si="60"/>
        <v>-2817.49</v>
      </c>
      <c r="Y67" s="2"/>
      <c r="Z67" s="7">
        <f t="shared" si="61"/>
        <v>-1</v>
      </c>
    </row>
    <row r="68" spans="1:26" s="24" customFormat="1" hidden="1" outlineLevel="2" x14ac:dyDescent="0.25">
      <c r="A68" s="28"/>
      <c r="B68" s="11" t="str">
        <f>CONCATENATE("          ", "6245", " - ", "PRINTING")</f>
        <v xml:space="preserve">          6245 - PRINTING</v>
      </c>
      <c r="C68" s="11"/>
      <c r="D68" s="6"/>
      <c r="E68" s="2"/>
      <c r="F68" s="7">
        <f t="shared" si="54"/>
        <v>0</v>
      </c>
      <c r="G68" s="2"/>
      <c r="H68" s="6">
        <v>27.93</v>
      </c>
      <c r="I68" s="2"/>
      <c r="J68" s="7">
        <f t="shared" si="55"/>
        <v>1.8052961299699452E-4</v>
      </c>
      <c r="K68" s="2"/>
      <c r="L68" s="6">
        <f t="shared" si="56"/>
        <v>-27.93</v>
      </c>
      <c r="M68" s="2"/>
      <c r="N68" s="7">
        <f t="shared" si="57"/>
        <v>-1</v>
      </c>
      <c r="O68" s="11"/>
      <c r="P68" s="6"/>
      <c r="Q68" s="2"/>
      <c r="R68" s="7">
        <f t="shared" si="58"/>
        <v>0</v>
      </c>
      <c r="S68" s="2"/>
      <c r="T68" s="6">
        <v>50.94</v>
      </c>
      <c r="U68" s="2"/>
      <c r="V68" s="7">
        <f t="shared" si="59"/>
        <v>1.5633764548815356E-4</v>
      </c>
      <c r="W68" s="2"/>
      <c r="X68" s="6">
        <f t="shared" si="60"/>
        <v>-50.94</v>
      </c>
      <c r="Y68" s="2"/>
      <c r="Z68" s="7">
        <f t="shared" si="61"/>
        <v>-1</v>
      </c>
    </row>
    <row r="69" spans="1:26" s="24" customFormat="1" hidden="1" outlineLevel="2" x14ac:dyDescent="0.25">
      <c r="A69" s="28"/>
      <c r="B69" s="11" t="str">
        <f>CONCATENATE("          ", "6247", " - ", "STORE SUPPLIES")</f>
        <v xml:space="preserve">          6247 - STORE SUPPLIES</v>
      </c>
      <c r="C69" s="11"/>
      <c r="D69" s="6"/>
      <c r="E69" s="2"/>
      <c r="F69" s="7">
        <f t="shared" si="54"/>
        <v>0</v>
      </c>
      <c r="G69" s="2"/>
      <c r="H69" s="6">
        <v>25.51</v>
      </c>
      <c r="I69" s="2"/>
      <c r="J69" s="7">
        <f t="shared" si="55"/>
        <v>1.6488759139109667E-4</v>
      </c>
      <c r="K69" s="2"/>
      <c r="L69" s="6">
        <f t="shared" si="56"/>
        <v>-25.51</v>
      </c>
      <c r="M69" s="2"/>
      <c r="N69" s="7">
        <f t="shared" si="57"/>
        <v>-1</v>
      </c>
      <c r="O69" s="11"/>
      <c r="P69" s="6"/>
      <c r="Q69" s="2"/>
      <c r="R69" s="7">
        <f t="shared" si="58"/>
        <v>0</v>
      </c>
      <c r="S69" s="2"/>
      <c r="T69" s="6">
        <v>-653.74</v>
      </c>
      <c r="U69" s="2"/>
      <c r="V69" s="7">
        <f t="shared" si="59"/>
        <v>-2.0063638076447884E-3</v>
      </c>
      <c r="W69" s="2"/>
      <c r="X69" s="6">
        <f t="shared" si="60"/>
        <v>653.74</v>
      </c>
      <c r="Y69" s="2"/>
      <c r="Z69" s="7">
        <f t="shared" si="61"/>
        <v>-1</v>
      </c>
    </row>
    <row r="70" spans="1:26" s="24" customFormat="1" hidden="1" outlineLevel="2" x14ac:dyDescent="0.25">
      <c r="A70" s="28"/>
      <c r="B70" s="11" t="str">
        <f>CONCATENATE("          ", "6248", " - ", "UNIFORMS")</f>
        <v xml:space="preserve">          6248 - UNIFORMS</v>
      </c>
      <c r="C70" s="11"/>
      <c r="D70" s="6"/>
      <c r="E70" s="2"/>
      <c r="F70" s="7">
        <f t="shared" si="54"/>
        <v>0</v>
      </c>
      <c r="G70" s="2"/>
      <c r="H70" s="6">
        <v>116.48</v>
      </c>
      <c r="I70" s="2"/>
      <c r="J70" s="7">
        <f t="shared" si="55"/>
        <v>7.5288540357643823E-4</v>
      </c>
      <c r="K70" s="2"/>
      <c r="L70" s="6">
        <f t="shared" si="56"/>
        <v>-116.48</v>
      </c>
      <c r="M70" s="2"/>
      <c r="N70" s="7">
        <f t="shared" si="57"/>
        <v>-1</v>
      </c>
      <c r="O70" s="11"/>
      <c r="P70" s="6"/>
      <c r="Q70" s="2"/>
      <c r="R70" s="7">
        <f t="shared" si="58"/>
        <v>0</v>
      </c>
      <c r="S70" s="2"/>
      <c r="T70" s="6">
        <v>134.08000000000001</v>
      </c>
      <c r="U70" s="2"/>
      <c r="V70" s="7">
        <f t="shared" si="59"/>
        <v>4.1149885172853617E-4</v>
      </c>
      <c r="W70" s="2"/>
      <c r="X70" s="6">
        <f t="shared" si="60"/>
        <v>-134.08000000000001</v>
      </c>
      <c r="Y70" s="2"/>
      <c r="Z70" s="7">
        <f t="shared" si="61"/>
        <v>-1</v>
      </c>
    </row>
    <row r="71" spans="1:26" s="29" customFormat="1" outlineLevel="1" collapsed="1" x14ac:dyDescent="0.25">
      <c r="A71" s="27"/>
      <c r="B71" s="14" t="str">
        <f>CONCATENATE("     ","Telephone/Data Lines                              ")</f>
        <v xml:space="preserve">     Telephone/Data Lines                              </v>
      </c>
      <c r="C71" s="14"/>
      <c r="D71" s="1">
        <f>SUM(OSRRefD22_14x_0)</f>
        <v>8.43</v>
      </c>
      <c r="E71" s="1"/>
      <c r="F71" s="5">
        <f t="shared" ref="F71:F76" si="62">IF(D$12=0,0,D71/D$12)</f>
        <v>0</v>
      </c>
      <c r="G71" s="1"/>
      <c r="H71" s="1">
        <f>SUM(OSRRefH22_14x_0)</f>
        <v>78.150000000000006</v>
      </c>
      <c r="I71" s="1"/>
      <c r="J71" s="5">
        <f t="shared" ref="J71:J76" si="63">IF(H$12=0,0,H71/H$12)</f>
        <v>5.0513387954583325E-4</v>
      </c>
      <c r="K71" s="1"/>
      <c r="L71" s="1">
        <f t="shared" ref="L71:L76" si="64">+D71-H71</f>
        <v>-69.72</v>
      </c>
      <c r="M71" s="1"/>
      <c r="N71" s="5">
        <f t="shared" ref="N71:N76" si="65">IF(H71=0,0,L71/H71)</f>
        <v>-0.892130518234165</v>
      </c>
      <c r="O71" s="14"/>
      <c r="P71" s="1">
        <f>SUM(OSRRefP22_14x_0)</f>
        <v>77.430000000000007</v>
      </c>
      <c r="Q71" s="1"/>
      <c r="R71" s="5">
        <f t="shared" ref="R71:R76" si="66">IF(P$12=0,0,P71/P$12)</f>
        <v>0</v>
      </c>
      <c r="S71" s="1"/>
      <c r="T71" s="1">
        <f>SUM(OSRRefT22_14x_0)</f>
        <v>346.1</v>
      </c>
      <c r="U71" s="1"/>
      <c r="V71" s="5">
        <f t="shared" ref="V71:V76" si="67">IF(T$12=0,0,T71/T$12)</f>
        <v>1.0621998253523743E-3</v>
      </c>
      <c r="W71" s="1"/>
      <c r="X71" s="1">
        <f t="shared" ref="X71:X76" si="68">+P71-T71</f>
        <v>-268.67</v>
      </c>
      <c r="Y71" s="1"/>
      <c r="Z71" s="5">
        <f t="shared" ref="Z71:Z76" si="69">IF(T71=0,0,X71/T71)</f>
        <v>-0.77627853221612253</v>
      </c>
    </row>
    <row r="72" spans="1:26" s="24" customFormat="1" hidden="1" outlineLevel="2" x14ac:dyDescent="0.25">
      <c r="A72" s="28"/>
      <c r="B72" s="11" t="str">
        <f>CONCATENATE("          ", "6309", " - ", "TELEPHONE")</f>
        <v xml:space="preserve">          6309 - TELEPHONE</v>
      </c>
      <c r="C72" s="11"/>
      <c r="D72" s="6">
        <v>8.43</v>
      </c>
      <c r="E72" s="2"/>
      <c r="F72" s="7">
        <f t="shared" si="62"/>
        <v>0</v>
      </c>
      <c r="G72" s="2"/>
      <c r="H72" s="6">
        <v>78.150000000000006</v>
      </c>
      <c r="I72" s="2"/>
      <c r="J72" s="7">
        <f t="shared" si="63"/>
        <v>5.0513387954583325E-4</v>
      </c>
      <c r="K72" s="2"/>
      <c r="L72" s="6">
        <f t="shared" si="64"/>
        <v>-69.72</v>
      </c>
      <c r="M72" s="2"/>
      <c r="N72" s="7">
        <f t="shared" si="65"/>
        <v>-0.892130518234165</v>
      </c>
      <c r="O72" s="11"/>
      <c r="P72" s="6">
        <v>77.430000000000007</v>
      </c>
      <c r="Q72" s="2"/>
      <c r="R72" s="7">
        <f t="shared" si="66"/>
        <v>0</v>
      </c>
      <c r="S72" s="2"/>
      <c r="T72" s="6">
        <v>346.1</v>
      </c>
      <c r="U72" s="2"/>
      <c r="V72" s="7">
        <f t="shared" si="67"/>
        <v>1.0621998253523743E-3</v>
      </c>
      <c r="W72" s="2"/>
      <c r="X72" s="6">
        <f t="shared" si="68"/>
        <v>-268.67</v>
      </c>
      <c r="Y72" s="2"/>
      <c r="Z72" s="7">
        <f t="shared" si="69"/>
        <v>-0.77627853221612253</v>
      </c>
    </row>
    <row r="73" spans="1:26" s="29" customFormat="1" outlineLevel="1" collapsed="1" x14ac:dyDescent="0.25">
      <c r="A73" s="27"/>
      <c r="B73" s="14" t="str">
        <f>CONCATENATE("     ","Training                                          ")</f>
        <v xml:space="preserve">     Training                                          </v>
      </c>
      <c r="C73" s="14"/>
      <c r="D73" s="1">
        <f>SUM(OSRRefD22_15x_0)</f>
        <v>0</v>
      </c>
      <c r="E73" s="1"/>
      <c r="F73" s="5">
        <f t="shared" si="62"/>
        <v>0</v>
      </c>
      <c r="G73" s="1"/>
      <c r="H73" s="1">
        <f>SUM(OSRRefH22_15x_0)</f>
        <v>0</v>
      </c>
      <c r="I73" s="1"/>
      <c r="J73" s="5">
        <f t="shared" si="63"/>
        <v>0</v>
      </c>
      <c r="K73" s="1"/>
      <c r="L73" s="1">
        <f t="shared" si="64"/>
        <v>0</v>
      </c>
      <c r="M73" s="1"/>
      <c r="N73" s="5">
        <f t="shared" si="65"/>
        <v>0</v>
      </c>
      <c r="O73" s="14"/>
      <c r="P73" s="1">
        <f>SUM(OSRRefP22_15x_0)</f>
        <v>0</v>
      </c>
      <c r="Q73" s="1"/>
      <c r="R73" s="5">
        <f t="shared" si="66"/>
        <v>0</v>
      </c>
      <c r="S73" s="1"/>
      <c r="T73" s="1">
        <f>SUM(OSRRefT22_15x_0)</f>
        <v>380.65</v>
      </c>
      <c r="U73" s="1"/>
      <c r="V73" s="5">
        <f t="shared" si="67"/>
        <v>1.168235664606707E-3</v>
      </c>
      <c r="W73" s="1"/>
      <c r="X73" s="1">
        <f t="shared" si="68"/>
        <v>-380.65</v>
      </c>
      <c r="Y73" s="1"/>
      <c r="Z73" s="5">
        <f t="shared" si="69"/>
        <v>-1</v>
      </c>
    </row>
    <row r="74" spans="1:26" s="24" customFormat="1" hidden="1" outlineLevel="2" x14ac:dyDescent="0.25">
      <c r="A74" s="28"/>
      <c r="B74" s="11" t="str">
        <f>CONCATENATE("          ", "6376", " - ", "TRAINING")</f>
        <v xml:space="preserve">          6376 - TRAINING</v>
      </c>
      <c r="C74" s="11"/>
      <c r="D74" s="6"/>
      <c r="E74" s="2"/>
      <c r="F74" s="7">
        <f t="shared" si="62"/>
        <v>0</v>
      </c>
      <c r="G74" s="2"/>
      <c r="H74" s="6"/>
      <c r="I74" s="2"/>
      <c r="J74" s="7">
        <f t="shared" si="63"/>
        <v>0</v>
      </c>
      <c r="K74" s="2"/>
      <c r="L74" s="6">
        <f t="shared" si="64"/>
        <v>0</v>
      </c>
      <c r="M74" s="2"/>
      <c r="N74" s="7">
        <f t="shared" si="65"/>
        <v>0</v>
      </c>
      <c r="O74" s="11"/>
      <c r="P74" s="6"/>
      <c r="Q74" s="2"/>
      <c r="R74" s="7">
        <f t="shared" si="66"/>
        <v>0</v>
      </c>
      <c r="S74" s="2"/>
      <c r="T74" s="6">
        <v>380.65</v>
      </c>
      <c r="U74" s="2"/>
      <c r="V74" s="7">
        <f t="shared" si="67"/>
        <v>1.168235664606707E-3</v>
      </c>
      <c r="W74" s="2"/>
      <c r="X74" s="6">
        <f t="shared" si="68"/>
        <v>-380.65</v>
      </c>
      <c r="Y74" s="2"/>
      <c r="Z74" s="7">
        <f t="shared" si="69"/>
        <v>-1</v>
      </c>
    </row>
    <row r="75" spans="1:26" s="29" customFormat="1" outlineLevel="1" collapsed="1" x14ac:dyDescent="0.25">
      <c r="A75" s="27"/>
      <c r="B75" s="14" t="str">
        <f>CONCATENATE("     ","Utilities                                         ")</f>
        <v xml:space="preserve">     Utilities                                         </v>
      </c>
      <c r="C75" s="14"/>
      <c r="D75" s="1">
        <f>SUM(OSRRefD22_16x_0)</f>
        <v>348</v>
      </c>
      <c r="E75" s="1"/>
      <c r="F75" s="5">
        <f t="shared" si="62"/>
        <v>0</v>
      </c>
      <c r="G75" s="1"/>
      <c r="H75" s="1">
        <f>SUM(OSRRefH22_16x_0)</f>
        <v>306</v>
      </c>
      <c r="I75" s="1"/>
      <c r="J75" s="5">
        <f t="shared" si="63"/>
        <v>1.9778754592581567E-3</v>
      </c>
      <c r="K75" s="1"/>
      <c r="L75" s="1">
        <f t="shared" si="64"/>
        <v>42</v>
      </c>
      <c r="M75" s="1"/>
      <c r="N75" s="5">
        <f t="shared" si="65"/>
        <v>0.13725490196078433</v>
      </c>
      <c r="O75" s="14"/>
      <c r="P75" s="1">
        <f>SUM(OSRRefP22_16x_0)</f>
        <v>348</v>
      </c>
      <c r="Q75" s="1"/>
      <c r="R75" s="5">
        <f t="shared" si="66"/>
        <v>0</v>
      </c>
      <c r="S75" s="1"/>
      <c r="T75" s="1">
        <f>SUM(OSRRefT22_16x_0)</f>
        <v>1012</v>
      </c>
      <c r="U75" s="1"/>
      <c r="V75" s="5">
        <f t="shared" si="67"/>
        <v>3.1058833379271969E-3</v>
      </c>
      <c r="W75" s="1"/>
      <c r="X75" s="1">
        <f t="shared" si="68"/>
        <v>-664</v>
      </c>
      <c r="Y75" s="1"/>
      <c r="Z75" s="5">
        <f t="shared" si="69"/>
        <v>-0.65612648221343872</v>
      </c>
    </row>
    <row r="76" spans="1:26" s="24" customFormat="1" hidden="1" outlineLevel="2" x14ac:dyDescent="0.25">
      <c r="A76" s="28"/>
      <c r="B76" s="11" t="str">
        <f>CONCATENATE("          ", "6274", " - ", "UTILITIES")</f>
        <v xml:space="preserve">          6274 - UTILITIES</v>
      </c>
      <c r="C76" s="11"/>
      <c r="D76" s="6">
        <v>348</v>
      </c>
      <c r="E76" s="2"/>
      <c r="F76" s="7">
        <f t="shared" si="62"/>
        <v>0</v>
      </c>
      <c r="G76" s="2"/>
      <c r="H76" s="6">
        <v>306</v>
      </c>
      <c r="I76" s="2"/>
      <c r="J76" s="7">
        <f t="shared" si="63"/>
        <v>1.9778754592581567E-3</v>
      </c>
      <c r="K76" s="2"/>
      <c r="L76" s="6">
        <f t="shared" si="64"/>
        <v>42</v>
      </c>
      <c r="M76" s="2"/>
      <c r="N76" s="7">
        <f t="shared" si="65"/>
        <v>0.13725490196078433</v>
      </c>
      <c r="O76" s="11"/>
      <c r="P76" s="6">
        <v>348</v>
      </c>
      <c r="Q76" s="2"/>
      <c r="R76" s="7">
        <f t="shared" si="66"/>
        <v>0</v>
      </c>
      <c r="S76" s="2"/>
      <c r="T76" s="6">
        <v>1012</v>
      </c>
      <c r="U76" s="2"/>
      <c r="V76" s="7">
        <f t="shared" si="67"/>
        <v>3.1058833379271969E-3</v>
      </c>
      <c r="W76" s="2"/>
      <c r="X76" s="6">
        <f t="shared" si="68"/>
        <v>-664</v>
      </c>
      <c r="Y76" s="2"/>
      <c r="Z76" s="7">
        <f t="shared" si="69"/>
        <v>-0.65612648221343872</v>
      </c>
    </row>
    <row r="77" spans="1:26" s="57" customFormat="1" x14ac:dyDescent="0.25">
      <c r="A77" s="37"/>
      <c r="B77" s="37"/>
      <c r="C77" s="37"/>
      <c r="D77" s="1"/>
      <c r="E77" s="1"/>
      <c r="F77" s="5"/>
      <c r="G77" s="1"/>
      <c r="H77" s="1"/>
      <c r="I77" s="1"/>
      <c r="J77" s="5"/>
      <c r="K77" s="1"/>
      <c r="L77" s="1"/>
      <c r="M77" s="1"/>
      <c r="N77" s="5"/>
      <c r="O77" s="37"/>
      <c r="P77" s="1"/>
      <c r="Q77" s="1"/>
      <c r="R77" s="5"/>
      <c r="S77" s="1"/>
      <c r="T77" s="1"/>
      <c r="U77" s="1"/>
      <c r="V77" s="5"/>
      <c r="W77" s="1"/>
      <c r="X77" s="1"/>
      <c r="Y77" s="1"/>
      <c r="Z77" s="5"/>
    </row>
    <row r="78" spans="1:26" s="23" customFormat="1" x14ac:dyDescent="0.25">
      <c r="A78" s="10"/>
      <c r="B78" s="26" t="s">
        <v>0</v>
      </c>
      <c r="C78" s="10"/>
      <c r="D78" s="4">
        <f>SUM(0)</f>
        <v>0</v>
      </c>
      <c r="E78" s="4"/>
      <c r="F78" s="12">
        <f>IF(D$12=0,0,D78/D$12)</f>
        <v>0</v>
      </c>
      <c r="G78" s="4"/>
      <c r="H78" s="4">
        <f>SUM(0)</f>
        <v>0</v>
      </c>
      <c r="I78" s="4"/>
      <c r="J78" s="12">
        <f>IF(H$12=0,0,H78/H$12)</f>
        <v>0</v>
      </c>
      <c r="K78" s="4"/>
      <c r="L78" s="4">
        <f>+D78-H78</f>
        <v>0</v>
      </c>
      <c r="M78" s="4"/>
      <c r="N78" s="12">
        <f>IF(H78=0,0,L78/H78)</f>
        <v>0</v>
      </c>
      <c r="O78" s="10"/>
      <c r="P78" s="4">
        <f>SUM(0)</f>
        <v>0</v>
      </c>
      <c r="Q78" s="4"/>
      <c r="R78" s="12">
        <f>IF(P$12=0,0,P78/P$12)</f>
        <v>0</v>
      </c>
      <c r="S78" s="4"/>
      <c r="T78" s="4">
        <f>SUM(0)</f>
        <v>0</v>
      </c>
      <c r="U78" s="4"/>
      <c r="V78" s="12">
        <f>IF(T$12=0,0,T78/T$12)</f>
        <v>0</v>
      </c>
      <c r="W78" s="4"/>
      <c r="X78" s="4">
        <f>+P78-T78</f>
        <v>0</v>
      </c>
      <c r="Y78" s="4"/>
      <c r="Z78" s="12">
        <f>IF(T78=0,0,X78/T78)</f>
        <v>0</v>
      </c>
    </row>
    <row r="79" spans="1:26" x14ac:dyDescent="0.2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25">
      <c r="A80" s="10"/>
      <c r="B80" s="25" t="s">
        <v>3</v>
      </c>
      <c r="C80" s="25"/>
      <c r="D80" s="20">
        <f>+D20-D22+D78</f>
        <v>-5704.4400000000005</v>
      </c>
      <c r="E80" s="13"/>
      <c r="F80" s="21">
        <f>IF(D$12=0,0,D80/D$12)</f>
        <v>0</v>
      </c>
      <c r="G80" s="13"/>
      <c r="H80" s="20">
        <f>+H20-H22+H78</f>
        <v>33611.860000000073</v>
      </c>
      <c r="I80" s="13"/>
      <c r="J80" s="21">
        <f>IF(H$12=0,0,H80/H$12)</f>
        <v>0.2172551406340556</v>
      </c>
      <c r="K80" s="15"/>
      <c r="L80" s="20">
        <f>+D80-H80</f>
        <v>-39316.300000000076</v>
      </c>
      <c r="M80" s="15"/>
      <c r="N80" s="21">
        <f>IF(H80=0,0,L80/H80)</f>
        <v>-1.1697150946124371</v>
      </c>
      <c r="O80" s="26"/>
      <c r="P80" s="20">
        <f>+P20-P22+P78</f>
        <v>-28102.84</v>
      </c>
      <c r="Q80" s="13"/>
      <c r="R80" s="21">
        <f>IF(P$12=0,0,P80/P$12)</f>
        <v>0</v>
      </c>
      <c r="S80" s="13"/>
      <c r="T80" s="20">
        <f>+T20-T22+T78</f>
        <v>-25451.819999999949</v>
      </c>
      <c r="U80" s="13"/>
      <c r="V80" s="21">
        <f>IF(T$12=0,0,T80/T$12)</f>
        <v>-7.8113027329962476E-2</v>
      </c>
      <c r="W80" s="15"/>
      <c r="X80" s="20">
        <f>+P80-T80</f>
        <v>-2651.0200000000514</v>
      </c>
      <c r="Y80" s="15"/>
      <c r="Z80" s="21">
        <f>IF(T80=0,0,X80/T80)</f>
        <v>0.10415836667083363</v>
      </c>
    </row>
    <row r="81" spans="1:26" x14ac:dyDescent="0.25">
      <c r="A81" s="9"/>
      <c r="B81" s="10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25">
      <c r="A82" s="51"/>
      <c r="B82" s="10" t="s">
        <v>13</v>
      </c>
      <c r="C82" s="10"/>
      <c r="D82" s="4"/>
      <c r="E82" s="4"/>
      <c r="F82" s="12">
        <f>IF(D$12=0,0,D82/D$12)</f>
        <v>0</v>
      </c>
      <c r="G82" s="4"/>
      <c r="H82" s="4">
        <v>14418.45</v>
      </c>
      <c r="I82" s="4"/>
      <c r="J82" s="12">
        <f>IF(H$12=0,0,H82/H$12)</f>
        <v>9.3195746456015596E-2</v>
      </c>
      <c r="K82" s="4"/>
      <c r="L82" s="4">
        <f>+D82-H82</f>
        <v>-14418.45</v>
      </c>
      <c r="M82" s="4"/>
      <c r="N82" s="12">
        <f>IF(H82=0,0,L82/H82)</f>
        <v>-1</v>
      </c>
      <c r="O82" s="10"/>
      <c r="P82" s="4"/>
      <c r="Q82" s="4"/>
      <c r="R82" s="12">
        <f>IF(P$12=0,0,P82/P$12)</f>
        <v>0</v>
      </c>
      <c r="S82" s="4"/>
      <c r="T82" s="4">
        <v>32799.199999999997</v>
      </c>
      <c r="U82" s="4"/>
      <c r="V82" s="12">
        <f>IF(T$12=0,0,T82/T$12)</f>
        <v>0.10066253831753133</v>
      </c>
      <c r="W82" s="4"/>
      <c r="X82" s="4">
        <f>+P82-T82</f>
        <v>-32799.199999999997</v>
      </c>
      <c r="Y82" s="4"/>
      <c r="Z82" s="12">
        <f>IF(T82=0,0,X82/T82)</f>
        <v>-1</v>
      </c>
    </row>
    <row r="83" spans="1:26" x14ac:dyDescent="0.25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ht="15.75" thickBot="1" x14ac:dyDescent="0.3">
      <c r="A84" s="10"/>
      <c r="B84" s="25" t="s">
        <v>4</v>
      </c>
      <c r="C84" s="25"/>
      <c r="D84" s="30">
        <f>+D80-D82</f>
        <v>-5704.4400000000005</v>
      </c>
      <c r="E84" s="13"/>
      <c r="F84" s="33">
        <f>IF(D$12=0,0,D84/D$12)</f>
        <v>0</v>
      </c>
      <c r="G84" s="13"/>
      <c r="H84" s="30">
        <f>+H80-H82</f>
        <v>19193.410000000073</v>
      </c>
      <c r="I84" s="13"/>
      <c r="J84" s="33">
        <f>IF(H$12=0,0,H84/H$12)</f>
        <v>0.12405939417804002</v>
      </c>
      <c r="K84" s="15"/>
      <c r="L84" s="30">
        <f>D84-H84</f>
        <v>-24897.850000000071</v>
      </c>
      <c r="M84" s="15"/>
      <c r="N84" s="33">
        <f>IF(H84=0,0,L84/H84)</f>
        <v>-1.2972082605435917</v>
      </c>
      <c r="O84" s="26"/>
      <c r="P84" s="30">
        <f>+P80-P82</f>
        <v>-28102.84</v>
      </c>
      <c r="Q84" s="13"/>
      <c r="R84" s="33">
        <f>IF(P$12=0,0,P84/P$12)</f>
        <v>0</v>
      </c>
      <c r="S84" s="13"/>
      <c r="T84" s="30">
        <f>+T80-T82</f>
        <v>-58251.019999999946</v>
      </c>
      <c r="U84" s="13"/>
      <c r="V84" s="33">
        <f>IF(T$12=0,0,T84/T$12)</f>
        <v>-0.17877556564749381</v>
      </c>
      <c r="W84" s="15"/>
      <c r="X84" s="30">
        <f>P84-T84</f>
        <v>30148.179999999946</v>
      </c>
      <c r="Y84" s="15"/>
      <c r="Z84" s="33">
        <f>IF(T84=0,0,X84/T84)</f>
        <v>-0.51755625910069858</v>
      </c>
    </row>
    <row r="85" spans="1:26" ht="15.75" thickTop="1" x14ac:dyDescent="0.25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x14ac:dyDescent="0.25">
      <c r="A86" s="9"/>
      <c r="B86" s="9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ht="15.75" thickBot="1" x14ac:dyDescent="0.3">
      <c r="A87" s="10"/>
      <c r="B87" s="25" t="s">
        <v>5</v>
      </c>
      <c r="C87" s="25"/>
      <c r="D87" s="34">
        <f>SUM(D84:D86)</f>
        <v>-5704.4400000000005</v>
      </c>
      <c r="E87" s="13"/>
      <c r="F87" s="35">
        <f>IF(D$12=0,0,D87/D$12)</f>
        <v>0</v>
      </c>
      <c r="G87" s="13"/>
      <c r="H87" s="34">
        <f>SUM(H84:H86)</f>
        <v>19193.410000000073</v>
      </c>
      <c r="I87" s="13"/>
      <c r="J87" s="35">
        <f>IF(H$12=0,0,H87/H$12)</f>
        <v>0.12405939417804002</v>
      </c>
      <c r="K87" s="15"/>
      <c r="L87" s="34">
        <f>+D87-H87</f>
        <v>-24897.850000000071</v>
      </c>
      <c r="M87" s="15"/>
      <c r="N87" s="35">
        <f>IF(H87=0,0,L87/H87)</f>
        <v>-1.2972082605435917</v>
      </c>
      <c r="O87" s="26"/>
      <c r="P87" s="34">
        <f>SUM(P84:P86)</f>
        <v>-28102.84</v>
      </c>
      <c r="Q87" s="13"/>
      <c r="R87" s="35">
        <f>IF(P$12=0,0,P87/P$12)</f>
        <v>0</v>
      </c>
      <c r="S87" s="13"/>
      <c r="T87" s="34">
        <f>SUM(T84:T86)</f>
        <v>-58251.019999999946</v>
      </c>
      <c r="U87" s="13"/>
      <c r="V87" s="35">
        <f>IF(T$12=0,0,T87/T$12)</f>
        <v>-0.17877556564749381</v>
      </c>
      <c r="W87" s="15"/>
      <c r="X87" s="34">
        <f>+P87-T87</f>
        <v>30148.179999999946</v>
      </c>
      <c r="Y87" s="15"/>
      <c r="Z87" s="35">
        <f>IF(T87=0,0,X87/T87)</f>
        <v>-0.51755625910069858</v>
      </c>
    </row>
    <row r="88" spans="1:26" ht="15.75" thickTop="1" x14ac:dyDescent="0.25">
      <c r="A88" s="9"/>
      <c r="C88" s="9"/>
      <c r="D88" s="18"/>
      <c r="E88" s="18"/>
      <c r="G88" s="18"/>
      <c r="H88" s="18"/>
      <c r="I88" s="18"/>
      <c r="J88" s="43"/>
      <c r="K88" s="18"/>
      <c r="L88" s="18"/>
      <c r="M88" s="18"/>
      <c r="P88" s="18"/>
      <c r="Q88" s="18"/>
      <c r="R88" s="43"/>
      <c r="S88" s="18"/>
      <c r="T88" s="18"/>
      <c r="U88" s="18"/>
      <c r="V88" s="43"/>
      <c r="W88" s="18"/>
      <c r="X88" s="18"/>
    </row>
    <row r="89" spans="1:26" x14ac:dyDescent="0.25">
      <c r="A89" s="9"/>
      <c r="B89" s="56">
        <v>44151.572681018515</v>
      </c>
      <c r="D89" s="18"/>
      <c r="E89" s="18"/>
      <c r="G89" s="18"/>
      <c r="H89" s="18"/>
      <c r="I89" s="18"/>
      <c r="J89" s="43"/>
      <c r="K89" s="18"/>
      <c r="L89" s="18"/>
      <c r="M89" s="18"/>
      <c r="P89" s="18"/>
      <c r="Q89" s="18"/>
      <c r="R89" s="43"/>
      <c r="S89" s="18"/>
      <c r="T89" s="18"/>
      <c r="U89" s="18"/>
      <c r="V89" s="43"/>
      <c r="W89" s="18"/>
      <c r="X89" s="18"/>
    </row>
    <row r="90" spans="1:26" x14ac:dyDescent="0.25">
      <c r="A90" s="9"/>
      <c r="B90" s="62" t="s">
        <v>313</v>
      </c>
      <c r="D90" s="18"/>
      <c r="E90" s="18"/>
      <c r="G90" s="18"/>
      <c r="H90" s="18"/>
      <c r="I90" s="18"/>
      <c r="J90" s="43"/>
      <c r="K90" s="18"/>
      <c r="L90" s="18"/>
      <c r="M90" s="18"/>
      <c r="P90" s="18"/>
      <c r="Q90" s="18"/>
      <c r="R90" s="43"/>
      <c r="S90" s="18"/>
      <c r="T90" s="18"/>
      <c r="U90" s="18"/>
      <c r="V90" s="43"/>
      <c r="W90" s="18"/>
      <c r="X90" s="18"/>
    </row>
    <row r="91" spans="1:26" x14ac:dyDescent="0.25">
      <c r="A91" s="9"/>
      <c r="B91" s="54"/>
      <c r="D91" s="18"/>
      <c r="E91" s="18"/>
      <c r="G91" s="18"/>
      <c r="H91" s="18"/>
      <c r="I91" s="18"/>
      <c r="J91" s="43"/>
      <c r="K91" s="18"/>
      <c r="L91" s="18"/>
      <c r="M91" s="18"/>
      <c r="P91" s="18"/>
      <c r="Q91" s="18"/>
      <c r="R91" s="43"/>
      <c r="S91" s="18"/>
      <c r="T91" s="18"/>
      <c r="U91" s="18"/>
      <c r="V91" s="43"/>
      <c r="W91" s="18"/>
      <c r="X91" s="18"/>
    </row>
    <row r="92" spans="1:26" x14ac:dyDescent="0.25">
      <c r="D92" s="18"/>
      <c r="E92" s="18"/>
      <c r="G92" s="18"/>
      <c r="H92" s="18"/>
      <c r="I92" s="18"/>
      <c r="J92" s="43"/>
      <c r="K92" s="18"/>
      <c r="L92" s="18"/>
      <c r="M92" s="18"/>
      <c r="P92" s="18"/>
      <c r="Q92" s="18"/>
      <c r="R92" s="43"/>
      <c r="S92" s="18"/>
      <c r="T92" s="18"/>
      <c r="U92" s="18"/>
      <c r="V92" s="43"/>
      <c r="W92" s="18"/>
      <c r="X92" s="18"/>
    </row>
  </sheetData>
  <pageMargins left="0.25" right="0.25" top="0.75" bottom="0.75" header="0.3" footer="0.3"/>
  <pageSetup scale="55" fitToWidth="2" orientation="landscape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",RIGHT(202104,2),", ",2021)</f>
        <v>Period 04,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44135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","406", " - ", "OPA! Greek")</f>
        <v>Department 406 - OPA! Greek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61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50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50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2"/>
      <c r="F10" s="31" t="s">
        <v>14</v>
      </c>
      <c r="G10" s="32"/>
      <c r="H10" s="49" t="s">
        <v>306</v>
      </c>
      <c r="I10" s="32"/>
      <c r="J10" s="31" t="s">
        <v>14</v>
      </c>
      <c r="K10" s="10"/>
      <c r="L10" s="42" t="s">
        <v>11</v>
      </c>
      <c r="M10" s="10"/>
      <c r="N10" s="31" t="s">
        <v>15</v>
      </c>
      <c r="O10" s="10"/>
      <c r="P10" s="59" t="s">
        <v>10</v>
      </c>
      <c r="Q10" s="32"/>
      <c r="R10" s="31" t="s">
        <v>14</v>
      </c>
      <c r="S10" s="32"/>
      <c r="T10" s="49" t="s">
        <v>306</v>
      </c>
      <c r="U10" s="32"/>
      <c r="V10" s="31" t="s">
        <v>14</v>
      </c>
      <c r="W10" s="10"/>
      <c r="X10" s="42" t="s">
        <v>11</v>
      </c>
      <c r="Y10" s="10"/>
      <c r="Z10" s="31" t="s">
        <v>15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43350.97</v>
      </c>
      <c r="I12" s="4"/>
      <c r="J12" s="12"/>
      <c r="K12" s="4"/>
      <c r="L12" s="4">
        <f t="shared" ref="L12:L14" si="0">+D12-H12</f>
        <v>-43350.97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99092.28</v>
      </c>
      <c r="U12" s="4"/>
      <c r="V12" s="12"/>
      <c r="W12" s="4"/>
      <c r="X12" s="4">
        <f t="shared" ref="X12:X14" si="2">+P12-T12</f>
        <v>-99092.28</v>
      </c>
      <c r="Y12" s="4"/>
      <c r="Z12" s="12">
        <f t="shared" ref="Z12:Z14" si="3">IF(T12=0,0,X12/T12)</f>
        <v>-1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 t="shared" ref="D13:D14" si="4">0</f>
        <v>0</v>
      </c>
      <c r="E13" s="2"/>
      <c r="F13" s="19"/>
      <c r="G13" s="2"/>
      <c r="H13" s="2">
        <f>--10152.62</f>
        <v>10152.620000000001</v>
      </c>
      <c r="I13" s="2"/>
      <c r="J13" s="19"/>
      <c r="K13" s="2"/>
      <c r="L13" s="2">
        <f t="shared" si="0"/>
        <v>-10152.620000000001</v>
      </c>
      <c r="M13" s="2"/>
      <c r="N13" s="19">
        <f t="shared" si="1"/>
        <v>-1</v>
      </c>
      <c r="O13" s="11"/>
      <c r="P13" s="2">
        <f t="shared" ref="P13:P14" si="5">0</f>
        <v>0</v>
      </c>
      <c r="Q13" s="2"/>
      <c r="R13" s="19"/>
      <c r="S13" s="2"/>
      <c r="T13" s="2">
        <f>--24641.87</f>
        <v>24641.87</v>
      </c>
      <c r="U13" s="2"/>
      <c r="V13" s="19"/>
      <c r="W13" s="2"/>
      <c r="X13" s="2">
        <f t="shared" si="2"/>
        <v>-24641.87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 t="shared" si="4"/>
        <v>0</v>
      </c>
      <c r="E14" s="2"/>
      <c r="F14" s="19"/>
      <c r="G14" s="2"/>
      <c r="H14" s="2">
        <f>--33198.35</f>
        <v>33198.35</v>
      </c>
      <c r="I14" s="2"/>
      <c r="J14" s="19"/>
      <c r="K14" s="2"/>
      <c r="L14" s="2">
        <f t="shared" si="0"/>
        <v>-33198.35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f>--74450.41</f>
        <v>74450.41</v>
      </c>
      <c r="U14" s="2"/>
      <c r="V14" s="19"/>
      <c r="W14" s="2"/>
      <c r="X14" s="2">
        <f t="shared" si="2"/>
        <v>-74450.41</v>
      </c>
      <c r="Y14" s="2"/>
      <c r="Z14" s="19">
        <f t="shared" si="3"/>
        <v>-1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6" t="s">
        <v>8</v>
      </c>
      <c r="C16" s="10"/>
      <c r="D16" s="4">
        <f>SUM(OSRRefD16x_0)</f>
        <v>0</v>
      </c>
      <c r="E16" s="4"/>
      <c r="F16" s="12">
        <f t="shared" ref="F16:F18" si="6">IF(D$12=0,0,D16/D$12)</f>
        <v>0</v>
      </c>
      <c r="G16" s="4"/>
      <c r="H16" s="4">
        <f>SUM(OSRRefH16x_0)</f>
        <v>14893.62</v>
      </c>
      <c r="I16" s="4"/>
      <c r="J16" s="12">
        <f t="shared" ref="J16:J18" si="7">IF(H$12=0,0,H16/H$12)</f>
        <v>0.34355909452545125</v>
      </c>
      <c r="K16" s="4"/>
      <c r="L16" s="4">
        <f t="shared" ref="L16:L18" si="8">+D16-H16</f>
        <v>-14893.62</v>
      </c>
      <c r="M16" s="4"/>
      <c r="N16" s="12">
        <f t="shared" ref="N16:N18" si="9">IF(H16=0,0,L16/H16)</f>
        <v>-1</v>
      </c>
      <c r="O16" s="10"/>
      <c r="P16" s="4">
        <f>SUM(OSRRefP16x_0)</f>
        <v>0</v>
      </c>
      <c r="Q16" s="4"/>
      <c r="R16" s="12">
        <f t="shared" ref="R16:R18" si="10">IF(P$12=0,0,P16/P$12)</f>
        <v>0</v>
      </c>
      <c r="S16" s="4"/>
      <c r="T16" s="4">
        <f>SUM(OSRRefT16x_0)</f>
        <v>33639.449999999997</v>
      </c>
      <c r="U16" s="4"/>
      <c r="V16" s="12">
        <f t="shared" ref="V16:V18" si="11">IF(T$12=0,0,T16/T$12)</f>
        <v>0.33947599146976937</v>
      </c>
      <c r="W16" s="4"/>
      <c r="X16" s="4">
        <f t="shared" ref="X16:X18" si="12">+P16-T16</f>
        <v>-33639.449999999997</v>
      </c>
      <c r="Y16" s="4"/>
      <c r="Z16" s="12">
        <f t="shared" ref="Z16:Z18" si="13">IF(T16=0,0,X16/T16)</f>
        <v>-1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6"/>
        <v>0</v>
      </c>
      <c r="G17" s="2"/>
      <c r="H17" s="2">
        <v>14933.62</v>
      </c>
      <c r="I17" s="2"/>
      <c r="J17" s="19">
        <f t="shared" si="7"/>
        <v>0.34448179590906503</v>
      </c>
      <c r="K17" s="2"/>
      <c r="L17" s="2">
        <f t="shared" si="8"/>
        <v>-14933.62</v>
      </c>
      <c r="M17" s="2"/>
      <c r="N17" s="19">
        <f t="shared" si="9"/>
        <v>-1</v>
      </c>
      <c r="O17" s="11"/>
      <c r="P17" s="2"/>
      <c r="Q17" s="2"/>
      <c r="R17" s="19">
        <f t="shared" si="10"/>
        <v>0</v>
      </c>
      <c r="S17" s="2"/>
      <c r="T17" s="2">
        <v>37764.449999999997</v>
      </c>
      <c r="U17" s="2"/>
      <c r="V17" s="19">
        <f t="shared" si="11"/>
        <v>0.38110385592096574</v>
      </c>
      <c r="W17" s="2"/>
      <c r="X17" s="2">
        <f t="shared" si="12"/>
        <v>-37764.449999999997</v>
      </c>
      <c r="Y17" s="2"/>
      <c r="Z17" s="19">
        <f t="shared" si="13"/>
        <v>-1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/>
      <c r="E18" s="2"/>
      <c r="F18" s="19">
        <f t="shared" si="6"/>
        <v>0</v>
      </c>
      <c r="G18" s="2"/>
      <c r="H18" s="2">
        <v>-40</v>
      </c>
      <c r="I18" s="2"/>
      <c r="J18" s="19">
        <f t="shared" si="7"/>
        <v>-9.2270138361379226E-4</v>
      </c>
      <c r="K18" s="2"/>
      <c r="L18" s="2">
        <f t="shared" si="8"/>
        <v>40</v>
      </c>
      <c r="M18" s="2"/>
      <c r="N18" s="19">
        <f t="shared" si="9"/>
        <v>-1</v>
      </c>
      <c r="O18" s="11"/>
      <c r="P18" s="2"/>
      <c r="Q18" s="2"/>
      <c r="R18" s="19">
        <f t="shared" si="10"/>
        <v>0</v>
      </c>
      <c r="S18" s="2"/>
      <c r="T18" s="2">
        <v>-4125</v>
      </c>
      <c r="U18" s="2"/>
      <c r="V18" s="19">
        <f t="shared" si="11"/>
        <v>-4.16278644511964E-2</v>
      </c>
      <c r="W18" s="2"/>
      <c r="X18" s="2">
        <f t="shared" si="12"/>
        <v>4125</v>
      </c>
      <c r="Y18" s="2"/>
      <c r="Z18" s="19">
        <f t="shared" si="13"/>
        <v>-1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5" t="s">
        <v>6</v>
      </c>
      <c r="C20" s="25"/>
      <c r="D20" s="20">
        <f>D12-D16</f>
        <v>0</v>
      </c>
      <c r="E20" s="13"/>
      <c r="F20" s="21">
        <f>IF(D$12=0,0,D20/D$12)</f>
        <v>0</v>
      </c>
      <c r="G20" s="13"/>
      <c r="H20" s="20">
        <f>H12-H16</f>
        <v>28457.35</v>
      </c>
      <c r="I20" s="13"/>
      <c r="J20" s="21">
        <f>IF(H$12=0,0,H20/H$12)</f>
        <v>0.6564409054745487</v>
      </c>
      <c r="K20" s="15"/>
      <c r="L20" s="20">
        <f>+D20-H20</f>
        <v>-28457.35</v>
      </c>
      <c r="M20" s="15"/>
      <c r="N20" s="21">
        <f>IF(H20=0,0,L20/H20)</f>
        <v>-1</v>
      </c>
      <c r="O20" s="26"/>
      <c r="P20" s="20">
        <f>P12-P16</f>
        <v>0</v>
      </c>
      <c r="Q20" s="13"/>
      <c r="R20" s="21">
        <f>IF(P$12=0,0,P20/P$12)</f>
        <v>0</v>
      </c>
      <c r="S20" s="13"/>
      <c r="T20" s="20">
        <f>T12-T16</f>
        <v>65452.83</v>
      </c>
      <c r="U20" s="13"/>
      <c r="V20" s="21">
        <f>IF(T$12=0,0,T20/T$12)</f>
        <v>0.66052400853023063</v>
      </c>
      <c r="W20" s="15"/>
      <c r="X20" s="20">
        <f>+P20-T20</f>
        <v>-65452.83</v>
      </c>
      <c r="Y20" s="15"/>
      <c r="Z20" s="21">
        <f>IF(T20=0,0,X20/T20)</f>
        <v>-1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6" t="s">
        <v>9</v>
      </c>
      <c r="C22" s="10"/>
      <c r="D22" s="22">
        <f>SUM(OSRRefD22x_0)</f>
        <v>132.75</v>
      </c>
      <c r="E22" s="22"/>
      <c r="F22" s="36">
        <f t="shared" ref="F22:F31" si="14">IF(D$12=0,0,D22/D$12)</f>
        <v>0</v>
      </c>
      <c r="G22" s="22"/>
      <c r="H22" s="22">
        <f>SUM(OSRRefH22x_0)</f>
        <v>29349.58</v>
      </c>
      <c r="I22" s="22"/>
      <c r="J22" s="36">
        <f t="shared" ref="J22:J31" si="15">IF(H$12=0,0,H22/H$12)</f>
        <v>0.6770224518620922</v>
      </c>
      <c r="K22" s="4"/>
      <c r="L22" s="22">
        <f t="shared" ref="L22:L31" si="16">+D22-H22</f>
        <v>-29216.83</v>
      </c>
      <c r="M22" s="4"/>
      <c r="N22" s="36">
        <f t="shared" ref="N22:N31" si="17">IF(H22=0,0,L22/H22)</f>
        <v>-0.99547693697831452</v>
      </c>
      <c r="O22" s="10"/>
      <c r="P22" s="22">
        <f>SUM(OSRRefP22x_0)</f>
        <v>1436.11</v>
      </c>
      <c r="Q22" s="22"/>
      <c r="R22" s="36">
        <f t="shared" ref="R22:R31" si="18">IF(P$12=0,0,P22/P$12)</f>
        <v>0</v>
      </c>
      <c r="S22" s="22"/>
      <c r="T22" s="22">
        <f>SUM(OSRRefT22x_0)</f>
        <v>88431.080000000031</v>
      </c>
      <c r="U22" s="22"/>
      <c r="V22" s="36">
        <f t="shared" ref="V22:V31" si="19">IF(T$12=0,0,T22/T$12)</f>
        <v>0.89241139673040148</v>
      </c>
      <c r="W22" s="4"/>
      <c r="X22" s="22">
        <f t="shared" ref="X22:X31" si="20">+P22-T22</f>
        <v>-86994.97000000003</v>
      </c>
      <c r="Y22" s="4"/>
      <c r="Z22" s="36">
        <f t="shared" ref="Z22:Z31" si="21">IF(T22=0,0,X22/T22)</f>
        <v>-0.98376012144146607</v>
      </c>
    </row>
    <row r="23" spans="1:26" s="29" customFormat="1" outlineLevel="1" collapsed="1" x14ac:dyDescent="0.25">
      <c r="A23" s="27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0</v>
      </c>
      <c r="E23" s="1"/>
      <c r="F23" s="5">
        <f t="shared" si="14"/>
        <v>0</v>
      </c>
      <c r="G23" s="1"/>
      <c r="H23" s="1">
        <f>SUM(OSRRefH22_0x_0)</f>
        <v>2646.1299999999997</v>
      </c>
      <c r="I23" s="1"/>
      <c r="J23" s="5">
        <f t="shared" si="15"/>
        <v>6.1039695305549091E-2</v>
      </c>
      <c r="K23" s="1"/>
      <c r="L23" s="1">
        <f t="shared" si="16"/>
        <v>-2646.1299999999997</v>
      </c>
      <c r="M23" s="1"/>
      <c r="N23" s="5">
        <f t="shared" si="17"/>
        <v>-1</v>
      </c>
      <c r="O23" s="14"/>
      <c r="P23" s="1">
        <f>SUM(OSRRefP22_0x_0)</f>
        <v>660.8</v>
      </c>
      <c r="Q23" s="1"/>
      <c r="R23" s="5">
        <f t="shared" si="18"/>
        <v>0</v>
      </c>
      <c r="S23" s="1"/>
      <c r="T23" s="1">
        <f>SUM(OSRRefT22_0x_0)</f>
        <v>8649.16</v>
      </c>
      <c r="U23" s="1"/>
      <c r="V23" s="5">
        <f t="shared" si="19"/>
        <v>8.728389335677815E-2</v>
      </c>
      <c r="W23" s="1"/>
      <c r="X23" s="1">
        <f t="shared" si="20"/>
        <v>-7988.36</v>
      </c>
      <c r="Y23" s="1"/>
      <c r="Z23" s="5">
        <f t="shared" si="21"/>
        <v>-0.92359951717854682</v>
      </c>
    </row>
    <row r="24" spans="1:26" s="24" customFormat="1" hidden="1" outlineLevel="2" x14ac:dyDescent="0.25">
      <c r="A24" s="28"/>
      <c r="B24" s="11" t="str">
        <f>CONCATENATE("          ", "6111", " - ", "F.I.C.A.")</f>
        <v xml:space="preserve">          6111 - F.I.C.A.</v>
      </c>
      <c r="C24" s="11"/>
      <c r="D24" s="6"/>
      <c r="E24" s="2"/>
      <c r="F24" s="7">
        <f t="shared" si="14"/>
        <v>0</v>
      </c>
      <c r="G24" s="2"/>
      <c r="H24" s="6">
        <v>1471.27</v>
      </c>
      <c r="I24" s="2"/>
      <c r="J24" s="7">
        <f t="shared" si="15"/>
        <v>3.39385716167366E-2</v>
      </c>
      <c r="K24" s="2"/>
      <c r="L24" s="6">
        <f t="shared" si="16"/>
        <v>-1471.27</v>
      </c>
      <c r="M24" s="2"/>
      <c r="N24" s="7">
        <f t="shared" si="17"/>
        <v>-1</v>
      </c>
      <c r="O24" s="11"/>
      <c r="P24" s="6"/>
      <c r="Q24" s="2"/>
      <c r="R24" s="7">
        <f t="shared" si="18"/>
        <v>0</v>
      </c>
      <c r="S24" s="2"/>
      <c r="T24" s="6">
        <v>3192.23</v>
      </c>
      <c r="U24" s="2"/>
      <c r="V24" s="7">
        <f t="shared" si="19"/>
        <v>3.2214719451404285E-2</v>
      </c>
      <c r="W24" s="2"/>
      <c r="X24" s="6">
        <f t="shared" si="20"/>
        <v>-3192.23</v>
      </c>
      <c r="Y24" s="2"/>
      <c r="Z24" s="7">
        <f t="shared" si="21"/>
        <v>-1</v>
      </c>
    </row>
    <row r="25" spans="1:26" s="24" customFormat="1" hidden="1" outlineLevel="2" x14ac:dyDescent="0.25">
      <c r="A25" s="28"/>
      <c r="B25" s="11" t="str">
        <f>CONCATENATE("          ", "6112", " - ", "COMPENSATION INSURANCE")</f>
        <v xml:space="preserve">          6112 - COMPENSATION INSURANCE</v>
      </c>
      <c r="C25" s="11"/>
      <c r="D25" s="6"/>
      <c r="E25" s="2"/>
      <c r="F25" s="7">
        <f t="shared" si="14"/>
        <v>0</v>
      </c>
      <c r="G25" s="2"/>
      <c r="H25" s="6">
        <v>25.87</v>
      </c>
      <c r="I25" s="2"/>
      <c r="J25" s="7">
        <f t="shared" si="15"/>
        <v>5.9675711985222011E-4</v>
      </c>
      <c r="K25" s="2"/>
      <c r="L25" s="6">
        <f t="shared" si="16"/>
        <v>-25.87</v>
      </c>
      <c r="M25" s="2"/>
      <c r="N25" s="7">
        <f t="shared" si="17"/>
        <v>-1</v>
      </c>
      <c r="O25" s="11"/>
      <c r="P25" s="6"/>
      <c r="Q25" s="2"/>
      <c r="R25" s="7">
        <f t="shared" si="18"/>
        <v>0</v>
      </c>
      <c r="S25" s="2"/>
      <c r="T25" s="6">
        <v>1270.69</v>
      </c>
      <c r="U25" s="2"/>
      <c r="V25" s="7">
        <f t="shared" si="19"/>
        <v>1.2823299655634123E-2</v>
      </c>
      <c r="W25" s="2"/>
      <c r="X25" s="6">
        <f t="shared" si="20"/>
        <v>-1270.69</v>
      </c>
      <c r="Y25" s="2"/>
      <c r="Z25" s="7">
        <f t="shared" si="21"/>
        <v>-1</v>
      </c>
    </row>
    <row r="26" spans="1:26" s="24" customFormat="1" hidden="1" outlineLevel="2" x14ac:dyDescent="0.25">
      <c r="A26" s="28"/>
      <c r="B26" s="11" t="str">
        <f>CONCATENATE("          ", "6113", " - ", "GROUP INSURANCE")</f>
        <v xml:space="preserve">          6113 - GROUP INSURANCE</v>
      </c>
      <c r="C26" s="11"/>
      <c r="D26" s="6"/>
      <c r="E26" s="2"/>
      <c r="F26" s="7">
        <f t="shared" si="14"/>
        <v>0</v>
      </c>
      <c r="G26" s="2"/>
      <c r="H26" s="6">
        <v>34.97</v>
      </c>
      <c r="I26" s="2"/>
      <c r="J26" s="7">
        <f t="shared" si="15"/>
        <v>8.0667168462435787E-4</v>
      </c>
      <c r="K26" s="2"/>
      <c r="L26" s="6">
        <f t="shared" si="16"/>
        <v>-34.97</v>
      </c>
      <c r="M26" s="2"/>
      <c r="N26" s="7">
        <f t="shared" si="17"/>
        <v>-1</v>
      </c>
      <c r="O26" s="11"/>
      <c r="P26" s="6">
        <v>660.8</v>
      </c>
      <c r="Q26" s="2"/>
      <c r="R26" s="7">
        <f t="shared" si="18"/>
        <v>0</v>
      </c>
      <c r="S26" s="2"/>
      <c r="T26" s="6">
        <v>139.88</v>
      </c>
      <c r="U26" s="2"/>
      <c r="V26" s="7">
        <f t="shared" si="19"/>
        <v>1.4116134980444491E-3</v>
      </c>
      <c r="W26" s="2"/>
      <c r="X26" s="6">
        <f t="shared" si="20"/>
        <v>520.91999999999996</v>
      </c>
      <c r="Y26" s="2"/>
      <c r="Z26" s="7">
        <f t="shared" si="21"/>
        <v>3.7240491850157276</v>
      </c>
    </row>
    <row r="27" spans="1:26" s="24" customFormat="1" hidden="1" outlineLevel="2" x14ac:dyDescent="0.25">
      <c r="A27" s="28"/>
      <c r="B27" s="11" t="str">
        <f>CONCATENATE("          ", "6114", " - ", "STATE UNEMPLOYMENT INSURANCE")</f>
        <v xml:space="preserve">          6114 - STATE UNEMPLOYMENT INSURANCE</v>
      </c>
      <c r="C27" s="11"/>
      <c r="D27" s="6"/>
      <c r="E27" s="2"/>
      <c r="F27" s="7">
        <f t="shared" si="14"/>
        <v>0</v>
      </c>
      <c r="G27" s="2"/>
      <c r="H27" s="6">
        <v>52.24</v>
      </c>
      <c r="I27" s="2"/>
      <c r="J27" s="7">
        <f t="shared" si="15"/>
        <v>1.2050480069996127E-3</v>
      </c>
      <c r="K27" s="2"/>
      <c r="L27" s="6">
        <f t="shared" si="16"/>
        <v>-52.24</v>
      </c>
      <c r="M27" s="2"/>
      <c r="N27" s="7">
        <f t="shared" si="17"/>
        <v>-1</v>
      </c>
      <c r="O27" s="11"/>
      <c r="P27" s="6"/>
      <c r="Q27" s="2"/>
      <c r="R27" s="7">
        <f t="shared" si="18"/>
        <v>0</v>
      </c>
      <c r="S27" s="2"/>
      <c r="T27" s="6">
        <v>135.65</v>
      </c>
      <c r="U27" s="2"/>
      <c r="V27" s="7">
        <f t="shared" si="19"/>
        <v>1.3689260152254042E-3</v>
      </c>
      <c r="W27" s="2"/>
      <c r="X27" s="6">
        <f t="shared" si="20"/>
        <v>-135.65</v>
      </c>
      <c r="Y27" s="2"/>
      <c r="Z27" s="7">
        <f t="shared" si="21"/>
        <v>-1</v>
      </c>
    </row>
    <row r="28" spans="1:26" s="24" customFormat="1" hidden="1" outlineLevel="2" x14ac:dyDescent="0.25">
      <c r="A28" s="28"/>
      <c r="B28" s="11" t="str">
        <f>CONCATENATE("          ", "6115", " - ", "P.E.R.S.")</f>
        <v xml:space="preserve">          6115 - P.E.R.S.</v>
      </c>
      <c r="C28" s="11"/>
      <c r="D28" s="6"/>
      <c r="E28" s="2"/>
      <c r="F28" s="7">
        <f t="shared" si="14"/>
        <v>0</v>
      </c>
      <c r="G28" s="2"/>
      <c r="H28" s="6">
        <v>315.45</v>
      </c>
      <c r="I28" s="2"/>
      <c r="J28" s="7">
        <f t="shared" si="15"/>
        <v>7.2766537865242686E-3</v>
      </c>
      <c r="K28" s="2"/>
      <c r="L28" s="6">
        <f t="shared" si="16"/>
        <v>-315.45</v>
      </c>
      <c r="M28" s="2"/>
      <c r="N28" s="7">
        <f t="shared" si="17"/>
        <v>-1</v>
      </c>
      <c r="O28" s="11"/>
      <c r="P28" s="6"/>
      <c r="Q28" s="2"/>
      <c r="R28" s="7">
        <f t="shared" si="18"/>
        <v>0</v>
      </c>
      <c r="S28" s="2"/>
      <c r="T28" s="6">
        <v>1261.8</v>
      </c>
      <c r="U28" s="2"/>
      <c r="V28" s="7">
        <f t="shared" si="19"/>
        <v>1.2733585300489604E-2</v>
      </c>
      <c r="W28" s="2"/>
      <c r="X28" s="6">
        <f t="shared" si="20"/>
        <v>-1261.8</v>
      </c>
      <c r="Y28" s="2"/>
      <c r="Z28" s="7">
        <f t="shared" si="21"/>
        <v>-1</v>
      </c>
    </row>
    <row r="29" spans="1:26" s="24" customFormat="1" hidden="1" outlineLevel="2" x14ac:dyDescent="0.25">
      <c r="A29" s="28"/>
      <c r="B29" s="11" t="str">
        <f>CONCATENATE("          ", "6118", " - ", "VACATION")</f>
        <v xml:space="preserve">          6118 - VACATION</v>
      </c>
      <c r="C29" s="11"/>
      <c r="D29" s="6"/>
      <c r="E29" s="2"/>
      <c r="F29" s="7">
        <f t="shared" si="14"/>
        <v>0</v>
      </c>
      <c r="G29" s="2"/>
      <c r="H29" s="6">
        <v>260.82</v>
      </c>
      <c r="I29" s="2"/>
      <c r="J29" s="7">
        <f t="shared" si="15"/>
        <v>6.0164743718537318E-3</v>
      </c>
      <c r="K29" s="2"/>
      <c r="L29" s="6">
        <f t="shared" si="16"/>
        <v>-260.82</v>
      </c>
      <c r="M29" s="2"/>
      <c r="N29" s="7">
        <f t="shared" si="17"/>
        <v>-1</v>
      </c>
      <c r="O29" s="11"/>
      <c r="P29" s="6"/>
      <c r="Q29" s="2"/>
      <c r="R29" s="7">
        <f t="shared" si="18"/>
        <v>0</v>
      </c>
      <c r="S29" s="2"/>
      <c r="T29" s="6">
        <v>852.41</v>
      </c>
      <c r="U29" s="2"/>
      <c r="V29" s="7">
        <f t="shared" si="19"/>
        <v>8.6021837422652903E-3</v>
      </c>
      <c r="W29" s="2"/>
      <c r="X29" s="6">
        <f t="shared" si="20"/>
        <v>-852.41</v>
      </c>
      <c r="Y29" s="2"/>
      <c r="Z29" s="7">
        <f t="shared" si="21"/>
        <v>-1</v>
      </c>
    </row>
    <row r="30" spans="1:26" s="24" customFormat="1" hidden="1" outlineLevel="2" x14ac:dyDescent="0.25">
      <c r="A30" s="28"/>
      <c r="B30" s="11" t="str">
        <f>CONCATENATE("          ", "6119", " - ", "SICK LEAVE")</f>
        <v xml:space="preserve">          6119 - SICK LEAVE</v>
      </c>
      <c r="C30" s="11"/>
      <c r="D30" s="6"/>
      <c r="E30" s="2"/>
      <c r="F30" s="7">
        <f t="shared" si="14"/>
        <v>0</v>
      </c>
      <c r="G30" s="2"/>
      <c r="H30" s="6">
        <v>312.45</v>
      </c>
      <c r="I30" s="2"/>
      <c r="J30" s="7">
        <f t="shared" si="15"/>
        <v>7.2074511827532346E-3</v>
      </c>
      <c r="K30" s="2"/>
      <c r="L30" s="6">
        <f t="shared" si="16"/>
        <v>-312.45</v>
      </c>
      <c r="M30" s="2"/>
      <c r="N30" s="7">
        <f t="shared" si="17"/>
        <v>-1</v>
      </c>
      <c r="O30" s="11"/>
      <c r="P30" s="6"/>
      <c r="Q30" s="2"/>
      <c r="R30" s="7">
        <f t="shared" si="18"/>
        <v>0</v>
      </c>
      <c r="S30" s="2"/>
      <c r="T30" s="6">
        <v>1059.18</v>
      </c>
      <c r="U30" s="2"/>
      <c r="V30" s="7">
        <f t="shared" si="19"/>
        <v>1.0688824598646838E-2</v>
      </c>
      <c r="W30" s="2"/>
      <c r="X30" s="6">
        <f t="shared" si="20"/>
        <v>-1059.18</v>
      </c>
      <c r="Y30" s="2"/>
      <c r="Z30" s="7">
        <f t="shared" si="21"/>
        <v>-1</v>
      </c>
    </row>
    <row r="31" spans="1:26" s="24" customFormat="1" hidden="1" outlineLevel="2" x14ac:dyDescent="0.25">
      <c r="A31" s="28"/>
      <c r="B31" s="11" t="str">
        <f>CONCATENATE("          ", "6156", " - ", "EMPLOYEE MEALS")</f>
        <v xml:space="preserve">          6156 - EMPLOYEE MEALS</v>
      </c>
      <c r="C31" s="11"/>
      <c r="D31" s="6"/>
      <c r="E31" s="2"/>
      <c r="F31" s="7">
        <f t="shared" si="14"/>
        <v>0</v>
      </c>
      <c r="G31" s="2"/>
      <c r="H31" s="6">
        <v>173.06</v>
      </c>
      <c r="I31" s="2"/>
      <c r="J31" s="7">
        <f t="shared" si="15"/>
        <v>3.9920675362050718E-3</v>
      </c>
      <c r="K31" s="2"/>
      <c r="L31" s="6">
        <f t="shared" si="16"/>
        <v>-173.06</v>
      </c>
      <c r="M31" s="2"/>
      <c r="N31" s="7">
        <f t="shared" si="17"/>
        <v>-1</v>
      </c>
      <c r="O31" s="11"/>
      <c r="P31" s="6"/>
      <c r="Q31" s="2"/>
      <c r="R31" s="7">
        <f t="shared" si="18"/>
        <v>0</v>
      </c>
      <c r="S31" s="2"/>
      <c r="T31" s="6">
        <v>737.32</v>
      </c>
      <c r="U31" s="2"/>
      <c r="V31" s="7">
        <f t="shared" si="19"/>
        <v>7.4407410950681529E-3</v>
      </c>
      <c r="W31" s="2"/>
      <c r="X31" s="6">
        <f t="shared" si="20"/>
        <v>-737.32</v>
      </c>
      <c r="Y31" s="2"/>
      <c r="Z31" s="7">
        <f t="shared" si="21"/>
        <v>-1</v>
      </c>
    </row>
    <row r="32" spans="1:26" s="29" customFormat="1" outlineLevel="1" collapsed="1" x14ac:dyDescent="0.25">
      <c r="A32" s="27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0</v>
      </c>
      <c r="E32" s="1"/>
      <c r="F32" s="5">
        <f t="shared" ref="F32:F37" si="22">IF(D$12=0,0,D32/D$12)</f>
        <v>0</v>
      </c>
      <c r="G32" s="1"/>
      <c r="H32" s="1">
        <f>SUM(OSRRefH22_1x_0)</f>
        <v>18973.2</v>
      </c>
      <c r="I32" s="1"/>
      <c r="J32" s="5">
        <f t="shared" ref="J32:J37" si="23">IF(H$12=0,0,H32/H$12)</f>
        <v>0.43766494728953009</v>
      </c>
      <c r="K32" s="1"/>
      <c r="L32" s="1">
        <f t="shared" ref="L32:L37" si="24">+D32-H32</f>
        <v>-18973.2</v>
      </c>
      <c r="M32" s="1"/>
      <c r="N32" s="5">
        <f t="shared" ref="N32:N37" si="25">IF(H32=0,0,L32/H32)</f>
        <v>-1</v>
      </c>
      <c r="O32" s="14"/>
      <c r="P32" s="1">
        <f>SUM(OSRRefP22_1x_0)</f>
        <v>0</v>
      </c>
      <c r="Q32" s="1"/>
      <c r="R32" s="5">
        <f t="shared" ref="R32:R37" si="26">IF(P$12=0,0,P32/P$12)</f>
        <v>0</v>
      </c>
      <c r="S32" s="1"/>
      <c r="T32" s="1">
        <f>SUM(OSRRefT22_1x_0)</f>
        <v>52950.320000000007</v>
      </c>
      <c r="U32" s="1"/>
      <c r="V32" s="5">
        <f t="shared" ref="V32:V37" si="27">IF(T$12=0,0,T32/T$12)</f>
        <v>0.53435363481393316</v>
      </c>
      <c r="W32" s="1"/>
      <c r="X32" s="1">
        <f t="shared" ref="X32:X37" si="28">+P32-T32</f>
        <v>-52950.320000000007</v>
      </c>
      <c r="Y32" s="1"/>
      <c r="Z32" s="5">
        <f t="shared" ref="Z32:Z37" si="29">IF(T32=0,0,X32/T32)</f>
        <v>-1</v>
      </c>
    </row>
    <row r="33" spans="1:26" s="24" customFormat="1" hidden="1" outlineLevel="2" x14ac:dyDescent="0.25">
      <c r="A33" s="28"/>
      <c r="B33" s="11" t="str">
        <f>CONCATENATE("          ", "6002", " - ", "STAFF SALARIES")</f>
        <v xml:space="preserve">          6002 - STAFF SALARIES</v>
      </c>
      <c r="C33" s="11"/>
      <c r="D33" s="6"/>
      <c r="E33" s="2"/>
      <c r="F33" s="7">
        <f t="shared" si="22"/>
        <v>0</v>
      </c>
      <c r="G33" s="2"/>
      <c r="H33" s="6">
        <v>5062.88</v>
      </c>
      <c r="I33" s="2"/>
      <c r="J33" s="7">
        <f t="shared" si="23"/>
        <v>0.11678815952676491</v>
      </c>
      <c r="K33" s="2"/>
      <c r="L33" s="6">
        <f t="shared" si="24"/>
        <v>-5062.88</v>
      </c>
      <c r="M33" s="2"/>
      <c r="N33" s="7">
        <f t="shared" si="25"/>
        <v>-1</v>
      </c>
      <c r="O33" s="11"/>
      <c r="P33" s="6"/>
      <c r="Q33" s="2"/>
      <c r="R33" s="7">
        <f t="shared" si="26"/>
        <v>0</v>
      </c>
      <c r="S33" s="2"/>
      <c r="T33" s="6">
        <v>18589.75</v>
      </c>
      <c r="U33" s="2"/>
      <c r="V33" s="7">
        <f t="shared" si="27"/>
        <v>0.18760038622584929</v>
      </c>
      <c r="W33" s="2"/>
      <c r="X33" s="6">
        <f t="shared" si="28"/>
        <v>-18589.75</v>
      </c>
      <c r="Y33" s="2"/>
      <c r="Z33" s="7">
        <f t="shared" si="29"/>
        <v>-1</v>
      </c>
    </row>
    <row r="34" spans="1:26" s="24" customFormat="1" hidden="1" outlineLevel="2" x14ac:dyDescent="0.25">
      <c r="A34" s="28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22"/>
        <v>0</v>
      </c>
      <c r="G34" s="2"/>
      <c r="H34" s="6">
        <v>8154.32</v>
      </c>
      <c r="I34" s="2"/>
      <c r="J34" s="7">
        <f t="shared" si="23"/>
        <v>0.18810005866074045</v>
      </c>
      <c r="K34" s="2"/>
      <c r="L34" s="6">
        <f t="shared" si="24"/>
        <v>-8154.32</v>
      </c>
      <c r="M34" s="2"/>
      <c r="N34" s="7">
        <f t="shared" si="25"/>
        <v>-1</v>
      </c>
      <c r="O34" s="11"/>
      <c r="P34" s="6"/>
      <c r="Q34" s="2"/>
      <c r="R34" s="7">
        <f t="shared" si="26"/>
        <v>0</v>
      </c>
      <c r="S34" s="2"/>
      <c r="T34" s="6">
        <v>17129.070000000003</v>
      </c>
      <c r="U34" s="2"/>
      <c r="V34" s="7">
        <f t="shared" si="27"/>
        <v>0.17285978282061937</v>
      </c>
      <c r="W34" s="2"/>
      <c r="X34" s="6">
        <f t="shared" si="28"/>
        <v>-17129.070000000003</v>
      </c>
      <c r="Y34" s="2"/>
      <c r="Z34" s="7">
        <f t="shared" si="29"/>
        <v>-1</v>
      </c>
    </row>
    <row r="35" spans="1:26" s="24" customFormat="1" hidden="1" outlineLevel="2" x14ac:dyDescent="0.25">
      <c r="A35" s="28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22"/>
        <v>0</v>
      </c>
      <c r="G35" s="2"/>
      <c r="H35" s="6"/>
      <c r="I35" s="2"/>
      <c r="J35" s="7">
        <f t="shared" si="23"/>
        <v>0</v>
      </c>
      <c r="K35" s="2"/>
      <c r="L35" s="6">
        <f t="shared" si="24"/>
        <v>0</v>
      </c>
      <c r="M35" s="2"/>
      <c r="N35" s="7">
        <f t="shared" si="25"/>
        <v>0</v>
      </c>
      <c r="O35" s="11"/>
      <c r="P35" s="6"/>
      <c r="Q35" s="2"/>
      <c r="R35" s="7">
        <f t="shared" si="26"/>
        <v>0</v>
      </c>
      <c r="S35" s="2"/>
      <c r="T35" s="6">
        <v>110.5</v>
      </c>
      <c r="U35" s="2"/>
      <c r="V35" s="7">
        <f t="shared" si="27"/>
        <v>1.1151221871168976E-3</v>
      </c>
      <c r="W35" s="2"/>
      <c r="X35" s="6">
        <f t="shared" si="28"/>
        <v>-110.5</v>
      </c>
      <c r="Y35" s="2"/>
      <c r="Z35" s="7">
        <f t="shared" si="29"/>
        <v>-1</v>
      </c>
    </row>
    <row r="36" spans="1:26" s="24" customFormat="1" hidden="1" outlineLevel="2" x14ac:dyDescent="0.25">
      <c r="A36" s="28"/>
      <c r="B36" s="11" t="str">
        <f>CONCATENATE("          ", "6007", " - ", "STUDENT HOURLY")</f>
        <v xml:space="preserve">          6007 - STUDENT HOURLY</v>
      </c>
      <c r="C36" s="11"/>
      <c r="D36" s="6"/>
      <c r="E36" s="2"/>
      <c r="F36" s="7">
        <f t="shared" si="22"/>
        <v>0</v>
      </c>
      <c r="G36" s="2"/>
      <c r="H36" s="6">
        <v>5114</v>
      </c>
      <c r="I36" s="2"/>
      <c r="J36" s="7">
        <f t="shared" si="23"/>
        <v>0.11796737189502333</v>
      </c>
      <c r="K36" s="2"/>
      <c r="L36" s="6">
        <f t="shared" si="24"/>
        <v>-5114</v>
      </c>
      <c r="M36" s="2"/>
      <c r="N36" s="7">
        <f t="shared" si="25"/>
        <v>-1</v>
      </c>
      <c r="O36" s="11"/>
      <c r="P36" s="6"/>
      <c r="Q36" s="2"/>
      <c r="R36" s="7">
        <f t="shared" si="26"/>
        <v>0</v>
      </c>
      <c r="S36" s="2"/>
      <c r="T36" s="6">
        <v>15825</v>
      </c>
      <c r="U36" s="2"/>
      <c r="V36" s="7">
        <f t="shared" si="27"/>
        <v>0.15969962544004437</v>
      </c>
      <c r="W36" s="2"/>
      <c r="X36" s="6">
        <f t="shared" si="28"/>
        <v>-15825</v>
      </c>
      <c r="Y36" s="2"/>
      <c r="Z36" s="7">
        <f t="shared" si="29"/>
        <v>-1</v>
      </c>
    </row>
    <row r="37" spans="1:26" s="24" customFormat="1" hidden="1" outlineLevel="2" x14ac:dyDescent="0.25">
      <c r="A37" s="28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22"/>
        <v>0</v>
      </c>
      <c r="G37" s="2"/>
      <c r="H37" s="6">
        <v>642</v>
      </c>
      <c r="I37" s="2"/>
      <c r="J37" s="7">
        <f t="shared" si="23"/>
        <v>1.4809357207001366E-2</v>
      </c>
      <c r="K37" s="2"/>
      <c r="L37" s="6">
        <f t="shared" si="24"/>
        <v>-642</v>
      </c>
      <c r="M37" s="2"/>
      <c r="N37" s="7">
        <f t="shared" si="25"/>
        <v>-1</v>
      </c>
      <c r="O37" s="11"/>
      <c r="P37" s="6"/>
      <c r="Q37" s="2"/>
      <c r="R37" s="7">
        <f t="shared" si="26"/>
        <v>0</v>
      </c>
      <c r="S37" s="2"/>
      <c r="T37" s="6">
        <v>1296</v>
      </c>
      <c r="U37" s="2"/>
      <c r="V37" s="7">
        <f t="shared" si="27"/>
        <v>1.3078718140303159E-2</v>
      </c>
      <c r="W37" s="2"/>
      <c r="X37" s="6">
        <f t="shared" si="28"/>
        <v>-1296</v>
      </c>
      <c r="Y37" s="2"/>
      <c r="Z37" s="7">
        <f t="shared" si="29"/>
        <v>-1</v>
      </c>
    </row>
    <row r="38" spans="1:26" s="29" customFormat="1" outlineLevel="1" collapsed="1" x14ac:dyDescent="0.25">
      <c r="A38" s="27"/>
      <c r="B38" s="14" t="str">
        <f>CONCATENATE("     ","Advertising/Promo                                 ")</f>
        <v xml:space="preserve">     Advertising/Promo                                 </v>
      </c>
      <c r="C38" s="14"/>
      <c r="D38" s="1">
        <f>SUM(OSRRefD22_2x_0)</f>
        <v>0</v>
      </c>
      <c r="E38" s="1"/>
      <c r="F38" s="5">
        <f t="shared" ref="F38:F53" si="30">IF(D$12=0,0,D38/D$12)</f>
        <v>0</v>
      </c>
      <c r="G38" s="1"/>
      <c r="H38" s="1">
        <f>SUM(OSRRefH22_2x_0)</f>
        <v>338.91</v>
      </c>
      <c r="I38" s="1"/>
      <c r="J38" s="5">
        <f t="shared" ref="J38:J53" si="31">IF(H$12=0,0,H38/H$12)</f>
        <v>7.8178181480137582E-3</v>
      </c>
      <c r="K38" s="1"/>
      <c r="L38" s="1">
        <f t="shared" ref="L38:L53" si="32">+D38-H38</f>
        <v>-338.91</v>
      </c>
      <c r="M38" s="1"/>
      <c r="N38" s="5">
        <f t="shared" ref="N38:N53" si="33">IF(H38=0,0,L38/H38)</f>
        <v>-1</v>
      </c>
      <c r="O38" s="14"/>
      <c r="P38" s="1">
        <f>SUM(OSRRefP22_2x_0)</f>
        <v>0</v>
      </c>
      <c r="Q38" s="1"/>
      <c r="R38" s="5">
        <f t="shared" ref="R38:R53" si="34">IF(P$12=0,0,P38/P$12)</f>
        <v>0</v>
      </c>
      <c r="S38" s="1"/>
      <c r="T38" s="1">
        <f>SUM(OSRRefT22_2x_0)</f>
        <v>898.23</v>
      </c>
      <c r="U38" s="1"/>
      <c r="V38" s="5">
        <f t="shared" ref="V38:V53" si="35">IF(T$12=0,0,T38/T$12)</f>
        <v>9.0645810147874286E-3</v>
      </c>
      <c r="W38" s="1"/>
      <c r="X38" s="1">
        <f t="shared" ref="X38:X53" si="36">+P38-T38</f>
        <v>-898.23</v>
      </c>
      <c r="Y38" s="1"/>
      <c r="Z38" s="5">
        <f t="shared" ref="Z38:Z53" si="37">IF(T38=0,0,X38/T38)</f>
        <v>-1</v>
      </c>
    </row>
    <row r="39" spans="1:26" s="24" customFormat="1" hidden="1" outlineLevel="2" x14ac:dyDescent="0.25">
      <c r="A39" s="28"/>
      <c r="B39" s="11" t="str">
        <f>CONCATENATE("          ", "6362", " - ", "ADVERTISING EXPENSE")</f>
        <v xml:space="preserve">          6362 - ADVERTISING EXPENSE</v>
      </c>
      <c r="C39" s="11"/>
      <c r="D39" s="6"/>
      <c r="E39" s="2"/>
      <c r="F39" s="7">
        <f t="shared" si="30"/>
        <v>0</v>
      </c>
      <c r="G39" s="2"/>
      <c r="H39" s="6">
        <v>338.91</v>
      </c>
      <c r="I39" s="2"/>
      <c r="J39" s="7">
        <f t="shared" si="31"/>
        <v>7.8178181480137582E-3</v>
      </c>
      <c r="K39" s="2"/>
      <c r="L39" s="6">
        <f t="shared" si="32"/>
        <v>-338.91</v>
      </c>
      <c r="M39" s="2"/>
      <c r="N39" s="7">
        <f t="shared" si="33"/>
        <v>-1</v>
      </c>
      <c r="O39" s="11"/>
      <c r="P39" s="6"/>
      <c r="Q39" s="2"/>
      <c r="R39" s="7">
        <f t="shared" si="34"/>
        <v>0</v>
      </c>
      <c r="S39" s="2"/>
      <c r="T39" s="6">
        <v>898.23</v>
      </c>
      <c r="U39" s="2"/>
      <c r="V39" s="7">
        <f t="shared" si="35"/>
        <v>9.0645810147874286E-3</v>
      </c>
      <c r="W39" s="2"/>
      <c r="X39" s="6">
        <f t="shared" si="36"/>
        <v>-898.23</v>
      </c>
      <c r="Y39" s="2"/>
      <c r="Z39" s="7">
        <f t="shared" si="37"/>
        <v>-1</v>
      </c>
    </row>
    <row r="40" spans="1:26" s="29" customFormat="1" outlineLevel="1" collapsed="1" x14ac:dyDescent="0.25">
      <c r="A40" s="27"/>
      <c r="B40" s="14" t="str">
        <f>CONCATENATE("     ","Bad Debts/Over/Short                              ")</f>
        <v xml:space="preserve">     Bad Debts/Over/Short                              </v>
      </c>
      <c r="C40" s="14"/>
      <c r="D40" s="1">
        <f>SUM(OSRRefD22_3x_0)</f>
        <v>0</v>
      </c>
      <c r="E40" s="1"/>
      <c r="F40" s="5">
        <f t="shared" si="30"/>
        <v>0</v>
      </c>
      <c r="G40" s="1"/>
      <c r="H40" s="1">
        <f>SUM(OSRRefH22_3x_0)</f>
        <v>6.9</v>
      </c>
      <c r="I40" s="1"/>
      <c r="J40" s="5">
        <f t="shared" si="31"/>
        <v>1.5916598867337918E-4</v>
      </c>
      <c r="K40" s="1"/>
      <c r="L40" s="1">
        <f t="shared" si="32"/>
        <v>-6.9</v>
      </c>
      <c r="M40" s="1"/>
      <c r="N40" s="5">
        <f t="shared" si="33"/>
        <v>-1</v>
      </c>
      <c r="O40" s="14"/>
      <c r="P40" s="1">
        <f>SUM(OSRRefP22_3x_0)</f>
        <v>0</v>
      </c>
      <c r="Q40" s="1"/>
      <c r="R40" s="5">
        <f t="shared" si="34"/>
        <v>0</v>
      </c>
      <c r="S40" s="1"/>
      <c r="T40" s="1">
        <f>SUM(OSRRefT22_3x_0)</f>
        <v>-13.53</v>
      </c>
      <c r="U40" s="1"/>
      <c r="V40" s="5">
        <f t="shared" si="35"/>
        <v>-1.3653939539992418E-4</v>
      </c>
      <c r="W40" s="1"/>
      <c r="X40" s="1">
        <f t="shared" si="36"/>
        <v>13.53</v>
      </c>
      <c r="Y40" s="1"/>
      <c r="Z40" s="5">
        <f t="shared" si="37"/>
        <v>-1</v>
      </c>
    </row>
    <row r="41" spans="1:26" s="24" customFormat="1" hidden="1" outlineLevel="2" x14ac:dyDescent="0.25">
      <c r="A41" s="28"/>
      <c r="B41" s="11" t="str">
        <f>CONCATENATE("          ", "6272", " - ", "CASH (OVER/SHORT)")</f>
        <v xml:space="preserve">          6272 - CASH (OVER/SHORT)</v>
      </c>
      <c r="C41" s="11"/>
      <c r="D41" s="6"/>
      <c r="E41" s="2"/>
      <c r="F41" s="7">
        <f t="shared" si="30"/>
        <v>0</v>
      </c>
      <c r="G41" s="2"/>
      <c r="H41" s="6">
        <v>6.9</v>
      </c>
      <c r="I41" s="2"/>
      <c r="J41" s="7">
        <f t="shared" si="31"/>
        <v>1.5916598867337918E-4</v>
      </c>
      <c r="K41" s="2"/>
      <c r="L41" s="6">
        <f t="shared" si="32"/>
        <v>-6.9</v>
      </c>
      <c r="M41" s="2"/>
      <c r="N41" s="7">
        <f t="shared" si="33"/>
        <v>-1</v>
      </c>
      <c r="O41" s="11"/>
      <c r="P41" s="6"/>
      <c r="Q41" s="2"/>
      <c r="R41" s="7">
        <f t="shared" si="34"/>
        <v>0</v>
      </c>
      <c r="S41" s="2"/>
      <c r="T41" s="6">
        <v>-13.53</v>
      </c>
      <c r="U41" s="2"/>
      <c r="V41" s="7">
        <f t="shared" si="35"/>
        <v>-1.3653939539992418E-4</v>
      </c>
      <c r="W41" s="2"/>
      <c r="X41" s="6">
        <f t="shared" si="36"/>
        <v>13.53</v>
      </c>
      <c r="Y41" s="2"/>
      <c r="Z41" s="7">
        <f t="shared" si="37"/>
        <v>-1</v>
      </c>
    </row>
    <row r="42" spans="1:26" s="29" customFormat="1" outlineLevel="1" collapsed="1" x14ac:dyDescent="0.25">
      <c r="A42" s="27"/>
      <c r="B42" s="14" t="str">
        <f>CONCATENATE("     ","Bank/card Fees                                    ")</f>
        <v xml:space="preserve">     Bank/card Fees                                    </v>
      </c>
      <c r="C42" s="14"/>
      <c r="D42" s="1">
        <f>SUM(OSRRefD22_4x_0)</f>
        <v>0</v>
      </c>
      <c r="E42" s="1"/>
      <c r="F42" s="5">
        <f t="shared" si="30"/>
        <v>0</v>
      </c>
      <c r="G42" s="1"/>
      <c r="H42" s="1">
        <f>SUM(OSRRefH22_4x_0)</f>
        <v>1626.78</v>
      </c>
      <c r="I42" s="1"/>
      <c r="J42" s="5">
        <f t="shared" si="31"/>
        <v>3.7525803920881125E-2</v>
      </c>
      <c r="K42" s="1"/>
      <c r="L42" s="1">
        <f t="shared" si="32"/>
        <v>-1626.78</v>
      </c>
      <c r="M42" s="1"/>
      <c r="N42" s="5">
        <f t="shared" si="33"/>
        <v>-1</v>
      </c>
      <c r="O42" s="14"/>
      <c r="P42" s="1">
        <f>SUM(OSRRefP22_4x_0)</f>
        <v>0</v>
      </c>
      <c r="Q42" s="1"/>
      <c r="R42" s="5">
        <f t="shared" si="34"/>
        <v>0</v>
      </c>
      <c r="S42" s="1"/>
      <c r="T42" s="1">
        <f>SUM(OSRRefT22_4x_0)</f>
        <v>3528.96</v>
      </c>
      <c r="U42" s="1"/>
      <c r="V42" s="5">
        <f t="shared" si="35"/>
        <v>3.5612865099077344E-2</v>
      </c>
      <c r="W42" s="1"/>
      <c r="X42" s="1">
        <f t="shared" si="36"/>
        <v>-3528.96</v>
      </c>
      <c r="Y42" s="1"/>
      <c r="Z42" s="5">
        <f t="shared" si="37"/>
        <v>-1</v>
      </c>
    </row>
    <row r="43" spans="1:26" s="24" customFormat="1" hidden="1" outlineLevel="2" x14ac:dyDescent="0.25">
      <c r="A43" s="28"/>
      <c r="B43" s="11" t="str">
        <f>CONCATENATE("          ", "6381", " - ", "BANK/CREDIT CARD FEES")</f>
        <v xml:space="preserve">          6381 - BANK/CREDIT CARD FEES</v>
      </c>
      <c r="C43" s="11"/>
      <c r="D43" s="6"/>
      <c r="E43" s="2"/>
      <c r="F43" s="7">
        <f t="shared" si="30"/>
        <v>0</v>
      </c>
      <c r="G43" s="2"/>
      <c r="H43" s="6">
        <v>1626.78</v>
      </c>
      <c r="I43" s="2"/>
      <c r="J43" s="7">
        <f t="shared" si="31"/>
        <v>3.7525803920881125E-2</v>
      </c>
      <c r="K43" s="2"/>
      <c r="L43" s="6">
        <f t="shared" si="32"/>
        <v>-1626.78</v>
      </c>
      <c r="M43" s="2"/>
      <c r="N43" s="7">
        <f t="shared" si="33"/>
        <v>-1</v>
      </c>
      <c r="O43" s="11"/>
      <c r="P43" s="6"/>
      <c r="Q43" s="2"/>
      <c r="R43" s="7">
        <f t="shared" si="34"/>
        <v>0</v>
      </c>
      <c r="S43" s="2"/>
      <c r="T43" s="6">
        <v>3528.96</v>
      </c>
      <c r="U43" s="2"/>
      <c r="V43" s="7">
        <f t="shared" si="35"/>
        <v>3.5612865099077344E-2</v>
      </c>
      <c r="W43" s="2"/>
      <c r="X43" s="6">
        <f t="shared" si="36"/>
        <v>-3528.96</v>
      </c>
      <c r="Y43" s="2"/>
      <c r="Z43" s="7">
        <f t="shared" si="37"/>
        <v>-1</v>
      </c>
    </row>
    <row r="44" spans="1:26" s="29" customFormat="1" outlineLevel="1" collapsed="1" x14ac:dyDescent="0.25">
      <c r="A44" s="27"/>
      <c r="B44" s="14" t="str">
        <f>CONCATENATE("     ","Depreciation                                      ")</f>
        <v xml:space="preserve">     Depreciation                                      </v>
      </c>
      <c r="C44" s="14"/>
      <c r="D44" s="1">
        <f>SUM(OSRRefD22_5x_0)</f>
        <v>119.55</v>
      </c>
      <c r="E44" s="1"/>
      <c r="F44" s="5">
        <f t="shared" si="30"/>
        <v>0</v>
      </c>
      <c r="G44" s="1"/>
      <c r="H44" s="1">
        <f>SUM(OSRRefH22_5x_0)</f>
        <v>2775.32</v>
      </c>
      <c r="I44" s="1"/>
      <c r="J44" s="5">
        <f t="shared" si="31"/>
        <v>6.4019790099275747E-2</v>
      </c>
      <c r="K44" s="1"/>
      <c r="L44" s="1">
        <f t="shared" si="32"/>
        <v>-2655.77</v>
      </c>
      <c r="M44" s="1"/>
      <c r="N44" s="5">
        <f t="shared" si="33"/>
        <v>-0.95692388625455793</v>
      </c>
      <c r="O44" s="14"/>
      <c r="P44" s="1">
        <f>SUM(OSRRefP22_5x_0)</f>
        <v>478.2</v>
      </c>
      <c r="Q44" s="1"/>
      <c r="R44" s="5">
        <f t="shared" si="34"/>
        <v>0</v>
      </c>
      <c r="S44" s="1"/>
      <c r="T44" s="1">
        <f>SUM(OSRRefT22_5x_0)</f>
        <v>11101.28</v>
      </c>
      <c r="U44" s="1"/>
      <c r="V44" s="5">
        <f t="shared" si="35"/>
        <v>0.11202971613934003</v>
      </c>
      <c r="W44" s="1"/>
      <c r="X44" s="1">
        <f t="shared" si="36"/>
        <v>-10623.08</v>
      </c>
      <c r="Y44" s="1"/>
      <c r="Z44" s="5">
        <f t="shared" si="37"/>
        <v>-0.95692388625455793</v>
      </c>
    </row>
    <row r="45" spans="1:26" s="24" customFormat="1" hidden="1" outlineLevel="2" x14ac:dyDescent="0.25">
      <c r="A45" s="28"/>
      <c r="B45" s="11" t="str">
        <f>CONCATENATE("          ", "6322", " - ", "EQUIPMENT DEPRECIATION EXPENSE")</f>
        <v xml:space="preserve">          6322 - EQUIPMENT DEPRECIATION EXPENSE</v>
      </c>
      <c r="C45" s="11"/>
      <c r="D45" s="6">
        <v>119.55</v>
      </c>
      <c r="E45" s="2"/>
      <c r="F45" s="7">
        <f t="shared" si="30"/>
        <v>0</v>
      </c>
      <c r="G45" s="2"/>
      <c r="H45" s="6">
        <v>2775.32</v>
      </c>
      <c r="I45" s="2"/>
      <c r="J45" s="7">
        <f t="shared" si="31"/>
        <v>6.4019790099275747E-2</v>
      </c>
      <c r="K45" s="2"/>
      <c r="L45" s="6">
        <f t="shared" si="32"/>
        <v>-2655.77</v>
      </c>
      <c r="M45" s="2"/>
      <c r="N45" s="7">
        <f t="shared" si="33"/>
        <v>-0.95692388625455793</v>
      </c>
      <c r="O45" s="11"/>
      <c r="P45" s="6">
        <v>478.2</v>
      </c>
      <c r="Q45" s="2"/>
      <c r="R45" s="7">
        <f t="shared" si="34"/>
        <v>0</v>
      </c>
      <c r="S45" s="2"/>
      <c r="T45" s="6">
        <v>11101.28</v>
      </c>
      <c r="U45" s="2"/>
      <c r="V45" s="7">
        <f t="shared" si="35"/>
        <v>0.11202971613934003</v>
      </c>
      <c r="W45" s="2"/>
      <c r="X45" s="6">
        <f t="shared" si="36"/>
        <v>-10623.08</v>
      </c>
      <c r="Y45" s="2"/>
      <c r="Z45" s="7">
        <f t="shared" si="37"/>
        <v>-0.95692388625455793</v>
      </c>
    </row>
    <row r="46" spans="1:26" s="29" customFormat="1" outlineLevel="1" collapsed="1" x14ac:dyDescent="0.25">
      <c r="A46" s="27"/>
      <c r="B46" s="14" t="str">
        <f>CONCATENATE("     ","Equipment Rental                                  ")</f>
        <v xml:space="preserve">     Equipment Rental                                  </v>
      </c>
      <c r="C46" s="14"/>
      <c r="D46" s="1">
        <f>SUM(OSRRefD22_6x_0)</f>
        <v>0</v>
      </c>
      <c r="E46" s="1"/>
      <c r="F46" s="5">
        <f t="shared" si="30"/>
        <v>0</v>
      </c>
      <c r="G46" s="1"/>
      <c r="H46" s="1">
        <f>SUM(OSRRefH22_6x_0)</f>
        <v>253.02</v>
      </c>
      <c r="I46" s="1"/>
      <c r="J46" s="5">
        <f t="shared" si="31"/>
        <v>5.8365476020490427E-3</v>
      </c>
      <c r="K46" s="1"/>
      <c r="L46" s="1">
        <f t="shared" si="32"/>
        <v>-253.02</v>
      </c>
      <c r="M46" s="1"/>
      <c r="N46" s="5">
        <f t="shared" si="33"/>
        <v>-1</v>
      </c>
      <c r="O46" s="14"/>
      <c r="P46" s="1">
        <f>SUM(OSRRefP22_6x_0)</f>
        <v>64.02</v>
      </c>
      <c r="Q46" s="1"/>
      <c r="R46" s="5">
        <f t="shared" si="34"/>
        <v>0</v>
      </c>
      <c r="S46" s="1"/>
      <c r="T46" s="1">
        <f>SUM(OSRRefT22_6x_0)</f>
        <v>461.72</v>
      </c>
      <c r="U46" s="1"/>
      <c r="V46" s="5">
        <f t="shared" si="35"/>
        <v>4.6594951695530674E-3</v>
      </c>
      <c r="W46" s="1"/>
      <c r="X46" s="1">
        <f t="shared" si="36"/>
        <v>-397.70000000000005</v>
      </c>
      <c r="Y46" s="1"/>
      <c r="Z46" s="5">
        <f t="shared" si="37"/>
        <v>-0.8613445378151261</v>
      </c>
    </row>
    <row r="47" spans="1:26" s="24" customFormat="1" hidden="1" outlineLevel="2" x14ac:dyDescent="0.25">
      <c r="A47" s="28"/>
      <c r="B47" s="11" t="str">
        <f>CONCATENATE("          ", "6351", " - ", "EQUIPMENT RENTAL")</f>
        <v xml:space="preserve">          6351 - EQUIPMENT RENTAL</v>
      </c>
      <c r="C47" s="11"/>
      <c r="D47" s="6"/>
      <c r="E47" s="2"/>
      <c r="F47" s="7">
        <f t="shared" si="30"/>
        <v>0</v>
      </c>
      <c r="G47" s="2"/>
      <c r="H47" s="6">
        <v>253.02</v>
      </c>
      <c r="I47" s="2"/>
      <c r="J47" s="7">
        <f t="shared" si="31"/>
        <v>5.8365476020490427E-3</v>
      </c>
      <c r="K47" s="2"/>
      <c r="L47" s="6">
        <f t="shared" si="32"/>
        <v>-253.02</v>
      </c>
      <c r="M47" s="2"/>
      <c r="N47" s="7">
        <f t="shared" si="33"/>
        <v>-1</v>
      </c>
      <c r="O47" s="11"/>
      <c r="P47" s="6">
        <v>64.02</v>
      </c>
      <c r="Q47" s="2"/>
      <c r="R47" s="7">
        <f t="shared" si="34"/>
        <v>0</v>
      </c>
      <c r="S47" s="2"/>
      <c r="T47" s="6">
        <v>461.72</v>
      </c>
      <c r="U47" s="2"/>
      <c r="V47" s="7">
        <f t="shared" si="35"/>
        <v>4.6594951695530674E-3</v>
      </c>
      <c r="W47" s="2"/>
      <c r="X47" s="6">
        <f t="shared" si="36"/>
        <v>-397.70000000000005</v>
      </c>
      <c r="Y47" s="2"/>
      <c r="Z47" s="7">
        <f t="shared" si="37"/>
        <v>-0.8613445378151261</v>
      </c>
    </row>
    <row r="48" spans="1:26" s="29" customFormat="1" outlineLevel="1" collapsed="1" x14ac:dyDescent="0.25">
      <c r="A48" s="27"/>
      <c r="B48" s="14" t="str">
        <f>CONCATENATE("     ","General                                           ")</f>
        <v xml:space="preserve">     General                                           </v>
      </c>
      <c r="C48" s="14"/>
      <c r="D48" s="1">
        <f>SUM(OSRRefD22_7x_0)</f>
        <v>0</v>
      </c>
      <c r="E48" s="1"/>
      <c r="F48" s="5">
        <f t="shared" si="30"/>
        <v>0</v>
      </c>
      <c r="G48" s="1"/>
      <c r="H48" s="1">
        <f>SUM(OSRRefH22_7x_0)</f>
        <v>0</v>
      </c>
      <c r="I48" s="1"/>
      <c r="J48" s="5">
        <f t="shared" si="31"/>
        <v>0</v>
      </c>
      <c r="K48" s="1"/>
      <c r="L48" s="1">
        <f t="shared" si="32"/>
        <v>0</v>
      </c>
      <c r="M48" s="1"/>
      <c r="N48" s="5">
        <f t="shared" si="33"/>
        <v>0</v>
      </c>
      <c r="O48" s="14"/>
      <c r="P48" s="1">
        <f>SUM(OSRRefP22_7x_0)</f>
        <v>0</v>
      </c>
      <c r="Q48" s="1"/>
      <c r="R48" s="5">
        <f t="shared" si="34"/>
        <v>0</v>
      </c>
      <c r="S48" s="1"/>
      <c r="T48" s="1">
        <f>SUM(OSRRefT22_7x_0)</f>
        <v>749.55</v>
      </c>
      <c r="U48" s="1"/>
      <c r="V48" s="5">
        <f t="shared" si="35"/>
        <v>7.5641614059137599E-3</v>
      </c>
      <c r="W48" s="1"/>
      <c r="X48" s="1">
        <f t="shared" si="36"/>
        <v>-749.55</v>
      </c>
      <c r="Y48" s="1"/>
      <c r="Z48" s="5">
        <f t="shared" si="37"/>
        <v>-1</v>
      </c>
    </row>
    <row r="49" spans="1:26" s="24" customFormat="1" hidden="1" outlineLevel="2" x14ac:dyDescent="0.25">
      <c r="A49" s="28"/>
      <c r="B49" s="11" t="str">
        <f>CONCATENATE("          ", "6279", " - ", "GENERAL EXPENSE")</f>
        <v xml:space="preserve">          6279 - GENERAL EXPENSE</v>
      </c>
      <c r="C49" s="11"/>
      <c r="D49" s="6"/>
      <c r="E49" s="2"/>
      <c r="F49" s="7">
        <f t="shared" si="30"/>
        <v>0</v>
      </c>
      <c r="G49" s="2"/>
      <c r="H49" s="6"/>
      <c r="I49" s="2"/>
      <c r="J49" s="7">
        <f t="shared" si="31"/>
        <v>0</v>
      </c>
      <c r="K49" s="2"/>
      <c r="L49" s="6">
        <f t="shared" si="32"/>
        <v>0</v>
      </c>
      <c r="M49" s="2"/>
      <c r="N49" s="7">
        <f t="shared" si="33"/>
        <v>0</v>
      </c>
      <c r="O49" s="11"/>
      <c r="P49" s="6"/>
      <c r="Q49" s="2"/>
      <c r="R49" s="7">
        <f t="shared" si="34"/>
        <v>0</v>
      </c>
      <c r="S49" s="2"/>
      <c r="T49" s="6">
        <v>749.55</v>
      </c>
      <c r="U49" s="2"/>
      <c r="V49" s="7">
        <f t="shared" si="35"/>
        <v>7.5641614059137599E-3</v>
      </c>
      <c r="W49" s="2"/>
      <c r="X49" s="6">
        <f t="shared" si="36"/>
        <v>-749.55</v>
      </c>
      <c r="Y49" s="2"/>
      <c r="Z49" s="7">
        <f t="shared" si="37"/>
        <v>-1</v>
      </c>
    </row>
    <row r="50" spans="1:26" s="29" customFormat="1" outlineLevel="1" collapsed="1" x14ac:dyDescent="0.25">
      <c r="A50" s="27"/>
      <c r="B50" s="14" t="str">
        <f>CONCATENATE("     ","Repair and Maintenance                            ")</f>
        <v xml:space="preserve">     Repair and Maintenance                            </v>
      </c>
      <c r="C50" s="14"/>
      <c r="D50" s="1">
        <f>SUM(OSRRefD22_8x_0)</f>
        <v>0</v>
      </c>
      <c r="E50" s="1"/>
      <c r="F50" s="5">
        <f t="shared" si="30"/>
        <v>0</v>
      </c>
      <c r="G50" s="1"/>
      <c r="H50" s="1">
        <f>SUM(OSRRefH22_8x_0)</f>
        <v>335.99</v>
      </c>
      <c r="I50" s="1"/>
      <c r="J50" s="5">
        <f t="shared" si="31"/>
        <v>7.7504609470099512E-3</v>
      </c>
      <c r="K50" s="1"/>
      <c r="L50" s="1">
        <f t="shared" si="32"/>
        <v>-335.99</v>
      </c>
      <c r="M50" s="1"/>
      <c r="N50" s="5">
        <f t="shared" si="33"/>
        <v>-1</v>
      </c>
      <c r="O50" s="14"/>
      <c r="P50" s="1">
        <f>SUM(OSRRefP22_8x_0)</f>
        <v>147.88999999999999</v>
      </c>
      <c r="Q50" s="1"/>
      <c r="R50" s="5">
        <f t="shared" si="34"/>
        <v>0</v>
      </c>
      <c r="S50" s="1"/>
      <c r="T50" s="1">
        <f>SUM(OSRRefT22_8x_0)</f>
        <v>4631.76</v>
      </c>
      <c r="U50" s="1"/>
      <c r="V50" s="5">
        <f t="shared" si="35"/>
        <v>4.6741885442539016E-2</v>
      </c>
      <c r="W50" s="1"/>
      <c r="X50" s="1">
        <f t="shared" si="36"/>
        <v>-4483.87</v>
      </c>
      <c r="Y50" s="1"/>
      <c r="Z50" s="5">
        <f t="shared" si="37"/>
        <v>-0.96807045270048531</v>
      </c>
    </row>
    <row r="51" spans="1:26" s="24" customFormat="1" hidden="1" outlineLevel="2" x14ac:dyDescent="0.25">
      <c r="A51" s="28"/>
      <c r="B51" s="11" t="str">
        <f>CONCATENATE("          ", "6371", " - ", "COMPUTER SOFTWARE MAINTENANCE")</f>
        <v xml:space="preserve">          6371 - COMPUTER SOFTWARE MAINTENANCE</v>
      </c>
      <c r="C51" s="11"/>
      <c r="D51" s="6"/>
      <c r="E51" s="2"/>
      <c r="F51" s="7">
        <f t="shared" si="30"/>
        <v>0</v>
      </c>
      <c r="G51" s="2"/>
      <c r="H51" s="6"/>
      <c r="I51" s="2"/>
      <c r="J51" s="7">
        <f t="shared" si="31"/>
        <v>0</v>
      </c>
      <c r="K51" s="2"/>
      <c r="L51" s="6">
        <f t="shared" si="32"/>
        <v>0</v>
      </c>
      <c r="M51" s="2"/>
      <c r="N51" s="7">
        <f t="shared" si="33"/>
        <v>0</v>
      </c>
      <c r="O51" s="11"/>
      <c r="P51" s="6"/>
      <c r="Q51" s="2"/>
      <c r="R51" s="7">
        <f t="shared" si="34"/>
        <v>0</v>
      </c>
      <c r="S51" s="2"/>
      <c r="T51" s="6">
        <v>2186.54</v>
      </c>
      <c r="U51" s="2"/>
      <c r="V51" s="7">
        <f t="shared" si="35"/>
        <v>2.2065694724150056E-2</v>
      </c>
      <c r="W51" s="2"/>
      <c r="X51" s="6">
        <f t="shared" si="36"/>
        <v>-2186.54</v>
      </c>
      <c r="Y51" s="2"/>
      <c r="Z51" s="7">
        <f t="shared" si="37"/>
        <v>-1</v>
      </c>
    </row>
    <row r="52" spans="1:26" s="24" customFormat="1" hidden="1" outlineLevel="2" x14ac:dyDescent="0.25">
      <c r="A52" s="28"/>
      <c r="B52" s="11" t="str">
        <f>CONCATENATE("          ", "6373", " - ", "MAINTENANCE CONTRACTS")</f>
        <v xml:space="preserve">          6373 - MAINTENANCE CONTRACTS</v>
      </c>
      <c r="C52" s="11"/>
      <c r="D52" s="6"/>
      <c r="E52" s="2"/>
      <c r="F52" s="7">
        <f t="shared" si="30"/>
        <v>0</v>
      </c>
      <c r="G52" s="2"/>
      <c r="H52" s="6">
        <v>65.989999999999995</v>
      </c>
      <c r="I52" s="2"/>
      <c r="J52" s="7">
        <f t="shared" si="31"/>
        <v>1.5222266076168535E-3</v>
      </c>
      <c r="K52" s="2"/>
      <c r="L52" s="6">
        <f t="shared" si="32"/>
        <v>-65.989999999999995</v>
      </c>
      <c r="M52" s="2"/>
      <c r="N52" s="7">
        <f t="shared" si="33"/>
        <v>-1</v>
      </c>
      <c r="O52" s="11"/>
      <c r="P52" s="6">
        <v>147.88999999999999</v>
      </c>
      <c r="Q52" s="2"/>
      <c r="R52" s="7">
        <f t="shared" si="34"/>
        <v>0</v>
      </c>
      <c r="S52" s="2"/>
      <c r="T52" s="6">
        <v>65.989999999999995</v>
      </c>
      <c r="U52" s="2"/>
      <c r="V52" s="7">
        <f t="shared" si="35"/>
        <v>6.6594491518410918E-4</v>
      </c>
      <c r="W52" s="2"/>
      <c r="X52" s="6">
        <f t="shared" si="36"/>
        <v>81.899999999999991</v>
      </c>
      <c r="Y52" s="2"/>
      <c r="Z52" s="7">
        <f t="shared" si="37"/>
        <v>1.2410971359296863</v>
      </c>
    </row>
    <row r="53" spans="1:26" s="24" customFormat="1" hidden="1" outlineLevel="2" x14ac:dyDescent="0.25">
      <c r="A53" s="28"/>
      <c r="B53" s="11" t="str">
        <f>CONCATENATE("          ", "6375", " - ", "OUTSIDE REPAIRS &amp; MAINTENANCE")</f>
        <v xml:space="preserve">          6375 - OUTSIDE REPAIRS &amp; MAINTENANCE</v>
      </c>
      <c r="C53" s="11"/>
      <c r="D53" s="6"/>
      <c r="E53" s="2"/>
      <c r="F53" s="7">
        <f t="shared" si="30"/>
        <v>0</v>
      </c>
      <c r="G53" s="2"/>
      <c r="H53" s="6">
        <v>270</v>
      </c>
      <c r="I53" s="2"/>
      <c r="J53" s="7">
        <f t="shared" si="31"/>
        <v>6.2282343393930979E-3</v>
      </c>
      <c r="K53" s="2"/>
      <c r="L53" s="6">
        <f t="shared" si="32"/>
        <v>-270</v>
      </c>
      <c r="M53" s="2"/>
      <c r="N53" s="7">
        <f t="shared" si="33"/>
        <v>-1</v>
      </c>
      <c r="O53" s="11"/>
      <c r="P53" s="6"/>
      <c r="Q53" s="2"/>
      <c r="R53" s="7">
        <f t="shared" si="34"/>
        <v>0</v>
      </c>
      <c r="S53" s="2"/>
      <c r="T53" s="6">
        <v>2379.23</v>
      </c>
      <c r="U53" s="2"/>
      <c r="V53" s="7">
        <f t="shared" si="35"/>
        <v>2.4010245803204853E-2</v>
      </c>
      <c r="W53" s="2"/>
      <c r="X53" s="6">
        <f t="shared" si="36"/>
        <v>-2379.23</v>
      </c>
      <c r="Y53" s="2"/>
      <c r="Z53" s="7">
        <f t="shared" si="37"/>
        <v>-1</v>
      </c>
    </row>
    <row r="54" spans="1:26" s="29" customFormat="1" outlineLevel="1" collapsed="1" x14ac:dyDescent="0.25">
      <c r="A54" s="27"/>
      <c r="B54" s="14" t="str">
        <f>CONCATENATE("     ","Services                                          ")</f>
        <v xml:space="preserve">     Services                                          </v>
      </c>
      <c r="C54" s="14"/>
      <c r="D54" s="1">
        <f>SUM(OSRRefD22_9x_0)</f>
        <v>0</v>
      </c>
      <c r="E54" s="1"/>
      <c r="F54" s="5">
        <f t="shared" ref="F54:F61" si="38">IF(D$12=0,0,D54/D$12)</f>
        <v>0</v>
      </c>
      <c r="G54" s="1"/>
      <c r="H54" s="1">
        <f>SUM(OSRRefH22_9x_0)</f>
        <v>147.6</v>
      </c>
      <c r="I54" s="1"/>
      <c r="J54" s="5">
        <f t="shared" ref="J54:J61" si="39">IF(H$12=0,0,H54/H$12)</f>
        <v>3.4047681055348932E-3</v>
      </c>
      <c r="K54" s="1"/>
      <c r="L54" s="1">
        <f t="shared" ref="L54:L61" si="40">+D54-H54</f>
        <v>-147.6</v>
      </c>
      <c r="M54" s="1"/>
      <c r="N54" s="5">
        <f t="shared" ref="N54:N61" si="41">IF(H54=0,0,L54/H54)</f>
        <v>-1</v>
      </c>
      <c r="O54" s="14"/>
      <c r="P54" s="1">
        <f>SUM(OSRRefP22_9x_0)</f>
        <v>0</v>
      </c>
      <c r="Q54" s="1"/>
      <c r="R54" s="5">
        <f t="shared" ref="R54:R61" si="42">IF(P$12=0,0,P54/P$12)</f>
        <v>0</v>
      </c>
      <c r="S54" s="1"/>
      <c r="T54" s="1">
        <f>SUM(OSRRefT22_9x_0)</f>
        <v>188.52</v>
      </c>
      <c r="U54" s="1"/>
      <c r="V54" s="5">
        <f t="shared" ref="V54:V61" si="43">IF(T$12=0,0,T54/T$12)</f>
        <v>1.9024690924459506E-3</v>
      </c>
      <c r="W54" s="1"/>
      <c r="X54" s="1">
        <f t="shared" ref="X54:X61" si="44">+P54-T54</f>
        <v>-188.52</v>
      </c>
      <c r="Y54" s="1"/>
      <c r="Z54" s="5">
        <f t="shared" ref="Z54:Z61" si="45">IF(T54=0,0,X54/T54)</f>
        <v>-1</v>
      </c>
    </row>
    <row r="55" spans="1:26" s="24" customFormat="1" hidden="1" outlineLevel="2" x14ac:dyDescent="0.25">
      <c r="A55" s="28"/>
      <c r="B55" s="11" t="str">
        <f>CONCATENATE("          ", "6286", " - ", "LAUNDRY EXPENSE")</f>
        <v xml:space="preserve">          6286 - LAUNDRY EXPENSE</v>
      </c>
      <c r="C55" s="11"/>
      <c r="D55" s="6"/>
      <c r="E55" s="2"/>
      <c r="F55" s="7">
        <f t="shared" si="38"/>
        <v>0</v>
      </c>
      <c r="G55" s="2"/>
      <c r="H55" s="6">
        <v>147.6</v>
      </c>
      <c r="I55" s="2"/>
      <c r="J55" s="7">
        <f t="shared" si="39"/>
        <v>3.4047681055348932E-3</v>
      </c>
      <c r="K55" s="2"/>
      <c r="L55" s="6">
        <f t="shared" si="40"/>
        <v>-147.6</v>
      </c>
      <c r="M55" s="2"/>
      <c r="N55" s="7">
        <f t="shared" si="41"/>
        <v>-1</v>
      </c>
      <c r="O55" s="11"/>
      <c r="P55" s="6"/>
      <c r="Q55" s="2"/>
      <c r="R55" s="7">
        <f t="shared" si="42"/>
        <v>0</v>
      </c>
      <c r="S55" s="2"/>
      <c r="T55" s="6">
        <v>188.52</v>
      </c>
      <c r="U55" s="2"/>
      <c r="V55" s="7">
        <f t="shared" si="43"/>
        <v>1.9024690924459506E-3</v>
      </c>
      <c r="W55" s="2"/>
      <c r="X55" s="6">
        <f t="shared" si="44"/>
        <v>-188.52</v>
      </c>
      <c r="Y55" s="2"/>
      <c r="Z55" s="7">
        <f t="shared" si="45"/>
        <v>-1</v>
      </c>
    </row>
    <row r="56" spans="1:26" s="29" customFormat="1" outlineLevel="1" collapsed="1" x14ac:dyDescent="0.25">
      <c r="A56" s="27"/>
      <c r="B56" s="14" t="str">
        <f>CONCATENATE("     ","Supplies                                          ")</f>
        <v xml:space="preserve">     Supplies                                          </v>
      </c>
      <c r="C56" s="14"/>
      <c r="D56" s="1">
        <f>SUM(OSRRefD22_10x_0)</f>
        <v>0</v>
      </c>
      <c r="E56" s="1"/>
      <c r="F56" s="5">
        <f t="shared" si="38"/>
        <v>0</v>
      </c>
      <c r="G56" s="1"/>
      <c r="H56" s="1">
        <f>SUM(OSRRefH22_10x_0)</f>
        <v>2159.73</v>
      </c>
      <c r="I56" s="1"/>
      <c r="J56" s="5">
        <f t="shared" si="39"/>
        <v>4.9819646480805391E-2</v>
      </c>
      <c r="K56" s="1"/>
      <c r="L56" s="1">
        <f t="shared" si="40"/>
        <v>-2159.73</v>
      </c>
      <c r="M56" s="1"/>
      <c r="N56" s="5">
        <f t="shared" si="41"/>
        <v>-1</v>
      </c>
      <c r="O56" s="14"/>
      <c r="P56" s="1">
        <f>SUM(OSRRefP22_10x_0)</f>
        <v>0</v>
      </c>
      <c r="Q56" s="1"/>
      <c r="R56" s="5">
        <f t="shared" si="42"/>
        <v>0</v>
      </c>
      <c r="S56" s="1"/>
      <c r="T56" s="1">
        <f>SUM(OSRRefT22_10x_0)</f>
        <v>4783.16</v>
      </c>
      <c r="U56" s="1"/>
      <c r="V56" s="5">
        <f t="shared" si="43"/>
        <v>4.8269754212941711E-2</v>
      </c>
      <c r="W56" s="1"/>
      <c r="X56" s="1">
        <f t="shared" si="44"/>
        <v>-4783.16</v>
      </c>
      <c r="Y56" s="1"/>
      <c r="Z56" s="5">
        <f t="shared" si="45"/>
        <v>-1</v>
      </c>
    </row>
    <row r="57" spans="1:26" s="24" customFormat="1" hidden="1" outlineLevel="2" x14ac:dyDescent="0.25">
      <c r="A57" s="28"/>
      <c r="B57" s="11" t="str">
        <f>CONCATENATE("          ", "6239", " - ", "KITCHEN SUPPLIES")</f>
        <v xml:space="preserve">          6239 - KITCHEN SUPPLIES</v>
      </c>
      <c r="C57" s="11"/>
      <c r="D57" s="6"/>
      <c r="E57" s="2"/>
      <c r="F57" s="7">
        <f t="shared" si="38"/>
        <v>0</v>
      </c>
      <c r="G57" s="2"/>
      <c r="H57" s="6">
        <v>1803.14</v>
      </c>
      <c r="I57" s="2"/>
      <c r="J57" s="7">
        <f t="shared" si="39"/>
        <v>4.1593994321234333E-2</v>
      </c>
      <c r="K57" s="2"/>
      <c r="L57" s="6">
        <f t="shared" si="40"/>
        <v>-1803.14</v>
      </c>
      <c r="M57" s="2"/>
      <c r="N57" s="7">
        <f t="shared" si="41"/>
        <v>-1</v>
      </c>
      <c r="O57" s="11"/>
      <c r="P57" s="6"/>
      <c r="Q57" s="2"/>
      <c r="R57" s="7">
        <f t="shared" si="42"/>
        <v>0</v>
      </c>
      <c r="S57" s="2"/>
      <c r="T57" s="6">
        <v>2672.21</v>
      </c>
      <c r="U57" s="2"/>
      <c r="V57" s="7">
        <f t="shared" si="43"/>
        <v>2.6966883797607644E-2</v>
      </c>
      <c r="W57" s="2"/>
      <c r="X57" s="6">
        <f t="shared" si="44"/>
        <v>-2672.21</v>
      </c>
      <c r="Y57" s="2"/>
      <c r="Z57" s="7">
        <f t="shared" si="45"/>
        <v>-1</v>
      </c>
    </row>
    <row r="58" spans="1:26" s="24" customFormat="1" hidden="1" outlineLevel="2" x14ac:dyDescent="0.25">
      <c r="A58" s="28"/>
      <c r="B58" s="11" t="str">
        <f>CONCATENATE("          ", "6241", " - ", "OFFICE EXPENSE")</f>
        <v xml:space="preserve">          6241 - OFFICE EXPENSE</v>
      </c>
      <c r="C58" s="11"/>
      <c r="D58" s="6"/>
      <c r="E58" s="2"/>
      <c r="F58" s="7">
        <f t="shared" si="38"/>
        <v>0</v>
      </c>
      <c r="G58" s="2"/>
      <c r="H58" s="6">
        <v>24.07</v>
      </c>
      <c r="I58" s="2"/>
      <c r="J58" s="7">
        <f t="shared" si="39"/>
        <v>5.5523555758959944E-4</v>
      </c>
      <c r="K58" s="2"/>
      <c r="L58" s="6">
        <f t="shared" si="40"/>
        <v>-24.07</v>
      </c>
      <c r="M58" s="2"/>
      <c r="N58" s="7">
        <f t="shared" si="41"/>
        <v>-1</v>
      </c>
      <c r="O58" s="11"/>
      <c r="P58" s="6"/>
      <c r="Q58" s="2"/>
      <c r="R58" s="7">
        <f t="shared" si="42"/>
        <v>0</v>
      </c>
      <c r="S58" s="2"/>
      <c r="T58" s="6">
        <v>489.96</v>
      </c>
      <c r="U58" s="2"/>
      <c r="V58" s="7">
        <f t="shared" si="43"/>
        <v>4.9444820524868335E-3</v>
      </c>
      <c r="W58" s="2"/>
      <c r="X58" s="6">
        <f t="shared" si="44"/>
        <v>-489.96</v>
      </c>
      <c r="Y58" s="2"/>
      <c r="Z58" s="7">
        <f t="shared" si="45"/>
        <v>-1</v>
      </c>
    </row>
    <row r="59" spans="1:26" s="24" customFormat="1" hidden="1" outlineLevel="2" x14ac:dyDescent="0.25">
      <c r="A59" s="28"/>
      <c r="B59" s="11" t="str">
        <f>CONCATENATE("          ", "6243", " - ", "PAPER SUPPLIES")</f>
        <v xml:space="preserve">          6243 - PAPER SUPPLIES</v>
      </c>
      <c r="C59" s="11"/>
      <c r="D59" s="6"/>
      <c r="E59" s="2"/>
      <c r="F59" s="7">
        <f t="shared" si="38"/>
        <v>0</v>
      </c>
      <c r="G59" s="2"/>
      <c r="H59" s="6">
        <v>332.52</v>
      </c>
      <c r="I59" s="2"/>
      <c r="J59" s="7">
        <f t="shared" si="39"/>
        <v>7.6704166019814545E-3</v>
      </c>
      <c r="K59" s="2"/>
      <c r="L59" s="6">
        <f t="shared" si="40"/>
        <v>-332.52</v>
      </c>
      <c r="M59" s="2"/>
      <c r="N59" s="7">
        <f t="shared" si="41"/>
        <v>-1</v>
      </c>
      <c r="O59" s="11"/>
      <c r="P59" s="6"/>
      <c r="Q59" s="2"/>
      <c r="R59" s="7">
        <f t="shared" si="42"/>
        <v>0</v>
      </c>
      <c r="S59" s="2"/>
      <c r="T59" s="6">
        <v>881.32</v>
      </c>
      <c r="U59" s="2"/>
      <c r="V59" s="7">
        <f t="shared" si="43"/>
        <v>8.8939319995462816E-3</v>
      </c>
      <c r="W59" s="2"/>
      <c r="X59" s="6">
        <f t="shared" si="44"/>
        <v>-881.32</v>
      </c>
      <c r="Y59" s="2"/>
      <c r="Z59" s="7">
        <f t="shared" si="45"/>
        <v>-1</v>
      </c>
    </row>
    <row r="60" spans="1:26" s="24" customFormat="1" hidden="1" outlineLevel="2" x14ac:dyDescent="0.25">
      <c r="A60" s="28"/>
      <c r="B60" s="11" t="str">
        <f>CONCATENATE("          ", "6247", " - ", "STORE SUPPLIES")</f>
        <v xml:space="preserve">          6247 - STORE SUPPLIES</v>
      </c>
      <c r="C60" s="11"/>
      <c r="D60" s="6"/>
      <c r="E60" s="2"/>
      <c r="F60" s="7">
        <f t="shared" si="38"/>
        <v>0</v>
      </c>
      <c r="G60" s="2"/>
      <c r="H60" s="6"/>
      <c r="I60" s="2"/>
      <c r="J60" s="7">
        <f t="shared" si="39"/>
        <v>0</v>
      </c>
      <c r="K60" s="2"/>
      <c r="L60" s="6">
        <f t="shared" si="40"/>
        <v>0</v>
      </c>
      <c r="M60" s="2"/>
      <c r="N60" s="7">
        <f t="shared" si="41"/>
        <v>0</v>
      </c>
      <c r="O60" s="11"/>
      <c r="P60" s="6"/>
      <c r="Q60" s="2"/>
      <c r="R60" s="7">
        <f t="shared" si="42"/>
        <v>0</v>
      </c>
      <c r="S60" s="2"/>
      <c r="T60" s="6">
        <v>102.64</v>
      </c>
      <c r="U60" s="2"/>
      <c r="V60" s="7">
        <f t="shared" si="43"/>
        <v>1.0358021835807996E-3</v>
      </c>
      <c r="W60" s="2"/>
      <c r="X60" s="6">
        <f t="shared" si="44"/>
        <v>-102.64</v>
      </c>
      <c r="Y60" s="2"/>
      <c r="Z60" s="7">
        <f t="shared" si="45"/>
        <v>-1</v>
      </c>
    </row>
    <row r="61" spans="1:26" s="24" customFormat="1" hidden="1" outlineLevel="2" x14ac:dyDescent="0.25">
      <c r="A61" s="28"/>
      <c r="B61" s="11" t="str">
        <f>CONCATENATE("          ", "6248", " - ", "UNIFORMS")</f>
        <v xml:space="preserve">          6248 - UNIFORMS</v>
      </c>
      <c r="C61" s="11"/>
      <c r="D61" s="6"/>
      <c r="E61" s="2"/>
      <c r="F61" s="7">
        <f t="shared" si="38"/>
        <v>0</v>
      </c>
      <c r="G61" s="2"/>
      <c r="H61" s="6"/>
      <c r="I61" s="2"/>
      <c r="J61" s="7">
        <f t="shared" si="39"/>
        <v>0</v>
      </c>
      <c r="K61" s="2"/>
      <c r="L61" s="6">
        <f t="shared" si="40"/>
        <v>0</v>
      </c>
      <c r="M61" s="2"/>
      <c r="N61" s="7">
        <f t="shared" si="41"/>
        <v>0</v>
      </c>
      <c r="O61" s="11"/>
      <c r="P61" s="6"/>
      <c r="Q61" s="2"/>
      <c r="R61" s="7">
        <f t="shared" si="42"/>
        <v>0</v>
      </c>
      <c r="S61" s="2"/>
      <c r="T61" s="6">
        <v>637.03</v>
      </c>
      <c r="U61" s="2"/>
      <c r="V61" s="7">
        <f t="shared" si="43"/>
        <v>6.4286541797201552E-3</v>
      </c>
      <c r="W61" s="2"/>
      <c r="X61" s="6">
        <f t="shared" si="44"/>
        <v>-637.03</v>
      </c>
      <c r="Y61" s="2"/>
      <c r="Z61" s="7">
        <f t="shared" si="45"/>
        <v>-1</v>
      </c>
    </row>
    <row r="62" spans="1:26" s="29" customFormat="1" outlineLevel="1" collapsed="1" x14ac:dyDescent="0.25">
      <c r="A62" s="27"/>
      <c r="B62" s="14" t="str">
        <f>CONCATENATE("     ","Telephone/Data Lines                              ")</f>
        <v xml:space="preserve">     Telephone/Data Lines                              </v>
      </c>
      <c r="C62" s="14"/>
      <c r="D62" s="1">
        <f>SUM(OSRRefD22_11x_0)</f>
        <v>13.2</v>
      </c>
      <c r="E62" s="1"/>
      <c r="F62" s="5">
        <f t="shared" ref="F62:F65" si="46">IF(D$12=0,0,D62/D$12)</f>
        <v>0</v>
      </c>
      <c r="G62" s="1"/>
      <c r="H62" s="1">
        <f>SUM(OSRRefH22_11x_0)</f>
        <v>86</v>
      </c>
      <c r="I62" s="1"/>
      <c r="J62" s="5">
        <f t="shared" ref="J62:J65" si="47">IF(H$12=0,0,H62/H$12)</f>
        <v>1.9838079747696532E-3</v>
      </c>
      <c r="K62" s="1"/>
      <c r="L62" s="1">
        <f t="shared" ref="L62:L65" si="48">+D62-H62</f>
        <v>-72.8</v>
      </c>
      <c r="M62" s="1"/>
      <c r="N62" s="5">
        <f t="shared" ref="N62:N65" si="49">IF(H62=0,0,L62/H62)</f>
        <v>-0.84651162790697676</v>
      </c>
      <c r="O62" s="14"/>
      <c r="P62" s="1">
        <f>SUM(OSRRefP22_11x_0)</f>
        <v>85.2</v>
      </c>
      <c r="Q62" s="1"/>
      <c r="R62" s="5">
        <f t="shared" ref="R62:R65" si="50">IF(P$12=0,0,P62/P$12)</f>
        <v>0</v>
      </c>
      <c r="S62" s="1"/>
      <c r="T62" s="1">
        <f>SUM(OSRRefT22_11x_0)</f>
        <v>349</v>
      </c>
      <c r="U62" s="1"/>
      <c r="V62" s="5">
        <f t="shared" ref="V62:V65" si="51">IF(T$12=0,0,T62/T$12)</f>
        <v>3.5219696226587984E-3</v>
      </c>
      <c r="W62" s="1"/>
      <c r="X62" s="1">
        <f t="shared" ref="X62:X65" si="52">+P62-T62</f>
        <v>-263.8</v>
      </c>
      <c r="Y62" s="1"/>
      <c r="Z62" s="5">
        <f t="shared" ref="Z62:Z65" si="53">IF(T62=0,0,X62/T62)</f>
        <v>-0.75587392550143273</v>
      </c>
    </row>
    <row r="63" spans="1:26" s="24" customFormat="1" hidden="1" outlineLevel="2" x14ac:dyDescent="0.25">
      <c r="A63" s="28"/>
      <c r="B63" s="11" t="str">
        <f>CONCATENATE("          ", "6309", " - ", "TELEPHONE")</f>
        <v xml:space="preserve">          6309 - TELEPHONE</v>
      </c>
      <c r="C63" s="11"/>
      <c r="D63" s="6">
        <v>13.2</v>
      </c>
      <c r="E63" s="2"/>
      <c r="F63" s="7">
        <f t="shared" si="46"/>
        <v>0</v>
      </c>
      <c r="G63" s="2"/>
      <c r="H63" s="6">
        <v>86</v>
      </c>
      <c r="I63" s="2"/>
      <c r="J63" s="7">
        <f t="shared" si="47"/>
        <v>1.9838079747696532E-3</v>
      </c>
      <c r="K63" s="2"/>
      <c r="L63" s="6">
        <f t="shared" si="48"/>
        <v>-72.8</v>
      </c>
      <c r="M63" s="2"/>
      <c r="N63" s="7">
        <f t="shared" si="49"/>
        <v>-0.84651162790697676</v>
      </c>
      <c r="O63" s="11"/>
      <c r="P63" s="6">
        <v>85.2</v>
      </c>
      <c r="Q63" s="2"/>
      <c r="R63" s="7">
        <f t="shared" si="50"/>
        <v>0</v>
      </c>
      <c r="S63" s="2"/>
      <c r="T63" s="6">
        <v>349</v>
      </c>
      <c r="U63" s="2"/>
      <c r="V63" s="7">
        <f t="shared" si="51"/>
        <v>3.5219696226587984E-3</v>
      </c>
      <c r="W63" s="2"/>
      <c r="X63" s="6">
        <f t="shared" si="52"/>
        <v>-263.8</v>
      </c>
      <c r="Y63" s="2"/>
      <c r="Z63" s="7">
        <f t="shared" si="53"/>
        <v>-0.75587392550143273</v>
      </c>
    </row>
    <row r="64" spans="1:26" s="29" customFormat="1" outlineLevel="1" collapsed="1" x14ac:dyDescent="0.25">
      <c r="A64" s="27"/>
      <c r="B64" s="14" t="str">
        <f>CONCATENATE("     ","Training                                          ")</f>
        <v xml:space="preserve">     Training                                          </v>
      </c>
      <c r="C64" s="14"/>
      <c r="D64" s="1">
        <f>SUM(OSRRefD22_12x_0)</f>
        <v>0</v>
      </c>
      <c r="E64" s="1"/>
      <c r="F64" s="5">
        <f t="shared" si="46"/>
        <v>0</v>
      </c>
      <c r="G64" s="1"/>
      <c r="H64" s="1">
        <f>SUM(OSRRefH22_12x_0)</f>
        <v>0</v>
      </c>
      <c r="I64" s="1"/>
      <c r="J64" s="5">
        <f t="shared" si="47"/>
        <v>0</v>
      </c>
      <c r="K64" s="1"/>
      <c r="L64" s="1">
        <f t="shared" si="48"/>
        <v>0</v>
      </c>
      <c r="M64" s="1"/>
      <c r="N64" s="5">
        <f t="shared" si="49"/>
        <v>0</v>
      </c>
      <c r="O64" s="14"/>
      <c r="P64" s="1">
        <f>SUM(OSRRefP22_12x_0)</f>
        <v>0</v>
      </c>
      <c r="Q64" s="1"/>
      <c r="R64" s="5">
        <f t="shared" si="50"/>
        <v>0</v>
      </c>
      <c r="S64" s="1"/>
      <c r="T64" s="1">
        <f>SUM(OSRRefT22_12x_0)</f>
        <v>152.94999999999999</v>
      </c>
      <c r="U64" s="1"/>
      <c r="V64" s="5">
        <f t="shared" si="51"/>
        <v>1.5435107558328459E-3</v>
      </c>
      <c r="W64" s="1"/>
      <c r="X64" s="1">
        <f t="shared" si="52"/>
        <v>-152.94999999999999</v>
      </c>
      <c r="Y64" s="1"/>
      <c r="Z64" s="5">
        <f t="shared" si="53"/>
        <v>-1</v>
      </c>
    </row>
    <row r="65" spans="1:26" s="24" customFormat="1" hidden="1" outlineLevel="2" x14ac:dyDescent="0.25">
      <c r="A65" s="28"/>
      <c r="B65" s="11" t="str">
        <f>CONCATENATE("          ", "6376", " - ", "TRAINING")</f>
        <v xml:space="preserve">          6376 - TRAINING</v>
      </c>
      <c r="C65" s="11"/>
      <c r="D65" s="6"/>
      <c r="E65" s="2"/>
      <c r="F65" s="7">
        <f t="shared" si="46"/>
        <v>0</v>
      </c>
      <c r="G65" s="2"/>
      <c r="H65" s="6"/>
      <c r="I65" s="2"/>
      <c r="J65" s="7">
        <f t="shared" si="47"/>
        <v>0</v>
      </c>
      <c r="K65" s="2"/>
      <c r="L65" s="6">
        <f t="shared" si="48"/>
        <v>0</v>
      </c>
      <c r="M65" s="2"/>
      <c r="N65" s="7">
        <f t="shared" si="49"/>
        <v>0</v>
      </c>
      <c r="O65" s="11"/>
      <c r="P65" s="6"/>
      <c r="Q65" s="2"/>
      <c r="R65" s="7">
        <f t="shared" si="50"/>
        <v>0</v>
      </c>
      <c r="S65" s="2"/>
      <c r="T65" s="6">
        <v>152.94999999999999</v>
      </c>
      <c r="U65" s="2"/>
      <c r="V65" s="7">
        <f t="shared" si="51"/>
        <v>1.5435107558328459E-3</v>
      </c>
      <c r="W65" s="2"/>
      <c r="X65" s="6">
        <f t="shared" si="52"/>
        <v>-152.94999999999999</v>
      </c>
      <c r="Y65" s="2"/>
      <c r="Z65" s="7">
        <f t="shared" si="53"/>
        <v>-1</v>
      </c>
    </row>
    <row r="66" spans="1:26" s="57" customFormat="1" x14ac:dyDescent="0.25">
      <c r="A66" s="37"/>
      <c r="B66" s="37"/>
      <c r="C66" s="37"/>
      <c r="D66" s="1"/>
      <c r="E66" s="1"/>
      <c r="F66" s="5"/>
      <c r="G66" s="1"/>
      <c r="H66" s="1"/>
      <c r="I66" s="1"/>
      <c r="J66" s="5"/>
      <c r="K66" s="1"/>
      <c r="L66" s="1"/>
      <c r="M66" s="1"/>
      <c r="N66" s="5"/>
      <c r="O66" s="37"/>
      <c r="P66" s="1"/>
      <c r="Q66" s="1"/>
      <c r="R66" s="5"/>
      <c r="S66" s="1"/>
      <c r="T66" s="1"/>
      <c r="U66" s="1"/>
      <c r="V66" s="5"/>
      <c r="W66" s="1"/>
      <c r="X66" s="1"/>
      <c r="Y66" s="1"/>
      <c r="Z66" s="5"/>
    </row>
    <row r="67" spans="1:26" s="23" customFormat="1" x14ac:dyDescent="0.25">
      <c r="A67" s="10"/>
      <c r="B67" s="26" t="s">
        <v>0</v>
      </c>
      <c r="C67" s="10"/>
      <c r="D67" s="4">
        <f>SUM(0)</f>
        <v>0</v>
      </c>
      <c r="E67" s="4"/>
      <c r="F67" s="12">
        <f>IF(D$12=0,0,D67/D$12)</f>
        <v>0</v>
      </c>
      <c r="G67" s="4"/>
      <c r="H67" s="4">
        <f>SUM(0)</f>
        <v>0</v>
      </c>
      <c r="I67" s="4"/>
      <c r="J67" s="12">
        <f>IF(H$12=0,0,H67/H$12)</f>
        <v>0</v>
      </c>
      <c r="K67" s="4"/>
      <c r="L67" s="4">
        <f>+D67-H67</f>
        <v>0</v>
      </c>
      <c r="M67" s="4"/>
      <c r="N67" s="12">
        <f>IF(H67=0,0,L67/H67)</f>
        <v>0</v>
      </c>
      <c r="O67" s="10"/>
      <c r="P67" s="4">
        <f>SUM(0)</f>
        <v>0</v>
      </c>
      <c r="Q67" s="4"/>
      <c r="R67" s="12">
        <f>IF(P$12=0,0,P67/P$12)</f>
        <v>0</v>
      </c>
      <c r="S67" s="4"/>
      <c r="T67" s="4">
        <f>SUM(0)</f>
        <v>0</v>
      </c>
      <c r="U67" s="4"/>
      <c r="V67" s="12">
        <f>IF(T$12=0,0,T67/T$12)</f>
        <v>0</v>
      </c>
      <c r="W67" s="4"/>
      <c r="X67" s="4">
        <f>+P67-T67</f>
        <v>0</v>
      </c>
      <c r="Y67" s="4"/>
      <c r="Z67" s="12">
        <f>IF(T67=0,0,X67/T67)</f>
        <v>0</v>
      </c>
    </row>
    <row r="68" spans="1:26" x14ac:dyDescent="0.25">
      <c r="A68" s="9"/>
      <c r="B68" s="10"/>
      <c r="C68" s="10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O68" s="10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x14ac:dyDescent="0.25">
      <c r="A69" s="10"/>
      <c r="B69" s="25" t="s">
        <v>3</v>
      </c>
      <c r="C69" s="25"/>
      <c r="D69" s="20">
        <f>+D20-D22+D67</f>
        <v>-132.75</v>
      </c>
      <c r="E69" s="13"/>
      <c r="F69" s="21">
        <f>IF(D$12=0,0,D69/D$12)</f>
        <v>0</v>
      </c>
      <c r="G69" s="13"/>
      <c r="H69" s="20">
        <f>+H20-H22+H67</f>
        <v>-892.2300000000032</v>
      </c>
      <c r="I69" s="13"/>
      <c r="J69" s="21">
        <f>IF(H$12=0,0,H69/H$12)</f>
        <v>-2.058154638754342E-2</v>
      </c>
      <c r="K69" s="15"/>
      <c r="L69" s="20">
        <f>+D69-H69</f>
        <v>759.4800000000032</v>
      </c>
      <c r="M69" s="15"/>
      <c r="N69" s="21">
        <f>IF(H69=0,0,L69/H69)</f>
        <v>-0.85121549376281957</v>
      </c>
      <c r="O69" s="26"/>
      <c r="P69" s="20">
        <f>+P20-P22+P67</f>
        <v>-1436.11</v>
      </c>
      <c r="Q69" s="13"/>
      <c r="R69" s="21">
        <f>IF(P$12=0,0,P69/P$12)</f>
        <v>0</v>
      </c>
      <c r="S69" s="13"/>
      <c r="T69" s="20">
        <f>+T20-T22+T67</f>
        <v>-22978.250000000029</v>
      </c>
      <c r="U69" s="13"/>
      <c r="V69" s="21">
        <f>IF(T$12=0,0,T69/T$12)</f>
        <v>-0.23188738820017088</v>
      </c>
      <c r="W69" s="15"/>
      <c r="X69" s="20">
        <f>+P69-T69</f>
        <v>21542.140000000029</v>
      </c>
      <c r="Y69" s="15"/>
      <c r="Z69" s="21">
        <f>IF(T69=0,0,X69/T69)</f>
        <v>-0.93750133278208747</v>
      </c>
    </row>
    <row r="70" spans="1:26" x14ac:dyDescent="0.25">
      <c r="A70" s="9"/>
      <c r="B70" s="10"/>
      <c r="C70" s="9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x14ac:dyDescent="0.25">
      <c r="A71" s="51"/>
      <c r="B71" s="10" t="s">
        <v>13</v>
      </c>
      <c r="C71" s="10"/>
      <c r="D71" s="4"/>
      <c r="E71" s="4"/>
      <c r="F71" s="12">
        <f>IF(D$12=0,0,D71/D$12)</f>
        <v>0</v>
      </c>
      <c r="G71" s="4"/>
      <c r="H71" s="4">
        <v>3987.52</v>
      </c>
      <c r="I71" s="4"/>
      <c r="J71" s="12">
        <f>IF(H$12=0,0,H71/H$12)</f>
        <v>9.198225552969172E-2</v>
      </c>
      <c r="K71" s="4"/>
      <c r="L71" s="4">
        <f>+D71-H71</f>
        <v>-3987.52</v>
      </c>
      <c r="M71" s="4"/>
      <c r="N71" s="12">
        <f>IF(H71=0,0,L71/H71)</f>
        <v>-1</v>
      </c>
      <c r="O71" s="10"/>
      <c r="P71" s="4"/>
      <c r="Q71" s="4"/>
      <c r="R71" s="12">
        <f>IF(P$12=0,0,P71/P$12)</f>
        <v>0</v>
      </c>
      <c r="S71" s="4"/>
      <c r="T71" s="4">
        <v>9974.8799999999992</v>
      </c>
      <c r="U71" s="4"/>
      <c r="V71" s="12">
        <f>IF(T$12=0,0,T71/T$12)</f>
        <v>0.10066253395319998</v>
      </c>
      <c r="W71" s="4"/>
      <c r="X71" s="4">
        <f>+P71-T71</f>
        <v>-9974.8799999999992</v>
      </c>
      <c r="Y71" s="4"/>
      <c r="Z71" s="12">
        <f>IF(T71=0,0,X71/T71)</f>
        <v>-1</v>
      </c>
    </row>
    <row r="72" spans="1:26" x14ac:dyDescent="0.25">
      <c r="A72" s="9"/>
      <c r="B72" s="10"/>
      <c r="C72" s="10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0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ht="15.75" thickBot="1" x14ac:dyDescent="0.3">
      <c r="A73" s="10"/>
      <c r="B73" s="25" t="s">
        <v>4</v>
      </c>
      <c r="C73" s="25"/>
      <c r="D73" s="30">
        <f>+D69-D71</f>
        <v>-132.75</v>
      </c>
      <c r="E73" s="13"/>
      <c r="F73" s="33">
        <f>IF(D$12=0,0,D73/D$12)</f>
        <v>0</v>
      </c>
      <c r="G73" s="13"/>
      <c r="H73" s="30">
        <f>+H69-H71</f>
        <v>-4879.7500000000036</v>
      </c>
      <c r="I73" s="13"/>
      <c r="J73" s="33">
        <f>IF(H$12=0,0,H73/H$12)</f>
        <v>-0.11256380191723515</v>
      </c>
      <c r="K73" s="15"/>
      <c r="L73" s="30">
        <f>D73-H73</f>
        <v>4747.0000000000036</v>
      </c>
      <c r="M73" s="15"/>
      <c r="N73" s="33">
        <f>IF(H73=0,0,L73/H73)</f>
        <v>-0.97279573748655157</v>
      </c>
      <c r="O73" s="26"/>
      <c r="P73" s="30">
        <f>+P69-P71</f>
        <v>-1436.11</v>
      </c>
      <c r="Q73" s="13"/>
      <c r="R73" s="33">
        <f>IF(P$12=0,0,P73/P$12)</f>
        <v>0</v>
      </c>
      <c r="S73" s="13"/>
      <c r="T73" s="30">
        <f>+T69-T71</f>
        <v>-32953.130000000026</v>
      </c>
      <c r="U73" s="13"/>
      <c r="V73" s="33">
        <f>IF(T$12=0,0,T73/T$12)</f>
        <v>-0.33254992215337087</v>
      </c>
      <c r="W73" s="15"/>
      <c r="X73" s="30">
        <f>P73-T73</f>
        <v>31517.020000000026</v>
      </c>
      <c r="Y73" s="15"/>
      <c r="Z73" s="33">
        <f>IF(T73=0,0,X73/T73)</f>
        <v>-0.95641961780261842</v>
      </c>
    </row>
    <row r="74" spans="1:26" ht="15.75" thickTop="1" x14ac:dyDescent="0.25">
      <c r="A74" s="9"/>
      <c r="B74" s="9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x14ac:dyDescent="0.25">
      <c r="A75" s="9"/>
      <c r="B75" s="9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ht="15.75" thickBot="1" x14ac:dyDescent="0.3">
      <c r="A76" s="10"/>
      <c r="B76" s="25" t="s">
        <v>5</v>
      </c>
      <c r="C76" s="25"/>
      <c r="D76" s="34">
        <f>SUM(D73:D75)</f>
        <v>-132.75</v>
      </c>
      <c r="E76" s="13"/>
      <c r="F76" s="35">
        <f>IF(D$12=0,0,D76/D$12)</f>
        <v>0</v>
      </c>
      <c r="G76" s="13"/>
      <c r="H76" s="34">
        <f>SUM(H73:H75)</f>
        <v>-4879.7500000000036</v>
      </c>
      <c r="I76" s="13"/>
      <c r="J76" s="35">
        <f>IF(H$12=0,0,H76/H$12)</f>
        <v>-0.11256380191723515</v>
      </c>
      <c r="K76" s="15"/>
      <c r="L76" s="34">
        <f>+D76-H76</f>
        <v>4747.0000000000036</v>
      </c>
      <c r="M76" s="15"/>
      <c r="N76" s="35">
        <f>IF(H76=0,0,L76/H76)</f>
        <v>-0.97279573748655157</v>
      </c>
      <c r="O76" s="26"/>
      <c r="P76" s="34">
        <f>SUM(P73:P75)</f>
        <v>-1436.11</v>
      </c>
      <c r="Q76" s="13"/>
      <c r="R76" s="35">
        <f>IF(P$12=0,0,P76/P$12)</f>
        <v>0</v>
      </c>
      <c r="S76" s="13"/>
      <c r="T76" s="34">
        <f>SUM(T73:T75)</f>
        <v>-32953.130000000026</v>
      </c>
      <c r="U76" s="13"/>
      <c r="V76" s="35">
        <f>IF(T$12=0,0,T76/T$12)</f>
        <v>-0.33254992215337087</v>
      </c>
      <c r="W76" s="15"/>
      <c r="X76" s="34">
        <f>+P76-T76</f>
        <v>31517.020000000026</v>
      </c>
      <c r="Y76" s="15"/>
      <c r="Z76" s="35">
        <f>IF(T76=0,0,X76/T76)</f>
        <v>-0.95641961780261842</v>
      </c>
    </row>
    <row r="77" spans="1:26" ht="15.75" thickTop="1" x14ac:dyDescent="0.25">
      <c r="A77" s="9"/>
      <c r="C77" s="9"/>
      <c r="D77" s="18"/>
      <c r="E77" s="18"/>
      <c r="G77" s="18"/>
      <c r="H77" s="18"/>
      <c r="I77" s="18"/>
      <c r="J77" s="43"/>
      <c r="K77" s="18"/>
      <c r="L77" s="18"/>
      <c r="M77" s="18"/>
      <c r="P77" s="18"/>
      <c r="Q77" s="18"/>
      <c r="R77" s="43"/>
      <c r="S77" s="18"/>
      <c r="T77" s="18"/>
      <c r="U77" s="18"/>
      <c r="V77" s="43"/>
      <c r="W77" s="18"/>
      <c r="X77" s="18"/>
    </row>
    <row r="78" spans="1:26" x14ac:dyDescent="0.25">
      <c r="A78" s="9"/>
      <c r="B78" s="56">
        <v>44151.572697418982</v>
      </c>
      <c r="D78" s="18"/>
      <c r="E78" s="18"/>
      <c r="G78" s="18"/>
      <c r="H78" s="18"/>
      <c r="I78" s="18"/>
      <c r="J78" s="43"/>
      <c r="K78" s="18"/>
      <c r="L78" s="18"/>
      <c r="M78" s="18"/>
      <c r="P78" s="18"/>
      <c r="Q78" s="18"/>
      <c r="R78" s="43"/>
      <c r="S78" s="18"/>
      <c r="T78" s="18"/>
      <c r="U78" s="18"/>
      <c r="V78" s="43"/>
      <c r="W78" s="18"/>
      <c r="X78" s="18"/>
    </row>
    <row r="79" spans="1:26" x14ac:dyDescent="0.25">
      <c r="A79" s="9"/>
      <c r="B79" s="62" t="s">
        <v>313</v>
      </c>
      <c r="D79" s="18"/>
      <c r="E79" s="18"/>
      <c r="G79" s="18"/>
      <c r="H79" s="18"/>
      <c r="I79" s="18"/>
      <c r="J79" s="43"/>
      <c r="K79" s="18"/>
      <c r="L79" s="18"/>
      <c r="M79" s="18"/>
      <c r="P79" s="18"/>
      <c r="Q79" s="18"/>
      <c r="R79" s="43"/>
      <c r="S79" s="18"/>
      <c r="T79" s="18"/>
      <c r="U79" s="18"/>
      <c r="V79" s="43"/>
      <c r="W79" s="18"/>
      <c r="X79" s="18"/>
    </row>
    <row r="80" spans="1:26" x14ac:dyDescent="0.25">
      <c r="A80" s="9"/>
      <c r="B80" s="54"/>
      <c r="D80" s="18"/>
      <c r="E80" s="18"/>
      <c r="G80" s="18"/>
      <c r="H80" s="18"/>
      <c r="I80" s="18"/>
      <c r="J80" s="43"/>
      <c r="K80" s="18"/>
      <c r="L80" s="18"/>
      <c r="M80" s="18"/>
      <c r="P80" s="18"/>
      <c r="Q80" s="18"/>
      <c r="R80" s="43"/>
      <c r="S80" s="18"/>
      <c r="T80" s="18"/>
      <c r="U80" s="18"/>
      <c r="V80" s="43"/>
      <c r="W80" s="18"/>
      <c r="X80" s="18"/>
    </row>
    <row r="81" spans="4:24" x14ac:dyDescent="0.25"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</sheetData>
  <pageMargins left="0.25" right="0.25" top="0.75" bottom="0.75" header="0.3" footer="0.3"/>
  <pageSetup scale="55" fitToWidth="2" orientation="landscape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",RIGHT(202104,2),", ",2021)</f>
        <v>Period 04,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44135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","411", " - ", "University Dining")</f>
        <v>Department 411 - University Dining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61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50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50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2"/>
      <c r="F10" s="31" t="s">
        <v>14</v>
      </c>
      <c r="G10" s="32"/>
      <c r="H10" s="49" t="s">
        <v>306</v>
      </c>
      <c r="I10" s="32"/>
      <c r="J10" s="31" t="s">
        <v>14</v>
      </c>
      <c r="K10" s="10"/>
      <c r="L10" s="42" t="s">
        <v>11</v>
      </c>
      <c r="M10" s="10"/>
      <c r="N10" s="31" t="s">
        <v>15</v>
      </c>
      <c r="O10" s="10"/>
      <c r="P10" s="59" t="s">
        <v>10</v>
      </c>
      <c r="Q10" s="32"/>
      <c r="R10" s="31" t="s">
        <v>14</v>
      </c>
      <c r="S10" s="32"/>
      <c r="T10" s="49" t="s">
        <v>306</v>
      </c>
      <c r="U10" s="32"/>
      <c r="V10" s="31" t="s">
        <v>14</v>
      </c>
      <c r="W10" s="10"/>
      <c r="X10" s="42" t="s">
        <v>11</v>
      </c>
      <c r="Y10" s="10"/>
      <c r="Z10" s="31" t="s">
        <v>15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6</v>
      </c>
      <c r="C16" s="25"/>
      <c r="D16" s="20">
        <f>D12-D14</f>
        <v>0</v>
      </c>
      <c r="E16" s="13"/>
      <c r="F16" s="21">
        <f>IF(D$12=0,0,D16/D$12)</f>
        <v>0</v>
      </c>
      <c r="G16" s="13"/>
      <c r="H16" s="20">
        <f>H12-H14</f>
        <v>0</v>
      </c>
      <c r="I16" s="13"/>
      <c r="J16" s="21">
        <f>IF(H$12=0,0,H16/H$12)</f>
        <v>0</v>
      </c>
      <c r="K16" s="15"/>
      <c r="L16" s="20">
        <f>+D16-H16</f>
        <v>0</v>
      </c>
      <c r="M16" s="15"/>
      <c r="N16" s="21">
        <f>IF(H16=0,0,L16/H16)</f>
        <v>0</v>
      </c>
      <c r="O16" s="26"/>
      <c r="P16" s="20">
        <f>P12-P14</f>
        <v>0</v>
      </c>
      <c r="Q16" s="13"/>
      <c r="R16" s="21">
        <f>IF(P$12=0,0,P16/P$12)</f>
        <v>0</v>
      </c>
      <c r="S16" s="13"/>
      <c r="T16" s="20">
        <f>T12-T14</f>
        <v>0</v>
      </c>
      <c r="U16" s="13"/>
      <c r="V16" s="21">
        <f>IF(T$12=0,0,T16/T$12)</f>
        <v>0</v>
      </c>
      <c r="W16" s="15"/>
      <c r="X16" s="20">
        <f>+P16-T16</f>
        <v>0</v>
      </c>
      <c r="Y16" s="15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9</v>
      </c>
      <c r="C18" s="10"/>
      <c r="D18" s="22">
        <f>SUM(OSRRefD22x_0)</f>
        <v>25379.569999999992</v>
      </c>
      <c r="E18" s="22"/>
      <c r="F18" s="36">
        <f t="shared" ref="F18:F28" si="0">IF(D$12=0,0,D18/D$12)</f>
        <v>0</v>
      </c>
      <c r="G18" s="22"/>
      <c r="H18" s="22">
        <f>SUM(OSRRefH22x_0)</f>
        <v>107180.18999999997</v>
      </c>
      <c r="I18" s="22"/>
      <c r="J18" s="36">
        <f t="shared" ref="J18:J28" si="1">IF(H$12=0,0,H18/H$12)</f>
        <v>0</v>
      </c>
      <c r="K18" s="4"/>
      <c r="L18" s="22">
        <f t="shared" ref="L18:L28" si="2">+D18-H18</f>
        <v>-81800.619999999981</v>
      </c>
      <c r="M18" s="4"/>
      <c r="N18" s="36">
        <f t="shared" ref="N18:N28" si="3">IF(H18=0,0,L18/H18)</f>
        <v>-0.76320652165292857</v>
      </c>
      <c r="O18" s="10"/>
      <c r="P18" s="22">
        <f>SUM(OSRRefP22x_0)</f>
        <v>84131.72000000003</v>
      </c>
      <c r="Q18" s="22"/>
      <c r="R18" s="36">
        <f t="shared" ref="R18:R28" si="4">IF(P$12=0,0,P18/P$12)</f>
        <v>0</v>
      </c>
      <c r="S18" s="22"/>
      <c r="T18" s="22">
        <f>SUM(OSRRefT22x_0)</f>
        <v>378670.70999999996</v>
      </c>
      <c r="U18" s="22"/>
      <c r="V18" s="36">
        <f t="shared" ref="V18:V28" si="5">IF(T$12=0,0,T18/T$12)</f>
        <v>0</v>
      </c>
      <c r="W18" s="4"/>
      <c r="X18" s="22">
        <f t="shared" ref="X18:X28" si="6">+P18-T18</f>
        <v>-294538.98999999993</v>
      </c>
      <c r="Y18" s="4"/>
      <c r="Z18" s="36">
        <f t="shared" ref="Z18:Z28" si="7">IF(T18=0,0,X18/T18)</f>
        <v>-0.77782353433145113</v>
      </c>
    </row>
    <row r="19" spans="1:26" s="29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7813.98</v>
      </c>
      <c r="E19" s="1"/>
      <c r="F19" s="5">
        <f t="shared" si="0"/>
        <v>0</v>
      </c>
      <c r="G19" s="1"/>
      <c r="H19" s="1">
        <f>SUM(OSRRefH22_0x_0)</f>
        <v>14246.05</v>
      </c>
      <c r="I19" s="1"/>
      <c r="J19" s="5">
        <f t="shared" si="1"/>
        <v>0</v>
      </c>
      <c r="K19" s="1"/>
      <c r="L19" s="1">
        <f t="shared" si="2"/>
        <v>-6432.07</v>
      </c>
      <c r="M19" s="1"/>
      <c r="N19" s="5">
        <f t="shared" si="3"/>
        <v>-0.45149848554511601</v>
      </c>
      <c r="O19" s="14"/>
      <c r="P19" s="1">
        <f>SUM(OSRRefP22_0x_0)</f>
        <v>24611.69</v>
      </c>
      <c r="Q19" s="1"/>
      <c r="R19" s="5">
        <f t="shared" si="4"/>
        <v>0</v>
      </c>
      <c r="S19" s="1"/>
      <c r="T19" s="1">
        <f>SUM(OSRRefT22_0x_0)</f>
        <v>46278.049999999996</v>
      </c>
      <c r="U19" s="1"/>
      <c r="V19" s="5">
        <f t="shared" si="5"/>
        <v>0</v>
      </c>
      <c r="W19" s="1"/>
      <c r="X19" s="1">
        <f t="shared" si="6"/>
        <v>-21666.359999999997</v>
      </c>
      <c r="Y19" s="1"/>
      <c r="Z19" s="5">
        <f t="shared" si="7"/>
        <v>-0.46817789427169032</v>
      </c>
    </row>
    <row r="20" spans="1:26" s="24" customFormat="1" hidden="1" outlineLevel="2" x14ac:dyDescent="0.25">
      <c r="A20" s="28"/>
      <c r="B20" s="11" t="str">
        <f>CONCATENATE("          ", "6111", " - ", "F.I.C.A.")</f>
        <v xml:space="preserve">          6111 - F.I.C.A.</v>
      </c>
      <c r="C20" s="11"/>
      <c r="D20" s="6">
        <v>2199.04</v>
      </c>
      <c r="E20" s="2"/>
      <c r="F20" s="7">
        <f t="shared" si="0"/>
        <v>0</v>
      </c>
      <c r="G20" s="2"/>
      <c r="H20" s="6">
        <v>4186.57</v>
      </c>
      <c r="I20" s="2"/>
      <c r="J20" s="7">
        <f t="shared" si="1"/>
        <v>0</v>
      </c>
      <c r="K20" s="2"/>
      <c r="L20" s="6">
        <f t="shared" si="2"/>
        <v>-1987.5299999999997</v>
      </c>
      <c r="M20" s="2"/>
      <c r="N20" s="7">
        <f t="shared" si="3"/>
        <v>-0.47473946452585286</v>
      </c>
      <c r="O20" s="11"/>
      <c r="P20" s="6">
        <v>4898.5600000000004</v>
      </c>
      <c r="Q20" s="2"/>
      <c r="R20" s="7">
        <f t="shared" si="4"/>
        <v>0</v>
      </c>
      <c r="S20" s="2"/>
      <c r="T20" s="6">
        <v>10249.77</v>
      </c>
      <c r="U20" s="2"/>
      <c r="V20" s="7">
        <f t="shared" si="5"/>
        <v>0</v>
      </c>
      <c r="W20" s="2"/>
      <c r="X20" s="6">
        <f t="shared" si="6"/>
        <v>-5351.21</v>
      </c>
      <c r="Y20" s="2"/>
      <c r="Z20" s="7">
        <f t="shared" si="7"/>
        <v>-0.52208098328060037</v>
      </c>
    </row>
    <row r="21" spans="1:26" s="24" customFormat="1" hidden="1" outlineLevel="2" x14ac:dyDescent="0.25">
      <c r="A21" s="28"/>
      <c r="B21" s="11" t="str">
        <f>CONCATENATE("          ", "6112", " - ", "COMPENSATION INSURANCE")</f>
        <v xml:space="preserve">          6112 - COMPENSATION INSURANCE</v>
      </c>
      <c r="C21" s="11"/>
      <c r="D21" s="6">
        <v>36.53</v>
      </c>
      <c r="E21" s="2"/>
      <c r="F21" s="7">
        <f t="shared" si="0"/>
        <v>0</v>
      </c>
      <c r="G21" s="2"/>
      <c r="H21" s="6">
        <v>196.48</v>
      </c>
      <c r="I21" s="2"/>
      <c r="J21" s="7">
        <f t="shared" si="1"/>
        <v>0</v>
      </c>
      <c r="K21" s="2"/>
      <c r="L21" s="6">
        <f t="shared" si="2"/>
        <v>-159.94999999999999</v>
      </c>
      <c r="M21" s="2"/>
      <c r="N21" s="7">
        <f t="shared" si="3"/>
        <v>-0.81407776872964166</v>
      </c>
      <c r="O21" s="11"/>
      <c r="P21" s="6">
        <v>235.35</v>
      </c>
      <c r="Q21" s="2"/>
      <c r="R21" s="7">
        <f t="shared" si="4"/>
        <v>0</v>
      </c>
      <c r="S21" s="2"/>
      <c r="T21" s="6">
        <v>2587.7399999999998</v>
      </c>
      <c r="U21" s="2"/>
      <c r="V21" s="7">
        <f t="shared" si="5"/>
        <v>0</v>
      </c>
      <c r="W21" s="2"/>
      <c r="X21" s="6">
        <f t="shared" si="6"/>
        <v>-2352.39</v>
      </c>
      <c r="Y21" s="2"/>
      <c r="Z21" s="7">
        <f t="shared" si="7"/>
        <v>-0.90905191402536578</v>
      </c>
    </row>
    <row r="22" spans="1:26" s="24" customFormat="1" hidden="1" outlineLevel="2" x14ac:dyDescent="0.25">
      <c r="A22" s="28"/>
      <c r="B22" s="11" t="str">
        <f>CONCATENATE("          ", "6113", " - ", "GROUP INSURANCE")</f>
        <v xml:space="preserve">          6113 - GROUP INSURANCE</v>
      </c>
      <c r="C22" s="11"/>
      <c r="D22" s="6">
        <v>1950.75</v>
      </c>
      <c r="E22" s="2"/>
      <c r="F22" s="7">
        <f t="shared" si="0"/>
        <v>0</v>
      </c>
      <c r="G22" s="2"/>
      <c r="H22" s="6">
        <v>3654.84</v>
      </c>
      <c r="I22" s="2"/>
      <c r="J22" s="7">
        <f t="shared" si="1"/>
        <v>0</v>
      </c>
      <c r="K22" s="2"/>
      <c r="L22" s="6">
        <f t="shared" si="2"/>
        <v>-1704.0900000000001</v>
      </c>
      <c r="M22" s="2"/>
      <c r="N22" s="7">
        <f t="shared" si="3"/>
        <v>-0.46625570476409367</v>
      </c>
      <c r="O22" s="11"/>
      <c r="P22" s="6">
        <v>6668.97</v>
      </c>
      <c r="Q22" s="2"/>
      <c r="R22" s="7">
        <f t="shared" si="4"/>
        <v>0</v>
      </c>
      <c r="S22" s="2"/>
      <c r="T22" s="6">
        <v>14619.44</v>
      </c>
      <c r="U22" s="2"/>
      <c r="V22" s="7">
        <f t="shared" si="5"/>
        <v>0</v>
      </c>
      <c r="W22" s="2"/>
      <c r="X22" s="6">
        <f t="shared" si="6"/>
        <v>-7950.47</v>
      </c>
      <c r="Y22" s="2"/>
      <c r="Z22" s="7">
        <f t="shared" si="7"/>
        <v>-0.54382862818274846</v>
      </c>
    </row>
    <row r="23" spans="1:26" s="24" customFormat="1" hidden="1" outlineLevel="2" x14ac:dyDescent="0.25">
      <c r="A23" s="28"/>
      <c r="B23" s="11" t="str">
        <f>CONCATENATE("          ", "6114", " - ", "STATE UNEMPLOYMENT INSURANCE")</f>
        <v xml:space="preserve">          6114 - STATE UNEMPLOYMENT INSURANCE</v>
      </c>
      <c r="C23" s="11"/>
      <c r="D23" s="6">
        <v>28.78</v>
      </c>
      <c r="E23" s="2"/>
      <c r="F23" s="7">
        <f t="shared" si="0"/>
        <v>0</v>
      </c>
      <c r="G23" s="2"/>
      <c r="H23" s="6">
        <v>113.45</v>
      </c>
      <c r="I23" s="2"/>
      <c r="J23" s="7">
        <f t="shared" si="1"/>
        <v>0</v>
      </c>
      <c r="K23" s="2"/>
      <c r="L23" s="6">
        <f t="shared" si="2"/>
        <v>-84.67</v>
      </c>
      <c r="M23" s="2"/>
      <c r="N23" s="7">
        <f t="shared" si="3"/>
        <v>-0.74631996474217721</v>
      </c>
      <c r="O23" s="11"/>
      <c r="P23" s="6">
        <v>120.53</v>
      </c>
      <c r="Q23" s="2"/>
      <c r="R23" s="7">
        <f t="shared" si="4"/>
        <v>0</v>
      </c>
      <c r="S23" s="2"/>
      <c r="T23" s="6">
        <v>309.62</v>
      </c>
      <c r="U23" s="2"/>
      <c r="V23" s="7">
        <f t="shared" si="5"/>
        <v>0</v>
      </c>
      <c r="W23" s="2"/>
      <c r="X23" s="6">
        <f t="shared" si="6"/>
        <v>-189.09</v>
      </c>
      <c r="Y23" s="2"/>
      <c r="Z23" s="7">
        <f t="shared" si="7"/>
        <v>-0.61071636199211943</v>
      </c>
    </row>
    <row r="24" spans="1:26" s="24" customFormat="1" hidden="1" outlineLevel="2" x14ac:dyDescent="0.25">
      <c r="A24" s="28"/>
      <c r="B24" s="11" t="str">
        <f>CONCATENATE("          ", "6115", " - ", "P.E.R.S.")</f>
        <v xml:space="preserve">          6115 - P.E.R.S.</v>
      </c>
      <c r="C24" s="11"/>
      <c r="D24" s="6">
        <v>1221.05</v>
      </c>
      <c r="E24" s="2"/>
      <c r="F24" s="7">
        <f t="shared" si="0"/>
        <v>0</v>
      </c>
      <c r="G24" s="2"/>
      <c r="H24" s="6">
        <v>2498.5500000000002</v>
      </c>
      <c r="I24" s="2"/>
      <c r="J24" s="7">
        <f t="shared" si="1"/>
        <v>0</v>
      </c>
      <c r="K24" s="2"/>
      <c r="L24" s="6">
        <f t="shared" si="2"/>
        <v>-1277.5000000000002</v>
      </c>
      <c r="M24" s="2"/>
      <c r="N24" s="7">
        <f t="shared" si="3"/>
        <v>-0.51129655200016011</v>
      </c>
      <c r="O24" s="11"/>
      <c r="P24" s="6">
        <v>5205.7700000000004</v>
      </c>
      <c r="Q24" s="2"/>
      <c r="R24" s="7">
        <f t="shared" si="4"/>
        <v>0</v>
      </c>
      <c r="S24" s="2"/>
      <c r="T24" s="6">
        <v>6005.82</v>
      </c>
      <c r="U24" s="2"/>
      <c r="V24" s="7">
        <f t="shared" si="5"/>
        <v>0</v>
      </c>
      <c r="W24" s="2"/>
      <c r="X24" s="6">
        <f t="shared" si="6"/>
        <v>-800.04999999999927</v>
      </c>
      <c r="Y24" s="2"/>
      <c r="Z24" s="7">
        <f t="shared" si="7"/>
        <v>-0.13321245058959463</v>
      </c>
    </row>
    <row r="25" spans="1:26" s="24" customFormat="1" hidden="1" outlineLevel="2" x14ac:dyDescent="0.25">
      <c r="A25" s="28"/>
      <c r="B25" s="11" t="str">
        <f>CONCATENATE("          ", "6117", " - ", "RETIREMENT STAFF HOURLY")</f>
        <v xml:space="preserve">          6117 - RETIREMENT STAFF HOURLY</v>
      </c>
      <c r="C25" s="11"/>
      <c r="D25" s="6"/>
      <c r="E25" s="2"/>
      <c r="F25" s="7">
        <f t="shared" si="0"/>
        <v>0</v>
      </c>
      <c r="G25" s="2"/>
      <c r="H25" s="6">
        <v>56</v>
      </c>
      <c r="I25" s="2"/>
      <c r="J25" s="7">
        <f t="shared" si="1"/>
        <v>0</v>
      </c>
      <c r="K25" s="2"/>
      <c r="L25" s="6">
        <f t="shared" si="2"/>
        <v>-56</v>
      </c>
      <c r="M25" s="2"/>
      <c r="N25" s="7">
        <f t="shared" si="3"/>
        <v>-1</v>
      </c>
      <c r="O25" s="11"/>
      <c r="P25" s="6"/>
      <c r="Q25" s="2"/>
      <c r="R25" s="7">
        <f t="shared" si="4"/>
        <v>0</v>
      </c>
      <c r="S25" s="2"/>
      <c r="T25" s="6">
        <v>252</v>
      </c>
      <c r="U25" s="2"/>
      <c r="V25" s="7">
        <f t="shared" si="5"/>
        <v>0</v>
      </c>
      <c r="W25" s="2"/>
      <c r="X25" s="6">
        <f t="shared" si="6"/>
        <v>-252</v>
      </c>
      <c r="Y25" s="2"/>
      <c r="Z25" s="7">
        <f t="shared" si="7"/>
        <v>-1</v>
      </c>
    </row>
    <row r="26" spans="1:26" s="24" customFormat="1" hidden="1" outlineLevel="2" x14ac:dyDescent="0.25">
      <c r="A26" s="28"/>
      <c r="B26" s="11" t="str">
        <f>CONCATENATE("          ", "6118", " - ", "VACATION")</f>
        <v xml:space="preserve">          6118 - VACATION</v>
      </c>
      <c r="C26" s="11"/>
      <c r="D26" s="6">
        <v>1533.78</v>
      </c>
      <c r="E26" s="2"/>
      <c r="F26" s="7">
        <f t="shared" si="0"/>
        <v>0</v>
      </c>
      <c r="G26" s="2"/>
      <c r="H26" s="6">
        <v>2101.75</v>
      </c>
      <c r="I26" s="2"/>
      <c r="J26" s="7">
        <f t="shared" si="1"/>
        <v>0</v>
      </c>
      <c r="K26" s="2"/>
      <c r="L26" s="6">
        <f t="shared" si="2"/>
        <v>-567.97</v>
      </c>
      <c r="M26" s="2"/>
      <c r="N26" s="7">
        <f t="shared" si="3"/>
        <v>-0.27023670750565004</v>
      </c>
      <c r="O26" s="11"/>
      <c r="P26" s="6">
        <v>4793.4799999999996</v>
      </c>
      <c r="Q26" s="2"/>
      <c r="R26" s="7">
        <f t="shared" si="4"/>
        <v>0</v>
      </c>
      <c r="S26" s="2"/>
      <c r="T26" s="6">
        <v>6314.59</v>
      </c>
      <c r="U26" s="2"/>
      <c r="V26" s="7">
        <f t="shared" si="5"/>
        <v>0</v>
      </c>
      <c r="W26" s="2"/>
      <c r="X26" s="6">
        <f t="shared" si="6"/>
        <v>-1521.1100000000006</v>
      </c>
      <c r="Y26" s="2"/>
      <c r="Z26" s="7">
        <f t="shared" si="7"/>
        <v>-0.24088816534406834</v>
      </c>
    </row>
    <row r="27" spans="1:26" s="24" customFormat="1" hidden="1" outlineLevel="2" x14ac:dyDescent="0.25">
      <c r="A27" s="28"/>
      <c r="B27" s="11" t="str">
        <f>CONCATENATE("          ", "6119", " - ", "SICK LEAVE")</f>
        <v xml:space="preserve">          6119 - SICK LEAVE</v>
      </c>
      <c r="C27" s="11"/>
      <c r="D27" s="6">
        <v>765.87</v>
      </c>
      <c r="E27" s="2"/>
      <c r="F27" s="7">
        <f t="shared" si="0"/>
        <v>0</v>
      </c>
      <c r="G27" s="2"/>
      <c r="H27" s="6">
        <v>1074.51</v>
      </c>
      <c r="I27" s="2"/>
      <c r="J27" s="7">
        <f t="shared" si="1"/>
        <v>0</v>
      </c>
      <c r="K27" s="2"/>
      <c r="L27" s="6">
        <f t="shared" si="2"/>
        <v>-308.64</v>
      </c>
      <c r="M27" s="2"/>
      <c r="N27" s="7">
        <f t="shared" si="3"/>
        <v>-0.28723790378870367</v>
      </c>
      <c r="O27" s="11"/>
      <c r="P27" s="6">
        <v>2393.5500000000002</v>
      </c>
      <c r="Q27" s="2"/>
      <c r="R27" s="7">
        <f t="shared" si="4"/>
        <v>0</v>
      </c>
      <c r="S27" s="2"/>
      <c r="T27" s="6">
        <v>4469.72</v>
      </c>
      <c r="U27" s="2"/>
      <c r="V27" s="7">
        <f t="shared" si="5"/>
        <v>0</v>
      </c>
      <c r="W27" s="2"/>
      <c r="X27" s="6">
        <f t="shared" si="6"/>
        <v>-2076.17</v>
      </c>
      <c r="Y27" s="2"/>
      <c r="Z27" s="7">
        <f t="shared" si="7"/>
        <v>-0.46449665750874775</v>
      </c>
    </row>
    <row r="28" spans="1:26" s="24" customFormat="1" hidden="1" outlineLevel="2" x14ac:dyDescent="0.25">
      <c r="A28" s="28"/>
      <c r="B28" s="11" t="str">
        <f>CONCATENATE("          ", "6156", " - ", "EMPLOYEE MEALS")</f>
        <v xml:space="preserve">          6156 - EMPLOYEE MEALS</v>
      </c>
      <c r="C28" s="11"/>
      <c r="D28" s="6">
        <v>78.180000000000007</v>
      </c>
      <c r="E28" s="2"/>
      <c r="F28" s="7">
        <f t="shared" si="0"/>
        <v>0</v>
      </c>
      <c r="G28" s="2"/>
      <c r="H28" s="6">
        <v>363.9</v>
      </c>
      <c r="I28" s="2"/>
      <c r="J28" s="7">
        <f t="shared" si="1"/>
        <v>0</v>
      </c>
      <c r="K28" s="2"/>
      <c r="L28" s="6">
        <f t="shared" si="2"/>
        <v>-285.71999999999997</v>
      </c>
      <c r="M28" s="2"/>
      <c r="N28" s="7">
        <f t="shared" si="3"/>
        <v>-0.78516075845012367</v>
      </c>
      <c r="O28" s="11"/>
      <c r="P28" s="6">
        <v>295.48</v>
      </c>
      <c r="Q28" s="2"/>
      <c r="R28" s="7">
        <f t="shared" si="4"/>
        <v>0</v>
      </c>
      <c r="S28" s="2"/>
      <c r="T28" s="6">
        <v>1469.35</v>
      </c>
      <c r="U28" s="2"/>
      <c r="V28" s="7">
        <f t="shared" si="5"/>
        <v>0</v>
      </c>
      <c r="W28" s="2"/>
      <c r="X28" s="6">
        <f t="shared" si="6"/>
        <v>-1173.8699999999999</v>
      </c>
      <c r="Y28" s="2"/>
      <c r="Z28" s="7">
        <f t="shared" si="7"/>
        <v>-0.7989042774015721</v>
      </c>
    </row>
    <row r="29" spans="1:26" s="29" customFormat="1" outlineLevel="1" collapsed="1" x14ac:dyDescent="0.25">
      <c r="A29" s="27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10516.14</v>
      </c>
      <c r="E29" s="1"/>
      <c r="F29" s="5">
        <f t="shared" ref="F29:F35" si="8">IF(D$12=0,0,D29/D$12)</f>
        <v>0</v>
      </c>
      <c r="G29" s="1"/>
      <c r="H29" s="1">
        <f>SUM(OSRRefH22_1x_0)</f>
        <v>31681.440000000002</v>
      </c>
      <c r="I29" s="1"/>
      <c r="J29" s="5">
        <f t="shared" ref="J29:J35" si="9">IF(H$12=0,0,H29/H$12)</f>
        <v>0</v>
      </c>
      <c r="K29" s="1"/>
      <c r="L29" s="1">
        <f t="shared" ref="L29:L35" si="10">+D29-H29</f>
        <v>-21165.300000000003</v>
      </c>
      <c r="M29" s="1"/>
      <c r="N29" s="5">
        <f t="shared" ref="N29:N35" si="11">IF(H29=0,0,L29/H29)</f>
        <v>-0.66806622426253359</v>
      </c>
      <c r="O29" s="14"/>
      <c r="P29" s="1">
        <f>SUM(OSRRefP22_1x_0)</f>
        <v>45942.03</v>
      </c>
      <c r="Q29" s="1"/>
      <c r="R29" s="5">
        <f t="shared" ref="R29:R35" si="12">IF(P$12=0,0,P29/P$12)</f>
        <v>0</v>
      </c>
      <c r="S29" s="1"/>
      <c r="T29" s="1">
        <f>SUM(OSRRefT22_1x_0)</f>
        <v>114194.28000000001</v>
      </c>
      <c r="U29" s="1"/>
      <c r="V29" s="5">
        <f t="shared" ref="V29:V35" si="13">IF(T$12=0,0,T29/T$12)</f>
        <v>0</v>
      </c>
      <c r="W29" s="1"/>
      <c r="X29" s="1">
        <f t="shared" ref="X29:X35" si="14">+P29-T29</f>
        <v>-68252.250000000015</v>
      </c>
      <c r="Y29" s="1"/>
      <c r="Z29" s="5">
        <f t="shared" ref="Z29:Z35" si="15">IF(T29=0,0,X29/T29)</f>
        <v>-0.59768536567680974</v>
      </c>
    </row>
    <row r="30" spans="1:26" s="24" customFormat="1" hidden="1" outlineLevel="2" x14ac:dyDescent="0.25">
      <c r="A30" s="28"/>
      <c r="B30" s="11" t="str">
        <f>CONCATENATE("          ", "6001", " - ", "ADMINISTRATIVE SALARIES")</f>
        <v xml:space="preserve">          6001 - ADMINISTRATIVE SALARIES</v>
      </c>
      <c r="C30" s="11"/>
      <c r="D30" s="6">
        <v>10516.14</v>
      </c>
      <c r="E30" s="2"/>
      <c r="F30" s="7">
        <f t="shared" si="8"/>
        <v>0</v>
      </c>
      <c r="G30" s="2"/>
      <c r="H30" s="6">
        <v>7492.27</v>
      </c>
      <c r="I30" s="2"/>
      <c r="J30" s="7">
        <f t="shared" si="9"/>
        <v>0</v>
      </c>
      <c r="K30" s="2"/>
      <c r="L30" s="6">
        <f t="shared" si="10"/>
        <v>3023.869999999999</v>
      </c>
      <c r="M30" s="2"/>
      <c r="N30" s="7">
        <f t="shared" si="11"/>
        <v>0.40359864233403214</v>
      </c>
      <c r="O30" s="11"/>
      <c r="P30" s="6">
        <v>43862.03</v>
      </c>
      <c r="Q30" s="2"/>
      <c r="R30" s="7">
        <f t="shared" si="12"/>
        <v>0</v>
      </c>
      <c r="S30" s="2"/>
      <c r="T30" s="6">
        <v>32611.350000000002</v>
      </c>
      <c r="U30" s="2"/>
      <c r="V30" s="7">
        <f t="shared" si="13"/>
        <v>0</v>
      </c>
      <c r="W30" s="2"/>
      <c r="X30" s="6">
        <f t="shared" si="14"/>
        <v>11250.679999999997</v>
      </c>
      <c r="Y30" s="2"/>
      <c r="Z30" s="7">
        <f t="shared" si="15"/>
        <v>0.34499277092178016</v>
      </c>
    </row>
    <row r="31" spans="1:26" s="24" customFormat="1" hidden="1" outlineLevel="2" x14ac:dyDescent="0.25">
      <c r="A31" s="28"/>
      <c r="B31" s="11" t="str">
        <f>CONCATENATE("          ", "6002", " - ", "STAFF SALARIES")</f>
        <v xml:space="preserve">          6002 - STAFF SALARIES</v>
      </c>
      <c r="C31" s="11"/>
      <c r="D31" s="6"/>
      <c r="E31" s="2"/>
      <c r="F31" s="7">
        <f t="shared" si="8"/>
        <v>0</v>
      </c>
      <c r="G31" s="2"/>
      <c r="H31" s="6">
        <v>5319.86</v>
      </c>
      <c r="I31" s="2"/>
      <c r="J31" s="7">
        <f t="shared" si="9"/>
        <v>0</v>
      </c>
      <c r="K31" s="2"/>
      <c r="L31" s="6">
        <f t="shared" si="10"/>
        <v>-5319.86</v>
      </c>
      <c r="M31" s="2"/>
      <c r="N31" s="7">
        <f t="shared" si="11"/>
        <v>-1</v>
      </c>
      <c r="O31" s="11"/>
      <c r="P31" s="6">
        <v>2080</v>
      </c>
      <c r="Q31" s="2"/>
      <c r="R31" s="7">
        <f t="shared" si="12"/>
        <v>0</v>
      </c>
      <c r="S31" s="2"/>
      <c r="T31" s="6">
        <v>18305.580000000002</v>
      </c>
      <c r="U31" s="2"/>
      <c r="V31" s="7">
        <f t="shared" si="13"/>
        <v>0</v>
      </c>
      <c r="W31" s="2"/>
      <c r="X31" s="6">
        <f t="shared" si="14"/>
        <v>-16225.580000000002</v>
      </c>
      <c r="Y31" s="2"/>
      <c r="Z31" s="7">
        <f t="shared" si="15"/>
        <v>-0.8863734445999526</v>
      </c>
    </row>
    <row r="32" spans="1:26" s="24" customFormat="1" hidden="1" outlineLevel="2" x14ac:dyDescent="0.25">
      <c r="A32" s="28"/>
      <c r="B32" s="11" t="str">
        <f>CONCATENATE("          ", "6004", " - ", "STAFF HOURLY")</f>
        <v xml:space="preserve">          6004 - STAFF HOURLY</v>
      </c>
      <c r="C32" s="11"/>
      <c r="D32" s="6"/>
      <c r="E32" s="2"/>
      <c r="F32" s="7">
        <f t="shared" si="8"/>
        <v>0</v>
      </c>
      <c r="G32" s="2"/>
      <c r="H32" s="6">
        <v>3460.8</v>
      </c>
      <c r="I32" s="2"/>
      <c r="J32" s="7">
        <f t="shared" si="9"/>
        <v>0</v>
      </c>
      <c r="K32" s="2"/>
      <c r="L32" s="6">
        <f t="shared" si="10"/>
        <v>-3460.8</v>
      </c>
      <c r="M32" s="2"/>
      <c r="N32" s="7">
        <f t="shared" si="11"/>
        <v>-1</v>
      </c>
      <c r="O32" s="11"/>
      <c r="P32" s="6"/>
      <c r="Q32" s="2"/>
      <c r="R32" s="7">
        <f t="shared" si="12"/>
        <v>0</v>
      </c>
      <c r="S32" s="2"/>
      <c r="T32" s="6">
        <v>9690.24</v>
      </c>
      <c r="U32" s="2"/>
      <c r="V32" s="7">
        <f t="shared" si="13"/>
        <v>0</v>
      </c>
      <c r="W32" s="2"/>
      <c r="X32" s="6">
        <f t="shared" si="14"/>
        <v>-9690.24</v>
      </c>
      <c r="Y32" s="2"/>
      <c r="Z32" s="7">
        <f t="shared" si="15"/>
        <v>-1</v>
      </c>
    </row>
    <row r="33" spans="1:26" s="24" customFormat="1" hidden="1" outlineLevel="2" x14ac:dyDescent="0.25">
      <c r="A33" s="28"/>
      <c r="B33" s="11" t="str">
        <f>CONCATENATE("          ", "6005", " - ", "TEMPORARY WAGES-HOURLY")</f>
        <v xml:space="preserve">          6005 - TEMPORARY WAGES-HOURLY</v>
      </c>
      <c r="C33" s="11"/>
      <c r="D33" s="6"/>
      <c r="E33" s="2"/>
      <c r="F33" s="7">
        <f t="shared" si="8"/>
        <v>0</v>
      </c>
      <c r="G33" s="2"/>
      <c r="H33" s="6">
        <v>16837.009999999998</v>
      </c>
      <c r="I33" s="2"/>
      <c r="J33" s="7">
        <f t="shared" si="9"/>
        <v>0</v>
      </c>
      <c r="K33" s="2"/>
      <c r="L33" s="6">
        <f t="shared" si="10"/>
        <v>-16837.009999999998</v>
      </c>
      <c r="M33" s="2"/>
      <c r="N33" s="7">
        <f t="shared" si="11"/>
        <v>-1</v>
      </c>
      <c r="O33" s="11"/>
      <c r="P33" s="6"/>
      <c r="Q33" s="2"/>
      <c r="R33" s="7">
        <f t="shared" si="12"/>
        <v>0</v>
      </c>
      <c r="S33" s="2"/>
      <c r="T33" s="6">
        <v>44173.29</v>
      </c>
      <c r="U33" s="2"/>
      <c r="V33" s="7">
        <f t="shared" si="13"/>
        <v>0</v>
      </c>
      <c r="W33" s="2"/>
      <c r="X33" s="6">
        <f t="shared" si="14"/>
        <v>-44173.29</v>
      </c>
      <c r="Y33" s="2"/>
      <c r="Z33" s="7">
        <f t="shared" si="15"/>
        <v>-1</v>
      </c>
    </row>
    <row r="34" spans="1:26" s="24" customFormat="1" hidden="1" outlineLevel="2" x14ac:dyDescent="0.25">
      <c r="A34" s="28"/>
      <c r="B34" s="11" t="str">
        <f>CONCATENATE("          ", "6006", " - ", "TEMPORARY PART TIME")</f>
        <v xml:space="preserve">          6006 - TEMPORARY PART TIME</v>
      </c>
      <c r="C34" s="11"/>
      <c r="D34" s="6"/>
      <c r="E34" s="2"/>
      <c r="F34" s="7">
        <f t="shared" si="8"/>
        <v>0</v>
      </c>
      <c r="G34" s="2"/>
      <c r="H34" s="6"/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/>
      <c r="Q34" s="2"/>
      <c r="R34" s="7">
        <f t="shared" si="12"/>
        <v>0</v>
      </c>
      <c r="S34" s="2"/>
      <c r="T34" s="6">
        <v>1236.8800000000001</v>
      </c>
      <c r="U34" s="2"/>
      <c r="V34" s="7">
        <f t="shared" si="13"/>
        <v>0</v>
      </c>
      <c r="W34" s="2"/>
      <c r="X34" s="6">
        <f t="shared" si="14"/>
        <v>-1236.8800000000001</v>
      </c>
      <c r="Y34" s="2"/>
      <c r="Z34" s="7">
        <f t="shared" si="15"/>
        <v>-1</v>
      </c>
    </row>
    <row r="35" spans="1:26" s="24" customFormat="1" hidden="1" outlineLevel="2" x14ac:dyDescent="0.25">
      <c r="A35" s="28"/>
      <c r="B35" s="11" t="str">
        <f>CONCATENATE("          ", "6007", " - ", "STUDENT HOURLY")</f>
        <v xml:space="preserve">          6007 - STUDENT HOURLY</v>
      </c>
      <c r="C35" s="11"/>
      <c r="D35" s="6"/>
      <c r="E35" s="2"/>
      <c r="F35" s="7">
        <f t="shared" si="8"/>
        <v>0</v>
      </c>
      <c r="G35" s="2"/>
      <c r="H35" s="6">
        <v>-1428.5</v>
      </c>
      <c r="I35" s="2"/>
      <c r="J35" s="7">
        <f t="shared" si="9"/>
        <v>0</v>
      </c>
      <c r="K35" s="2"/>
      <c r="L35" s="6">
        <f t="shared" si="10"/>
        <v>1428.5</v>
      </c>
      <c r="M35" s="2"/>
      <c r="N35" s="7">
        <f t="shared" si="11"/>
        <v>-1</v>
      </c>
      <c r="O35" s="11"/>
      <c r="P35" s="6"/>
      <c r="Q35" s="2"/>
      <c r="R35" s="7">
        <f t="shared" si="12"/>
        <v>0</v>
      </c>
      <c r="S35" s="2"/>
      <c r="T35" s="6">
        <v>8176.94</v>
      </c>
      <c r="U35" s="2"/>
      <c r="V35" s="7">
        <f t="shared" si="13"/>
        <v>0</v>
      </c>
      <c r="W35" s="2"/>
      <c r="X35" s="6">
        <f t="shared" si="14"/>
        <v>-8176.94</v>
      </c>
      <c r="Y35" s="2"/>
      <c r="Z35" s="7">
        <f t="shared" si="15"/>
        <v>-1</v>
      </c>
    </row>
    <row r="36" spans="1:26" s="29" customFormat="1" outlineLevel="1" collapsed="1" x14ac:dyDescent="0.25">
      <c r="A36" s="27"/>
      <c r="B36" s="14" t="str">
        <f>CONCATENATE("     ","Advertising/Promo                                 ")</f>
        <v xml:space="preserve">     Advertising/Promo                                 </v>
      </c>
      <c r="C36" s="14"/>
      <c r="D36" s="1">
        <f>SUM(OSRRefD22_2x_0)</f>
        <v>0</v>
      </c>
      <c r="E36" s="1"/>
      <c r="F36" s="5">
        <f t="shared" ref="F36:F43" si="16">IF(D$12=0,0,D36/D$12)</f>
        <v>0</v>
      </c>
      <c r="G36" s="1"/>
      <c r="H36" s="1">
        <f>SUM(OSRRefH22_2x_0)</f>
        <v>2142.75</v>
      </c>
      <c r="I36" s="1"/>
      <c r="J36" s="5">
        <f t="shared" ref="J36:J43" si="17">IF(H$12=0,0,H36/H$12)</f>
        <v>0</v>
      </c>
      <c r="K36" s="1"/>
      <c r="L36" s="1">
        <f t="shared" ref="L36:L43" si="18">+D36-H36</f>
        <v>-2142.75</v>
      </c>
      <c r="M36" s="1"/>
      <c r="N36" s="5">
        <f t="shared" ref="N36:N43" si="19">IF(H36=0,0,L36/H36)</f>
        <v>-1</v>
      </c>
      <c r="O36" s="14"/>
      <c r="P36" s="1">
        <f>SUM(OSRRefP22_2x_0)</f>
        <v>0</v>
      </c>
      <c r="Q36" s="1"/>
      <c r="R36" s="5">
        <f t="shared" ref="R36:R43" si="20">IF(P$12=0,0,P36/P$12)</f>
        <v>0</v>
      </c>
      <c r="S36" s="1"/>
      <c r="T36" s="1">
        <f>SUM(OSRRefT22_2x_0)</f>
        <v>2448.56</v>
      </c>
      <c r="U36" s="1"/>
      <c r="V36" s="5">
        <f t="shared" ref="V36:V43" si="21">IF(T$12=0,0,T36/T$12)</f>
        <v>0</v>
      </c>
      <c r="W36" s="1"/>
      <c r="X36" s="1">
        <f t="shared" ref="X36:X43" si="22">+P36-T36</f>
        <v>-2448.56</v>
      </c>
      <c r="Y36" s="1"/>
      <c r="Z36" s="5">
        <f t="shared" ref="Z36:Z43" si="23">IF(T36=0,0,X36/T36)</f>
        <v>-1</v>
      </c>
    </row>
    <row r="37" spans="1:26" s="24" customFormat="1" hidden="1" outlineLevel="2" x14ac:dyDescent="0.25">
      <c r="A37" s="28"/>
      <c r="B37" s="11" t="str">
        <f>CONCATENATE("          ", "6362", " - ", "ADVERTISING EXPENSE")</f>
        <v xml:space="preserve">          6362 - ADVERTISING EXPENSE</v>
      </c>
      <c r="C37" s="11"/>
      <c r="D37" s="6"/>
      <c r="E37" s="2"/>
      <c r="F37" s="7">
        <f t="shared" si="16"/>
        <v>0</v>
      </c>
      <c r="G37" s="2"/>
      <c r="H37" s="6">
        <v>2142.75</v>
      </c>
      <c r="I37" s="2"/>
      <c r="J37" s="7">
        <f t="shared" si="17"/>
        <v>0</v>
      </c>
      <c r="K37" s="2"/>
      <c r="L37" s="6">
        <f t="shared" si="18"/>
        <v>-2142.75</v>
      </c>
      <c r="M37" s="2"/>
      <c r="N37" s="7">
        <f t="shared" si="19"/>
        <v>-1</v>
      </c>
      <c r="O37" s="11"/>
      <c r="P37" s="6"/>
      <c r="Q37" s="2"/>
      <c r="R37" s="7">
        <f t="shared" si="20"/>
        <v>0</v>
      </c>
      <c r="S37" s="2"/>
      <c r="T37" s="6">
        <v>2448.56</v>
      </c>
      <c r="U37" s="2"/>
      <c r="V37" s="7">
        <f t="shared" si="21"/>
        <v>0</v>
      </c>
      <c r="W37" s="2"/>
      <c r="X37" s="6">
        <f t="shared" si="22"/>
        <v>-2448.56</v>
      </c>
      <c r="Y37" s="2"/>
      <c r="Z37" s="7">
        <f t="shared" si="23"/>
        <v>-1</v>
      </c>
    </row>
    <row r="38" spans="1:26" s="29" customFormat="1" outlineLevel="1" collapsed="1" x14ac:dyDescent="0.25">
      <c r="A38" s="27"/>
      <c r="B38" s="14" t="str">
        <f>CONCATENATE("     ","Bank/card Fees                                    ")</f>
        <v xml:space="preserve">     Bank/card Fees                                    </v>
      </c>
      <c r="C38" s="14"/>
      <c r="D38" s="1">
        <f>SUM(OSRRefD22_3x_0)</f>
        <v>382.85</v>
      </c>
      <c r="E38" s="1"/>
      <c r="F38" s="5">
        <f t="shared" si="16"/>
        <v>0</v>
      </c>
      <c r="G38" s="1"/>
      <c r="H38" s="1">
        <f>SUM(OSRRefH22_3x_0)</f>
        <v>0</v>
      </c>
      <c r="I38" s="1"/>
      <c r="J38" s="5">
        <f t="shared" si="17"/>
        <v>0</v>
      </c>
      <c r="K38" s="1"/>
      <c r="L38" s="1">
        <f t="shared" si="18"/>
        <v>382.85</v>
      </c>
      <c r="M38" s="1"/>
      <c r="N38" s="5">
        <f t="shared" si="19"/>
        <v>0</v>
      </c>
      <c r="O38" s="14"/>
      <c r="P38" s="1">
        <f>SUM(OSRRefP22_3x_0)</f>
        <v>1426.66</v>
      </c>
      <c r="Q38" s="1"/>
      <c r="R38" s="5">
        <f t="shared" si="20"/>
        <v>0</v>
      </c>
      <c r="S38" s="1"/>
      <c r="T38" s="1">
        <f>SUM(OSRRefT22_3x_0)</f>
        <v>0</v>
      </c>
      <c r="U38" s="1"/>
      <c r="V38" s="5">
        <f t="shared" si="21"/>
        <v>0</v>
      </c>
      <c r="W38" s="1"/>
      <c r="X38" s="1">
        <f t="shared" si="22"/>
        <v>1426.66</v>
      </c>
      <c r="Y38" s="1"/>
      <c r="Z38" s="5">
        <f t="shared" si="23"/>
        <v>0</v>
      </c>
    </row>
    <row r="39" spans="1:26" s="24" customFormat="1" hidden="1" outlineLevel="2" x14ac:dyDescent="0.25">
      <c r="A39" s="28"/>
      <c r="B39" s="11" t="str">
        <f>CONCATENATE("          ", "6381", " - ", "BANK/CREDIT CARD FEES")</f>
        <v xml:space="preserve">          6381 - BANK/CREDIT CARD FEES</v>
      </c>
      <c r="C39" s="11"/>
      <c r="D39" s="6">
        <v>382.85</v>
      </c>
      <c r="E39" s="2"/>
      <c r="F39" s="7">
        <f t="shared" si="16"/>
        <v>0</v>
      </c>
      <c r="G39" s="2"/>
      <c r="H39" s="6"/>
      <c r="I39" s="2"/>
      <c r="J39" s="7">
        <f t="shared" si="17"/>
        <v>0</v>
      </c>
      <c r="K39" s="2"/>
      <c r="L39" s="6">
        <f t="shared" si="18"/>
        <v>382.85</v>
      </c>
      <c r="M39" s="2"/>
      <c r="N39" s="7">
        <f t="shared" si="19"/>
        <v>0</v>
      </c>
      <c r="O39" s="11"/>
      <c r="P39" s="6">
        <v>1426.66</v>
      </c>
      <c r="Q39" s="2"/>
      <c r="R39" s="7">
        <f t="shared" si="20"/>
        <v>0</v>
      </c>
      <c r="S39" s="2"/>
      <c r="T39" s="6"/>
      <c r="U39" s="2"/>
      <c r="V39" s="7">
        <f t="shared" si="21"/>
        <v>0</v>
      </c>
      <c r="W39" s="2"/>
      <c r="X39" s="6">
        <f t="shared" si="22"/>
        <v>1426.66</v>
      </c>
      <c r="Y39" s="2"/>
      <c r="Z39" s="7">
        <f t="shared" si="23"/>
        <v>0</v>
      </c>
    </row>
    <row r="40" spans="1:26" s="29" customFormat="1" outlineLevel="1" collapsed="1" x14ac:dyDescent="0.25">
      <c r="A40" s="27"/>
      <c r="B40" s="14" t="str">
        <f>CONCATENATE("     ","Depreciation                                      ")</f>
        <v xml:space="preserve">     Depreciation                                      </v>
      </c>
      <c r="C40" s="14"/>
      <c r="D40" s="1">
        <f>SUM(OSRRefD22_4x_0)</f>
        <v>6779.8600000000006</v>
      </c>
      <c r="E40" s="1"/>
      <c r="F40" s="5">
        <f t="shared" si="16"/>
        <v>0</v>
      </c>
      <c r="G40" s="1"/>
      <c r="H40" s="1">
        <f>SUM(OSRRefH22_4x_0)</f>
        <v>6821.6399999999994</v>
      </c>
      <c r="I40" s="1"/>
      <c r="J40" s="5">
        <f t="shared" si="17"/>
        <v>0</v>
      </c>
      <c r="K40" s="1"/>
      <c r="L40" s="1">
        <f t="shared" si="18"/>
        <v>-41.779999999998836</v>
      </c>
      <c r="M40" s="1"/>
      <c r="N40" s="5">
        <f t="shared" si="19"/>
        <v>-6.1246269225580414E-3</v>
      </c>
      <c r="O40" s="14"/>
      <c r="P40" s="1">
        <f>SUM(OSRRefP22_4x_0)</f>
        <v>27903.63</v>
      </c>
      <c r="Q40" s="1"/>
      <c r="R40" s="5">
        <f t="shared" si="20"/>
        <v>0</v>
      </c>
      <c r="S40" s="1"/>
      <c r="T40" s="1">
        <f>SUM(OSRRefT22_4x_0)</f>
        <v>27286.559999999998</v>
      </c>
      <c r="U40" s="1"/>
      <c r="V40" s="5">
        <f t="shared" si="21"/>
        <v>0</v>
      </c>
      <c r="W40" s="1"/>
      <c r="X40" s="1">
        <f t="shared" si="22"/>
        <v>617.07000000000335</v>
      </c>
      <c r="Y40" s="1"/>
      <c r="Z40" s="5">
        <f t="shared" si="23"/>
        <v>2.2614429961123842E-2</v>
      </c>
    </row>
    <row r="41" spans="1:26" s="24" customFormat="1" hidden="1" outlineLevel="2" x14ac:dyDescent="0.25">
      <c r="A41" s="28"/>
      <c r="B41" s="11" t="str">
        <f>CONCATENATE("          ", "6321", " - ", "BUILDING DEPRECIATION")</f>
        <v xml:space="preserve">          6321 - BUILDING DEPRECIATION</v>
      </c>
      <c r="C41" s="11"/>
      <c r="D41" s="6">
        <v>1822.68</v>
      </c>
      <c r="E41" s="2"/>
      <c r="F41" s="7">
        <f t="shared" si="16"/>
        <v>0</v>
      </c>
      <c r="G41" s="2"/>
      <c r="H41" s="6">
        <v>2266.9499999999998</v>
      </c>
      <c r="I41" s="2"/>
      <c r="J41" s="7">
        <f t="shared" si="17"/>
        <v>0</v>
      </c>
      <c r="K41" s="2"/>
      <c r="L41" s="6">
        <f t="shared" si="18"/>
        <v>-444.26999999999975</v>
      </c>
      <c r="M41" s="2"/>
      <c r="N41" s="7">
        <f t="shared" si="19"/>
        <v>-0.19597697346655188</v>
      </c>
      <c r="O41" s="11"/>
      <c r="P41" s="6">
        <v>8074.91</v>
      </c>
      <c r="Q41" s="2"/>
      <c r="R41" s="7">
        <f t="shared" si="20"/>
        <v>0</v>
      </c>
      <c r="S41" s="2"/>
      <c r="T41" s="6">
        <v>9067.7999999999993</v>
      </c>
      <c r="U41" s="2"/>
      <c r="V41" s="7">
        <f t="shared" si="21"/>
        <v>0</v>
      </c>
      <c r="W41" s="2"/>
      <c r="X41" s="6">
        <f t="shared" si="22"/>
        <v>-992.88999999999942</v>
      </c>
      <c r="Y41" s="2"/>
      <c r="Z41" s="7">
        <f t="shared" si="23"/>
        <v>-0.1094962394406581</v>
      </c>
    </row>
    <row r="42" spans="1:26" s="24" customFormat="1" hidden="1" outlineLevel="2" x14ac:dyDescent="0.25">
      <c r="A42" s="28"/>
      <c r="B42" s="11" t="str">
        <f>CONCATENATE("          ", "6322", " - ", "EQUIPMENT DEPRECIATION EXPENSE")</f>
        <v xml:space="preserve">          6322 - EQUIPMENT DEPRECIATION EXPENSE</v>
      </c>
      <c r="C42" s="11"/>
      <c r="D42" s="6">
        <v>4957.18</v>
      </c>
      <c r="E42" s="2"/>
      <c r="F42" s="7">
        <f t="shared" si="16"/>
        <v>0</v>
      </c>
      <c r="G42" s="2"/>
      <c r="H42" s="6">
        <v>4130.4399999999996</v>
      </c>
      <c r="I42" s="2"/>
      <c r="J42" s="7">
        <f t="shared" si="17"/>
        <v>0</v>
      </c>
      <c r="K42" s="2"/>
      <c r="L42" s="6">
        <f t="shared" si="18"/>
        <v>826.74000000000069</v>
      </c>
      <c r="M42" s="2"/>
      <c r="N42" s="7">
        <f t="shared" si="19"/>
        <v>0.20015785243218659</v>
      </c>
      <c r="O42" s="11"/>
      <c r="P42" s="6">
        <v>19828.72</v>
      </c>
      <c r="Q42" s="2"/>
      <c r="R42" s="7">
        <f t="shared" si="20"/>
        <v>0</v>
      </c>
      <c r="S42" s="2"/>
      <c r="T42" s="6">
        <v>16521.759999999998</v>
      </c>
      <c r="U42" s="2"/>
      <c r="V42" s="7">
        <f t="shared" si="21"/>
        <v>0</v>
      </c>
      <c r="W42" s="2"/>
      <c r="X42" s="6">
        <f t="shared" si="22"/>
        <v>3306.9600000000028</v>
      </c>
      <c r="Y42" s="2"/>
      <c r="Z42" s="7">
        <f t="shared" si="23"/>
        <v>0.20015785243218659</v>
      </c>
    </row>
    <row r="43" spans="1:26" s="24" customFormat="1" hidden="1" outlineLevel="2" x14ac:dyDescent="0.25">
      <c r="A43" s="28"/>
      <c r="B43" s="11" t="str">
        <f>CONCATENATE("          ", "6326", " - ", "VEHICLES DEPRECIATION EXPENSE")</f>
        <v xml:space="preserve">          6326 - VEHICLES DEPRECIATION EXPENSE</v>
      </c>
      <c r="C43" s="11"/>
      <c r="D43" s="6"/>
      <c r="E43" s="2"/>
      <c r="F43" s="7">
        <f t="shared" si="16"/>
        <v>0</v>
      </c>
      <c r="G43" s="2"/>
      <c r="H43" s="6">
        <v>424.25</v>
      </c>
      <c r="I43" s="2"/>
      <c r="J43" s="7">
        <f t="shared" si="17"/>
        <v>0</v>
      </c>
      <c r="K43" s="2"/>
      <c r="L43" s="6">
        <f t="shared" si="18"/>
        <v>-424.25</v>
      </c>
      <c r="M43" s="2"/>
      <c r="N43" s="7">
        <f t="shared" si="19"/>
        <v>-1</v>
      </c>
      <c r="O43" s="11"/>
      <c r="P43" s="6"/>
      <c r="Q43" s="2"/>
      <c r="R43" s="7">
        <f t="shared" si="20"/>
        <v>0</v>
      </c>
      <c r="S43" s="2"/>
      <c r="T43" s="6">
        <v>1697</v>
      </c>
      <c r="U43" s="2"/>
      <c r="V43" s="7">
        <f t="shared" si="21"/>
        <v>0</v>
      </c>
      <c r="W43" s="2"/>
      <c r="X43" s="6">
        <f t="shared" si="22"/>
        <v>-1697</v>
      </c>
      <c r="Y43" s="2"/>
      <c r="Z43" s="7">
        <f t="shared" si="23"/>
        <v>-1</v>
      </c>
    </row>
    <row r="44" spans="1:26" s="29" customFormat="1" outlineLevel="1" collapsed="1" x14ac:dyDescent="0.25">
      <c r="A44" s="27"/>
      <c r="B44" s="14" t="str">
        <f>CONCATENATE("     ","Donations                                         ")</f>
        <v xml:space="preserve">     Donations                                         </v>
      </c>
      <c r="C44" s="14"/>
      <c r="D44" s="1">
        <f>SUM(OSRRefD22_5x_0)</f>
        <v>0</v>
      </c>
      <c r="E44" s="1"/>
      <c r="F44" s="5">
        <f t="shared" ref="F44:F60" si="24">IF(D$12=0,0,D44/D$12)</f>
        <v>0</v>
      </c>
      <c r="G44" s="1"/>
      <c r="H44" s="1">
        <f>SUM(OSRRefH22_5x_0)</f>
        <v>163.68</v>
      </c>
      <c r="I44" s="1"/>
      <c r="J44" s="5">
        <f t="shared" ref="J44:J60" si="25">IF(H$12=0,0,H44/H$12)</f>
        <v>0</v>
      </c>
      <c r="K44" s="1"/>
      <c r="L44" s="1">
        <f t="shared" ref="L44:L60" si="26">+D44-H44</f>
        <v>-163.68</v>
      </c>
      <c r="M44" s="1"/>
      <c r="N44" s="5">
        <f t="shared" ref="N44:N60" si="27">IF(H44=0,0,L44/H44)</f>
        <v>-1</v>
      </c>
      <c r="O44" s="14"/>
      <c r="P44" s="1">
        <f>SUM(OSRRefP22_5x_0)</f>
        <v>0</v>
      </c>
      <c r="Q44" s="1"/>
      <c r="R44" s="5">
        <f t="shared" ref="R44:R60" si="28">IF(P$12=0,0,P44/P$12)</f>
        <v>0</v>
      </c>
      <c r="S44" s="1"/>
      <c r="T44" s="1">
        <f>SUM(OSRRefT22_5x_0)</f>
        <v>163.68</v>
      </c>
      <c r="U44" s="1"/>
      <c r="V44" s="5">
        <f t="shared" ref="V44:V60" si="29">IF(T$12=0,0,T44/T$12)</f>
        <v>0</v>
      </c>
      <c r="W44" s="1"/>
      <c r="X44" s="1">
        <f t="shared" ref="X44:X60" si="30">+P44-T44</f>
        <v>-163.68</v>
      </c>
      <c r="Y44" s="1"/>
      <c r="Z44" s="5">
        <f t="shared" ref="Z44:Z60" si="31">IF(T44=0,0,X44/T44)</f>
        <v>-1</v>
      </c>
    </row>
    <row r="45" spans="1:26" s="24" customFormat="1" hidden="1" outlineLevel="2" x14ac:dyDescent="0.25">
      <c r="A45" s="28"/>
      <c r="B45" s="11" t="str">
        <f>CONCATENATE("          ", "6399", " - ", "DONATION-ON CAMPUS")</f>
        <v xml:space="preserve">          6399 - DONATION-ON CAMPUS</v>
      </c>
      <c r="C45" s="11"/>
      <c r="D45" s="6"/>
      <c r="E45" s="2"/>
      <c r="F45" s="7">
        <f t="shared" si="24"/>
        <v>0</v>
      </c>
      <c r="G45" s="2"/>
      <c r="H45" s="6">
        <v>163.68</v>
      </c>
      <c r="I45" s="2"/>
      <c r="J45" s="7">
        <f t="shared" si="25"/>
        <v>0</v>
      </c>
      <c r="K45" s="2"/>
      <c r="L45" s="6">
        <f t="shared" si="26"/>
        <v>-163.68</v>
      </c>
      <c r="M45" s="2"/>
      <c r="N45" s="7">
        <f t="shared" si="27"/>
        <v>-1</v>
      </c>
      <c r="O45" s="11"/>
      <c r="P45" s="6"/>
      <c r="Q45" s="2"/>
      <c r="R45" s="7">
        <f t="shared" si="28"/>
        <v>0</v>
      </c>
      <c r="S45" s="2"/>
      <c r="T45" s="6">
        <v>163.68</v>
      </c>
      <c r="U45" s="2"/>
      <c r="V45" s="7">
        <f t="shared" si="29"/>
        <v>0</v>
      </c>
      <c r="W45" s="2"/>
      <c r="X45" s="6">
        <f t="shared" si="30"/>
        <v>-163.68</v>
      </c>
      <c r="Y45" s="2"/>
      <c r="Z45" s="7">
        <f t="shared" si="31"/>
        <v>-1</v>
      </c>
    </row>
    <row r="46" spans="1:26" s="29" customFormat="1" outlineLevel="1" collapsed="1" x14ac:dyDescent="0.25">
      <c r="A46" s="27"/>
      <c r="B46" s="14" t="str">
        <f>CONCATENATE("     ","Employees' Appreciation                           ")</f>
        <v xml:space="preserve">     Employees' Appreciation                           </v>
      </c>
      <c r="C46" s="14"/>
      <c r="D46" s="1">
        <f>SUM(OSRRefD22_6x_0)</f>
        <v>0</v>
      </c>
      <c r="E46" s="1"/>
      <c r="F46" s="5">
        <f t="shared" si="24"/>
        <v>0</v>
      </c>
      <c r="G46" s="1"/>
      <c r="H46" s="1">
        <f>SUM(OSRRefH22_6x_0)</f>
        <v>0</v>
      </c>
      <c r="I46" s="1"/>
      <c r="J46" s="5">
        <f t="shared" si="25"/>
        <v>0</v>
      </c>
      <c r="K46" s="1"/>
      <c r="L46" s="1">
        <f t="shared" si="26"/>
        <v>0</v>
      </c>
      <c r="M46" s="1"/>
      <c r="N46" s="5">
        <f t="shared" si="27"/>
        <v>0</v>
      </c>
      <c r="O46" s="14"/>
      <c r="P46" s="1">
        <f>SUM(OSRRefP22_6x_0)</f>
        <v>0</v>
      </c>
      <c r="Q46" s="1"/>
      <c r="R46" s="5">
        <f t="shared" si="28"/>
        <v>0</v>
      </c>
      <c r="S46" s="1"/>
      <c r="T46" s="1">
        <f>SUM(OSRRefT22_6x_0)</f>
        <v>192.72</v>
      </c>
      <c r="U46" s="1"/>
      <c r="V46" s="5">
        <f t="shared" si="29"/>
        <v>0</v>
      </c>
      <c r="W46" s="1"/>
      <c r="X46" s="1">
        <f t="shared" si="30"/>
        <v>-192.72</v>
      </c>
      <c r="Y46" s="1"/>
      <c r="Z46" s="5">
        <f t="shared" si="31"/>
        <v>-1</v>
      </c>
    </row>
    <row r="47" spans="1:26" s="24" customFormat="1" hidden="1" outlineLevel="2" x14ac:dyDescent="0.25">
      <c r="A47" s="28"/>
      <c r="B47" s="11" t="str">
        <f>CONCATENATE("          ", "6277", " - ", "EMPLOYEE APPRECIATION")</f>
        <v xml:space="preserve">          6277 - EMPLOYEE APPRECIATION</v>
      </c>
      <c r="C47" s="11"/>
      <c r="D47" s="6"/>
      <c r="E47" s="2"/>
      <c r="F47" s="7">
        <f t="shared" si="24"/>
        <v>0</v>
      </c>
      <c r="G47" s="2"/>
      <c r="H47" s="6"/>
      <c r="I47" s="2"/>
      <c r="J47" s="7">
        <f t="shared" si="25"/>
        <v>0</v>
      </c>
      <c r="K47" s="2"/>
      <c r="L47" s="6">
        <f t="shared" si="26"/>
        <v>0</v>
      </c>
      <c r="M47" s="2"/>
      <c r="N47" s="7">
        <f t="shared" si="27"/>
        <v>0</v>
      </c>
      <c r="O47" s="11"/>
      <c r="P47" s="6"/>
      <c r="Q47" s="2"/>
      <c r="R47" s="7">
        <f t="shared" si="28"/>
        <v>0</v>
      </c>
      <c r="S47" s="2"/>
      <c r="T47" s="6">
        <v>192.72</v>
      </c>
      <c r="U47" s="2"/>
      <c r="V47" s="7">
        <f t="shared" si="29"/>
        <v>0</v>
      </c>
      <c r="W47" s="2"/>
      <c r="X47" s="6">
        <f t="shared" si="30"/>
        <v>-192.72</v>
      </c>
      <c r="Y47" s="2"/>
      <c r="Z47" s="7">
        <f t="shared" si="31"/>
        <v>-1</v>
      </c>
    </row>
    <row r="48" spans="1:26" s="29" customFormat="1" outlineLevel="1" collapsed="1" x14ac:dyDescent="0.25">
      <c r="A48" s="27"/>
      <c r="B48" s="14" t="str">
        <f>CONCATENATE("     ","Equipment Rental                                  ")</f>
        <v xml:space="preserve">     Equipment Rental                                  </v>
      </c>
      <c r="C48" s="14"/>
      <c r="D48" s="1">
        <f>SUM(OSRRefD22_7x_0)</f>
        <v>1576.83</v>
      </c>
      <c r="E48" s="1"/>
      <c r="F48" s="5">
        <f t="shared" si="24"/>
        <v>0</v>
      </c>
      <c r="G48" s="1"/>
      <c r="H48" s="1">
        <f>SUM(OSRRefH22_7x_0)</f>
        <v>1794.84</v>
      </c>
      <c r="I48" s="1"/>
      <c r="J48" s="5">
        <f t="shared" si="25"/>
        <v>0</v>
      </c>
      <c r="K48" s="1"/>
      <c r="L48" s="1">
        <f t="shared" si="26"/>
        <v>-218.01</v>
      </c>
      <c r="M48" s="1"/>
      <c r="N48" s="5">
        <f t="shared" si="27"/>
        <v>-0.12146486594905395</v>
      </c>
      <c r="O48" s="14"/>
      <c r="P48" s="1">
        <f>SUM(OSRRefP22_7x_0)</f>
        <v>2178.71</v>
      </c>
      <c r="Q48" s="1"/>
      <c r="R48" s="5">
        <f t="shared" si="28"/>
        <v>0</v>
      </c>
      <c r="S48" s="1"/>
      <c r="T48" s="1">
        <f>SUM(OSRRefT22_7x_0)</f>
        <v>4646.28</v>
      </c>
      <c r="U48" s="1"/>
      <c r="V48" s="5">
        <f t="shared" si="29"/>
        <v>0</v>
      </c>
      <c r="W48" s="1"/>
      <c r="X48" s="1">
        <f t="shared" si="30"/>
        <v>-2467.5699999999997</v>
      </c>
      <c r="Y48" s="1"/>
      <c r="Z48" s="5">
        <f t="shared" si="31"/>
        <v>-0.53108508312025959</v>
      </c>
    </row>
    <row r="49" spans="1:26" s="24" customFormat="1" hidden="1" outlineLevel="2" x14ac:dyDescent="0.25">
      <c r="A49" s="28"/>
      <c r="B49" s="11" t="str">
        <f>CONCATENATE("          ", "6351", " - ", "EQUIPMENT RENTAL")</f>
        <v xml:space="preserve">          6351 - EQUIPMENT RENTAL</v>
      </c>
      <c r="C49" s="11"/>
      <c r="D49" s="6">
        <v>1576.83</v>
      </c>
      <c r="E49" s="2"/>
      <c r="F49" s="7">
        <f t="shared" si="24"/>
        <v>0</v>
      </c>
      <c r="G49" s="2"/>
      <c r="H49" s="6">
        <v>1794.84</v>
      </c>
      <c r="I49" s="2"/>
      <c r="J49" s="7">
        <f t="shared" si="25"/>
        <v>0</v>
      </c>
      <c r="K49" s="2"/>
      <c r="L49" s="6">
        <f t="shared" si="26"/>
        <v>-218.01</v>
      </c>
      <c r="M49" s="2"/>
      <c r="N49" s="7">
        <f t="shared" si="27"/>
        <v>-0.12146486594905395</v>
      </c>
      <c r="O49" s="11"/>
      <c r="P49" s="6">
        <v>2178.71</v>
      </c>
      <c r="Q49" s="2"/>
      <c r="R49" s="7">
        <f t="shared" si="28"/>
        <v>0</v>
      </c>
      <c r="S49" s="2"/>
      <c r="T49" s="6">
        <v>4646.28</v>
      </c>
      <c r="U49" s="2"/>
      <c r="V49" s="7">
        <f t="shared" si="29"/>
        <v>0</v>
      </c>
      <c r="W49" s="2"/>
      <c r="X49" s="6">
        <f t="shared" si="30"/>
        <v>-2467.5699999999997</v>
      </c>
      <c r="Y49" s="2"/>
      <c r="Z49" s="7">
        <f t="shared" si="31"/>
        <v>-0.53108508312025959</v>
      </c>
    </row>
    <row r="50" spans="1:26" s="29" customFormat="1" outlineLevel="1" collapsed="1" x14ac:dyDescent="0.25">
      <c r="A50" s="27"/>
      <c r="B50" s="14" t="str">
        <f>CONCATENATE("     ","Freight out/Postage                               ")</f>
        <v xml:space="preserve">     Freight out/Postage                               </v>
      </c>
      <c r="C50" s="14"/>
      <c r="D50" s="1">
        <f>SUM(OSRRefD22_8x_0)</f>
        <v>0</v>
      </c>
      <c r="E50" s="1"/>
      <c r="F50" s="5">
        <f t="shared" si="24"/>
        <v>0</v>
      </c>
      <c r="G50" s="1"/>
      <c r="H50" s="1">
        <f>SUM(OSRRefH22_8x_0)</f>
        <v>0</v>
      </c>
      <c r="I50" s="1"/>
      <c r="J50" s="5">
        <f t="shared" si="25"/>
        <v>0</v>
      </c>
      <c r="K50" s="1"/>
      <c r="L50" s="1">
        <f t="shared" si="26"/>
        <v>0</v>
      </c>
      <c r="M50" s="1"/>
      <c r="N50" s="5">
        <f t="shared" si="27"/>
        <v>0</v>
      </c>
      <c r="O50" s="14"/>
      <c r="P50" s="1">
        <f>SUM(OSRRefP22_8x_0)</f>
        <v>-5.41</v>
      </c>
      <c r="Q50" s="1"/>
      <c r="R50" s="5">
        <f t="shared" si="28"/>
        <v>0</v>
      </c>
      <c r="S50" s="1"/>
      <c r="T50" s="1">
        <f>SUM(OSRRefT22_8x_0)</f>
        <v>0</v>
      </c>
      <c r="U50" s="1"/>
      <c r="V50" s="5">
        <f t="shared" si="29"/>
        <v>0</v>
      </c>
      <c r="W50" s="1"/>
      <c r="X50" s="1">
        <f t="shared" si="30"/>
        <v>-5.41</v>
      </c>
      <c r="Y50" s="1"/>
      <c r="Z50" s="5">
        <f t="shared" si="31"/>
        <v>0</v>
      </c>
    </row>
    <row r="51" spans="1:26" s="24" customFormat="1" hidden="1" outlineLevel="2" x14ac:dyDescent="0.25">
      <c r="A51" s="28"/>
      <c r="B51" s="11" t="str">
        <f>CONCATENATE("          ", "6307", " - ", "POSTAGE")</f>
        <v xml:space="preserve">          6307 - POSTAGE</v>
      </c>
      <c r="C51" s="11"/>
      <c r="D51" s="6"/>
      <c r="E51" s="2"/>
      <c r="F51" s="7">
        <f t="shared" si="24"/>
        <v>0</v>
      </c>
      <c r="G51" s="2"/>
      <c r="H51" s="6"/>
      <c r="I51" s="2"/>
      <c r="J51" s="7">
        <f t="shared" si="25"/>
        <v>0</v>
      </c>
      <c r="K51" s="2"/>
      <c r="L51" s="6">
        <f t="shared" si="26"/>
        <v>0</v>
      </c>
      <c r="M51" s="2"/>
      <c r="N51" s="7">
        <f t="shared" si="27"/>
        <v>0</v>
      </c>
      <c r="O51" s="11"/>
      <c r="P51" s="6">
        <v>-5.41</v>
      </c>
      <c r="Q51" s="2"/>
      <c r="R51" s="7">
        <f t="shared" si="28"/>
        <v>0</v>
      </c>
      <c r="S51" s="2"/>
      <c r="T51" s="6"/>
      <c r="U51" s="2"/>
      <c r="V51" s="7">
        <f t="shared" si="29"/>
        <v>0</v>
      </c>
      <c r="W51" s="2"/>
      <c r="X51" s="6">
        <f t="shared" si="30"/>
        <v>-5.41</v>
      </c>
      <c r="Y51" s="2"/>
      <c r="Z51" s="7">
        <f t="shared" si="31"/>
        <v>0</v>
      </c>
    </row>
    <row r="52" spans="1:26" s="29" customFormat="1" outlineLevel="1" collapsed="1" x14ac:dyDescent="0.25">
      <c r="A52" s="27"/>
      <c r="B52" s="14" t="str">
        <f>CONCATENATE("     ","General                                           ")</f>
        <v xml:space="preserve">     General                                           </v>
      </c>
      <c r="C52" s="14"/>
      <c r="D52" s="1">
        <f>SUM(OSRRefD22_9x_0)</f>
        <v>0</v>
      </c>
      <c r="E52" s="1"/>
      <c r="F52" s="5">
        <f t="shared" si="24"/>
        <v>0</v>
      </c>
      <c r="G52" s="1"/>
      <c r="H52" s="1">
        <f>SUM(OSRRefH22_9x_0)</f>
        <v>1136.44</v>
      </c>
      <c r="I52" s="1"/>
      <c r="J52" s="5">
        <f t="shared" si="25"/>
        <v>0</v>
      </c>
      <c r="K52" s="1"/>
      <c r="L52" s="1">
        <f t="shared" si="26"/>
        <v>-1136.44</v>
      </c>
      <c r="M52" s="1"/>
      <c r="N52" s="5">
        <f t="shared" si="27"/>
        <v>-1</v>
      </c>
      <c r="O52" s="14"/>
      <c r="P52" s="1">
        <f>SUM(OSRRefP22_9x_0)</f>
        <v>0</v>
      </c>
      <c r="Q52" s="1"/>
      <c r="R52" s="5">
        <f t="shared" si="28"/>
        <v>0</v>
      </c>
      <c r="S52" s="1"/>
      <c r="T52" s="1">
        <f>SUM(OSRRefT22_9x_0)</f>
        <v>1136.44</v>
      </c>
      <c r="U52" s="1"/>
      <c r="V52" s="5">
        <f t="shared" si="29"/>
        <v>0</v>
      </c>
      <c r="W52" s="1"/>
      <c r="X52" s="1">
        <f t="shared" si="30"/>
        <v>-1136.44</v>
      </c>
      <c r="Y52" s="1"/>
      <c r="Z52" s="5">
        <f t="shared" si="31"/>
        <v>-1</v>
      </c>
    </row>
    <row r="53" spans="1:26" s="24" customFormat="1" hidden="1" outlineLevel="2" x14ac:dyDescent="0.25">
      <c r="A53" s="28"/>
      <c r="B53" s="11" t="str">
        <f>CONCATENATE("          ", "6279", " - ", "GENERAL EXPENSE")</f>
        <v xml:space="preserve">          6279 - GENERAL EXPENSE</v>
      </c>
      <c r="C53" s="11"/>
      <c r="D53" s="6"/>
      <c r="E53" s="2"/>
      <c r="F53" s="7">
        <f t="shared" si="24"/>
        <v>0</v>
      </c>
      <c r="G53" s="2"/>
      <c r="H53" s="6">
        <v>1136.44</v>
      </c>
      <c r="I53" s="2"/>
      <c r="J53" s="7">
        <f t="shared" si="25"/>
        <v>0</v>
      </c>
      <c r="K53" s="2"/>
      <c r="L53" s="6">
        <f t="shared" si="26"/>
        <v>-1136.44</v>
      </c>
      <c r="M53" s="2"/>
      <c r="N53" s="7">
        <f t="shared" si="27"/>
        <v>-1</v>
      </c>
      <c r="O53" s="11"/>
      <c r="P53" s="6"/>
      <c r="Q53" s="2"/>
      <c r="R53" s="7">
        <f t="shared" si="28"/>
        <v>0</v>
      </c>
      <c r="S53" s="2"/>
      <c r="T53" s="6">
        <v>1136.44</v>
      </c>
      <c r="U53" s="2"/>
      <c r="V53" s="7">
        <f t="shared" si="29"/>
        <v>0</v>
      </c>
      <c r="W53" s="2"/>
      <c r="X53" s="6">
        <f t="shared" si="30"/>
        <v>-1136.44</v>
      </c>
      <c r="Y53" s="2"/>
      <c r="Z53" s="7">
        <f t="shared" si="31"/>
        <v>-1</v>
      </c>
    </row>
    <row r="54" spans="1:26" s="29" customFormat="1" outlineLevel="1" collapsed="1" x14ac:dyDescent="0.25">
      <c r="A54" s="27"/>
      <c r="B54" s="14" t="str">
        <f>CONCATENATE("     ","Insurance                                         ")</f>
        <v xml:space="preserve">     Insurance                                         </v>
      </c>
      <c r="C54" s="14"/>
      <c r="D54" s="1">
        <f>SUM(OSRRefD22_10x_0)</f>
        <v>9710.85</v>
      </c>
      <c r="E54" s="1"/>
      <c r="F54" s="5">
        <f t="shared" si="24"/>
        <v>0</v>
      </c>
      <c r="G54" s="1"/>
      <c r="H54" s="1">
        <f>SUM(OSRRefH22_10x_0)</f>
        <v>3598.85</v>
      </c>
      <c r="I54" s="1"/>
      <c r="J54" s="5">
        <f t="shared" si="25"/>
        <v>0</v>
      </c>
      <c r="K54" s="1"/>
      <c r="L54" s="1">
        <f t="shared" si="26"/>
        <v>6112</v>
      </c>
      <c r="M54" s="1"/>
      <c r="N54" s="5">
        <f t="shared" si="27"/>
        <v>1.6983202967614655</v>
      </c>
      <c r="O54" s="14"/>
      <c r="P54" s="1">
        <f>SUM(OSRRefP22_10x_0)</f>
        <v>20507.400000000001</v>
      </c>
      <c r="Q54" s="1"/>
      <c r="R54" s="5">
        <f t="shared" si="28"/>
        <v>0</v>
      </c>
      <c r="S54" s="1"/>
      <c r="T54" s="1">
        <f>SUM(OSRRefT22_10x_0)</f>
        <v>14395.4</v>
      </c>
      <c r="U54" s="1"/>
      <c r="V54" s="5">
        <f t="shared" si="29"/>
        <v>0</v>
      </c>
      <c r="W54" s="1"/>
      <c r="X54" s="1">
        <f t="shared" si="30"/>
        <v>6112.0000000000018</v>
      </c>
      <c r="Y54" s="1"/>
      <c r="Z54" s="5">
        <f t="shared" si="31"/>
        <v>0.42458007419036653</v>
      </c>
    </row>
    <row r="55" spans="1:26" s="24" customFormat="1" hidden="1" outlineLevel="2" x14ac:dyDescent="0.25">
      <c r="A55" s="28"/>
      <c r="B55" s="11" t="str">
        <f>CONCATENATE("          ", "6314", " - ", "LIABILITY INSURANCE")</f>
        <v xml:space="preserve">          6314 - LIABILITY INSURANCE</v>
      </c>
      <c r="C55" s="11"/>
      <c r="D55" s="6">
        <v>9710.85</v>
      </c>
      <c r="E55" s="2"/>
      <c r="F55" s="7">
        <f t="shared" si="24"/>
        <v>0</v>
      </c>
      <c r="G55" s="2"/>
      <c r="H55" s="6">
        <v>3598.85</v>
      </c>
      <c r="I55" s="2"/>
      <c r="J55" s="7">
        <f t="shared" si="25"/>
        <v>0</v>
      </c>
      <c r="K55" s="2"/>
      <c r="L55" s="6">
        <f t="shared" si="26"/>
        <v>6112</v>
      </c>
      <c r="M55" s="2"/>
      <c r="N55" s="7">
        <f t="shared" si="27"/>
        <v>1.6983202967614655</v>
      </c>
      <c r="O55" s="11"/>
      <c r="P55" s="6">
        <v>20507.400000000001</v>
      </c>
      <c r="Q55" s="2"/>
      <c r="R55" s="7">
        <f t="shared" si="28"/>
        <v>0</v>
      </c>
      <c r="S55" s="2"/>
      <c r="T55" s="6">
        <v>14395.4</v>
      </c>
      <c r="U55" s="2"/>
      <c r="V55" s="7">
        <f t="shared" si="29"/>
        <v>0</v>
      </c>
      <c r="W55" s="2"/>
      <c r="X55" s="6">
        <f t="shared" si="30"/>
        <v>6112.0000000000018</v>
      </c>
      <c r="Y55" s="2"/>
      <c r="Z55" s="7">
        <f t="shared" si="31"/>
        <v>0.42458007419036653</v>
      </c>
    </row>
    <row r="56" spans="1:26" s="29" customFormat="1" outlineLevel="1" collapsed="1" x14ac:dyDescent="0.25">
      <c r="A56" s="27"/>
      <c r="B56" s="14" t="str">
        <f>CONCATENATE("     ","Professional Services                             ")</f>
        <v xml:space="preserve">     Professional Services                             </v>
      </c>
      <c r="C56" s="14"/>
      <c r="D56" s="1">
        <f>SUM(OSRRefD22_11x_0)</f>
        <v>0</v>
      </c>
      <c r="E56" s="1"/>
      <c r="F56" s="5">
        <f t="shared" si="24"/>
        <v>0</v>
      </c>
      <c r="G56" s="1"/>
      <c r="H56" s="1">
        <f>SUM(OSRRefH22_11x_0)</f>
        <v>0</v>
      </c>
      <c r="I56" s="1"/>
      <c r="J56" s="5">
        <f t="shared" si="25"/>
        <v>0</v>
      </c>
      <c r="K56" s="1"/>
      <c r="L56" s="1">
        <f t="shared" si="26"/>
        <v>0</v>
      </c>
      <c r="M56" s="1"/>
      <c r="N56" s="5">
        <f t="shared" si="27"/>
        <v>0</v>
      </c>
      <c r="O56" s="14"/>
      <c r="P56" s="1">
        <f>SUM(OSRRefP22_11x_0)</f>
        <v>0</v>
      </c>
      <c r="Q56" s="1"/>
      <c r="R56" s="5">
        <f t="shared" si="28"/>
        <v>0</v>
      </c>
      <c r="S56" s="1"/>
      <c r="T56" s="1">
        <f>SUM(OSRRefT22_11x_0)</f>
        <v>125</v>
      </c>
      <c r="U56" s="1"/>
      <c r="V56" s="5">
        <f t="shared" si="29"/>
        <v>0</v>
      </c>
      <c r="W56" s="1"/>
      <c r="X56" s="1">
        <f t="shared" si="30"/>
        <v>-125</v>
      </c>
      <c r="Y56" s="1"/>
      <c r="Z56" s="5">
        <f t="shared" si="31"/>
        <v>-1</v>
      </c>
    </row>
    <row r="57" spans="1:26" s="24" customFormat="1" hidden="1" outlineLevel="2" x14ac:dyDescent="0.25">
      <c r="A57" s="28"/>
      <c r="B57" s="11" t="str">
        <f>CONCATENATE("          ", "6336", " - ", "PROFESSIONAL SERVICES")</f>
        <v xml:space="preserve">          6336 - PROFESSIONAL SERVICES</v>
      </c>
      <c r="C57" s="11"/>
      <c r="D57" s="6"/>
      <c r="E57" s="2"/>
      <c r="F57" s="7">
        <f t="shared" si="24"/>
        <v>0</v>
      </c>
      <c r="G57" s="2"/>
      <c r="H57" s="6"/>
      <c r="I57" s="2"/>
      <c r="J57" s="7">
        <f t="shared" si="25"/>
        <v>0</v>
      </c>
      <c r="K57" s="2"/>
      <c r="L57" s="6">
        <f t="shared" si="26"/>
        <v>0</v>
      </c>
      <c r="M57" s="2"/>
      <c r="N57" s="7">
        <f t="shared" si="27"/>
        <v>0</v>
      </c>
      <c r="O57" s="11"/>
      <c r="P57" s="6"/>
      <c r="Q57" s="2"/>
      <c r="R57" s="7">
        <f t="shared" si="28"/>
        <v>0</v>
      </c>
      <c r="S57" s="2"/>
      <c r="T57" s="6">
        <v>125</v>
      </c>
      <c r="U57" s="2"/>
      <c r="V57" s="7">
        <f t="shared" si="29"/>
        <v>0</v>
      </c>
      <c r="W57" s="2"/>
      <c r="X57" s="6">
        <f t="shared" si="30"/>
        <v>-125</v>
      </c>
      <c r="Y57" s="2"/>
      <c r="Z57" s="7">
        <f t="shared" si="31"/>
        <v>-1</v>
      </c>
    </row>
    <row r="58" spans="1:26" s="29" customFormat="1" outlineLevel="1" collapsed="1" x14ac:dyDescent="0.25">
      <c r="A58" s="27"/>
      <c r="B58" s="14" t="str">
        <f>CONCATENATE("     ","Repair and Maintenance                            ")</f>
        <v xml:space="preserve">     Repair and Maintenance                            </v>
      </c>
      <c r="C58" s="14"/>
      <c r="D58" s="1">
        <f>SUM(OSRRefD22_12x_0)</f>
        <v>0.03</v>
      </c>
      <c r="E58" s="1"/>
      <c r="F58" s="5">
        <f t="shared" si="24"/>
        <v>0</v>
      </c>
      <c r="G58" s="1"/>
      <c r="H58" s="1">
        <f>SUM(OSRRefH22_12x_0)</f>
        <v>7515.44</v>
      </c>
      <c r="I58" s="1"/>
      <c r="J58" s="5">
        <f t="shared" si="25"/>
        <v>0</v>
      </c>
      <c r="K58" s="1"/>
      <c r="L58" s="1">
        <f t="shared" si="26"/>
        <v>-7515.41</v>
      </c>
      <c r="M58" s="1"/>
      <c r="N58" s="5">
        <f t="shared" si="27"/>
        <v>-0.99999600821774914</v>
      </c>
      <c r="O58" s="14"/>
      <c r="P58" s="1">
        <f>SUM(OSRRefP22_12x_0)</f>
        <v>829.35</v>
      </c>
      <c r="Q58" s="1"/>
      <c r="R58" s="5">
        <f t="shared" si="28"/>
        <v>0</v>
      </c>
      <c r="S58" s="1"/>
      <c r="T58" s="1">
        <f>SUM(OSRRefT22_12x_0)</f>
        <v>43567.91</v>
      </c>
      <c r="U58" s="1"/>
      <c r="V58" s="5">
        <f t="shared" si="29"/>
        <v>0</v>
      </c>
      <c r="W58" s="1"/>
      <c r="X58" s="1">
        <f t="shared" si="30"/>
        <v>-42738.560000000005</v>
      </c>
      <c r="Y58" s="1"/>
      <c r="Z58" s="5">
        <f t="shared" si="31"/>
        <v>-0.98096420048609179</v>
      </c>
    </row>
    <row r="59" spans="1:26" s="24" customFormat="1" hidden="1" outlineLevel="2" x14ac:dyDescent="0.25">
      <c r="A59" s="28"/>
      <c r="B59" s="11" t="str">
        <f>CONCATENATE("          ", "6373", " - ", "MAINTENANCE CONTRACTS")</f>
        <v xml:space="preserve">          6373 - MAINTENANCE CONTRACTS</v>
      </c>
      <c r="C59" s="11"/>
      <c r="D59" s="6">
        <v>0.03</v>
      </c>
      <c r="E59" s="2"/>
      <c r="F59" s="7">
        <f t="shared" si="24"/>
        <v>0</v>
      </c>
      <c r="G59" s="2"/>
      <c r="H59" s="6">
        <v>5096.57</v>
      </c>
      <c r="I59" s="2"/>
      <c r="J59" s="7">
        <f t="shared" si="25"/>
        <v>0</v>
      </c>
      <c r="K59" s="2"/>
      <c r="L59" s="6">
        <f t="shared" si="26"/>
        <v>-5096.54</v>
      </c>
      <c r="M59" s="2"/>
      <c r="N59" s="7">
        <f t="shared" si="27"/>
        <v>-0.99999411368822566</v>
      </c>
      <c r="O59" s="11"/>
      <c r="P59" s="6">
        <v>791.89</v>
      </c>
      <c r="Q59" s="2"/>
      <c r="R59" s="7">
        <f t="shared" si="28"/>
        <v>0</v>
      </c>
      <c r="S59" s="2"/>
      <c r="T59" s="6">
        <v>24193.99</v>
      </c>
      <c r="U59" s="2"/>
      <c r="V59" s="7">
        <f t="shared" si="29"/>
        <v>0</v>
      </c>
      <c r="W59" s="2"/>
      <c r="X59" s="6">
        <f t="shared" si="30"/>
        <v>-23402.100000000002</v>
      </c>
      <c r="Y59" s="2"/>
      <c r="Z59" s="7">
        <f t="shared" si="31"/>
        <v>-0.96726914411388942</v>
      </c>
    </row>
    <row r="60" spans="1:26" s="24" customFormat="1" hidden="1" outlineLevel="2" x14ac:dyDescent="0.25">
      <c r="A60" s="28"/>
      <c r="B60" s="11" t="str">
        <f>CONCATENATE("          ", "6375", " - ", "OUTSIDE REPAIRS &amp; MAINTENANCE")</f>
        <v xml:space="preserve">          6375 - OUTSIDE REPAIRS &amp; MAINTENANCE</v>
      </c>
      <c r="C60" s="11"/>
      <c r="D60" s="6"/>
      <c r="E60" s="2"/>
      <c r="F60" s="7">
        <f t="shared" si="24"/>
        <v>0</v>
      </c>
      <c r="G60" s="2"/>
      <c r="H60" s="6">
        <v>2418.87</v>
      </c>
      <c r="I60" s="2"/>
      <c r="J60" s="7">
        <f t="shared" si="25"/>
        <v>0</v>
      </c>
      <c r="K60" s="2"/>
      <c r="L60" s="6">
        <f t="shared" si="26"/>
        <v>-2418.87</v>
      </c>
      <c r="M60" s="2"/>
      <c r="N60" s="7">
        <f t="shared" si="27"/>
        <v>-1</v>
      </c>
      <c r="O60" s="11"/>
      <c r="P60" s="6">
        <v>37.46</v>
      </c>
      <c r="Q60" s="2"/>
      <c r="R60" s="7">
        <f t="shared" si="28"/>
        <v>0</v>
      </c>
      <c r="S60" s="2"/>
      <c r="T60" s="6">
        <v>19373.919999999998</v>
      </c>
      <c r="U60" s="2"/>
      <c r="V60" s="7">
        <f t="shared" si="29"/>
        <v>0</v>
      </c>
      <c r="W60" s="2"/>
      <c r="X60" s="6">
        <f t="shared" si="30"/>
        <v>-19336.46</v>
      </c>
      <c r="Y60" s="2"/>
      <c r="Z60" s="7">
        <f t="shared" si="31"/>
        <v>-0.99806647286661665</v>
      </c>
    </row>
    <row r="61" spans="1:26" s="29" customFormat="1" outlineLevel="1" collapsed="1" x14ac:dyDescent="0.25">
      <c r="A61" s="27"/>
      <c r="B61" s="14" t="str">
        <f>CONCATENATE("     ","Services                                          ")</f>
        <v xml:space="preserve">     Services                                          </v>
      </c>
      <c r="C61" s="14"/>
      <c r="D61" s="1">
        <f>SUM(OSRRefD22_13x_0)</f>
        <v>4254</v>
      </c>
      <c r="E61" s="1"/>
      <c r="F61" s="5">
        <f t="shared" ref="F61:F66" si="32">IF(D$12=0,0,D61/D$12)</f>
        <v>0</v>
      </c>
      <c r="G61" s="1"/>
      <c r="H61" s="1">
        <f>SUM(OSRRefH22_13x_0)</f>
        <v>14185.33</v>
      </c>
      <c r="I61" s="1"/>
      <c r="J61" s="5">
        <f t="shared" ref="J61:J66" si="33">IF(H$12=0,0,H61/H$12)</f>
        <v>0</v>
      </c>
      <c r="K61" s="1"/>
      <c r="L61" s="1">
        <f t="shared" ref="L61:L66" si="34">+D61-H61</f>
        <v>-9931.33</v>
      </c>
      <c r="M61" s="1"/>
      <c r="N61" s="5">
        <f t="shared" ref="N61:N66" si="35">IF(H61=0,0,L61/H61)</f>
        <v>-0.70011272208683195</v>
      </c>
      <c r="O61" s="14"/>
      <c r="P61" s="1">
        <f>SUM(OSRRefP22_13x_0)</f>
        <v>4254</v>
      </c>
      <c r="Q61" s="1"/>
      <c r="R61" s="5">
        <f t="shared" ref="R61:R66" si="36">IF(P$12=0,0,P61/P$12)</f>
        <v>0</v>
      </c>
      <c r="S61" s="1"/>
      <c r="T61" s="1">
        <f>SUM(OSRRefT22_13x_0)</f>
        <v>50072.67</v>
      </c>
      <c r="U61" s="1"/>
      <c r="V61" s="5">
        <f t="shared" ref="V61:V66" si="37">IF(T$12=0,0,T61/T$12)</f>
        <v>0</v>
      </c>
      <c r="W61" s="1"/>
      <c r="X61" s="1">
        <f t="shared" ref="X61:X66" si="38">+P61-T61</f>
        <v>-45818.67</v>
      </c>
      <c r="Y61" s="1"/>
      <c r="Z61" s="5">
        <f t="shared" ref="Z61:Z66" si="39">IF(T61=0,0,X61/T61)</f>
        <v>-0.91504347581225443</v>
      </c>
    </row>
    <row r="62" spans="1:26" s="24" customFormat="1" hidden="1" outlineLevel="2" x14ac:dyDescent="0.25">
      <c r="A62" s="28"/>
      <c r="B62" s="11" t="str">
        <f>CONCATENATE("          ", "6282", " - ", "JANITORIAL/EXTERMINATOR EXPENS")</f>
        <v xml:space="preserve">          6282 - JANITORIAL/EXTERMINATOR EXPENS</v>
      </c>
      <c r="C62" s="11"/>
      <c r="D62" s="6"/>
      <c r="E62" s="2"/>
      <c r="F62" s="7">
        <f t="shared" si="32"/>
        <v>0</v>
      </c>
      <c r="G62" s="2"/>
      <c r="H62" s="6">
        <v>626.26</v>
      </c>
      <c r="I62" s="2"/>
      <c r="J62" s="7">
        <f t="shared" si="33"/>
        <v>0</v>
      </c>
      <c r="K62" s="2"/>
      <c r="L62" s="6">
        <f t="shared" si="34"/>
        <v>-626.26</v>
      </c>
      <c r="M62" s="2"/>
      <c r="N62" s="7">
        <f t="shared" si="35"/>
        <v>-1</v>
      </c>
      <c r="O62" s="11"/>
      <c r="P62" s="6"/>
      <c r="Q62" s="2"/>
      <c r="R62" s="7">
        <f t="shared" si="36"/>
        <v>0</v>
      </c>
      <c r="S62" s="2"/>
      <c r="T62" s="6">
        <v>2505.04</v>
      </c>
      <c r="U62" s="2"/>
      <c r="V62" s="7">
        <f t="shared" si="37"/>
        <v>0</v>
      </c>
      <c r="W62" s="2"/>
      <c r="X62" s="6">
        <f t="shared" si="38"/>
        <v>-2505.04</v>
      </c>
      <c r="Y62" s="2"/>
      <c r="Z62" s="7">
        <f t="shared" si="39"/>
        <v>-1</v>
      </c>
    </row>
    <row r="63" spans="1:26" s="24" customFormat="1" hidden="1" outlineLevel="2" x14ac:dyDescent="0.25">
      <c r="A63" s="28"/>
      <c r="B63" s="11" t="str">
        <f>CONCATENATE("          ", "6283", " - ", "PLANT SERVICE")</f>
        <v xml:space="preserve">          6283 - PLANT SERVICE</v>
      </c>
      <c r="C63" s="11"/>
      <c r="D63" s="6"/>
      <c r="E63" s="2"/>
      <c r="F63" s="7">
        <f t="shared" si="32"/>
        <v>0</v>
      </c>
      <c r="G63" s="2"/>
      <c r="H63" s="6"/>
      <c r="I63" s="2"/>
      <c r="J63" s="7">
        <f t="shared" si="33"/>
        <v>0</v>
      </c>
      <c r="K63" s="2"/>
      <c r="L63" s="6">
        <f t="shared" si="34"/>
        <v>0</v>
      </c>
      <c r="M63" s="2"/>
      <c r="N63" s="7">
        <f t="shared" si="35"/>
        <v>0</v>
      </c>
      <c r="O63" s="11"/>
      <c r="P63" s="6"/>
      <c r="Q63" s="2"/>
      <c r="R63" s="7">
        <f t="shared" si="36"/>
        <v>0</v>
      </c>
      <c r="S63" s="2"/>
      <c r="T63" s="6">
        <v>106.59</v>
      </c>
      <c r="U63" s="2"/>
      <c r="V63" s="7">
        <f t="shared" si="37"/>
        <v>0</v>
      </c>
      <c r="W63" s="2"/>
      <c r="X63" s="6">
        <f t="shared" si="38"/>
        <v>-106.59</v>
      </c>
      <c r="Y63" s="2"/>
      <c r="Z63" s="7">
        <f t="shared" si="39"/>
        <v>-1</v>
      </c>
    </row>
    <row r="64" spans="1:26" s="24" customFormat="1" hidden="1" outlineLevel="2" x14ac:dyDescent="0.25">
      <c r="A64" s="28"/>
      <c r="B64" s="11" t="str">
        <f>CONCATENATE("          ", "6284", " - ", "TRASH REMOVAL EXPENSE")</f>
        <v xml:space="preserve">          6284 - TRASH REMOVAL EXPENSE</v>
      </c>
      <c r="C64" s="11"/>
      <c r="D64" s="6">
        <v>4254</v>
      </c>
      <c r="E64" s="2"/>
      <c r="F64" s="7">
        <f t="shared" si="32"/>
        <v>0</v>
      </c>
      <c r="G64" s="2"/>
      <c r="H64" s="6">
        <v>3482</v>
      </c>
      <c r="I64" s="2"/>
      <c r="J64" s="7">
        <f t="shared" si="33"/>
        <v>0</v>
      </c>
      <c r="K64" s="2"/>
      <c r="L64" s="6">
        <f t="shared" si="34"/>
        <v>772</v>
      </c>
      <c r="M64" s="2"/>
      <c r="N64" s="7">
        <f t="shared" si="35"/>
        <v>0.22171165996553704</v>
      </c>
      <c r="O64" s="11"/>
      <c r="P64" s="6">
        <v>4254</v>
      </c>
      <c r="Q64" s="2"/>
      <c r="R64" s="7">
        <f t="shared" si="36"/>
        <v>0</v>
      </c>
      <c r="S64" s="2"/>
      <c r="T64" s="6">
        <v>6964</v>
      </c>
      <c r="U64" s="2"/>
      <c r="V64" s="7">
        <f t="shared" si="37"/>
        <v>0</v>
      </c>
      <c r="W64" s="2"/>
      <c r="X64" s="6">
        <f t="shared" si="38"/>
        <v>-2710</v>
      </c>
      <c r="Y64" s="2"/>
      <c r="Z64" s="7">
        <f t="shared" si="39"/>
        <v>-0.38914417001723145</v>
      </c>
    </row>
    <row r="65" spans="1:26" s="24" customFormat="1" hidden="1" outlineLevel="2" x14ac:dyDescent="0.25">
      <c r="A65" s="28"/>
      <c r="B65" s="11" t="str">
        <f>CONCATENATE("          ", "6285", " - ", "JANITORIAL SERVICES")</f>
        <v xml:space="preserve">          6285 - JANITORIAL SERVICES</v>
      </c>
      <c r="C65" s="11"/>
      <c r="D65" s="6"/>
      <c r="E65" s="2"/>
      <c r="F65" s="7">
        <f t="shared" si="32"/>
        <v>0</v>
      </c>
      <c r="G65" s="2"/>
      <c r="H65" s="6">
        <v>9853.51</v>
      </c>
      <c r="I65" s="2"/>
      <c r="J65" s="7">
        <f t="shared" si="33"/>
        <v>0</v>
      </c>
      <c r="K65" s="2"/>
      <c r="L65" s="6">
        <f t="shared" si="34"/>
        <v>-9853.51</v>
      </c>
      <c r="M65" s="2"/>
      <c r="N65" s="7">
        <f t="shared" si="35"/>
        <v>-1</v>
      </c>
      <c r="O65" s="11"/>
      <c r="P65" s="6"/>
      <c r="Q65" s="2"/>
      <c r="R65" s="7">
        <f t="shared" si="36"/>
        <v>0</v>
      </c>
      <c r="S65" s="2"/>
      <c r="T65" s="6">
        <v>40194.04</v>
      </c>
      <c r="U65" s="2"/>
      <c r="V65" s="7">
        <f t="shared" si="37"/>
        <v>0</v>
      </c>
      <c r="W65" s="2"/>
      <c r="X65" s="6">
        <f t="shared" si="38"/>
        <v>-40194.04</v>
      </c>
      <c r="Y65" s="2"/>
      <c r="Z65" s="7">
        <f t="shared" si="39"/>
        <v>-1</v>
      </c>
    </row>
    <row r="66" spans="1:26" s="24" customFormat="1" hidden="1" outlineLevel="2" x14ac:dyDescent="0.25">
      <c r="A66" s="28"/>
      <c r="B66" s="11" t="str">
        <f>CONCATENATE("          ", "6286", " - ", "LAUNDRY EXPENSE")</f>
        <v xml:space="preserve">          6286 - LAUNDRY EXPENSE</v>
      </c>
      <c r="C66" s="11"/>
      <c r="D66" s="6"/>
      <c r="E66" s="2"/>
      <c r="F66" s="7">
        <f t="shared" si="32"/>
        <v>0</v>
      </c>
      <c r="G66" s="2"/>
      <c r="H66" s="6">
        <v>223.56</v>
      </c>
      <c r="I66" s="2"/>
      <c r="J66" s="7">
        <f t="shared" si="33"/>
        <v>0</v>
      </c>
      <c r="K66" s="2"/>
      <c r="L66" s="6">
        <f t="shared" si="34"/>
        <v>-223.56</v>
      </c>
      <c r="M66" s="2"/>
      <c r="N66" s="7">
        <f t="shared" si="35"/>
        <v>-1</v>
      </c>
      <c r="O66" s="11"/>
      <c r="P66" s="6"/>
      <c r="Q66" s="2"/>
      <c r="R66" s="7">
        <f t="shared" si="36"/>
        <v>0</v>
      </c>
      <c r="S66" s="2"/>
      <c r="T66" s="6">
        <v>303</v>
      </c>
      <c r="U66" s="2"/>
      <c r="V66" s="7">
        <f t="shared" si="37"/>
        <v>0</v>
      </c>
      <c r="W66" s="2"/>
      <c r="X66" s="6">
        <f t="shared" si="38"/>
        <v>-303</v>
      </c>
      <c r="Y66" s="2"/>
      <c r="Z66" s="7">
        <f t="shared" si="39"/>
        <v>-1</v>
      </c>
    </row>
    <row r="67" spans="1:26" s="29" customFormat="1" outlineLevel="1" collapsed="1" x14ac:dyDescent="0.25">
      <c r="A67" s="27"/>
      <c r="B67" s="14" t="str">
        <f>CONCATENATE("     ","Supplies                                          ")</f>
        <v xml:space="preserve">     Supplies                                          </v>
      </c>
      <c r="C67" s="14"/>
      <c r="D67" s="1">
        <f>SUM(OSRRefD22_14x_0)</f>
        <v>0</v>
      </c>
      <c r="E67" s="1"/>
      <c r="F67" s="5">
        <f t="shared" ref="F67:F73" si="40">IF(D$12=0,0,D67/D$12)</f>
        <v>0</v>
      </c>
      <c r="G67" s="1"/>
      <c r="H67" s="1">
        <f>SUM(OSRRefH22_14x_0)</f>
        <v>12042.73</v>
      </c>
      <c r="I67" s="1"/>
      <c r="J67" s="5">
        <f t="shared" ref="J67:J73" si="41">IF(H$12=0,0,H67/H$12)</f>
        <v>0</v>
      </c>
      <c r="K67" s="1"/>
      <c r="L67" s="1">
        <f t="shared" ref="L67:L73" si="42">+D67-H67</f>
        <v>-12042.73</v>
      </c>
      <c r="M67" s="1"/>
      <c r="N67" s="5">
        <f t="shared" ref="N67:N73" si="43">IF(H67=0,0,L67/H67)</f>
        <v>-1</v>
      </c>
      <c r="O67" s="14"/>
      <c r="P67" s="1">
        <f>SUM(OSRRefP22_14x_0)</f>
        <v>-29072.879999999997</v>
      </c>
      <c r="Q67" s="1"/>
      <c r="R67" s="5">
        <f t="shared" ref="R67:R73" si="44">IF(P$12=0,0,P67/P$12)</f>
        <v>0</v>
      </c>
      <c r="S67" s="1"/>
      <c r="T67" s="1">
        <f>SUM(OSRRefT22_14x_0)</f>
        <v>33758.429999999993</v>
      </c>
      <c r="U67" s="1"/>
      <c r="V67" s="5">
        <f t="shared" ref="V67:V73" si="45">IF(T$12=0,0,T67/T$12)</f>
        <v>0</v>
      </c>
      <c r="W67" s="1"/>
      <c r="X67" s="1">
        <f t="shared" ref="X67:X73" si="46">+P67-T67</f>
        <v>-62831.30999999999</v>
      </c>
      <c r="Y67" s="1"/>
      <c r="Z67" s="5">
        <f t="shared" ref="Z67:Z73" si="47">IF(T67=0,0,X67/T67)</f>
        <v>-1.861203557155946</v>
      </c>
    </row>
    <row r="68" spans="1:26" s="24" customFormat="1" hidden="1" outlineLevel="2" x14ac:dyDescent="0.25">
      <c r="A68" s="28"/>
      <c r="B68" s="11" t="str">
        <f>CONCATENATE("          ", "6234", " - ", "EXPENDABLE SUPPLIES &amp; EQUIPMEN")</f>
        <v xml:space="preserve">          6234 - EXPENDABLE SUPPLIES &amp; EQUIPMEN</v>
      </c>
      <c r="C68" s="11"/>
      <c r="D68" s="6"/>
      <c r="E68" s="2"/>
      <c r="F68" s="7">
        <f t="shared" si="40"/>
        <v>0</v>
      </c>
      <c r="G68" s="2"/>
      <c r="H68" s="6"/>
      <c r="I68" s="2"/>
      <c r="J68" s="7">
        <f t="shared" si="41"/>
        <v>0</v>
      </c>
      <c r="K68" s="2"/>
      <c r="L68" s="6">
        <f t="shared" si="42"/>
        <v>0</v>
      </c>
      <c r="M68" s="2"/>
      <c r="N68" s="7">
        <f t="shared" si="43"/>
        <v>0</v>
      </c>
      <c r="O68" s="11"/>
      <c r="P68" s="6"/>
      <c r="Q68" s="2"/>
      <c r="R68" s="7">
        <f t="shared" si="44"/>
        <v>0</v>
      </c>
      <c r="S68" s="2"/>
      <c r="T68" s="6">
        <v>7670.09</v>
      </c>
      <c r="U68" s="2"/>
      <c r="V68" s="7">
        <f t="shared" si="45"/>
        <v>0</v>
      </c>
      <c r="W68" s="2"/>
      <c r="X68" s="6">
        <f t="shared" si="46"/>
        <v>-7670.09</v>
      </c>
      <c r="Y68" s="2"/>
      <c r="Z68" s="7">
        <f t="shared" si="47"/>
        <v>-1</v>
      </c>
    </row>
    <row r="69" spans="1:26" s="24" customFormat="1" hidden="1" outlineLevel="2" x14ac:dyDescent="0.25">
      <c r="A69" s="28"/>
      <c r="B69" s="11" t="str">
        <f>CONCATENATE("          ", "6235", " - ", "COVID-19 EXPENSES")</f>
        <v xml:space="preserve">          6235 - COVID-19 EXPENSES</v>
      </c>
      <c r="C69" s="11"/>
      <c r="D69" s="6"/>
      <c r="E69" s="2"/>
      <c r="F69" s="7">
        <f t="shared" si="40"/>
        <v>0</v>
      </c>
      <c r="G69" s="2"/>
      <c r="H69" s="6"/>
      <c r="I69" s="2"/>
      <c r="J69" s="7">
        <f t="shared" si="41"/>
        <v>0</v>
      </c>
      <c r="K69" s="2"/>
      <c r="L69" s="6">
        <f t="shared" si="42"/>
        <v>0</v>
      </c>
      <c r="M69" s="2"/>
      <c r="N69" s="7">
        <f t="shared" si="43"/>
        <v>0</v>
      </c>
      <c r="O69" s="11"/>
      <c r="P69" s="6">
        <v>127.89</v>
      </c>
      <c r="Q69" s="2"/>
      <c r="R69" s="7">
        <f t="shared" si="44"/>
        <v>0</v>
      </c>
      <c r="S69" s="2"/>
      <c r="T69" s="6"/>
      <c r="U69" s="2"/>
      <c r="V69" s="7">
        <f t="shared" si="45"/>
        <v>0</v>
      </c>
      <c r="W69" s="2"/>
      <c r="X69" s="6">
        <f t="shared" si="46"/>
        <v>127.89</v>
      </c>
      <c r="Y69" s="2"/>
      <c r="Z69" s="7">
        <f t="shared" si="47"/>
        <v>0</v>
      </c>
    </row>
    <row r="70" spans="1:26" s="24" customFormat="1" hidden="1" outlineLevel="2" x14ac:dyDescent="0.25">
      <c r="A70" s="28"/>
      <c r="B70" s="11" t="str">
        <f>CONCATENATE("          ", "6237", " - ", "JANITORIAL SUPPLIES")</f>
        <v xml:space="preserve">          6237 - JANITORIAL SUPPLIES</v>
      </c>
      <c r="C70" s="11"/>
      <c r="D70" s="6"/>
      <c r="E70" s="2"/>
      <c r="F70" s="7">
        <f t="shared" si="40"/>
        <v>0</v>
      </c>
      <c r="G70" s="2"/>
      <c r="H70" s="6">
        <v>6350.53</v>
      </c>
      <c r="I70" s="2"/>
      <c r="J70" s="7">
        <f t="shared" si="41"/>
        <v>0</v>
      </c>
      <c r="K70" s="2"/>
      <c r="L70" s="6">
        <f t="shared" si="42"/>
        <v>-6350.53</v>
      </c>
      <c r="M70" s="2"/>
      <c r="N70" s="7">
        <f t="shared" si="43"/>
        <v>-1</v>
      </c>
      <c r="O70" s="11"/>
      <c r="P70" s="6"/>
      <c r="Q70" s="2"/>
      <c r="R70" s="7">
        <f t="shared" si="44"/>
        <v>0</v>
      </c>
      <c r="S70" s="2"/>
      <c r="T70" s="6">
        <v>15265.72</v>
      </c>
      <c r="U70" s="2"/>
      <c r="V70" s="7">
        <f t="shared" si="45"/>
        <v>0</v>
      </c>
      <c r="W70" s="2"/>
      <c r="X70" s="6">
        <f t="shared" si="46"/>
        <v>-15265.72</v>
      </c>
      <c r="Y70" s="2"/>
      <c r="Z70" s="7">
        <f t="shared" si="47"/>
        <v>-1</v>
      </c>
    </row>
    <row r="71" spans="1:26" s="24" customFormat="1" hidden="1" outlineLevel="2" x14ac:dyDescent="0.25">
      <c r="A71" s="28"/>
      <c r="B71" s="11" t="str">
        <f>CONCATENATE("          ", "6239", " - ", "KITCHEN SUPPLIES")</f>
        <v xml:space="preserve">          6239 - KITCHEN SUPPLIES</v>
      </c>
      <c r="C71" s="11"/>
      <c r="D71" s="6"/>
      <c r="E71" s="2"/>
      <c r="F71" s="7">
        <f t="shared" si="40"/>
        <v>0</v>
      </c>
      <c r="G71" s="2"/>
      <c r="H71" s="6">
        <v>4997.1099999999997</v>
      </c>
      <c r="I71" s="2"/>
      <c r="J71" s="7">
        <f t="shared" si="41"/>
        <v>0</v>
      </c>
      <c r="K71" s="2"/>
      <c r="L71" s="6">
        <f t="shared" si="42"/>
        <v>-4997.1099999999997</v>
      </c>
      <c r="M71" s="2"/>
      <c r="N71" s="7">
        <f t="shared" si="43"/>
        <v>-1</v>
      </c>
      <c r="O71" s="11"/>
      <c r="P71" s="6"/>
      <c r="Q71" s="2"/>
      <c r="R71" s="7">
        <f t="shared" si="44"/>
        <v>0</v>
      </c>
      <c r="S71" s="2"/>
      <c r="T71" s="6">
        <v>10804.56</v>
      </c>
      <c r="U71" s="2"/>
      <c r="V71" s="7">
        <f t="shared" si="45"/>
        <v>0</v>
      </c>
      <c r="W71" s="2"/>
      <c r="X71" s="6">
        <f t="shared" si="46"/>
        <v>-10804.56</v>
      </c>
      <c r="Y71" s="2"/>
      <c r="Z71" s="7">
        <f t="shared" si="47"/>
        <v>-1</v>
      </c>
    </row>
    <row r="72" spans="1:26" s="24" customFormat="1" hidden="1" outlineLevel="2" x14ac:dyDescent="0.25">
      <c r="A72" s="28"/>
      <c r="B72" s="11" t="str">
        <f>CONCATENATE("          ", "6241", " - ", "OFFICE EXPENSE")</f>
        <v xml:space="preserve">          6241 - OFFICE EXPENSE</v>
      </c>
      <c r="C72" s="11"/>
      <c r="D72" s="6"/>
      <c r="E72" s="2"/>
      <c r="F72" s="7">
        <f t="shared" si="40"/>
        <v>0</v>
      </c>
      <c r="G72" s="2"/>
      <c r="H72" s="6">
        <v>695.09</v>
      </c>
      <c r="I72" s="2"/>
      <c r="J72" s="7">
        <f t="shared" si="41"/>
        <v>0</v>
      </c>
      <c r="K72" s="2"/>
      <c r="L72" s="6">
        <f t="shared" si="42"/>
        <v>-695.09</v>
      </c>
      <c r="M72" s="2"/>
      <c r="N72" s="7">
        <f t="shared" si="43"/>
        <v>-1</v>
      </c>
      <c r="O72" s="11"/>
      <c r="P72" s="6">
        <v>-29200.769999999997</v>
      </c>
      <c r="Q72" s="2"/>
      <c r="R72" s="7">
        <f t="shared" si="44"/>
        <v>0</v>
      </c>
      <c r="S72" s="2"/>
      <c r="T72" s="6">
        <v>-214.75</v>
      </c>
      <c r="U72" s="2"/>
      <c r="V72" s="7">
        <f t="shared" si="45"/>
        <v>0</v>
      </c>
      <c r="W72" s="2"/>
      <c r="X72" s="6">
        <f t="shared" si="46"/>
        <v>-28986.019999999997</v>
      </c>
      <c r="Y72" s="2"/>
      <c r="Z72" s="7">
        <f t="shared" si="47"/>
        <v>134.97564610011639</v>
      </c>
    </row>
    <row r="73" spans="1:26" s="24" customFormat="1" hidden="1" outlineLevel="2" x14ac:dyDescent="0.25">
      <c r="A73" s="28"/>
      <c r="B73" s="11" t="str">
        <f>CONCATENATE("          ", "6248", " - ", "UNIFORMS")</f>
        <v xml:space="preserve">          6248 - UNIFORMS</v>
      </c>
      <c r="C73" s="11"/>
      <c r="D73" s="6"/>
      <c r="E73" s="2"/>
      <c r="F73" s="7">
        <f t="shared" si="40"/>
        <v>0</v>
      </c>
      <c r="G73" s="2"/>
      <c r="H73" s="6"/>
      <c r="I73" s="2"/>
      <c r="J73" s="7">
        <f t="shared" si="41"/>
        <v>0</v>
      </c>
      <c r="K73" s="2"/>
      <c r="L73" s="6">
        <f t="shared" si="42"/>
        <v>0</v>
      </c>
      <c r="M73" s="2"/>
      <c r="N73" s="7">
        <f t="shared" si="43"/>
        <v>0</v>
      </c>
      <c r="O73" s="11"/>
      <c r="P73" s="6"/>
      <c r="Q73" s="2"/>
      <c r="R73" s="7">
        <f t="shared" si="44"/>
        <v>0</v>
      </c>
      <c r="S73" s="2"/>
      <c r="T73" s="6">
        <v>232.81</v>
      </c>
      <c r="U73" s="2"/>
      <c r="V73" s="7">
        <f t="shared" si="45"/>
        <v>0</v>
      </c>
      <c r="W73" s="2"/>
      <c r="X73" s="6">
        <f t="shared" si="46"/>
        <v>-232.81</v>
      </c>
      <c r="Y73" s="2"/>
      <c r="Z73" s="7">
        <f t="shared" si="47"/>
        <v>-1</v>
      </c>
    </row>
    <row r="74" spans="1:26" s="29" customFormat="1" outlineLevel="1" collapsed="1" x14ac:dyDescent="0.25">
      <c r="A74" s="27"/>
      <c r="B74" s="14" t="str">
        <f>CONCATENATE("     ","Telephone/Data Lines                              ")</f>
        <v xml:space="preserve">     Telephone/Data Lines                              </v>
      </c>
      <c r="C74" s="14"/>
      <c r="D74" s="1">
        <f>SUM(OSRRefD22_15x_0)</f>
        <v>221.03</v>
      </c>
      <c r="E74" s="1"/>
      <c r="F74" s="5">
        <f t="shared" ref="F74:F81" si="48">IF(D$12=0,0,D74/D$12)</f>
        <v>0</v>
      </c>
      <c r="G74" s="1"/>
      <c r="H74" s="1">
        <f>SUM(OSRRefH22_15x_0)</f>
        <v>497</v>
      </c>
      <c r="I74" s="1"/>
      <c r="J74" s="5">
        <f t="shared" ref="J74:J81" si="49">IF(H$12=0,0,H74/H$12)</f>
        <v>0</v>
      </c>
      <c r="K74" s="1"/>
      <c r="L74" s="1">
        <f t="shared" ref="L74:L81" si="50">+D74-H74</f>
        <v>-275.97000000000003</v>
      </c>
      <c r="M74" s="1"/>
      <c r="N74" s="5">
        <f t="shared" ref="N74:N81" si="51">IF(H74=0,0,L74/H74)</f>
        <v>-0.55527162977867206</v>
      </c>
      <c r="O74" s="14"/>
      <c r="P74" s="1">
        <f>SUM(OSRRefP22_15x_0)</f>
        <v>1100.33</v>
      </c>
      <c r="Q74" s="1"/>
      <c r="R74" s="5">
        <f t="shared" ref="R74:R81" si="52">IF(P$12=0,0,P74/P$12)</f>
        <v>0</v>
      </c>
      <c r="S74" s="1"/>
      <c r="T74" s="1">
        <f>SUM(OSRRefT22_15x_0)</f>
        <v>1519.55</v>
      </c>
      <c r="U74" s="1"/>
      <c r="V74" s="5">
        <f t="shared" ref="V74:V81" si="53">IF(T$12=0,0,T74/T$12)</f>
        <v>0</v>
      </c>
      <c r="W74" s="1"/>
      <c r="X74" s="1">
        <f t="shared" ref="X74:X81" si="54">+P74-T74</f>
        <v>-419.22</v>
      </c>
      <c r="Y74" s="1"/>
      <c r="Z74" s="5">
        <f t="shared" ref="Z74:Z81" si="55">IF(T74=0,0,X74/T74)</f>
        <v>-0.27588430785429902</v>
      </c>
    </row>
    <row r="75" spans="1:26" s="24" customFormat="1" hidden="1" outlineLevel="2" x14ac:dyDescent="0.25">
      <c r="A75" s="28"/>
      <c r="B75" s="11" t="str">
        <f>CONCATENATE("          ", "6309", " - ", "TELEPHONE")</f>
        <v xml:space="preserve">          6309 - TELEPHONE</v>
      </c>
      <c r="C75" s="11"/>
      <c r="D75" s="6">
        <v>221.03</v>
      </c>
      <c r="E75" s="2"/>
      <c r="F75" s="7">
        <f t="shared" si="48"/>
        <v>0</v>
      </c>
      <c r="G75" s="2"/>
      <c r="H75" s="6">
        <v>497</v>
      </c>
      <c r="I75" s="2"/>
      <c r="J75" s="7">
        <f t="shared" si="49"/>
        <v>0</v>
      </c>
      <c r="K75" s="2"/>
      <c r="L75" s="6">
        <f t="shared" si="50"/>
        <v>-275.97000000000003</v>
      </c>
      <c r="M75" s="2"/>
      <c r="N75" s="7">
        <f t="shared" si="51"/>
        <v>-0.55527162977867206</v>
      </c>
      <c r="O75" s="11"/>
      <c r="P75" s="6">
        <v>1100.33</v>
      </c>
      <c r="Q75" s="2"/>
      <c r="R75" s="7">
        <f t="shared" si="52"/>
        <v>0</v>
      </c>
      <c r="S75" s="2"/>
      <c r="T75" s="6">
        <v>1519.55</v>
      </c>
      <c r="U75" s="2"/>
      <c r="V75" s="7">
        <f t="shared" si="53"/>
        <v>0</v>
      </c>
      <c r="W75" s="2"/>
      <c r="X75" s="6">
        <f t="shared" si="54"/>
        <v>-419.22</v>
      </c>
      <c r="Y75" s="2"/>
      <c r="Z75" s="7">
        <f t="shared" si="55"/>
        <v>-0.27588430785429902</v>
      </c>
    </row>
    <row r="76" spans="1:26" s="29" customFormat="1" outlineLevel="1" collapsed="1" x14ac:dyDescent="0.25">
      <c r="A76" s="27"/>
      <c r="B76" s="14" t="str">
        <f>CONCATENATE("     ","Training                                          ")</f>
        <v xml:space="preserve">     Training                                          </v>
      </c>
      <c r="C76" s="14"/>
      <c r="D76" s="1">
        <f>SUM(OSRRefD22_16x_0)</f>
        <v>0</v>
      </c>
      <c r="E76" s="1"/>
      <c r="F76" s="5">
        <f t="shared" si="48"/>
        <v>0</v>
      </c>
      <c r="G76" s="1"/>
      <c r="H76" s="1">
        <f>SUM(OSRRefH22_16x_0)</f>
        <v>0</v>
      </c>
      <c r="I76" s="1"/>
      <c r="J76" s="5">
        <f t="shared" si="49"/>
        <v>0</v>
      </c>
      <c r="K76" s="1"/>
      <c r="L76" s="1">
        <f t="shared" si="50"/>
        <v>0</v>
      </c>
      <c r="M76" s="1"/>
      <c r="N76" s="5">
        <f t="shared" si="51"/>
        <v>0</v>
      </c>
      <c r="O76" s="14"/>
      <c r="P76" s="1">
        <f>SUM(OSRRefP22_16x_0)</f>
        <v>0</v>
      </c>
      <c r="Q76" s="1"/>
      <c r="R76" s="5">
        <f t="shared" si="52"/>
        <v>0</v>
      </c>
      <c r="S76" s="1"/>
      <c r="T76" s="1">
        <f>SUM(OSRRefT22_16x_0)</f>
        <v>240</v>
      </c>
      <c r="U76" s="1"/>
      <c r="V76" s="5">
        <f t="shared" si="53"/>
        <v>0</v>
      </c>
      <c r="W76" s="1"/>
      <c r="X76" s="1">
        <f t="shared" si="54"/>
        <v>-240</v>
      </c>
      <c r="Y76" s="1"/>
      <c r="Z76" s="5">
        <f t="shared" si="55"/>
        <v>-1</v>
      </c>
    </row>
    <row r="77" spans="1:26" s="24" customFormat="1" hidden="1" outlineLevel="2" x14ac:dyDescent="0.25">
      <c r="A77" s="28"/>
      <c r="B77" s="11" t="str">
        <f>CONCATENATE("          ", "6376", " - ", "TRAINING")</f>
        <v xml:space="preserve">          6376 - TRAINING</v>
      </c>
      <c r="C77" s="11"/>
      <c r="D77" s="6"/>
      <c r="E77" s="2"/>
      <c r="F77" s="7">
        <f t="shared" si="48"/>
        <v>0</v>
      </c>
      <c r="G77" s="2"/>
      <c r="H77" s="6"/>
      <c r="I77" s="2"/>
      <c r="J77" s="7">
        <f t="shared" si="49"/>
        <v>0</v>
      </c>
      <c r="K77" s="2"/>
      <c r="L77" s="6">
        <f t="shared" si="50"/>
        <v>0</v>
      </c>
      <c r="M77" s="2"/>
      <c r="N77" s="7">
        <f t="shared" si="51"/>
        <v>0</v>
      </c>
      <c r="O77" s="11"/>
      <c r="P77" s="6"/>
      <c r="Q77" s="2"/>
      <c r="R77" s="7">
        <f t="shared" si="52"/>
        <v>0</v>
      </c>
      <c r="S77" s="2"/>
      <c r="T77" s="6">
        <v>240</v>
      </c>
      <c r="U77" s="2"/>
      <c r="V77" s="7">
        <f t="shared" si="53"/>
        <v>0</v>
      </c>
      <c r="W77" s="2"/>
      <c r="X77" s="6">
        <f t="shared" si="54"/>
        <v>-240</v>
      </c>
      <c r="Y77" s="2"/>
      <c r="Z77" s="7">
        <f t="shared" si="55"/>
        <v>-1</v>
      </c>
    </row>
    <row r="78" spans="1:26" s="29" customFormat="1" outlineLevel="1" collapsed="1" x14ac:dyDescent="0.25">
      <c r="A78" s="27"/>
      <c r="B78" s="14" t="str">
        <f>CONCATENATE("     ","Travel                                            ")</f>
        <v xml:space="preserve">     Travel                                            </v>
      </c>
      <c r="C78" s="14"/>
      <c r="D78" s="1">
        <f>SUM(OSRRefD22_17x_0)</f>
        <v>0</v>
      </c>
      <c r="E78" s="1"/>
      <c r="F78" s="5">
        <f t="shared" si="48"/>
        <v>0</v>
      </c>
      <c r="G78" s="1"/>
      <c r="H78" s="1">
        <f>SUM(OSRRefH22_17x_0)</f>
        <v>0</v>
      </c>
      <c r="I78" s="1"/>
      <c r="J78" s="5">
        <f t="shared" si="49"/>
        <v>0</v>
      </c>
      <c r="K78" s="1"/>
      <c r="L78" s="1">
        <f t="shared" si="50"/>
        <v>0</v>
      </c>
      <c r="M78" s="1"/>
      <c r="N78" s="5">
        <f t="shared" si="51"/>
        <v>0</v>
      </c>
      <c r="O78" s="14"/>
      <c r="P78" s="1">
        <f>SUM(OSRRefP22_17x_0)</f>
        <v>332.21</v>
      </c>
      <c r="Q78" s="1"/>
      <c r="R78" s="5">
        <f t="shared" si="52"/>
        <v>0</v>
      </c>
      <c r="S78" s="1"/>
      <c r="T78" s="1">
        <f>SUM(OSRRefT22_17x_0)</f>
        <v>1101.18</v>
      </c>
      <c r="U78" s="1"/>
      <c r="V78" s="5">
        <f t="shared" si="53"/>
        <v>0</v>
      </c>
      <c r="W78" s="1"/>
      <c r="X78" s="1">
        <f t="shared" si="54"/>
        <v>-768.97</v>
      </c>
      <c r="Y78" s="1"/>
      <c r="Z78" s="5">
        <f t="shared" si="55"/>
        <v>-0.69831453531666032</v>
      </c>
    </row>
    <row r="79" spans="1:26" s="24" customFormat="1" hidden="1" outlineLevel="2" x14ac:dyDescent="0.25">
      <c r="A79" s="28"/>
      <c r="B79" s="11" t="str">
        <f>CONCATENATE("          ", "6292", " - ", "TRAVEL/CONFERENCE")</f>
        <v xml:space="preserve">          6292 - TRAVEL/CONFERENCE</v>
      </c>
      <c r="C79" s="11"/>
      <c r="D79" s="6"/>
      <c r="E79" s="2"/>
      <c r="F79" s="7">
        <f t="shared" si="48"/>
        <v>0</v>
      </c>
      <c r="G79" s="2"/>
      <c r="H79" s="6"/>
      <c r="I79" s="2"/>
      <c r="J79" s="7">
        <f t="shared" si="49"/>
        <v>0</v>
      </c>
      <c r="K79" s="2"/>
      <c r="L79" s="6">
        <f t="shared" si="50"/>
        <v>0</v>
      </c>
      <c r="M79" s="2"/>
      <c r="N79" s="7">
        <f t="shared" si="51"/>
        <v>0</v>
      </c>
      <c r="O79" s="11"/>
      <c r="P79" s="6"/>
      <c r="Q79" s="2"/>
      <c r="R79" s="7">
        <f t="shared" si="52"/>
        <v>0</v>
      </c>
      <c r="S79" s="2"/>
      <c r="T79" s="6">
        <v>545.69000000000005</v>
      </c>
      <c r="U79" s="2"/>
      <c r="V79" s="7">
        <f t="shared" si="53"/>
        <v>0</v>
      </c>
      <c r="W79" s="2"/>
      <c r="X79" s="6">
        <f t="shared" si="54"/>
        <v>-545.69000000000005</v>
      </c>
      <c r="Y79" s="2"/>
      <c r="Z79" s="7">
        <f t="shared" si="55"/>
        <v>-1</v>
      </c>
    </row>
    <row r="80" spans="1:26" s="24" customFormat="1" hidden="1" outlineLevel="2" x14ac:dyDescent="0.25">
      <c r="A80" s="28"/>
      <c r="B80" s="11" t="str">
        <f>CONCATENATE("          ", "6294", " - ", "TRAVEL OPERATIONAL")</f>
        <v xml:space="preserve">          6294 - TRAVEL OPERATIONAL</v>
      </c>
      <c r="C80" s="11"/>
      <c r="D80" s="6"/>
      <c r="E80" s="2"/>
      <c r="F80" s="7">
        <f t="shared" si="48"/>
        <v>0</v>
      </c>
      <c r="G80" s="2"/>
      <c r="H80" s="6"/>
      <c r="I80" s="2"/>
      <c r="J80" s="7">
        <f t="shared" si="49"/>
        <v>0</v>
      </c>
      <c r="K80" s="2"/>
      <c r="L80" s="6">
        <f t="shared" si="50"/>
        <v>0</v>
      </c>
      <c r="M80" s="2"/>
      <c r="N80" s="7">
        <f t="shared" si="51"/>
        <v>0</v>
      </c>
      <c r="O80" s="11"/>
      <c r="P80" s="6"/>
      <c r="Q80" s="2"/>
      <c r="R80" s="7">
        <f t="shared" si="52"/>
        <v>0</v>
      </c>
      <c r="S80" s="2"/>
      <c r="T80" s="6">
        <v>45.49</v>
      </c>
      <c r="U80" s="2"/>
      <c r="V80" s="7">
        <f t="shared" si="53"/>
        <v>0</v>
      </c>
      <c r="W80" s="2"/>
      <c r="X80" s="6">
        <f t="shared" si="54"/>
        <v>-45.49</v>
      </c>
      <c r="Y80" s="2"/>
      <c r="Z80" s="7">
        <f t="shared" si="55"/>
        <v>-1</v>
      </c>
    </row>
    <row r="81" spans="1:26" s="24" customFormat="1" hidden="1" outlineLevel="2" x14ac:dyDescent="0.25">
      <c r="A81" s="28"/>
      <c r="B81" s="11" t="str">
        <f>CONCATENATE("          ", "6298", " - ", "VEHICLE MILEAGE")</f>
        <v xml:space="preserve">          6298 - VEHICLE MILEAGE</v>
      </c>
      <c r="C81" s="11"/>
      <c r="D81" s="6"/>
      <c r="E81" s="2"/>
      <c r="F81" s="7">
        <f t="shared" si="48"/>
        <v>0</v>
      </c>
      <c r="G81" s="2"/>
      <c r="H81" s="6"/>
      <c r="I81" s="2"/>
      <c r="J81" s="7">
        <f t="shared" si="49"/>
        <v>0</v>
      </c>
      <c r="K81" s="2"/>
      <c r="L81" s="6">
        <f t="shared" si="50"/>
        <v>0</v>
      </c>
      <c r="M81" s="2"/>
      <c r="N81" s="7">
        <f t="shared" si="51"/>
        <v>0</v>
      </c>
      <c r="O81" s="11"/>
      <c r="P81" s="6">
        <v>332.21</v>
      </c>
      <c r="Q81" s="2"/>
      <c r="R81" s="7">
        <f t="shared" si="52"/>
        <v>0</v>
      </c>
      <c r="S81" s="2"/>
      <c r="T81" s="6">
        <v>510</v>
      </c>
      <c r="U81" s="2"/>
      <c r="V81" s="7">
        <f t="shared" si="53"/>
        <v>0</v>
      </c>
      <c r="W81" s="2"/>
      <c r="X81" s="6">
        <f t="shared" si="54"/>
        <v>-177.79000000000002</v>
      </c>
      <c r="Y81" s="2"/>
      <c r="Z81" s="7">
        <f t="shared" si="55"/>
        <v>-0.34860784313725496</v>
      </c>
    </row>
    <row r="82" spans="1:26" s="29" customFormat="1" outlineLevel="1" collapsed="1" x14ac:dyDescent="0.25">
      <c r="A82" s="27"/>
      <c r="B82" s="14" t="str">
        <f>CONCATENATE("     ","Utilities                                         ")</f>
        <v xml:space="preserve">     Utilities                                         </v>
      </c>
      <c r="C82" s="14"/>
      <c r="D82" s="1">
        <f>SUM(OSRRefD22_18x_0)</f>
        <v>-15876</v>
      </c>
      <c r="E82" s="1"/>
      <c r="F82" s="5">
        <f t="shared" ref="F82:F83" si="56">IF(D$12=0,0,D82/D$12)</f>
        <v>0</v>
      </c>
      <c r="G82" s="1"/>
      <c r="H82" s="1">
        <f>SUM(OSRRefH22_18x_0)</f>
        <v>11354</v>
      </c>
      <c r="I82" s="1"/>
      <c r="J82" s="5">
        <f t="shared" ref="J82:J83" si="57">IF(H$12=0,0,H82/H$12)</f>
        <v>0</v>
      </c>
      <c r="K82" s="1"/>
      <c r="L82" s="1">
        <f t="shared" ref="L82:L83" si="58">+D82-H82</f>
        <v>-27230</v>
      </c>
      <c r="M82" s="1"/>
      <c r="N82" s="5">
        <f t="shared" ref="N82:N83" si="59">IF(H82=0,0,L82/H82)</f>
        <v>-2.3982737361282367</v>
      </c>
      <c r="O82" s="14"/>
      <c r="P82" s="1">
        <f>SUM(OSRRefP22_18x_0)</f>
        <v>-15876</v>
      </c>
      <c r="Q82" s="1"/>
      <c r="R82" s="5">
        <f t="shared" ref="R82:R83" si="60">IF(P$12=0,0,P82/P$12)</f>
        <v>0</v>
      </c>
      <c r="S82" s="1"/>
      <c r="T82" s="1">
        <f>SUM(OSRRefT22_18x_0)</f>
        <v>37544</v>
      </c>
      <c r="U82" s="1"/>
      <c r="V82" s="5">
        <f t="shared" ref="V82:V83" si="61">IF(T$12=0,0,T82/T$12)</f>
        <v>0</v>
      </c>
      <c r="W82" s="1"/>
      <c r="X82" s="1">
        <f t="shared" ref="X82:X83" si="62">+P82-T82</f>
        <v>-53420</v>
      </c>
      <c r="Y82" s="1"/>
      <c r="Z82" s="5">
        <f t="shared" ref="Z82:Z83" si="63">IF(T82=0,0,X82/T82)</f>
        <v>-1.4228638397613467</v>
      </c>
    </row>
    <row r="83" spans="1:26" s="24" customFormat="1" hidden="1" outlineLevel="2" x14ac:dyDescent="0.25">
      <c r="A83" s="28"/>
      <c r="B83" s="11" t="str">
        <f>CONCATENATE("          ", "6274", " - ", "UTILITIES")</f>
        <v xml:space="preserve">          6274 - UTILITIES</v>
      </c>
      <c r="C83" s="11"/>
      <c r="D83" s="6">
        <v>-15876</v>
      </c>
      <c r="E83" s="2"/>
      <c r="F83" s="7">
        <f t="shared" si="56"/>
        <v>0</v>
      </c>
      <c r="G83" s="2"/>
      <c r="H83" s="6">
        <v>11354</v>
      </c>
      <c r="I83" s="2"/>
      <c r="J83" s="7">
        <f t="shared" si="57"/>
        <v>0</v>
      </c>
      <c r="K83" s="2"/>
      <c r="L83" s="6">
        <f t="shared" si="58"/>
        <v>-27230</v>
      </c>
      <c r="M83" s="2"/>
      <c r="N83" s="7">
        <f t="shared" si="59"/>
        <v>-2.3982737361282367</v>
      </c>
      <c r="O83" s="11"/>
      <c r="P83" s="6">
        <v>-15876</v>
      </c>
      <c r="Q83" s="2"/>
      <c r="R83" s="7">
        <f t="shared" si="60"/>
        <v>0</v>
      </c>
      <c r="S83" s="2"/>
      <c r="T83" s="6">
        <v>37544</v>
      </c>
      <c r="U83" s="2"/>
      <c r="V83" s="7">
        <f t="shared" si="61"/>
        <v>0</v>
      </c>
      <c r="W83" s="2"/>
      <c r="X83" s="6">
        <f t="shared" si="62"/>
        <v>-53420</v>
      </c>
      <c r="Y83" s="2"/>
      <c r="Z83" s="7">
        <f t="shared" si="63"/>
        <v>-1.4228638397613467</v>
      </c>
    </row>
    <row r="84" spans="1:26" s="57" customFormat="1" x14ac:dyDescent="0.25">
      <c r="A84" s="37"/>
      <c r="B84" s="37"/>
      <c r="C84" s="37"/>
      <c r="D84" s="1"/>
      <c r="E84" s="1"/>
      <c r="F84" s="5"/>
      <c r="G84" s="1"/>
      <c r="H84" s="1"/>
      <c r="I84" s="1"/>
      <c r="J84" s="5"/>
      <c r="K84" s="1"/>
      <c r="L84" s="1"/>
      <c r="M84" s="1"/>
      <c r="N84" s="5"/>
      <c r="O84" s="37"/>
      <c r="P84" s="1"/>
      <c r="Q84" s="1"/>
      <c r="R84" s="5"/>
      <c r="S84" s="1"/>
      <c r="T84" s="1"/>
      <c r="U84" s="1"/>
      <c r="V84" s="5"/>
      <c r="W84" s="1"/>
      <c r="X84" s="1"/>
      <c r="Y84" s="1"/>
      <c r="Z84" s="5"/>
    </row>
    <row r="85" spans="1:26" s="23" customFormat="1" collapsed="1" x14ac:dyDescent="0.25">
      <c r="A85" s="10"/>
      <c r="B85" s="26" t="s">
        <v>0</v>
      </c>
      <c r="C85" s="10"/>
      <c r="D85" s="4">
        <f>SUM(OSRRefD25x_0)</f>
        <v>119.09</v>
      </c>
      <c r="E85" s="4"/>
      <c r="F85" s="12">
        <f t="shared" ref="F85:F87" si="64">IF(D$12=0,0,D85/D$12)</f>
        <v>0</v>
      </c>
      <c r="G85" s="4"/>
      <c r="H85" s="4">
        <f>SUM(OSRRefH25x_0)</f>
        <v>16407.48</v>
      </c>
      <c r="I85" s="4"/>
      <c r="J85" s="12">
        <f t="shared" ref="J85:J87" si="65">IF(H$12=0,0,H85/H$12)</f>
        <v>0</v>
      </c>
      <c r="K85" s="4"/>
      <c r="L85" s="4">
        <f t="shared" ref="L85:L87" si="66">+D85-H85</f>
        <v>-16288.39</v>
      </c>
      <c r="M85" s="4"/>
      <c r="N85" s="12">
        <f t="shared" ref="N85:N87" si="67">IF(H85=0,0,L85/H85)</f>
        <v>-0.99274172511561798</v>
      </c>
      <c r="O85" s="10"/>
      <c r="P85" s="4">
        <f>SUM(OSRRefP25x_0)</f>
        <v>1438.78</v>
      </c>
      <c r="Q85" s="4"/>
      <c r="R85" s="12">
        <f t="shared" ref="R85:R87" si="68">IF(P$12=0,0,P85/P$12)</f>
        <v>0</v>
      </c>
      <c r="S85" s="4"/>
      <c r="T85" s="4">
        <f>SUM(OSRRefT25x_0)</f>
        <v>26861.8</v>
      </c>
      <c r="U85" s="4"/>
      <c r="V85" s="12">
        <f t="shared" ref="V85:V87" si="69">IF(T$12=0,0,T85/T$12)</f>
        <v>0</v>
      </c>
      <c r="W85" s="4"/>
      <c r="X85" s="4">
        <f t="shared" ref="X85:X87" si="70">+P85-T85</f>
        <v>-25423.02</v>
      </c>
      <c r="Y85" s="4"/>
      <c r="Z85" s="12">
        <f t="shared" ref="Z85:Z87" si="71">IF(T85=0,0,X85/T85)</f>
        <v>-0.94643769218741858</v>
      </c>
    </row>
    <row r="86" spans="1:26" s="24" customFormat="1" hidden="1" outlineLevel="1" x14ac:dyDescent="0.25">
      <c r="A86" s="44"/>
      <c r="B86" s="11" t="str">
        <f>CONCATENATE("          ", "9150", " - ", "MISC. INCOME")</f>
        <v xml:space="preserve">          9150 - MISC. INCOME</v>
      </c>
      <c r="C86" s="11"/>
      <c r="D86" s="2">
        <f>--119.09</f>
        <v>119.09</v>
      </c>
      <c r="E86" s="2"/>
      <c r="F86" s="19">
        <f t="shared" si="64"/>
        <v>0</v>
      </c>
      <c r="G86" s="2"/>
      <c r="H86" s="2">
        <f>--16407.48</f>
        <v>16407.48</v>
      </c>
      <c r="I86" s="2"/>
      <c r="J86" s="19">
        <f t="shared" si="65"/>
        <v>0</v>
      </c>
      <c r="K86" s="2"/>
      <c r="L86" s="2">
        <f t="shared" si="66"/>
        <v>-16288.39</v>
      </c>
      <c r="M86" s="2"/>
      <c r="N86" s="19">
        <f t="shared" si="67"/>
        <v>-0.99274172511561798</v>
      </c>
      <c r="O86" s="11"/>
      <c r="P86" s="2">
        <f>--812.35</f>
        <v>812.35</v>
      </c>
      <c r="Q86" s="2"/>
      <c r="R86" s="19">
        <f t="shared" si="68"/>
        <v>0</v>
      </c>
      <c r="S86" s="2"/>
      <c r="T86" s="2">
        <f>--25850.87</f>
        <v>25850.87</v>
      </c>
      <c r="U86" s="2"/>
      <c r="V86" s="19">
        <f t="shared" si="69"/>
        <v>0</v>
      </c>
      <c r="W86" s="2"/>
      <c r="X86" s="2">
        <f t="shared" si="70"/>
        <v>-25038.52</v>
      </c>
      <c r="Y86" s="2"/>
      <c r="Z86" s="19">
        <f t="shared" si="71"/>
        <v>-0.96857552569797467</v>
      </c>
    </row>
    <row r="87" spans="1:26" s="24" customFormat="1" hidden="1" outlineLevel="1" x14ac:dyDescent="0.25">
      <c r="A87" s="44"/>
      <c r="B87" s="11" t="str">
        <f>CONCATENATE("          ", "9160", " - ", "MISC. INCOME")</f>
        <v xml:space="preserve">          9160 - MISC. INCOME</v>
      </c>
      <c r="C87" s="11"/>
      <c r="D87" s="2">
        <f>0</f>
        <v>0</v>
      </c>
      <c r="E87" s="2"/>
      <c r="F87" s="19">
        <f t="shared" si="64"/>
        <v>0</v>
      </c>
      <c r="G87" s="2"/>
      <c r="H87" s="2">
        <f>0</f>
        <v>0</v>
      </c>
      <c r="I87" s="2"/>
      <c r="J87" s="19">
        <f t="shared" si="65"/>
        <v>0</v>
      </c>
      <c r="K87" s="2"/>
      <c r="L87" s="2">
        <f t="shared" si="66"/>
        <v>0</v>
      </c>
      <c r="M87" s="2"/>
      <c r="N87" s="19">
        <f t="shared" si="67"/>
        <v>0</v>
      </c>
      <c r="O87" s="11"/>
      <c r="P87" s="2">
        <f>--626.43</f>
        <v>626.42999999999995</v>
      </c>
      <c r="Q87" s="2"/>
      <c r="R87" s="19">
        <f t="shared" si="68"/>
        <v>0</v>
      </c>
      <c r="S87" s="2"/>
      <c r="T87" s="2">
        <f>--1010.93</f>
        <v>1010.93</v>
      </c>
      <c r="U87" s="2"/>
      <c r="V87" s="19">
        <f t="shared" si="69"/>
        <v>0</v>
      </c>
      <c r="W87" s="2"/>
      <c r="X87" s="2">
        <f t="shared" si="70"/>
        <v>-384.5</v>
      </c>
      <c r="Y87" s="2"/>
      <c r="Z87" s="19">
        <f t="shared" si="71"/>
        <v>-0.3803428526208541</v>
      </c>
    </row>
    <row r="88" spans="1:26" x14ac:dyDescent="0.25">
      <c r="A88" s="9"/>
      <c r="B88" s="10"/>
      <c r="C88" s="10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O88" s="10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x14ac:dyDescent="0.25">
      <c r="A89" s="10"/>
      <c r="B89" s="25" t="s">
        <v>3</v>
      </c>
      <c r="C89" s="25"/>
      <c r="D89" s="20">
        <f>+D16-D18+D85</f>
        <v>-25260.479999999992</v>
      </c>
      <c r="E89" s="13"/>
      <c r="F89" s="21">
        <f>IF(D$12=0,0,D89/D$12)</f>
        <v>0</v>
      </c>
      <c r="G89" s="13"/>
      <c r="H89" s="20">
        <f>+H16-H18+H85</f>
        <v>-90772.709999999977</v>
      </c>
      <c r="I89" s="13"/>
      <c r="J89" s="21">
        <f>IF(H$12=0,0,H89/H$12)</f>
        <v>0</v>
      </c>
      <c r="K89" s="15"/>
      <c r="L89" s="20">
        <f>+D89-H89</f>
        <v>65512.229999999981</v>
      </c>
      <c r="M89" s="15"/>
      <c r="N89" s="21">
        <f>IF(H89=0,0,L89/H89)</f>
        <v>-0.72171724299076234</v>
      </c>
      <c r="O89" s="26"/>
      <c r="P89" s="20">
        <f>+P16-P18+P85</f>
        <v>-82692.940000000031</v>
      </c>
      <c r="Q89" s="13"/>
      <c r="R89" s="21">
        <f>IF(P$12=0,0,P89/P$12)</f>
        <v>0</v>
      </c>
      <c r="S89" s="13"/>
      <c r="T89" s="20">
        <f>+T16-T18+T85</f>
        <v>-351808.91</v>
      </c>
      <c r="U89" s="13"/>
      <c r="V89" s="21">
        <f>IF(T$12=0,0,T89/T$12)</f>
        <v>0</v>
      </c>
      <c r="W89" s="15"/>
      <c r="X89" s="20">
        <f>+P89-T89</f>
        <v>269115.96999999997</v>
      </c>
      <c r="Y89" s="15"/>
      <c r="Z89" s="21">
        <f>IF(T89=0,0,X89/T89)</f>
        <v>-0.76494927317218886</v>
      </c>
    </row>
    <row r="90" spans="1:26" x14ac:dyDescent="0.25">
      <c r="A90" s="9"/>
      <c r="B90" s="10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x14ac:dyDescent="0.25">
      <c r="A91" s="51"/>
      <c r="B91" s="10" t="s">
        <v>13</v>
      </c>
      <c r="C91" s="10"/>
      <c r="D91" s="4"/>
      <c r="E91" s="4"/>
      <c r="F91" s="12">
        <f>IF(D$12=0,0,D91/D$12)</f>
        <v>0</v>
      </c>
      <c r="G91" s="4"/>
      <c r="H91" s="4"/>
      <c r="I91" s="4"/>
      <c r="J91" s="12">
        <f>IF(H$12=0,0,H91/H$12)</f>
        <v>0</v>
      </c>
      <c r="K91" s="4"/>
      <c r="L91" s="4">
        <f>+D91-H91</f>
        <v>0</v>
      </c>
      <c r="M91" s="4"/>
      <c r="N91" s="12">
        <f>IF(H91=0,0,L91/H91)</f>
        <v>0</v>
      </c>
      <c r="O91" s="10"/>
      <c r="P91" s="4"/>
      <c r="Q91" s="4"/>
      <c r="R91" s="12">
        <f>IF(P$12=0,0,P91/P$12)</f>
        <v>0</v>
      </c>
      <c r="S91" s="4"/>
      <c r="T91" s="4"/>
      <c r="U91" s="4"/>
      <c r="V91" s="12">
        <f>IF(T$12=0,0,T91/T$12)</f>
        <v>0</v>
      </c>
      <c r="W91" s="4"/>
      <c r="X91" s="4">
        <f>+P91-T91</f>
        <v>0</v>
      </c>
      <c r="Y91" s="4"/>
      <c r="Z91" s="12">
        <f>IF(T91=0,0,X91/T91)</f>
        <v>0</v>
      </c>
    </row>
    <row r="92" spans="1:26" x14ac:dyDescent="0.25">
      <c r="A92" s="9"/>
      <c r="B92" s="10"/>
      <c r="C92" s="10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O92" s="10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ht="15.75" thickBot="1" x14ac:dyDescent="0.3">
      <c r="A93" s="10"/>
      <c r="B93" s="25" t="s">
        <v>4</v>
      </c>
      <c r="C93" s="25"/>
      <c r="D93" s="30">
        <f>+D89-D91</f>
        <v>-25260.479999999992</v>
      </c>
      <c r="E93" s="13"/>
      <c r="F93" s="33">
        <f>IF(D$12=0,0,D93/D$12)</f>
        <v>0</v>
      </c>
      <c r="G93" s="13"/>
      <c r="H93" s="30">
        <f>+H89-H91</f>
        <v>-90772.709999999977</v>
      </c>
      <c r="I93" s="13"/>
      <c r="J93" s="33">
        <f>IF(H$12=0,0,H93/H$12)</f>
        <v>0</v>
      </c>
      <c r="K93" s="15"/>
      <c r="L93" s="30">
        <f>D93-H93</f>
        <v>65512.229999999981</v>
      </c>
      <c r="M93" s="15"/>
      <c r="N93" s="33">
        <f>IF(H93=0,0,L93/H93)</f>
        <v>-0.72171724299076234</v>
      </c>
      <c r="O93" s="26"/>
      <c r="P93" s="30">
        <f>+P89-P91</f>
        <v>-82692.940000000031</v>
      </c>
      <c r="Q93" s="13"/>
      <c r="R93" s="33">
        <f>IF(P$12=0,0,P93/P$12)</f>
        <v>0</v>
      </c>
      <c r="S93" s="13"/>
      <c r="T93" s="30">
        <f>+T89-T91</f>
        <v>-351808.91</v>
      </c>
      <c r="U93" s="13"/>
      <c r="V93" s="33">
        <f>IF(T$12=0,0,T93/T$12)</f>
        <v>0</v>
      </c>
      <c r="W93" s="15"/>
      <c r="X93" s="30">
        <f>P93-T93</f>
        <v>269115.96999999997</v>
      </c>
      <c r="Y93" s="15"/>
      <c r="Z93" s="33">
        <f>IF(T93=0,0,X93/T93)</f>
        <v>-0.76494927317218886</v>
      </c>
    </row>
    <row r="94" spans="1:26" ht="15.75" thickTop="1" x14ac:dyDescent="0.25">
      <c r="A94" s="9"/>
      <c r="B94" s="9"/>
      <c r="C94" s="9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x14ac:dyDescent="0.25">
      <c r="A95" s="9"/>
      <c r="B95" s="9"/>
      <c r="C95" s="9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ht="15.75" thickBot="1" x14ac:dyDescent="0.3">
      <c r="A96" s="10"/>
      <c r="B96" s="25" t="s">
        <v>5</v>
      </c>
      <c r="C96" s="25"/>
      <c r="D96" s="34">
        <f>SUM(D93:D95)</f>
        <v>-25260.479999999992</v>
      </c>
      <c r="E96" s="13"/>
      <c r="F96" s="35">
        <f>IF(D$12=0,0,D96/D$12)</f>
        <v>0</v>
      </c>
      <c r="G96" s="13"/>
      <c r="H96" s="34">
        <f>SUM(H93:H95)</f>
        <v>-90772.709999999977</v>
      </c>
      <c r="I96" s="13"/>
      <c r="J96" s="35">
        <f>IF(H$12=0,0,H96/H$12)</f>
        <v>0</v>
      </c>
      <c r="K96" s="15"/>
      <c r="L96" s="34">
        <f>+D96-H96</f>
        <v>65512.229999999981</v>
      </c>
      <c r="M96" s="15"/>
      <c r="N96" s="35">
        <f>IF(H96=0,0,L96/H96)</f>
        <v>-0.72171724299076234</v>
      </c>
      <c r="O96" s="26"/>
      <c r="P96" s="34">
        <f>SUM(P93:P95)</f>
        <v>-82692.940000000031</v>
      </c>
      <c r="Q96" s="13"/>
      <c r="R96" s="35">
        <f>IF(P$12=0,0,P96/P$12)</f>
        <v>0</v>
      </c>
      <c r="S96" s="13"/>
      <c r="T96" s="34">
        <f>SUM(T93:T95)</f>
        <v>-351808.91</v>
      </c>
      <c r="U96" s="13"/>
      <c r="V96" s="35">
        <f>IF(T$12=0,0,T96/T$12)</f>
        <v>0</v>
      </c>
      <c r="W96" s="15"/>
      <c r="X96" s="34">
        <f>+P96-T96</f>
        <v>269115.96999999997</v>
      </c>
      <c r="Y96" s="15"/>
      <c r="Z96" s="35">
        <f>IF(T96=0,0,X96/T96)</f>
        <v>-0.76494927317218886</v>
      </c>
    </row>
    <row r="97" spans="1:24" ht="15.75" thickTop="1" x14ac:dyDescent="0.25">
      <c r="A97" s="9"/>
      <c r="C97" s="9"/>
      <c r="D97" s="18"/>
      <c r="E97" s="18"/>
      <c r="G97" s="18"/>
      <c r="H97" s="18"/>
      <c r="I97" s="18"/>
      <c r="J97" s="43"/>
      <c r="K97" s="18"/>
      <c r="L97" s="18"/>
      <c r="M97" s="18"/>
      <c r="P97" s="18"/>
      <c r="Q97" s="18"/>
      <c r="R97" s="43"/>
      <c r="S97" s="18"/>
      <c r="T97" s="18"/>
      <c r="U97" s="18"/>
      <c r="V97" s="43"/>
      <c r="W97" s="18"/>
      <c r="X97" s="18"/>
    </row>
    <row r="98" spans="1:24" x14ac:dyDescent="0.25">
      <c r="A98" s="9"/>
      <c r="B98" s="56">
        <v>44151.572747835649</v>
      </c>
      <c r="D98" s="18"/>
      <c r="E98" s="18"/>
      <c r="G98" s="18"/>
      <c r="H98" s="18"/>
      <c r="I98" s="18"/>
      <c r="J98" s="43"/>
      <c r="K98" s="18"/>
      <c r="L98" s="18"/>
      <c r="M98" s="18"/>
      <c r="P98" s="18"/>
      <c r="Q98" s="18"/>
      <c r="R98" s="43"/>
      <c r="S98" s="18"/>
      <c r="T98" s="18"/>
      <c r="U98" s="18"/>
      <c r="V98" s="43"/>
      <c r="W98" s="18"/>
      <c r="X98" s="18"/>
    </row>
    <row r="99" spans="1:24" x14ac:dyDescent="0.25">
      <c r="A99" s="9"/>
      <c r="B99" s="62" t="s">
        <v>313</v>
      </c>
      <c r="D99" s="18"/>
      <c r="E99" s="18"/>
      <c r="G99" s="18"/>
      <c r="H99" s="18"/>
      <c r="I99" s="18"/>
      <c r="J99" s="43"/>
      <c r="K99" s="18"/>
      <c r="L99" s="18"/>
      <c r="M99" s="18"/>
      <c r="P99" s="18"/>
      <c r="Q99" s="18"/>
      <c r="R99" s="43"/>
      <c r="S99" s="18"/>
      <c r="T99" s="18"/>
      <c r="U99" s="18"/>
      <c r="V99" s="43"/>
      <c r="W99" s="18"/>
      <c r="X99" s="18"/>
    </row>
    <row r="100" spans="1:24" x14ac:dyDescent="0.25">
      <c r="A100" s="9"/>
      <c r="B100" s="54"/>
      <c r="D100" s="18"/>
      <c r="E100" s="18"/>
      <c r="G100" s="18"/>
      <c r="H100" s="18"/>
      <c r="I100" s="18"/>
      <c r="J100" s="43"/>
      <c r="K100" s="18"/>
      <c r="L100" s="18"/>
      <c r="M100" s="18"/>
      <c r="P100" s="18"/>
      <c r="Q100" s="18"/>
      <c r="R100" s="43"/>
      <c r="S100" s="18"/>
      <c r="T100" s="18"/>
      <c r="U100" s="18"/>
      <c r="V100" s="43"/>
      <c r="W100" s="18"/>
      <c r="X100" s="18"/>
    </row>
    <row r="101" spans="1:24" x14ac:dyDescent="0.25">
      <c r="D101" s="18"/>
      <c r="E101" s="18"/>
      <c r="G101" s="18"/>
      <c r="H101" s="18"/>
      <c r="I101" s="18"/>
      <c r="J101" s="43"/>
      <c r="K101" s="18"/>
      <c r="L101" s="18"/>
      <c r="M101" s="18"/>
      <c r="P101" s="18"/>
      <c r="Q101" s="18"/>
      <c r="R101" s="43"/>
      <c r="S101" s="18"/>
      <c r="T101" s="18"/>
      <c r="U101" s="18"/>
      <c r="V101" s="43"/>
      <c r="W101" s="18"/>
      <c r="X101" s="18"/>
    </row>
  </sheetData>
  <pageMargins left="0.25" right="0.25" top="0.75" bottom="0.75" header="0.3" footer="0.3"/>
  <pageSetup scale="55" fitToWidth="2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297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61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50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50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2"/>
      <c r="F10" s="31" t="s">
        <v>14</v>
      </c>
      <c r="G10" s="32"/>
      <c r="H10" s="49" t="s">
        <v>306</v>
      </c>
      <c r="I10" s="32"/>
      <c r="J10" s="31" t="s">
        <v>14</v>
      </c>
      <c r="K10" s="10"/>
      <c r="L10" s="42" t="s">
        <v>11</v>
      </c>
      <c r="M10" s="10"/>
      <c r="N10" s="31" t="s">
        <v>15</v>
      </c>
      <c r="O10" s="10"/>
      <c r="P10" s="59" t="s">
        <v>10</v>
      </c>
      <c r="Q10" s="32"/>
      <c r="R10" s="31" t="s">
        <v>14</v>
      </c>
      <c r="S10" s="32"/>
      <c r="T10" s="49" t="s">
        <v>306</v>
      </c>
      <c r="U10" s="32"/>
      <c r="V10" s="31" t="s">
        <v>14</v>
      </c>
      <c r="W10" s="10"/>
      <c r="X10" s="42" t="s">
        <v>11</v>
      </c>
      <c r="Y10" s="10"/>
      <c r="Z10" s="31" t="s">
        <v>15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6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2" t="e">
        <f ca="1">SUM(_xll.OneStop.ReportPlayer.OSRFunctions.OSRRef(D22))</f>
        <v>#NAME?</v>
      </c>
      <c r="E20" s="22"/>
      <c r="F20" s="36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6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6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6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7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6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0" t="e">
        <f ca="1">+D27-D29</f>
        <v>#NAME?</v>
      </c>
      <c r="E31" s="13"/>
      <c r="F31" s="33" t="e">
        <f ca="1">IF(D$12=0,0,D31/D$12)</f>
        <v>#NAME?</v>
      </c>
      <c r="G31" s="13"/>
      <c r="H31" s="30" t="e">
        <f ca="1">+H27-H29</f>
        <v>#NAME?</v>
      </c>
      <c r="I31" s="13"/>
      <c r="J31" s="33" t="e">
        <f ca="1">IF(H$12=0,0,H31/H$12)</f>
        <v>#NAME?</v>
      </c>
      <c r="K31" s="15"/>
      <c r="L31" s="30" t="e">
        <f ca="1">D31-H31</f>
        <v>#NAME?</v>
      </c>
      <c r="M31" s="15"/>
      <c r="N31" s="33" t="e">
        <f ca="1">IF(H31=0,0,L31/H31)</f>
        <v>#NAME?</v>
      </c>
      <c r="O31" s="26"/>
      <c r="P31" s="30" t="e">
        <f ca="1">+P27-P29</f>
        <v>#NAME?</v>
      </c>
      <c r="Q31" s="13"/>
      <c r="R31" s="33" t="e">
        <f ca="1">IF(P$12=0,0,P31/P$12)</f>
        <v>#NAME?</v>
      </c>
      <c r="S31" s="13"/>
      <c r="T31" s="30" t="e">
        <f ca="1">+T27-T29</f>
        <v>#NAME?</v>
      </c>
      <c r="U31" s="13"/>
      <c r="V31" s="33" t="e">
        <f ca="1">IF(T$12=0,0,T31/T$12)</f>
        <v>#NAME?</v>
      </c>
      <c r="W31" s="15"/>
      <c r="X31" s="30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4" t="e">
        <f ca="1">SUM(D31:D35)</f>
        <v>#NAME?</v>
      </c>
      <c r="E36" s="13"/>
      <c r="F36" s="35" t="e">
        <f ca="1">IF(D$12=0,0,D36/D$12)</f>
        <v>#NAME?</v>
      </c>
      <c r="G36" s="13"/>
      <c r="H36" s="34" t="e">
        <f ca="1">SUM(H31:H35)</f>
        <v>#NAME?</v>
      </c>
      <c r="I36" s="13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6"/>
      <c r="P36" s="34" t="e">
        <f ca="1">SUM(P31:P35)</f>
        <v>#NAME?</v>
      </c>
      <c r="Q36" s="13"/>
      <c r="R36" s="35" t="e">
        <f ca="1">IF(P$12=0,0,P36/P$12)</f>
        <v>#NAME?</v>
      </c>
      <c r="S36" s="13"/>
      <c r="T36" s="34" t="e">
        <f ca="1">SUM(T31:T35)</f>
        <v>#NAME?</v>
      </c>
      <c r="U36" s="13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",RIGHT(202104,2),", ",2021)</f>
        <v>Period 04,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44135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","412", " - ", "Chartroom")</f>
        <v>Department 412 - Chartroom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61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50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50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2"/>
      <c r="F10" s="31" t="s">
        <v>14</v>
      </c>
      <c r="G10" s="32"/>
      <c r="H10" s="49" t="s">
        <v>306</v>
      </c>
      <c r="I10" s="32"/>
      <c r="J10" s="31" t="s">
        <v>14</v>
      </c>
      <c r="K10" s="10"/>
      <c r="L10" s="42" t="s">
        <v>11</v>
      </c>
      <c r="M10" s="10"/>
      <c r="N10" s="31" t="s">
        <v>15</v>
      </c>
      <c r="O10" s="10"/>
      <c r="P10" s="59" t="s">
        <v>10</v>
      </c>
      <c r="Q10" s="32"/>
      <c r="R10" s="31" t="s">
        <v>14</v>
      </c>
      <c r="S10" s="32"/>
      <c r="T10" s="49" t="s">
        <v>306</v>
      </c>
      <c r="U10" s="32"/>
      <c r="V10" s="31" t="s">
        <v>14</v>
      </c>
      <c r="W10" s="10"/>
      <c r="X10" s="42" t="s">
        <v>11</v>
      </c>
      <c r="Y10" s="10"/>
      <c r="Z10" s="31" t="s">
        <v>15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95113.2</v>
      </c>
      <c r="I12" s="4"/>
      <c r="J12" s="12"/>
      <c r="K12" s="4"/>
      <c r="L12" s="4">
        <f t="shared" ref="L12:L14" si="0">+D12-H12</f>
        <v>-95113.2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290587.45999999996</v>
      </c>
      <c r="U12" s="4"/>
      <c r="V12" s="12"/>
      <c r="W12" s="4"/>
      <c r="X12" s="4">
        <f t="shared" ref="X12:X14" si="2">+P12-T12</f>
        <v>-290587.45999999996</v>
      </c>
      <c r="Y12" s="4"/>
      <c r="Z12" s="12">
        <f t="shared" ref="Z12:Z14" si="3">IF(T12=0,0,X12/T12)</f>
        <v>-1</v>
      </c>
    </row>
    <row r="13" spans="1:26" s="24" customFormat="1" hidden="1" outlineLevel="1" x14ac:dyDescent="0.25">
      <c r="A13" s="44"/>
      <c r="B13" s="11" t="str">
        <f>CONCATENATE("          ", "4052", " - ", "TAXABLE SALES-FOOD")</f>
        <v xml:space="preserve">          4052 - TAXABLE SALES-FOOD</v>
      </c>
      <c r="C13" s="11"/>
      <c r="D13" s="2">
        <f t="shared" ref="D13:D14" si="4">0</f>
        <v>0</v>
      </c>
      <c r="E13" s="2"/>
      <c r="F13" s="19"/>
      <c r="G13" s="2"/>
      <c r="H13" s="2">
        <f>--85963.22</f>
        <v>85963.22</v>
      </c>
      <c r="I13" s="2"/>
      <c r="J13" s="19"/>
      <c r="K13" s="2"/>
      <c r="L13" s="2">
        <f t="shared" si="0"/>
        <v>-85963.22</v>
      </c>
      <c r="M13" s="2"/>
      <c r="N13" s="19">
        <f t="shared" si="1"/>
        <v>-1</v>
      </c>
      <c r="O13" s="11"/>
      <c r="P13" s="2">
        <f t="shared" ref="P13:P14" si="5">0</f>
        <v>0</v>
      </c>
      <c r="Q13" s="2"/>
      <c r="R13" s="19"/>
      <c r="S13" s="2"/>
      <c r="T13" s="2">
        <f>--265648.42</f>
        <v>265648.42</v>
      </c>
      <c r="U13" s="2"/>
      <c r="V13" s="19"/>
      <c r="W13" s="2"/>
      <c r="X13" s="2">
        <f t="shared" si="2"/>
        <v>-265648.42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"4152", " - ", "NON-TAXABLE SALES-FOOD")</f>
        <v xml:space="preserve">          4152 - NON-TAXABLE SALES-FOOD</v>
      </c>
      <c r="C14" s="11"/>
      <c r="D14" s="2">
        <f t="shared" si="4"/>
        <v>0</v>
      </c>
      <c r="E14" s="2"/>
      <c r="F14" s="19"/>
      <c r="G14" s="2"/>
      <c r="H14" s="2">
        <f>--9149.98</f>
        <v>9149.98</v>
      </c>
      <c r="I14" s="2"/>
      <c r="J14" s="19"/>
      <c r="K14" s="2"/>
      <c r="L14" s="2">
        <f t="shared" si="0"/>
        <v>-9149.98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f>--24939.04</f>
        <v>24939.040000000001</v>
      </c>
      <c r="U14" s="2"/>
      <c r="V14" s="19"/>
      <c r="W14" s="2"/>
      <c r="X14" s="2">
        <f t="shared" si="2"/>
        <v>-24939.040000000001</v>
      </c>
      <c r="Y14" s="2"/>
      <c r="Z14" s="19">
        <f t="shared" si="3"/>
        <v>-1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6" t="s">
        <v>8</v>
      </c>
      <c r="C16" s="10"/>
      <c r="D16" s="4">
        <f>SUM(OSRRefD16x_0)</f>
        <v>0</v>
      </c>
      <c r="E16" s="4"/>
      <c r="F16" s="12">
        <f t="shared" ref="F16:F17" si="6">IF(D$12=0,0,D16/D$12)</f>
        <v>0</v>
      </c>
      <c r="G16" s="4"/>
      <c r="H16" s="4">
        <f>SUM(OSRRefH16x_0)</f>
        <v>33034.57</v>
      </c>
      <c r="I16" s="4"/>
      <c r="J16" s="12">
        <f t="shared" ref="J16:J17" si="7">IF(H$12=0,0,H16/H$12)</f>
        <v>0.34731845842638037</v>
      </c>
      <c r="K16" s="4"/>
      <c r="L16" s="4">
        <f t="shared" ref="L16:L17" si="8">+D16-H16</f>
        <v>-33034.57</v>
      </c>
      <c r="M16" s="4"/>
      <c r="N16" s="12">
        <f t="shared" ref="N16:N17" si="9">IF(H16=0,0,L16/H16)</f>
        <v>-1</v>
      </c>
      <c r="O16" s="10"/>
      <c r="P16" s="4">
        <f>SUM(OSRRefP16x_0)</f>
        <v>0</v>
      </c>
      <c r="Q16" s="4"/>
      <c r="R16" s="12">
        <f t="shared" ref="R16:R17" si="10">IF(P$12=0,0,P16/P$12)</f>
        <v>0</v>
      </c>
      <c r="S16" s="4"/>
      <c r="T16" s="4">
        <f>SUM(OSRRefT16x_0)</f>
        <v>92980.01999999999</v>
      </c>
      <c r="U16" s="4"/>
      <c r="V16" s="12">
        <f t="shared" ref="V16:V17" si="11">IF(T$12=0,0,T16/T$12)</f>
        <v>0.31997258243697096</v>
      </c>
      <c r="W16" s="4"/>
      <c r="X16" s="4">
        <f t="shared" ref="X16:X17" si="12">+P16-T16</f>
        <v>-92980.01999999999</v>
      </c>
      <c r="Y16" s="4"/>
      <c r="Z16" s="12">
        <f t="shared" ref="Z16:Z17" si="13">IF(T16=0,0,X16/T16)</f>
        <v>-1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6"/>
        <v>0</v>
      </c>
      <c r="G17" s="2"/>
      <c r="H17" s="2">
        <v>33034.57</v>
      </c>
      <c r="I17" s="2"/>
      <c r="J17" s="19">
        <f t="shared" si="7"/>
        <v>0.34731845842638037</v>
      </c>
      <c r="K17" s="2"/>
      <c r="L17" s="2">
        <f t="shared" si="8"/>
        <v>-33034.57</v>
      </c>
      <c r="M17" s="2"/>
      <c r="N17" s="19">
        <f t="shared" si="9"/>
        <v>-1</v>
      </c>
      <c r="O17" s="11"/>
      <c r="P17" s="2"/>
      <c r="Q17" s="2"/>
      <c r="R17" s="19">
        <f t="shared" si="10"/>
        <v>0</v>
      </c>
      <c r="S17" s="2"/>
      <c r="T17" s="2">
        <v>92980.01999999999</v>
      </c>
      <c r="U17" s="2"/>
      <c r="V17" s="19">
        <f t="shared" si="11"/>
        <v>0.31997258243697096</v>
      </c>
      <c r="W17" s="2"/>
      <c r="X17" s="2">
        <f t="shared" si="12"/>
        <v>-92980.01999999999</v>
      </c>
      <c r="Y17" s="2"/>
      <c r="Z17" s="19">
        <f t="shared" si="13"/>
        <v>-1</v>
      </c>
    </row>
    <row r="18" spans="1:26" x14ac:dyDescent="0.25">
      <c r="A18" s="9"/>
      <c r="B18" s="10"/>
      <c r="C18" s="10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O18" s="10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x14ac:dyDescent="0.25">
      <c r="A19" s="10"/>
      <c r="B19" s="25" t="s">
        <v>6</v>
      </c>
      <c r="C19" s="25"/>
      <c r="D19" s="20">
        <f>D12-D16</f>
        <v>0</v>
      </c>
      <c r="E19" s="13"/>
      <c r="F19" s="21">
        <f>IF(D$12=0,0,D19/D$12)</f>
        <v>0</v>
      </c>
      <c r="G19" s="13"/>
      <c r="H19" s="20">
        <f>H12-H16</f>
        <v>62078.63</v>
      </c>
      <c r="I19" s="13"/>
      <c r="J19" s="21">
        <f>IF(H$12=0,0,H19/H$12)</f>
        <v>0.65268154157361968</v>
      </c>
      <c r="K19" s="15"/>
      <c r="L19" s="20">
        <f>+D19-H19</f>
        <v>-62078.63</v>
      </c>
      <c r="M19" s="15"/>
      <c r="N19" s="21">
        <f>IF(H19=0,0,L19/H19)</f>
        <v>-1</v>
      </c>
      <c r="O19" s="26"/>
      <c r="P19" s="20">
        <f>P12-P16</f>
        <v>0</v>
      </c>
      <c r="Q19" s="13"/>
      <c r="R19" s="21">
        <f>IF(P$12=0,0,P19/P$12)</f>
        <v>0</v>
      </c>
      <c r="S19" s="13"/>
      <c r="T19" s="20">
        <f>T12-T16</f>
        <v>197607.43999999997</v>
      </c>
      <c r="U19" s="13"/>
      <c r="V19" s="21">
        <f>IF(T$12=0,0,T19/T$12)</f>
        <v>0.68002741756302909</v>
      </c>
      <c r="W19" s="15"/>
      <c r="X19" s="20">
        <f>+P19-T19</f>
        <v>-197607.43999999997</v>
      </c>
      <c r="Y19" s="15"/>
      <c r="Z19" s="21">
        <f>IF(T19=0,0,X19/T19)</f>
        <v>-1</v>
      </c>
    </row>
    <row r="20" spans="1:26" x14ac:dyDescent="0.25">
      <c r="A20" s="9"/>
      <c r="B20" s="10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7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3" customFormat="1" x14ac:dyDescent="0.25">
      <c r="A21" s="10"/>
      <c r="B21" s="26" t="s">
        <v>9</v>
      </c>
      <c r="C21" s="10"/>
      <c r="D21" s="22">
        <f>SUM(OSRRefD22x_0)</f>
        <v>627.29</v>
      </c>
      <c r="E21" s="22"/>
      <c r="F21" s="36">
        <f t="shared" ref="F21:F30" si="14">IF(D$12=0,0,D21/D$12)</f>
        <v>0</v>
      </c>
      <c r="G21" s="22"/>
      <c r="H21" s="22">
        <f>SUM(OSRRefH22x_0)</f>
        <v>35291.99</v>
      </c>
      <c r="I21" s="22"/>
      <c r="J21" s="36">
        <f t="shared" ref="J21:J30" si="15">IF(H$12=0,0,H21/H$12)</f>
        <v>0.37105249323963446</v>
      </c>
      <c r="K21" s="4"/>
      <c r="L21" s="22">
        <f t="shared" ref="L21:L30" si="16">+D21-H21</f>
        <v>-34664.699999999997</v>
      </c>
      <c r="M21" s="4"/>
      <c r="N21" s="36">
        <f t="shared" ref="N21:N30" si="17">IF(H21=0,0,L21/H21)</f>
        <v>-0.98222571183999541</v>
      </c>
      <c r="O21" s="10"/>
      <c r="P21" s="22">
        <f>SUM(OSRRefP22x_0)</f>
        <v>3424.08</v>
      </c>
      <c r="Q21" s="22"/>
      <c r="R21" s="36">
        <f t="shared" ref="R21:R30" si="18">IF(P$12=0,0,P21/P$12)</f>
        <v>0</v>
      </c>
      <c r="S21" s="22"/>
      <c r="T21" s="22">
        <f>SUM(OSRRefT22x_0)</f>
        <v>202702.19999999995</v>
      </c>
      <c r="U21" s="22"/>
      <c r="V21" s="36">
        <f t="shared" ref="V21:V30" si="19">IF(T$12=0,0,T21/T$12)</f>
        <v>0.69756003923913301</v>
      </c>
      <c r="W21" s="4"/>
      <c r="X21" s="22">
        <f t="shared" ref="X21:X30" si="20">+P21-T21</f>
        <v>-199278.11999999997</v>
      </c>
      <c r="Y21" s="4"/>
      <c r="Z21" s="36">
        <f t="shared" ref="Z21:Z30" si="21">IF(T21=0,0,X21/T21)</f>
        <v>-0.98310783010741876</v>
      </c>
    </row>
    <row r="22" spans="1:26" s="29" customFormat="1" outlineLevel="1" collapsed="1" x14ac:dyDescent="0.25">
      <c r="A22" s="27"/>
      <c r="B22" s="14" t="str">
        <f>CONCATENATE("     ","*Benefits                                         ")</f>
        <v xml:space="preserve">     *Benefits                                         </v>
      </c>
      <c r="C22" s="14"/>
      <c r="D22" s="1">
        <f>SUM(OSRRefD22_0x_0)</f>
        <v>0</v>
      </c>
      <c r="E22" s="1"/>
      <c r="F22" s="5">
        <f t="shared" si="14"/>
        <v>0</v>
      </c>
      <c r="G22" s="1"/>
      <c r="H22" s="1">
        <f>SUM(OSRRefH22_0x_0)</f>
        <v>7765.5899999999992</v>
      </c>
      <c r="I22" s="1"/>
      <c r="J22" s="5">
        <f t="shared" si="15"/>
        <v>8.1645765256557437E-2</v>
      </c>
      <c r="K22" s="1"/>
      <c r="L22" s="1">
        <f t="shared" si="16"/>
        <v>-7765.5899999999992</v>
      </c>
      <c r="M22" s="1"/>
      <c r="N22" s="5">
        <f t="shared" si="17"/>
        <v>-1</v>
      </c>
      <c r="O22" s="14"/>
      <c r="P22" s="1">
        <f>SUM(OSRRefP22_0x_0)</f>
        <v>0</v>
      </c>
      <c r="Q22" s="1"/>
      <c r="R22" s="5">
        <f t="shared" si="18"/>
        <v>0</v>
      </c>
      <c r="S22" s="1"/>
      <c r="T22" s="1">
        <f>SUM(OSRRefT22_0x_0)</f>
        <v>52869.01999999999</v>
      </c>
      <c r="U22" s="1"/>
      <c r="V22" s="5">
        <f t="shared" si="19"/>
        <v>0.1819384084915433</v>
      </c>
      <c r="W22" s="1"/>
      <c r="X22" s="1">
        <f t="shared" si="20"/>
        <v>-52869.01999999999</v>
      </c>
      <c r="Y22" s="1"/>
      <c r="Z22" s="5">
        <f t="shared" si="21"/>
        <v>-1</v>
      </c>
    </row>
    <row r="23" spans="1:26" s="24" customFormat="1" hidden="1" outlineLevel="2" x14ac:dyDescent="0.25">
      <c r="A23" s="28"/>
      <c r="B23" s="11" t="str">
        <f>CONCATENATE("          ", "6111", " - ", "F.I.C.A.")</f>
        <v xml:space="preserve">          6111 - F.I.C.A.</v>
      </c>
      <c r="C23" s="11"/>
      <c r="D23" s="6"/>
      <c r="E23" s="2"/>
      <c r="F23" s="7">
        <f t="shared" si="14"/>
        <v>0</v>
      </c>
      <c r="G23" s="2"/>
      <c r="H23" s="6">
        <v>1361.71</v>
      </c>
      <c r="I23" s="2"/>
      <c r="J23" s="7">
        <f t="shared" si="15"/>
        <v>1.431672995966911E-2</v>
      </c>
      <c r="K23" s="2"/>
      <c r="L23" s="6">
        <f t="shared" si="16"/>
        <v>-1361.71</v>
      </c>
      <c r="M23" s="2"/>
      <c r="N23" s="7">
        <f t="shared" si="17"/>
        <v>-1</v>
      </c>
      <c r="O23" s="11"/>
      <c r="P23" s="6"/>
      <c r="Q23" s="2"/>
      <c r="R23" s="7">
        <f t="shared" si="18"/>
        <v>0</v>
      </c>
      <c r="S23" s="2"/>
      <c r="T23" s="6">
        <v>8384.11</v>
      </c>
      <c r="U23" s="2"/>
      <c r="V23" s="7">
        <f t="shared" si="19"/>
        <v>2.8852277383201608E-2</v>
      </c>
      <c r="W23" s="2"/>
      <c r="X23" s="6">
        <f t="shared" si="20"/>
        <v>-8384.11</v>
      </c>
      <c r="Y23" s="2"/>
      <c r="Z23" s="7">
        <f t="shared" si="21"/>
        <v>-1</v>
      </c>
    </row>
    <row r="24" spans="1:26" s="24" customFormat="1" hidden="1" outlineLevel="2" x14ac:dyDescent="0.25">
      <c r="A24" s="28"/>
      <c r="B24" s="11" t="str">
        <f>CONCATENATE("          ", "6112", " - ", "COMPENSATION INSURANCE")</f>
        <v xml:space="preserve">          6112 - COMPENSATION INSURANCE</v>
      </c>
      <c r="C24" s="11"/>
      <c r="D24" s="6"/>
      <c r="E24" s="2"/>
      <c r="F24" s="7">
        <f t="shared" si="14"/>
        <v>0</v>
      </c>
      <c r="G24" s="2"/>
      <c r="H24" s="6">
        <v>-1591.86</v>
      </c>
      <c r="I24" s="2"/>
      <c r="J24" s="7">
        <f t="shared" si="15"/>
        <v>-1.6736478217534476E-2</v>
      </c>
      <c r="K24" s="2"/>
      <c r="L24" s="6">
        <f t="shared" si="16"/>
        <v>1591.86</v>
      </c>
      <c r="M24" s="2"/>
      <c r="N24" s="7">
        <f t="shared" si="17"/>
        <v>-1</v>
      </c>
      <c r="O24" s="11"/>
      <c r="P24" s="6"/>
      <c r="Q24" s="2"/>
      <c r="R24" s="7">
        <f t="shared" si="18"/>
        <v>0</v>
      </c>
      <c r="S24" s="2"/>
      <c r="T24" s="6">
        <v>1840.41</v>
      </c>
      <c r="U24" s="2"/>
      <c r="V24" s="7">
        <f t="shared" si="19"/>
        <v>6.3334116344869124E-3</v>
      </c>
      <c r="W24" s="2"/>
      <c r="X24" s="6">
        <f t="shared" si="20"/>
        <v>-1840.41</v>
      </c>
      <c r="Y24" s="2"/>
      <c r="Z24" s="7">
        <f t="shared" si="21"/>
        <v>-1</v>
      </c>
    </row>
    <row r="25" spans="1:26" s="24" customFormat="1" hidden="1" outlineLevel="2" x14ac:dyDescent="0.25">
      <c r="A25" s="28"/>
      <c r="B25" s="11" t="str">
        <f>CONCATENATE("          ", "6113", " - ", "GROUP INSURANCE")</f>
        <v xml:space="preserve">          6113 - GROUP INSURANCE</v>
      </c>
      <c r="C25" s="11"/>
      <c r="D25" s="6"/>
      <c r="E25" s="2"/>
      <c r="F25" s="7">
        <f t="shared" si="14"/>
        <v>0</v>
      </c>
      <c r="G25" s="2"/>
      <c r="H25" s="6">
        <v>5245.28</v>
      </c>
      <c r="I25" s="2"/>
      <c r="J25" s="7">
        <f t="shared" si="15"/>
        <v>5.5147760773478341E-2</v>
      </c>
      <c r="K25" s="2"/>
      <c r="L25" s="6">
        <f t="shared" si="16"/>
        <v>-5245.28</v>
      </c>
      <c r="M25" s="2"/>
      <c r="N25" s="7">
        <f t="shared" si="17"/>
        <v>-1</v>
      </c>
      <c r="O25" s="11"/>
      <c r="P25" s="6"/>
      <c r="Q25" s="2"/>
      <c r="R25" s="7">
        <f t="shared" si="18"/>
        <v>0</v>
      </c>
      <c r="S25" s="2"/>
      <c r="T25" s="6">
        <v>21248.36</v>
      </c>
      <c r="U25" s="2"/>
      <c r="V25" s="7">
        <f t="shared" si="19"/>
        <v>7.3122081730574343E-2</v>
      </c>
      <c r="W25" s="2"/>
      <c r="X25" s="6">
        <f t="shared" si="20"/>
        <v>-21248.36</v>
      </c>
      <c r="Y25" s="2"/>
      <c r="Z25" s="7">
        <f t="shared" si="21"/>
        <v>-1</v>
      </c>
    </row>
    <row r="26" spans="1:26" s="24" customFormat="1" hidden="1" outlineLevel="2" x14ac:dyDescent="0.25">
      <c r="A26" s="28"/>
      <c r="B26" s="11" t="str">
        <f>CONCATENATE("          ", "6114", " - ", "STATE UNEMPLOYMENT INSURANCE")</f>
        <v xml:space="preserve">          6114 - STATE UNEMPLOYMENT INSURANCE</v>
      </c>
      <c r="C26" s="11"/>
      <c r="D26" s="6"/>
      <c r="E26" s="2"/>
      <c r="F26" s="7">
        <f t="shared" si="14"/>
        <v>0</v>
      </c>
      <c r="G26" s="2"/>
      <c r="H26" s="6">
        <v>42.48</v>
      </c>
      <c r="I26" s="2"/>
      <c r="J26" s="7">
        <f t="shared" si="15"/>
        <v>4.4662570494947073E-4</v>
      </c>
      <c r="K26" s="2"/>
      <c r="L26" s="6">
        <f t="shared" si="16"/>
        <v>-42.48</v>
      </c>
      <c r="M26" s="2"/>
      <c r="N26" s="7">
        <f t="shared" si="17"/>
        <v>-1</v>
      </c>
      <c r="O26" s="11"/>
      <c r="P26" s="6"/>
      <c r="Q26" s="2"/>
      <c r="R26" s="7">
        <f t="shared" si="18"/>
        <v>0</v>
      </c>
      <c r="S26" s="2"/>
      <c r="T26" s="6">
        <v>286.01</v>
      </c>
      <c r="U26" s="2"/>
      <c r="V26" s="7">
        <f t="shared" si="19"/>
        <v>9.8424756525969858E-4</v>
      </c>
      <c r="W26" s="2"/>
      <c r="X26" s="6">
        <f t="shared" si="20"/>
        <v>-286.01</v>
      </c>
      <c r="Y26" s="2"/>
      <c r="Z26" s="7">
        <f t="shared" si="21"/>
        <v>-1</v>
      </c>
    </row>
    <row r="27" spans="1:26" s="24" customFormat="1" hidden="1" outlineLevel="2" x14ac:dyDescent="0.25">
      <c r="A27" s="28"/>
      <c r="B27" s="11" t="str">
        <f>CONCATENATE("          ", "6115", " - ", "P.E.R.S.")</f>
        <v xml:space="preserve">          6115 - P.E.R.S.</v>
      </c>
      <c r="C27" s="11"/>
      <c r="D27" s="6"/>
      <c r="E27" s="2"/>
      <c r="F27" s="7">
        <f t="shared" si="14"/>
        <v>0</v>
      </c>
      <c r="G27" s="2"/>
      <c r="H27" s="6">
        <v>1416.28</v>
      </c>
      <c r="I27" s="2"/>
      <c r="J27" s="7">
        <f t="shared" si="15"/>
        <v>1.4890467358894455E-2</v>
      </c>
      <c r="K27" s="2"/>
      <c r="L27" s="6">
        <f t="shared" si="16"/>
        <v>-1416.28</v>
      </c>
      <c r="M27" s="2"/>
      <c r="N27" s="7">
        <f t="shared" si="17"/>
        <v>-1</v>
      </c>
      <c r="O27" s="11"/>
      <c r="P27" s="6"/>
      <c r="Q27" s="2"/>
      <c r="R27" s="7">
        <f t="shared" si="18"/>
        <v>0</v>
      </c>
      <c r="S27" s="2"/>
      <c r="T27" s="6">
        <v>5033.49</v>
      </c>
      <c r="U27" s="2"/>
      <c r="V27" s="7">
        <f t="shared" si="19"/>
        <v>1.7321772935418481E-2</v>
      </c>
      <c r="W27" s="2"/>
      <c r="X27" s="6">
        <f t="shared" si="20"/>
        <v>-5033.49</v>
      </c>
      <c r="Y27" s="2"/>
      <c r="Z27" s="7">
        <f t="shared" si="21"/>
        <v>-1</v>
      </c>
    </row>
    <row r="28" spans="1:26" s="24" customFormat="1" hidden="1" outlineLevel="2" x14ac:dyDescent="0.25">
      <c r="A28" s="28"/>
      <c r="B28" s="11" t="str">
        <f>CONCATENATE("          ", "6118", " - ", "VACATION")</f>
        <v xml:space="preserve">          6118 - VACATION</v>
      </c>
      <c r="C28" s="11"/>
      <c r="D28" s="6"/>
      <c r="E28" s="2"/>
      <c r="F28" s="7">
        <f t="shared" si="14"/>
        <v>0</v>
      </c>
      <c r="G28" s="2"/>
      <c r="H28" s="6">
        <v>441.84</v>
      </c>
      <c r="I28" s="2"/>
      <c r="J28" s="7">
        <f t="shared" si="15"/>
        <v>4.6454119932879982E-3</v>
      </c>
      <c r="K28" s="2"/>
      <c r="L28" s="6">
        <f t="shared" si="16"/>
        <v>-441.84</v>
      </c>
      <c r="M28" s="2"/>
      <c r="N28" s="7">
        <f t="shared" si="17"/>
        <v>-1</v>
      </c>
      <c r="O28" s="11"/>
      <c r="P28" s="6"/>
      <c r="Q28" s="2"/>
      <c r="R28" s="7">
        <f t="shared" si="18"/>
        <v>0</v>
      </c>
      <c r="S28" s="2"/>
      <c r="T28" s="6">
        <v>5893.71</v>
      </c>
      <c r="U28" s="2"/>
      <c r="V28" s="7">
        <f t="shared" si="19"/>
        <v>2.0282052088551931E-2</v>
      </c>
      <c r="W28" s="2"/>
      <c r="X28" s="6">
        <f t="shared" si="20"/>
        <v>-5893.71</v>
      </c>
      <c r="Y28" s="2"/>
      <c r="Z28" s="7">
        <f t="shared" si="21"/>
        <v>-1</v>
      </c>
    </row>
    <row r="29" spans="1:26" s="24" customFormat="1" hidden="1" outlineLevel="2" x14ac:dyDescent="0.25">
      <c r="A29" s="28"/>
      <c r="B29" s="11" t="str">
        <f>CONCATENATE("          ", "6119", " - ", "SICK LEAVE")</f>
        <v xml:space="preserve">          6119 - SICK LEAVE</v>
      </c>
      <c r="C29" s="11"/>
      <c r="D29" s="6"/>
      <c r="E29" s="2"/>
      <c r="F29" s="7">
        <f t="shared" si="14"/>
        <v>0</v>
      </c>
      <c r="G29" s="2"/>
      <c r="H29" s="6">
        <v>424.32</v>
      </c>
      <c r="I29" s="2"/>
      <c r="J29" s="7">
        <f t="shared" si="15"/>
        <v>4.4612104313596851E-3</v>
      </c>
      <c r="K29" s="2"/>
      <c r="L29" s="6">
        <f t="shared" si="16"/>
        <v>-424.32</v>
      </c>
      <c r="M29" s="2"/>
      <c r="N29" s="7">
        <f t="shared" si="17"/>
        <v>-1</v>
      </c>
      <c r="O29" s="11"/>
      <c r="P29" s="6"/>
      <c r="Q29" s="2"/>
      <c r="R29" s="7">
        <f t="shared" si="18"/>
        <v>0</v>
      </c>
      <c r="S29" s="2"/>
      <c r="T29" s="6">
        <v>8252.73</v>
      </c>
      <c r="U29" s="2"/>
      <c r="V29" s="7">
        <f t="shared" si="19"/>
        <v>2.8400158768034933E-2</v>
      </c>
      <c r="W29" s="2"/>
      <c r="X29" s="6">
        <f t="shared" si="20"/>
        <v>-8252.73</v>
      </c>
      <c r="Y29" s="2"/>
      <c r="Z29" s="7">
        <f t="shared" si="21"/>
        <v>-1</v>
      </c>
    </row>
    <row r="30" spans="1:26" s="24" customFormat="1" hidden="1" outlineLevel="2" x14ac:dyDescent="0.25">
      <c r="A30" s="28"/>
      <c r="B30" s="11" t="str">
        <f>CONCATENATE("          ", "6156", " - ", "EMPLOYEE MEALS")</f>
        <v xml:space="preserve">          6156 - EMPLOYEE MEALS</v>
      </c>
      <c r="C30" s="11"/>
      <c r="D30" s="6"/>
      <c r="E30" s="2"/>
      <c r="F30" s="7">
        <f t="shared" si="14"/>
        <v>0</v>
      </c>
      <c r="G30" s="2"/>
      <c r="H30" s="6">
        <v>425.54</v>
      </c>
      <c r="I30" s="2"/>
      <c r="J30" s="7">
        <f t="shared" si="15"/>
        <v>4.4740372524528669E-3</v>
      </c>
      <c r="K30" s="2"/>
      <c r="L30" s="6">
        <f t="shared" si="16"/>
        <v>-425.54</v>
      </c>
      <c r="M30" s="2"/>
      <c r="N30" s="7">
        <f t="shared" si="17"/>
        <v>-1</v>
      </c>
      <c r="O30" s="11"/>
      <c r="P30" s="6"/>
      <c r="Q30" s="2"/>
      <c r="R30" s="7">
        <f t="shared" si="18"/>
        <v>0</v>
      </c>
      <c r="S30" s="2"/>
      <c r="T30" s="6">
        <v>1930.2</v>
      </c>
      <c r="U30" s="2"/>
      <c r="V30" s="7">
        <f t="shared" si="19"/>
        <v>6.6424063860154193E-3</v>
      </c>
      <c r="W30" s="2"/>
      <c r="X30" s="6">
        <f t="shared" si="20"/>
        <v>-1930.2</v>
      </c>
      <c r="Y30" s="2"/>
      <c r="Z30" s="7">
        <f t="shared" si="21"/>
        <v>-1</v>
      </c>
    </row>
    <row r="31" spans="1:26" s="29" customFormat="1" outlineLevel="1" collapsed="1" x14ac:dyDescent="0.25">
      <c r="A31" s="27"/>
      <c r="B31" s="14" t="str">
        <f>CONCATENATE("     ","*Payroll                                          ")</f>
        <v xml:space="preserve">     *Payroll                                          </v>
      </c>
      <c r="C31" s="14"/>
      <c r="D31" s="1">
        <f>SUM(OSRRefD22_1x_0)</f>
        <v>0</v>
      </c>
      <c r="E31" s="1"/>
      <c r="F31" s="5">
        <f t="shared" ref="F31:F37" si="22">IF(D$12=0,0,D31/D$12)</f>
        <v>0</v>
      </c>
      <c r="G31" s="1"/>
      <c r="H31" s="1">
        <f>SUM(OSRRefH22_1x_0)</f>
        <v>19044.789999999997</v>
      </c>
      <c r="I31" s="1"/>
      <c r="J31" s="5">
        <f t="shared" ref="J31:J37" si="23">IF(H$12=0,0,H31/H$12)</f>
        <v>0.20023288039935569</v>
      </c>
      <c r="K31" s="1"/>
      <c r="L31" s="1">
        <f t="shared" ref="L31:L37" si="24">+D31-H31</f>
        <v>-19044.789999999997</v>
      </c>
      <c r="M31" s="1"/>
      <c r="N31" s="5">
        <f t="shared" ref="N31:N37" si="25">IF(H31=0,0,L31/H31)</f>
        <v>-1</v>
      </c>
      <c r="O31" s="14"/>
      <c r="P31" s="1">
        <f>SUM(OSRRefP22_1x_0)</f>
        <v>0</v>
      </c>
      <c r="Q31" s="1"/>
      <c r="R31" s="5">
        <f t="shared" ref="R31:R37" si="26">IF(P$12=0,0,P31/P$12)</f>
        <v>0</v>
      </c>
      <c r="S31" s="1"/>
      <c r="T31" s="1">
        <f>SUM(OSRRefT22_1x_0)</f>
        <v>119915.06</v>
      </c>
      <c r="U31" s="1"/>
      <c r="V31" s="5">
        <f t="shared" ref="V31:V37" si="27">IF(T$12=0,0,T31/T$12)</f>
        <v>0.4126642629382562</v>
      </c>
      <c r="W31" s="1"/>
      <c r="X31" s="1">
        <f t="shared" ref="X31:X37" si="28">+P31-T31</f>
        <v>-119915.06</v>
      </c>
      <c r="Y31" s="1"/>
      <c r="Z31" s="5">
        <f t="shared" ref="Z31:Z37" si="29">IF(T31=0,0,X31/T31)</f>
        <v>-1</v>
      </c>
    </row>
    <row r="32" spans="1:26" s="24" customFormat="1" hidden="1" outlineLevel="2" x14ac:dyDescent="0.25">
      <c r="A32" s="28"/>
      <c r="B32" s="11" t="str">
        <f>CONCATENATE("          ", "6002", " - ", "STAFF SALARIES")</f>
        <v xml:space="preserve">          6002 - STAFF SALARIES</v>
      </c>
      <c r="C32" s="11"/>
      <c r="D32" s="6"/>
      <c r="E32" s="2"/>
      <c r="F32" s="7">
        <f t="shared" si="22"/>
        <v>0</v>
      </c>
      <c r="G32" s="2"/>
      <c r="H32" s="6">
        <v>3846.41</v>
      </c>
      <c r="I32" s="2"/>
      <c r="J32" s="7">
        <f t="shared" si="23"/>
        <v>4.0440338459856257E-2</v>
      </c>
      <c r="K32" s="2"/>
      <c r="L32" s="6">
        <f t="shared" si="24"/>
        <v>-3846.41</v>
      </c>
      <c r="M32" s="2"/>
      <c r="N32" s="7">
        <f t="shared" si="25"/>
        <v>-1</v>
      </c>
      <c r="O32" s="11"/>
      <c r="P32" s="6"/>
      <c r="Q32" s="2"/>
      <c r="R32" s="7">
        <f t="shared" si="26"/>
        <v>0</v>
      </c>
      <c r="S32" s="2"/>
      <c r="T32" s="6">
        <v>44130.13</v>
      </c>
      <c r="U32" s="2"/>
      <c r="V32" s="7">
        <f t="shared" si="27"/>
        <v>0.15186522501693639</v>
      </c>
      <c r="W32" s="2"/>
      <c r="X32" s="6">
        <f t="shared" si="28"/>
        <v>-44130.13</v>
      </c>
      <c r="Y32" s="2"/>
      <c r="Z32" s="7">
        <f t="shared" si="29"/>
        <v>-1</v>
      </c>
    </row>
    <row r="33" spans="1:26" s="24" customFormat="1" hidden="1" outlineLevel="2" x14ac:dyDescent="0.25">
      <c r="A33" s="28"/>
      <c r="B33" s="11" t="str">
        <f>CONCATENATE("          ", "6004", " - ", "STAFF HOURLY")</f>
        <v xml:space="preserve">          6004 - STAFF HOURLY</v>
      </c>
      <c r="C33" s="11"/>
      <c r="D33" s="6"/>
      <c r="E33" s="2"/>
      <c r="F33" s="7">
        <f t="shared" si="22"/>
        <v>0</v>
      </c>
      <c r="G33" s="2"/>
      <c r="H33" s="6">
        <v>7199.73</v>
      </c>
      <c r="I33" s="2"/>
      <c r="J33" s="7">
        <f t="shared" si="23"/>
        <v>7.5696433302633065E-2</v>
      </c>
      <c r="K33" s="2"/>
      <c r="L33" s="6">
        <f t="shared" si="24"/>
        <v>-7199.73</v>
      </c>
      <c r="M33" s="2"/>
      <c r="N33" s="7">
        <f t="shared" si="25"/>
        <v>-1</v>
      </c>
      <c r="O33" s="11"/>
      <c r="P33" s="6"/>
      <c r="Q33" s="2"/>
      <c r="R33" s="7">
        <f t="shared" si="26"/>
        <v>0</v>
      </c>
      <c r="S33" s="2"/>
      <c r="T33" s="6">
        <v>22689.79</v>
      </c>
      <c r="U33" s="2"/>
      <c r="V33" s="7">
        <f t="shared" si="27"/>
        <v>7.808248160467765E-2</v>
      </c>
      <c r="W33" s="2"/>
      <c r="X33" s="6">
        <f t="shared" si="28"/>
        <v>-22689.79</v>
      </c>
      <c r="Y33" s="2"/>
      <c r="Z33" s="7">
        <f t="shared" si="29"/>
        <v>-1</v>
      </c>
    </row>
    <row r="34" spans="1:26" s="24" customFormat="1" hidden="1" outlineLevel="2" x14ac:dyDescent="0.25">
      <c r="A34" s="28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22"/>
        <v>0</v>
      </c>
      <c r="G34" s="2"/>
      <c r="H34" s="6">
        <v>5984.6</v>
      </c>
      <c r="I34" s="2"/>
      <c r="J34" s="7">
        <f t="shared" si="23"/>
        <v>6.2920814355946389E-2</v>
      </c>
      <c r="K34" s="2"/>
      <c r="L34" s="6">
        <f t="shared" si="24"/>
        <v>-5984.6</v>
      </c>
      <c r="M34" s="2"/>
      <c r="N34" s="7">
        <f t="shared" si="25"/>
        <v>-1</v>
      </c>
      <c r="O34" s="11"/>
      <c r="P34" s="6"/>
      <c r="Q34" s="2"/>
      <c r="R34" s="7">
        <f t="shared" si="26"/>
        <v>0</v>
      </c>
      <c r="S34" s="2"/>
      <c r="T34" s="6">
        <v>25776.37</v>
      </c>
      <c r="U34" s="2"/>
      <c r="V34" s="7">
        <f t="shared" si="27"/>
        <v>8.8704343952075576E-2</v>
      </c>
      <c r="W34" s="2"/>
      <c r="X34" s="6">
        <f t="shared" si="28"/>
        <v>-25776.37</v>
      </c>
      <c r="Y34" s="2"/>
      <c r="Z34" s="7">
        <f t="shared" si="29"/>
        <v>-1</v>
      </c>
    </row>
    <row r="35" spans="1:26" s="24" customFormat="1" hidden="1" outlineLevel="2" x14ac:dyDescent="0.25">
      <c r="A35" s="28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22"/>
        <v>0</v>
      </c>
      <c r="G35" s="2"/>
      <c r="H35" s="6"/>
      <c r="I35" s="2"/>
      <c r="J35" s="7">
        <f t="shared" si="23"/>
        <v>0</v>
      </c>
      <c r="K35" s="2"/>
      <c r="L35" s="6">
        <f t="shared" si="24"/>
        <v>0</v>
      </c>
      <c r="M35" s="2"/>
      <c r="N35" s="7">
        <f t="shared" si="25"/>
        <v>0</v>
      </c>
      <c r="O35" s="11"/>
      <c r="P35" s="6"/>
      <c r="Q35" s="2"/>
      <c r="R35" s="7">
        <f t="shared" si="26"/>
        <v>0</v>
      </c>
      <c r="S35" s="2"/>
      <c r="T35" s="6">
        <v>1299.6300000000001</v>
      </c>
      <c r="U35" s="2"/>
      <c r="V35" s="7">
        <f t="shared" si="27"/>
        <v>4.4724228636707185E-3</v>
      </c>
      <c r="W35" s="2"/>
      <c r="X35" s="6">
        <f t="shared" si="28"/>
        <v>-1299.6300000000001</v>
      </c>
      <c r="Y35" s="2"/>
      <c r="Z35" s="7">
        <f t="shared" si="29"/>
        <v>-1</v>
      </c>
    </row>
    <row r="36" spans="1:26" s="24" customFormat="1" hidden="1" outlineLevel="2" x14ac:dyDescent="0.25">
      <c r="A36" s="28"/>
      <c r="B36" s="11" t="str">
        <f>CONCATENATE("          ", "6007", " - ", "STUDENT HOURLY")</f>
        <v xml:space="preserve">          6007 - STUDENT HOURLY</v>
      </c>
      <c r="C36" s="11"/>
      <c r="D36" s="6"/>
      <c r="E36" s="2"/>
      <c r="F36" s="7">
        <f t="shared" si="22"/>
        <v>0</v>
      </c>
      <c r="G36" s="2"/>
      <c r="H36" s="6">
        <v>1745.3</v>
      </c>
      <c r="I36" s="2"/>
      <c r="J36" s="7">
        <f t="shared" si="23"/>
        <v>1.8349713814696592E-2</v>
      </c>
      <c r="K36" s="2"/>
      <c r="L36" s="6">
        <f t="shared" si="24"/>
        <v>-1745.3</v>
      </c>
      <c r="M36" s="2"/>
      <c r="N36" s="7">
        <f t="shared" si="25"/>
        <v>-1</v>
      </c>
      <c r="O36" s="11"/>
      <c r="P36" s="6"/>
      <c r="Q36" s="2"/>
      <c r="R36" s="7">
        <f t="shared" si="26"/>
        <v>0</v>
      </c>
      <c r="S36" s="2"/>
      <c r="T36" s="6">
        <v>22613.919999999998</v>
      </c>
      <c r="U36" s="2"/>
      <c r="V36" s="7">
        <f t="shared" si="27"/>
        <v>7.7821389814963116E-2</v>
      </c>
      <c r="W36" s="2"/>
      <c r="X36" s="6">
        <f t="shared" si="28"/>
        <v>-22613.919999999998</v>
      </c>
      <c r="Y36" s="2"/>
      <c r="Z36" s="7">
        <f t="shared" si="29"/>
        <v>-1</v>
      </c>
    </row>
    <row r="37" spans="1:26" s="24" customFormat="1" hidden="1" outlineLevel="2" x14ac:dyDescent="0.25">
      <c r="A37" s="28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22"/>
        <v>0</v>
      </c>
      <c r="G37" s="2"/>
      <c r="H37" s="6">
        <v>268.75</v>
      </c>
      <c r="I37" s="2"/>
      <c r="J37" s="7">
        <f t="shared" si="23"/>
        <v>2.8255804662234056E-3</v>
      </c>
      <c r="K37" s="2"/>
      <c r="L37" s="6">
        <f t="shared" si="24"/>
        <v>-268.75</v>
      </c>
      <c r="M37" s="2"/>
      <c r="N37" s="7">
        <f t="shared" si="25"/>
        <v>-1</v>
      </c>
      <c r="O37" s="11"/>
      <c r="P37" s="6"/>
      <c r="Q37" s="2"/>
      <c r="R37" s="7">
        <f t="shared" si="26"/>
        <v>0</v>
      </c>
      <c r="S37" s="2"/>
      <c r="T37" s="6">
        <v>3405.22</v>
      </c>
      <c r="U37" s="2"/>
      <c r="V37" s="7">
        <f t="shared" si="27"/>
        <v>1.1718399685932766E-2</v>
      </c>
      <c r="W37" s="2"/>
      <c r="X37" s="6">
        <f t="shared" si="28"/>
        <v>-3405.22</v>
      </c>
      <c r="Y37" s="2"/>
      <c r="Z37" s="7">
        <f t="shared" si="29"/>
        <v>-1</v>
      </c>
    </row>
    <row r="38" spans="1:26" s="29" customFormat="1" outlineLevel="1" collapsed="1" x14ac:dyDescent="0.25">
      <c r="A38" s="27"/>
      <c r="B38" s="14" t="str">
        <f>CONCATENATE("     ","Advertising/Promo                                 ")</f>
        <v xml:space="preserve">     Advertising/Promo                                 </v>
      </c>
      <c r="C38" s="14"/>
      <c r="D38" s="1">
        <f>SUM(OSRRefD22_2x_0)</f>
        <v>0</v>
      </c>
      <c r="E38" s="1"/>
      <c r="F38" s="5">
        <f t="shared" ref="F38:F52" si="30">IF(D$12=0,0,D38/D$12)</f>
        <v>0</v>
      </c>
      <c r="G38" s="1"/>
      <c r="H38" s="1">
        <f>SUM(OSRRefH22_2x_0)</f>
        <v>327</v>
      </c>
      <c r="I38" s="1"/>
      <c r="J38" s="5">
        <f t="shared" ref="J38:J52" si="31">IF(H$12=0,0,H38/H$12)</f>
        <v>3.4380086044839202E-3</v>
      </c>
      <c r="K38" s="1"/>
      <c r="L38" s="1">
        <f t="shared" ref="L38:L52" si="32">+D38-H38</f>
        <v>-327</v>
      </c>
      <c r="M38" s="1"/>
      <c r="N38" s="5">
        <f t="shared" ref="N38:N52" si="33">IF(H38=0,0,L38/H38)</f>
        <v>-1</v>
      </c>
      <c r="O38" s="14"/>
      <c r="P38" s="1">
        <f>SUM(OSRRefP22_2x_0)</f>
        <v>0</v>
      </c>
      <c r="Q38" s="1"/>
      <c r="R38" s="5">
        <f t="shared" ref="R38:R52" si="34">IF(P$12=0,0,P38/P$12)</f>
        <v>0</v>
      </c>
      <c r="S38" s="1"/>
      <c r="T38" s="1">
        <f>SUM(OSRRefT22_2x_0)</f>
        <v>339.52</v>
      </c>
      <c r="U38" s="1"/>
      <c r="V38" s="5">
        <f t="shared" ref="V38:V52" si="35">IF(T$12=0,0,T38/T$12)</f>
        <v>1.1683917812558052E-3</v>
      </c>
      <c r="W38" s="1"/>
      <c r="X38" s="1">
        <f t="shared" ref="X38:X52" si="36">+P38-T38</f>
        <v>-339.52</v>
      </c>
      <c r="Y38" s="1"/>
      <c r="Z38" s="5">
        <f t="shared" ref="Z38:Z52" si="37">IF(T38=0,0,X38/T38)</f>
        <v>-1</v>
      </c>
    </row>
    <row r="39" spans="1:26" s="24" customFormat="1" hidden="1" outlineLevel="2" x14ac:dyDescent="0.25">
      <c r="A39" s="28"/>
      <c r="B39" s="11" t="str">
        <f>CONCATENATE("          ", "6362", " - ", "ADVERTISING EXPENSE")</f>
        <v xml:space="preserve">          6362 - ADVERTISING EXPENSE</v>
      </c>
      <c r="C39" s="11"/>
      <c r="D39" s="6"/>
      <c r="E39" s="2"/>
      <c r="F39" s="7">
        <f t="shared" si="30"/>
        <v>0</v>
      </c>
      <c r="G39" s="2"/>
      <c r="H39" s="6">
        <v>327</v>
      </c>
      <c r="I39" s="2"/>
      <c r="J39" s="7">
        <f t="shared" si="31"/>
        <v>3.4380086044839202E-3</v>
      </c>
      <c r="K39" s="2"/>
      <c r="L39" s="6">
        <f t="shared" si="32"/>
        <v>-327</v>
      </c>
      <c r="M39" s="2"/>
      <c r="N39" s="7">
        <f t="shared" si="33"/>
        <v>-1</v>
      </c>
      <c r="O39" s="11"/>
      <c r="P39" s="6"/>
      <c r="Q39" s="2"/>
      <c r="R39" s="7">
        <f t="shared" si="34"/>
        <v>0</v>
      </c>
      <c r="S39" s="2"/>
      <c r="T39" s="6">
        <v>339.52</v>
      </c>
      <c r="U39" s="2"/>
      <c r="V39" s="7">
        <f t="shared" si="35"/>
        <v>1.1683917812558052E-3</v>
      </c>
      <c r="W39" s="2"/>
      <c r="X39" s="6">
        <f t="shared" si="36"/>
        <v>-339.52</v>
      </c>
      <c r="Y39" s="2"/>
      <c r="Z39" s="7">
        <f t="shared" si="37"/>
        <v>-1</v>
      </c>
    </row>
    <row r="40" spans="1:26" s="29" customFormat="1" outlineLevel="1" collapsed="1" x14ac:dyDescent="0.25">
      <c r="A40" s="27"/>
      <c r="B40" s="14" t="str">
        <f>CONCATENATE("     ","Bad Debts/Over/Short                              ")</f>
        <v xml:space="preserve">     Bad Debts/Over/Short                              </v>
      </c>
      <c r="C40" s="14"/>
      <c r="D40" s="1">
        <f>SUM(OSRRefD22_3x_0)</f>
        <v>0</v>
      </c>
      <c r="E40" s="1"/>
      <c r="F40" s="5">
        <f t="shared" si="30"/>
        <v>0</v>
      </c>
      <c r="G40" s="1"/>
      <c r="H40" s="1">
        <f>SUM(OSRRefH22_3x_0)</f>
        <v>1.3</v>
      </c>
      <c r="I40" s="1"/>
      <c r="J40" s="5">
        <f t="shared" si="31"/>
        <v>1.3667924115685311E-5</v>
      </c>
      <c r="K40" s="1"/>
      <c r="L40" s="1">
        <f t="shared" si="32"/>
        <v>-1.3</v>
      </c>
      <c r="M40" s="1"/>
      <c r="N40" s="5">
        <f t="shared" si="33"/>
        <v>-1</v>
      </c>
      <c r="O40" s="14"/>
      <c r="P40" s="1">
        <f>SUM(OSRRefP22_3x_0)</f>
        <v>0</v>
      </c>
      <c r="Q40" s="1"/>
      <c r="R40" s="5">
        <f t="shared" si="34"/>
        <v>0</v>
      </c>
      <c r="S40" s="1"/>
      <c r="T40" s="1">
        <f>SUM(OSRRefT22_3x_0)</f>
        <v>0.17</v>
      </c>
      <c r="U40" s="1"/>
      <c r="V40" s="5">
        <f t="shared" si="35"/>
        <v>5.8502180376262633E-7</v>
      </c>
      <c r="W40" s="1"/>
      <c r="X40" s="1">
        <f t="shared" si="36"/>
        <v>-0.17</v>
      </c>
      <c r="Y40" s="1"/>
      <c r="Z40" s="5">
        <f t="shared" si="37"/>
        <v>-1</v>
      </c>
    </row>
    <row r="41" spans="1:26" s="24" customFormat="1" hidden="1" outlineLevel="2" x14ac:dyDescent="0.25">
      <c r="A41" s="28"/>
      <c r="B41" s="11" t="str">
        <f>CONCATENATE("          ", "6272", " - ", "CASH (OVER/SHORT)")</f>
        <v xml:space="preserve">          6272 - CASH (OVER/SHORT)</v>
      </c>
      <c r="C41" s="11"/>
      <c r="D41" s="6"/>
      <c r="E41" s="2"/>
      <c r="F41" s="7">
        <f t="shared" si="30"/>
        <v>0</v>
      </c>
      <c r="G41" s="2"/>
      <c r="H41" s="6">
        <v>1.3</v>
      </c>
      <c r="I41" s="2"/>
      <c r="J41" s="7">
        <f t="shared" si="31"/>
        <v>1.3667924115685311E-5</v>
      </c>
      <c r="K41" s="2"/>
      <c r="L41" s="6">
        <f t="shared" si="32"/>
        <v>-1.3</v>
      </c>
      <c r="M41" s="2"/>
      <c r="N41" s="7">
        <f t="shared" si="33"/>
        <v>-1</v>
      </c>
      <c r="O41" s="11"/>
      <c r="P41" s="6"/>
      <c r="Q41" s="2"/>
      <c r="R41" s="7">
        <f t="shared" si="34"/>
        <v>0</v>
      </c>
      <c r="S41" s="2"/>
      <c r="T41" s="6">
        <v>0.17</v>
      </c>
      <c r="U41" s="2"/>
      <c r="V41" s="7">
        <f t="shared" si="35"/>
        <v>5.8502180376262633E-7</v>
      </c>
      <c r="W41" s="2"/>
      <c r="X41" s="6">
        <f t="shared" si="36"/>
        <v>-0.17</v>
      </c>
      <c r="Y41" s="2"/>
      <c r="Z41" s="7">
        <f t="shared" si="37"/>
        <v>-1</v>
      </c>
    </row>
    <row r="42" spans="1:26" s="29" customFormat="1" outlineLevel="1" collapsed="1" x14ac:dyDescent="0.25">
      <c r="A42" s="27"/>
      <c r="B42" s="14" t="str">
        <f>CONCATENATE("     ","Bank/card Fees                                    ")</f>
        <v xml:space="preserve">     Bank/card Fees                                    </v>
      </c>
      <c r="C42" s="14"/>
      <c r="D42" s="1">
        <f>SUM(OSRRefD22_4x_0)</f>
        <v>0</v>
      </c>
      <c r="E42" s="1"/>
      <c r="F42" s="5">
        <f t="shared" si="30"/>
        <v>0</v>
      </c>
      <c r="G42" s="1"/>
      <c r="H42" s="1">
        <f>SUM(OSRRefH22_4x_0)</f>
        <v>1145.02</v>
      </c>
      <c r="I42" s="1"/>
      <c r="J42" s="5">
        <f t="shared" si="31"/>
        <v>1.2038497285339995E-2</v>
      </c>
      <c r="K42" s="1"/>
      <c r="L42" s="1">
        <f t="shared" si="32"/>
        <v>-1145.02</v>
      </c>
      <c r="M42" s="1"/>
      <c r="N42" s="5">
        <f t="shared" si="33"/>
        <v>-1</v>
      </c>
      <c r="O42" s="14"/>
      <c r="P42" s="1">
        <f>SUM(OSRRefP22_4x_0)</f>
        <v>0</v>
      </c>
      <c r="Q42" s="1"/>
      <c r="R42" s="5">
        <f t="shared" si="34"/>
        <v>0</v>
      </c>
      <c r="S42" s="1"/>
      <c r="T42" s="1">
        <f>SUM(OSRRefT22_4x_0)</f>
        <v>3529.94</v>
      </c>
      <c r="U42" s="1"/>
      <c r="V42" s="5">
        <f t="shared" si="35"/>
        <v>1.2147599211610854E-2</v>
      </c>
      <c r="W42" s="1"/>
      <c r="X42" s="1">
        <f t="shared" si="36"/>
        <v>-3529.94</v>
      </c>
      <c r="Y42" s="1"/>
      <c r="Z42" s="5">
        <f t="shared" si="37"/>
        <v>-1</v>
      </c>
    </row>
    <row r="43" spans="1:26" s="24" customFormat="1" hidden="1" outlineLevel="2" x14ac:dyDescent="0.25">
      <c r="A43" s="28"/>
      <c r="B43" s="11" t="str">
        <f>CONCATENATE("          ", "6381", " - ", "BANK/CREDIT CARD FEES")</f>
        <v xml:space="preserve">          6381 - BANK/CREDIT CARD FEES</v>
      </c>
      <c r="C43" s="11"/>
      <c r="D43" s="6"/>
      <c r="E43" s="2"/>
      <c r="F43" s="7">
        <f t="shared" si="30"/>
        <v>0</v>
      </c>
      <c r="G43" s="2"/>
      <c r="H43" s="6">
        <v>1145.02</v>
      </c>
      <c r="I43" s="2"/>
      <c r="J43" s="7">
        <f t="shared" si="31"/>
        <v>1.2038497285339995E-2</v>
      </c>
      <c r="K43" s="2"/>
      <c r="L43" s="6">
        <f t="shared" si="32"/>
        <v>-1145.02</v>
      </c>
      <c r="M43" s="2"/>
      <c r="N43" s="7">
        <f t="shared" si="33"/>
        <v>-1</v>
      </c>
      <c r="O43" s="11"/>
      <c r="P43" s="6"/>
      <c r="Q43" s="2"/>
      <c r="R43" s="7">
        <f t="shared" si="34"/>
        <v>0</v>
      </c>
      <c r="S43" s="2"/>
      <c r="T43" s="6">
        <v>3529.94</v>
      </c>
      <c r="U43" s="2"/>
      <c r="V43" s="7">
        <f t="shared" si="35"/>
        <v>1.2147599211610854E-2</v>
      </c>
      <c r="W43" s="2"/>
      <c r="X43" s="6">
        <f t="shared" si="36"/>
        <v>-3529.94</v>
      </c>
      <c r="Y43" s="2"/>
      <c r="Z43" s="7">
        <f t="shared" si="37"/>
        <v>-1</v>
      </c>
    </row>
    <row r="44" spans="1:26" s="29" customFormat="1" outlineLevel="1" collapsed="1" x14ac:dyDescent="0.25">
      <c r="A44" s="27"/>
      <c r="B44" s="14" t="str">
        <f>CONCATENATE("     ","Depreciation                                      ")</f>
        <v xml:space="preserve">     Depreciation                                      </v>
      </c>
      <c r="C44" s="14"/>
      <c r="D44" s="1">
        <f>SUM(OSRRefD22_5x_0)</f>
        <v>577.36</v>
      </c>
      <c r="E44" s="1"/>
      <c r="F44" s="5">
        <f t="shared" si="30"/>
        <v>0</v>
      </c>
      <c r="G44" s="1"/>
      <c r="H44" s="1">
        <f>SUM(OSRRefH22_5x_0)</f>
        <v>297.99</v>
      </c>
      <c r="I44" s="1"/>
      <c r="J44" s="5">
        <f t="shared" si="31"/>
        <v>3.1330036209485119E-3</v>
      </c>
      <c r="K44" s="1"/>
      <c r="L44" s="1">
        <f t="shared" si="32"/>
        <v>279.37</v>
      </c>
      <c r="M44" s="1"/>
      <c r="N44" s="5">
        <f t="shared" si="33"/>
        <v>0.93751468170072816</v>
      </c>
      <c r="O44" s="14"/>
      <c r="P44" s="1">
        <f>SUM(OSRRefP22_5x_0)</f>
        <v>2648.43</v>
      </c>
      <c r="Q44" s="1"/>
      <c r="R44" s="5">
        <f t="shared" si="34"/>
        <v>0</v>
      </c>
      <c r="S44" s="1"/>
      <c r="T44" s="1">
        <f>SUM(OSRRefT22_5x_0)</f>
        <v>1191.96</v>
      </c>
      <c r="U44" s="1"/>
      <c r="V44" s="5">
        <f t="shared" si="35"/>
        <v>4.1018975836052945E-3</v>
      </c>
      <c r="W44" s="1"/>
      <c r="X44" s="1">
        <f t="shared" si="36"/>
        <v>1456.4699999999998</v>
      </c>
      <c r="Y44" s="1"/>
      <c r="Z44" s="5">
        <f t="shared" si="37"/>
        <v>1.2219118091211112</v>
      </c>
    </row>
    <row r="45" spans="1:26" s="24" customFormat="1" hidden="1" outlineLevel="2" x14ac:dyDescent="0.25">
      <c r="A45" s="28"/>
      <c r="B45" s="11" t="str">
        <f>CONCATENATE("          ", "6322", " - ", "EQUIPMENT DEPRECIATION EXPENSE")</f>
        <v xml:space="preserve">          6322 - EQUIPMENT DEPRECIATION EXPENSE</v>
      </c>
      <c r="C45" s="11"/>
      <c r="D45" s="6">
        <v>577.36</v>
      </c>
      <c r="E45" s="2"/>
      <c r="F45" s="7">
        <f t="shared" si="30"/>
        <v>0</v>
      </c>
      <c r="G45" s="2"/>
      <c r="H45" s="6">
        <v>297.99</v>
      </c>
      <c r="I45" s="2"/>
      <c r="J45" s="7">
        <f t="shared" si="31"/>
        <v>3.1330036209485119E-3</v>
      </c>
      <c r="K45" s="2"/>
      <c r="L45" s="6">
        <f t="shared" si="32"/>
        <v>279.37</v>
      </c>
      <c r="M45" s="2"/>
      <c r="N45" s="7">
        <f t="shared" si="33"/>
        <v>0.93751468170072816</v>
      </c>
      <c r="O45" s="11"/>
      <c r="P45" s="6">
        <v>2648.43</v>
      </c>
      <c r="Q45" s="2"/>
      <c r="R45" s="7">
        <f t="shared" si="34"/>
        <v>0</v>
      </c>
      <c r="S45" s="2"/>
      <c r="T45" s="6">
        <v>1191.96</v>
      </c>
      <c r="U45" s="2"/>
      <c r="V45" s="7">
        <f t="shared" si="35"/>
        <v>4.1018975836052945E-3</v>
      </c>
      <c r="W45" s="2"/>
      <c r="X45" s="6">
        <f t="shared" si="36"/>
        <v>1456.4699999999998</v>
      </c>
      <c r="Y45" s="2"/>
      <c r="Z45" s="7">
        <f t="shared" si="37"/>
        <v>1.2219118091211112</v>
      </c>
    </row>
    <row r="46" spans="1:26" s="29" customFormat="1" outlineLevel="1" collapsed="1" x14ac:dyDescent="0.25">
      <c r="A46" s="27"/>
      <c r="B46" s="14" t="str">
        <f>CONCATENATE("     ","Equipment Rental                                  ")</f>
        <v xml:space="preserve">     Equipment Rental                                  </v>
      </c>
      <c r="C46" s="14"/>
      <c r="D46" s="1">
        <f>SUM(OSRRefD22_6x_0)</f>
        <v>0</v>
      </c>
      <c r="E46" s="1"/>
      <c r="F46" s="5">
        <f t="shared" si="30"/>
        <v>0</v>
      </c>
      <c r="G46" s="1"/>
      <c r="H46" s="1">
        <f>SUM(OSRRefH22_6x_0)</f>
        <v>64.2</v>
      </c>
      <c r="I46" s="1"/>
      <c r="J46" s="5">
        <f t="shared" si="31"/>
        <v>6.7498517555922841E-4</v>
      </c>
      <c r="K46" s="1"/>
      <c r="L46" s="1">
        <f t="shared" si="32"/>
        <v>-64.2</v>
      </c>
      <c r="M46" s="1"/>
      <c r="N46" s="5">
        <f t="shared" si="33"/>
        <v>-1</v>
      </c>
      <c r="O46" s="14"/>
      <c r="P46" s="1">
        <f>SUM(OSRRefP22_6x_0)</f>
        <v>16.239999999999998</v>
      </c>
      <c r="Q46" s="1"/>
      <c r="R46" s="5">
        <f t="shared" si="34"/>
        <v>0</v>
      </c>
      <c r="S46" s="1"/>
      <c r="T46" s="1">
        <f>SUM(OSRRefT22_6x_0)</f>
        <v>238.07</v>
      </c>
      <c r="U46" s="1"/>
      <c r="V46" s="5">
        <f t="shared" si="35"/>
        <v>8.1927141659863785E-4</v>
      </c>
      <c r="W46" s="1"/>
      <c r="X46" s="1">
        <f t="shared" si="36"/>
        <v>-221.82999999999998</v>
      </c>
      <c r="Y46" s="1"/>
      <c r="Z46" s="5">
        <f t="shared" si="37"/>
        <v>-0.93178476918553366</v>
      </c>
    </row>
    <row r="47" spans="1:26" s="24" customFormat="1" hidden="1" outlineLevel="2" x14ac:dyDescent="0.25">
      <c r="A47" s="28"/>
      <c r="B47" s="11" t="str">
        <f>CONCATENATE("          ", "6351", " - ", "EQUIPMENT RENTAL")</f>
        <v xml:space="preserve">          6351 - EQUIPMENT RENTAL</v>
      </c>
      <c r="C47" s="11"/>
      <c r="D47" s="6"/>
      <c r="E47" s="2"/>
      <c r="F47" s="7">
        <f t="shared" si="30"/>
        <v>0</v>
      </c>
      <c r="G47" s="2"/>
      <c r="H47" s="6">
        <v>64.2</v>
      </c>
      <c r="I47" s="2"/>
      <c r="J47" s="7">
        <f t="shared" si="31"/>
        <v>6.7498517555922841E-4</v>
      </c>
      <c r="K47" s="2"/>
      <c r="L47" s="6">
        <f t="shared" si="32"/>
        <v>-64.2</v>
      </c>
      <c r="M47" s="2"/>
      <c r="N47" s="7">
        <f t="shared" si="33"/>
        <v>-1</v>
      </c>
      <c r="O47" s="11"/>
      <c r="P47" s="6">
        <v>16.239999999999998</v>
      </c>
      <c r="Q47" s="2"/>
      <c r="R47" s="7">
        <f t="shared" si="34"/>
        <v>0</v>
      </c>
      <c r="S47" s="2"/>
      <c r="T47" s="6">
        <v>238.07</v>
      </c>
      <c r="U47" s="2"/>
      <c r="V47" s="7">
        <f t="shared" si="35"/>
        <v>8.1927141659863785E-4</v>
      </c>
      <c r="W47" s="2"/>
      <c r="X47" s="6">
        <f t="shared" si="36"/>
        <v>-221.82999999999998</v>
      </c>
      <c r="Y47" s="2"/>
      <c r="Z47" s="7">
        <f t="shared" si="37"/>
        <v>-0.93178476918553366</v>
      </c>
    </row>
    <row r="48" spans="1:26" s="29" customFormat="1" outlineLevel="1" collapsed="1" x14ac:dyDescent="0.25">
      <c r="A48" s="27"/>
      <c r="B48" s="14" t="str">
        <f>CONCATENATE("     ","General                                           ")</f>
        <v xml:space="preserve">     General                                           </v>
      </c>
      <c r="C48" s="14"/>
      <c r="D48" s="1">
        <f>SUM(OSRRefD22_7x_0)</f>
        <v>0</v>
      </c>
      <c r="E48" s="1"/>
      <c r="F48" s="5">
        <f t="shared" si="30"/>
        <v>0</v>
      </c>
      <c r="G48" s="1"/>
      <c r="H48" s="1">
        <f>SUM(OSRRefH22_7x_0)</f>
        <v>0</v>
      </c>
      <c r="I48" s="1"/>
      <c r="J48" s="5">
        <f t="shared" si="31"/>
        <v>0</v>
      </c>
      <c r="K48" s="1"/>
      <c r="L48" s="1">
        <f t="shared" si="32"/>
        <v>0</v>
      </c>
      <c r="M48" s="1"/>
      <c r="N48" s="5">
        <f t="shared" si="33"/>
        <v>0</v>
      </c>
      <c r="O48" s="14"/>
      <c r="P48" s="1">
        <f>SUM(OSRRefP22_7x_0)</f>
        <v>0</v>
      </c>
      <c r="Q48" s="1"/>
      <c r="R48" s="5">
        <f t="shared" si="34"/>
        <v>0</v>
      </c>
      <c r="S48" s="1"/>
      <c r="T48" s="1">
        <f>SUM(OSRRefT22_7x_0)</f>
        <v>2447.08</v>
      </c>
      <c r="U48" s="1"/>
      <c r="V48" s="5">
        <f t="shared" si="35"/>
        <v>8.4211479738320449E-3</v>
      </c>
      <c r="W48" s="1"/>
      <c r="X48" s="1">
        <f t="shared" si="36"/>
        <v>-2447.08</v>
      </c>
      <c r="Y48" s="1"/>
      <c r="Z48" s="5">
        <f t="shared" si="37"/>
        <v>-1</v>
      </c>
    </row>
    <row r="49" spans="1:26" s="24" customFormat="1" hidden="1" outlineLevel="2" x14ac:dyDescent="0.25">
      <c r="A49" s="28"/>
      <c r="B49" s="11" t="str">
        <f>CONCATENATE("          ", "6279", " - ", "GENERAL EXPENSE")</f>
        <v xml:space="preserve">          6279 - GENERAL EXPENSE</v>
      </c>
      <c r="C49" s="11"/>
      <c r="D49" s="6"/>
      <c r="E49" s="2"/>
      <c r="F49" s="7">
        <f t="shared" si="30"/>
        <v>0</v>
      </c>
      <c r="G49" s="2"/>
      <c r="H49" s="6"/>
      <c r="I49" s="2"/>
      <c r="J49" s="7">
        <f t="shared" si="31"/>
        <v>0</v>
      </c>
      <c r="K49" s="2"/>
      <c r="L49" s="6">
        <f t="shared" si="32"/>
        <v>0</v>
      </c>
      <c r="M49" s="2"/>
      <c r="N49" s="7">
        <f t="shared" si="33"/>
        <v>0</v>
      </c>
      <c r="O49" s="11"/>
      <c r="P49" s="6"/>
      <c r="Q49" s="2"/>
      <c r="R49" s="7">
        <f t="shared" si="34"/>
        <v>0</v>
      </c>
      <c r="S49" s="2"/>
      <c r="T49" s="6">
        <v>2447.08</v>
      </c>
      <c r="U49" s="2"/>
      <c r="V49" s="7">
        <f t="shared" si="35"/>
        <v>8.4211479738320449E-3</v>
      </c>
      <c r="W49" s="2"/>
      <c r="X49" s="6">
        <f t="shared" si="36"/>
        <v>-2447.08</v>
      </c>
      <c r="Y49" s="2"/>
      <c r="Z49" s="7">
        <f t="shared" si="37"/>
        <v>-1</v>
      </c>
    </row>
    <row r="50" spans="1:26" s="29" customFormat="1" outlineLevel="1" collapsed="1" x14ac:dyDescent="0.25">
      <c r="A50" s="27"/>
      <c r="B50" s="14" t="str">
        <f>CONCATENATE("     ","Repair and Maintenance                            ")</f>
        <v xml:space="preserve">     Repair and Maintenance                            </v>
      </c>
      <c r="C50" s="14"/>
      <c r="D50" s="1">
        <f>SUM(OSRRefD22_8x_0)</f>
        <v>0</v>
      </c>
      <c r="E50" s="1"/>
      <c r="F50" s="5">
        <f t="shared" si="30"/>
        <v>0</v>
      </c>
      <c r="G50" s="1"/>
      <c r="H50" s="1">
        <f>SUM(OSRRefH22_8x_0)</f>
        <v>1733.11</v>
      </c>
      <c r="I50" s="1"/>
      <c r="J50" s="5">
        <f t="shared" si="31"/>
        <v>1.8221550741642591E-2</v>
      </c>
      <c r="K50" s="1"/>
      <c r="L50" s="1">
        <f t="shared" si="32"/>
        <v>-1733.11</v>
      </c>
      <c r="M50" s="1"/>
      <c r="N50" s="5">
        <f t="shared" si="33"/>
        <v>-1</v>
      </c>
      <c r="O50" s="14"/>
      <c r="P50" s="1">
        <f>SUM(OSRRefP22_8x_0)</f>
        <v>217.8</v>
      </c>
      <c r="Q50" s="1"/>
      <c r="R50" s="5">
        <f t="shared" si="34"/>
        <v>0</v>
      </c>
      <c r="S50" s="1"/>
      <c r="T50" s="1">
        <f>SUM(OSRRefT22_8x_0)</f>
        <v>3125.18</v>
      </c>
      <c r="U50" s="1"/>
      <c r="V50" s="5">
        <f t="shared" si="35"/>
        <v>1.0754696709899319E-2</v>
      </c>
      <c r="W50" s="1"/>
      <c r="X50" s="1">
        <f t="shared" si="36"/>
        <v>-2907.3799999999997</v>
      </c>
      <c r="Y50" s="1"/>
      <c r="Z50" s="5">
        <f t="shared" si="37"/>
        <v>-0.93030801425837861</v>
      </c>
    </row>
    <row r="51" spans="1:26" s="24" customFormat="1" hidden="1" outlineLevel="2" x14ac:dyDescent="0.25">
      <c r="A51" s="28"/>
      <c r="B51" s="11" t="str">
        <f>CONCATENATE("          ", "6373", " - ", "MAINTENANCE CONTRACTS")</f>
        <v xml:space="preserve">          6373 - MAINTENANCE CONTRACTS</v>
      </c>
      <c r="C51" s="11"/>
      <c r="D51" s="6"/>
      <c r="E51" s="2"/>
      <c r="F51" s="7">
        <f t="shared" si="30"/>
        <v>0</v>
      </c>
      <c r="G51" s="2"/>
      <c r="H51" s="6">
        <v>57.57</v>
      </c>
      <c r="I51" s="2"/>
      <c r="J51" s="7">
        <f t="shared" si="31"/>
        <v>6.0527876256923335E-4</v>
      </c>
      <c r="K51" s="2"/>
      <c r="L51" s="6">
        <f t="shared" si="32"/>
        <v>-57.57</v>
      </c>
      <c r="M51" s="2"/>
      <c r="N51" s="7">
        <f t="shared" si="33"/>
        <v>-1</v>
      </c>
      <c r="O51" s="11"/>
      <c r="P51" s="6">
        <v>217.8</v>
      </c>
      <c r="Q51" s="2"/>
      <c r="R51" s="7">
        <f t="shared" si="34"/>
        <v>0</v>
      </c>
      <c r="S51" s="2"/>
      <c r="T51" s="6">
        <v>76.02</v>
      </c>
      <c r="U51" s="2"/>
      <c r="V51" s="7">
        <f t="shared" si="35"/>
        <v>2.6160798542373438E-4</v>
      </c>
      <c r="W51" s="2"/>
      <c r="X51" s="6">
        <f t="shared" si="36"/>
        <v>141.78000000000003</v>
      </c>
      <c r="Y51" s="2"/>
      <c r="Z51" s="7">
        <f t="shared" si="37"/>
        <v>1.8650355169692192</v>
      </c>
    </row>
    <row r="52" spans="1:26" s="24" customFormat="1" hidden="1" outlineLevel="2" x14ac:dyDescent="0.25">
      <c r="A52" s="28"/>
      <c r="B52" s="11" t="str">
        <f>CONCATENATE("          ", "6375", " - ", "OUTSIDE REPAIRS &amp; MAINTENANCE")</f>
        <v xml:space="preserve">          6375 - OUTSIDE REPAIRS &amp; MAINTENANCE</v>
      </c>
      <c r="C52" s="11"/>
      <c r="D52" s="6"/>
      <c r="E52" s="2"/>
      <c r="F52" s="7">
        <f t="shared" si="30"/>
        <v>0</v>
      </c>
      <c r="G52" s="2"/>
      <c r="H52" s="6">
        <v>1675.54</v>
      </c>
      <c r="I52" s="2"/>
      <c r="J52" s="7">
        <f t="shared" si="31"/>
        <v>1.7616271979073356E-2</v>
      </c>
      <c r="K52" s="2"/>
      <c r="L52" s="6">
        <f t="shared" si="32"/>
        <v>-1675.54</v>
      </c>
      <c r="M52" s="2"/>
      <c r="N52" s="7">
        <f t="shared" si="33"/>
        <v>-1</v>
      </c>
      <c r="O52" s="11"/>
      <c r="P52" s="6"/>
      <c r="Q52" s="2"/>
      <c r="R52" s="7">
        <f t="shared" si="34"/>
        <v>0</v>
      </c>
      <c r="S52" s="2"/>
      <c r="T52" s="6">
        <v>3049.16</v>
      </c>
      <c r="U52" s="2"/>
      <c r="V52" s="7">
        <f t="shared" si="35"/>
        <v>1.0493088724475585E-2</v>
      </c>
      <c r="W52" s="2"/>
      <c r="X52" s="6">
        <f t="shared" si="36"/>
        <v>-3049.16</v>
      </c>
      <c r="Y52" s="2"/>
      <c r="Z52" s="7">
        <f t="shared" si="37"/>
        <v>-1</v>
      </c>
    </row>
    <row r="53" spans="1:26" s="29" customFormat="1" outlineLevel="1" collapsed="1" x14ac:dyDescent="0.25">
      <c r="A53" s="27"/>
      <c r="B53" s="14" t="str">
        <f>CONCATENATE("     ","Services                                          ")</f>
        <v xml:space="preserve">     Services                                          </v>
      </c>
      <c r="C53" s="14"/>
      <c r="D53" s="1">
        <f>SUM(OSRRefD22_9x_0)</f>
        <v>0</v>
      </c>
      <c r="E53" s="1"/>
      <c r="F53" s="5">
        <f t="shared" ref="F53:F55" si="38">IF(D$12=0,0,D53/D$12)</f>
        <v>0</v>
      </c>
      <c r="G53" s="1"/>
      <c r="H53" s="1">
        <f>SUM(OSRRefH22_9x_0)</f>
        <v>3051.79</v>
      </c>
      <c r="I53" s="1"/>
      <c r="J53" s="5">
        <f t="shared" ref="J53:J55" si="39">IF(H$12=0,0,H53/H$12)</f>
        <v>3.2085872413082514E-2</v>
      </c>
      <c r="K53" s="1"/>
      <c r="L53" s="1">
        <f t="shared" ref="L53:L55" si="40">+D53-H53</f>
        <v>-3051.79</v>
      </c>
      <c r="M53" s="1"/>
      <c r="N53" s="5">
        <f t="shared" ref="N53:N55" si="41">IF(H53=0,0,L53/H53)</f>
        <v>-1</v>
      </c>
      <c r="O53" s="14"/>
      <c r="P53" s="1">
        <f>SUM(OSRRefP22_9x_0)</f>
        <v>320.58</v>
      </c>
      <c r="Q53" s="1"/>
      <c r="R53" s="5">
        <f t="shared" ref="R53:R55" si="42">IF(P$12=0,0,P53/P$12)</f>
        <v>0</v>
      </c>
      <c r="S53" s="1"/>
      <c r="T53" s="1">
        <f>SUM(OSRRefT22_9x_0)</f>
        <v>10551.79</v>
      </c>
      <c r="U53" s="1"/>
      <c r="V53" s="5">
        <f t="shared" ref="V53:V55" si="43">IF(T$12=0,0,T53/T$12)</f>
        <v>3.6311924816026138E-2</v>
      </c>
      <c r="W53" s="1"/>
      <c r="X53" s="1">
        <f t="shared" ref="X53:X55" si="44">+P53-T53</f>
        <v>-10231.210000000001</v>
      </c>
      <c r="Y53" s="1"/>
      <c r="Z53" s="5">
        <f t="shared" ref="Z53:Z55" si="45">IF(T53=0,0,X53/T53)</f>
        <v>-0.96961842493074635</v>
      </c>
    </row>
    <row r="54" spans="1:26" s="24" customFormat="1" hidden="1" outlineLevel="2" x14ac:dyDescent="0.25">
      <c r="A54" s="28"/>
      <c r="B54" s="11" t="str">
        <f>CONCATENATE("          ", "6283", " - ", "PLANT SERVICE")</f>
        <v xml:space="preserve">          6283 - PLANT SERVICE</v>
      </c>
      <c r="C54" s="11"/>
      <c r="D54" s="6"/>
      <c r="E54" s="2"/>
      <c r="F54" s="7">
        <f t="shared" si="38"/>
        <v>0</v>
      </c>
      <c r="G54" s="2"/>
      <c r="H54" s="6"/>
      <c r="I54" s="2"/>
      <c r="J54" s="7">
        <f t="shared" si="39"/>
        <v>0</v>
      </c>
      <c r="K54" s="2"/>
      <c r="L54" s="6">
        <f t="shared" si="40"/>
        <v>0</v>
      </c>
      <c r="M54" s="2"/>
      <c r="N54" s="7">
        <f t="shared" si="41"/>
        <v>0</v>
      </c>
      <c r="O54" s="11"/>
      <c r="P54" s="6"/>
      <c r="Q54" s="2"/>
      <c r="R54" s="7">
        <f t="shared" si="42"/>
        <v>0</v>
      </c>
      <c r="S54" s="2"/>
      <c r="T54" s="6">
        <v>188.85</v>
      </c>
      <c r="U54" s="2"/>
      <c r="V54" s="7">
        <f t="shared" si="43"/>
        <v>6.4989039788571751E-4</v>
      </c>
      <c r="W54" s="2"/>
      <c r="X54" s="6">
        <f t="shared" si="44"/>
        <v>-188.85</v>
      </c>
      <c r="Y54" s="2"/>
      <c r="Z54" s="7">
        <f t="shared" si="45"/>
        <v>-1</v>
      </c>
    </row>
    <row r="55" spans="1:26" s="24" customFormat="1" hidden="1" outlineLevel="2" x14ac:dyDescent="0.25">
      <c r="A55" s="28"/>
      <c r="B55" s="11" t="str">
        <f>CONCATENATE("          ", "6286", " - ", "LAUNDRY EXPENSE")</f>
        <v xml:space="preserve">          6286 - LAUNDRY EXPENSE</v>
      </c>
      <c r="C55" s="11"/>
      <c r="D55" s="6"/>
      <c r="E55" s="2"/>
      <c r="F55" s="7">
        <f t="shared" si="38"/>
        <v>0</v>
      </c>
      <c r="G55" s="2"/>
      <c r="H55" s="6">
        <v>3051.79</v>
      </c>
      <c r="I55" s="2"/>
      <c r="J55" s="7">
        <f t="shared" si="39"/>
        <v>3.2085872413082514E-2</v>
      </c>
      <c r="K55" s="2"/>
      <c r="L55" s="6">
        <f t="shared" si="40"/>
        <v>-3051.79</v>
      </c>
      <c r="M55" s="2"/>
      <c r="N55" s="7">
        <f t="shared" si="41"/>
        <v>-1</v>
      </c>
      <c r="O55" s="11"/>
      <c r="P55" s="6">
        <v>320.58</v>
      </c>
      <c r="Q55" s="2"/>
      <c r="R55" s="7">
        <f t="shared" si="42"/>
        <v>0</v>
      </c>
      <c r="S55" s="2"/>
      <c r="T55" s="6">
        <v>10362.94</v>
      </c>
      <c r="U55" s="2"/>
      <c r="V55" s="7">
        <f t="shared" si="43"/>
        <v>3.566203441814042E-2</v>
      </c>
      <c r="W55" s="2"/>
      <c r="X55" s="6">
        <f t="shared" si="44"/>
        <v>-10042.36</v>
      </c>
      <c r="Y55" s="2"/>
      <c r="Z55" s="7">
        <f t="shared" si="45"/>
        <v>-0.96906476347445802</v>
      </c>
    </row>
    <row r="56" spans="1:26" s="29" customFormat="1" outlineLevel="1" collapsed="1" x14ac:dyDescent="0.25">
      <c r="A56" s="27"/>
      <c r="B56" s="14" t="str">
        <f>CONCATENATE("     ","Supplies                                          ")</f>
        <v xml:space="preserve">     Supplies                                          </v>
      </c>
      <c r="C56" s="14"/>
      <c r="D56" s="1">
        <f>SUM(OSRRefD22_10x_0)</f>
        <v>0</v>
      </c>
      <c r="E56" s="1"/>
      <c r="F56" s="5">
        <f t="shared" ref="F56:F62" si="46">IF(D$12=0,0,D56/D$12)</f>
        <v>0</v>
      </c>
      <c r="G56" s="1"/>
      <c r="H56" s="1">
        <f>SUM(OSRRefH22_10x_0)</f>
        <v>1668.92</v>
      </c>
      <c r="I56" s="1"/>
      <c r="J56" s="5">
        <f t="shared" ref="J56:J62" si="47">IF(H$12=0,0,H56/H$12)</f>
        <v>1.7546670703961174E-2</v>
      </c>
      <c r="K56" s="1"/>
      <c r="L56" s="1">
        <f t="shared" ref="L56:L62" si="48">+D56-H56</f>
        <v>-1668.92</v>
      </c>
      <c r="M56" s="1"/>
      <c r="N56" s="5">
        <f t="shared" ref="N56:N62" si="49">IF(H56=0,0,L56/H56)</f>
        <v>-1</v>
      </c>
      <c r="O56" s="14"/>
      <c r="P56" s="1">
        <f>SUM(OSRRefP22_10x_0)</f>
        <v>0</v>
      </c>
      <c r="Q56" s="1"/>
      <c r="R56" s="5">
        <f t="shared" ref="R56:R62" si="50">IF(P$12=0,0,P56/P$12)</f>
        <v>0</v>
      </c>
      <c r="S56" s="1"/>
      <c r="T56" s="1">
        <f>SUM(OSRRefT22_10x_0)</f>
        <v>7555.38</v>
      </c>
      <c r="U56" s="1"/>
      <c r="V56" s="5">
        <f t="shared" ref="V56:V62" si="51">IF(T$12=0,0,T56/T$12)</f>
        <v>2.6000364915953363E-2</v>
      </c>
      <c r="W56" s="1"/>
      <c r="X56" s="1">
        <f t="shared" ref="X56:X62" si="52">+P56-T56</f>
        <v>-7555.38</v>
      </c>
      <c r="Y56" s="1"/>
      <c r="Z56" s="5">
        <f t="shared" ref="Z56:Z62" si="53">IF(T56=0,0,X56/T56)</f>
        <v>-1</v>
      </c>
    </row>
    <row r="57" spans="1:26" s="24" customFormat="1" hidden="1" outlineLevel="2" x14ac:dyDescent="0.25">
      <c r="A57" s="28"/>
      <c r="B57" s="11" t="str">
        <f>CONCATENATE("          ", "6234", " - ", "EXPENDABLE SUPPLIES &amp; EQUIPMEN")</f>
        <v xml:space="preserve">          6234 - EXPENDABLE SUPPLIES &amp; EQUIPMEN</v>
      </c>
      <c r="C57" s="11"/>
      <c r="D57" s="6"/>
      <c r="E57" s="2"/>
      <c r="F57" s="7">
        <f t="shared" si="46"/>
        <v>0</v>
      </c>
      <c r="G57" s="2"/>
      <c r="H57" s="6">
        <v>220.34</v>
      </c>
      <c r="I57" s="2"/>
      <c r="J57" s="7">
        <f t="shared" si="47"/>
        <v>2.3166079997308472E-3</v>
      </c>
      <c r="K57" s="2"/>
      <c r="L57" s="6">
        <f t="shared" si="48"/>
        <v>-220.34</v>
      </c>
      <c r="M57" s="2"/>
      <c r="N57" s="7">
        <f t="shared" si="49"/>
        <v>-1</v>
      </c>
      <c r="O57" s="11"/>
      <c r="P57" s="6"/>
      <c r="Q57" s="2"/>
      <c r="R57" s="7">
        <f t="shared" si="50"/>
        <v>0</v>
      </c>
      <c r="S57" s="2"/>
      <c r="T57" s="6">
        <v>220.34</v>
      </c>
      <c r="U57" s="2"/>
      <c r="V57" s="7">
        <f t="shared" si="51"/>
        <v>7.5825708377092404E-4</v>
      </c>
      <c r="W57" s="2"/>
      <c r="X57" s="6">
        <f t="shared" si="52"/>
        <v>-220.34</v>
      </c>
      <c r="Y57" s="2"/>
      <c r="Z57" s="7">
        <f t="shared" si="53"/>
        <v>-1</v>
      </c>
    </row>
    <row r="58" spans="1:26" s="24" customFormat="1" hidden="1" outlineLevel="2" x14ac:dyDescent="0.25">
      <c r="A58" s="28"/>
      <c r="B58" s="11" t="str">
        <f>CONCATENATE("          ", "6239", " - ", "KITCHEN SUPPLIES")</f>
        <v xml:space="preserve">          6239 - KITCHEN SUPPLIES</v>
      </c>
      <c r="C58" s="11"/>
      <c r="D58" s="6"/>
      <c r="E58" s="2"/>
      <c r="F58" s="7">
        <f t="shared" si="46"/>
        <v>0</v>
      </c>
      <c r="G58" s="2"/>
      <c r="H58" s="6">
        <v>269.54000000000002</v>
      </c>
      <c r="I58" s="2"/>
      <c r="J58" s="7">
        <f t="shared" si="47"/>
        <v>2.8338863585706297E-3</v>
      </c>
      <c r="K58" s="2"/>
      <c r="L58" s="6">
        <f t="shared" si="48"/>
        <v>-269.54000000000002</v>
      </c>
      <c r="M58" s="2"/>
      <c r="N58" s="7">
        <f t="shared" si="49"/>
        <v>-1</v>
      </c>
      <c r="O58" s="11"/>
      <c r="P58" s="6"/>
      <c r="Q58" s="2"/>
      <c r="R58" s="7">
        <f t="shared" si="50"/>
        <v>0</v>
      </c>
      <c r="S58" s="2"/>
      <c r="T58" s="6">
        <v>3334.69</v>
      </c>
      <c r="U58" s="2"/>
      <c r="V58" s="7">
        <f t="shared" si="51"/>
        <v>1.1475684463465837E-2</v>
      </c>
      <c r="W58" s="2"/>
      <c r="X58" s="6">
        <f t="shared" si="52"/>
        <v>-3334.69</v>
      </c>
      <c r="Y58" s="2"/>
      <c r="Z58" s="7">
        <f t="shared" si="53"/>
        <v>-1</v>
      </c>
    </row>
    <row r="59" spans="1:26" s="24" customFormat="1" hidden="1" outlineLevel="2" x14ac:dyDescent="0.25">
      <c r="A59" s="28"/>
      <c r="B59" s="11" t="str">
        <f>CONCATENATE("          ", "6241", " - ", "OFFICE EXPENSE")</f>
        <v xml:space="preserve">          6241 - OFFICE EXPENSE</v>
      </c>
      <c r="C59" s="11"/>
      <c r="D59" s="6"/>
      <c r="E59" s="2"/>
      <c r="F59" s="7">
        <f t="shared" si="46"/>
        <v>0</v>
      </c>
      <c r="G59" s="2"/>
      <c r="H59" s="6">
        <v>409.71</v>
      </c>
      <c r="I59" s="2"/>
      <c r="J59" s="7">
        <f t="shared" si="47"/>
        <v>4.3076039918749452E-3</v>
      </c>
      <c r="K59" s="2"/>
      <c r="L59" s="6">
        <f t="shared" si="48"/>
        <v>-409.71</v>
      </c>
      <c r="M59" s="2"/>
      <c r="N59" s="7">
        <f t="shared" si="49"/>
        <v>-1</v>
      </c>
      <c r="O59" s="11"/>
      <c r="P59" s="6"/>
      <c r="Q59" s="2"/>
      <c r="R59" s="7">
        <f t="shared" si="50"/>
        <v>0</v>
      </c>
      <c r="S59" s="2"/>
      <c r="T59" s="6">
        <v>618.12</v>
      </c>
      <c r="U59" s="2"/>
      <c r="V59" s="7">
        <f t="shared" si="51"/>
        <v>2.1271392784809095E-3</v>
      </c>
      <c r="W59" s="2"/>
      <c r="X59" s="6">
        <f t="shared" si="52"/>
        <v>-618.12</v>
      </c>
      <c r="Y59" s="2"/>
      <c r="Z59" s="7">
        <f t="shared" si="53"/>
        <v>-1</v>
      </c>
    </row>
    <row r="60" spans="1:26" s="24" customFormat="1" hidden="1" outlineLevel="2" x14ac:dyDescent="0.25">
      <c r="A60" s="28"/>
      <c r="B60" s="11" t="str">
        <f>CONCATENATE("          ", "6243", " - ", "PAPER SUPPLIES")</f>
        <v xml:space="preserve">          6243 - PAPER SUPPLIES</v>
      </c>
      <c r="C60" s="11"/>
      <c r="D60" s="6"/>
      <c r="E60" s="2"/>
      <c r="F60" s="7">
        <f t="shared" si="46"/>
        <v>0</v>
      </c>
      <c r="G60" s="2"/>
      <c r="H60" s="6">
        <v>769.33</v>
      </c>
      <c r="I60" s="2"/>
      <c r="J60" s="7">
        <f t="shared" si="47"/>
        <v>8.0885723537847537E-3</v>
      </c>
      <c r="K60" s="2"/>
      <c r="L60" s="6">
        <f t="shared" si="48"/>
        <v>-769.33</v>
      </c>
      <c r="M60" s="2"/>
      <c r="N60" s="7">
        <f t="shared" si="49"/>
        <v>-1</v>
      </c>
      <c r="O60" s="11"/>
      <c r="P60" s="6"/>
      <c r="Q60" s="2"/>
      <c r="R60" s="7">
        <f t="shared" si="50"/>
        <v>0</v>
      </c>
      <c r="S60" s="2"/>
      <c r="T60" s="6">
        <v>2580.52</v>
      </c>
      <c r="U60" s="2"/>
      <c r="V60" s="7">
        <f t="shared" si="51"/>
        <v>8.8803556767384252E-3</v>
      </c>
      <c r="W60" s="2"/>
      <c r="X60" s="6">
        <f t="shared" si="52"/>
        <v>-2580.52</v>
      </c>
      <c r="Y60" s="2"/>
      <c r="Z60" s="7">
        <f t="shared" si="53"/>
        <v>-1</v>
      </c>
    </row>
    <row r="61" spans="1:26" s="24" customFormat="1" hidden="1" outlineLevel="2" x14ac:dyDescent="0.25">
      <c r="A61" s="28"/>
      <c r="B61" s="11" t="str">
        <f>CONCATENATE("          ", "6247", " - ", "STORE SUPPLIES")</f>
        <v xml:space="preserve">          6247 - STORE SUPPLIES</v>
      </c>
      <c r="C61" s="11"/>
      <c r="D61" s="6"/>
      <c r="E61" s="2"/>
      <c r="F61" s="7">
        <f t="shared" si="46"/>
        <v>0</v>
      </c>
      <c r="G61" s="2"/>
      <c r="H61" s="6"/>
      <c r="I61" s="2"/>
      <c r="J61" s="7">
        <f t="shared" si="47"/>
        <v>0</v>
      </c>
      <c r="K61" s="2"/>
      <c r="L61" s="6">
        <f t="shared" si="48"/>
        <v>0</v>
      </c>
      <c r="M61" s="2"/>
      <c r="N61" s="7">
        <f t="shared" si="49"/>
        <v>0</v>
      </c>
      <c r="O61" s="11"/>
      <c r="P61" s="6"/>
      <c r="Q61" s="2"/>
      <c r="R61" s="7">
        <f t="shared" si="50"/>
        <v>0</v>
      </c>
      <c r="S61" s="2"/>
      <c r="T61" s="6">
        <v>366.09</v>
      </c>
      <c r="U61" s="2"/>
      <c r="V61" s="7">
        <f t="shared" si="51"/>
        <v>1.2598272478791756E-3</v>
      </c>
      <c r="W61" s="2"/>
      <c r="X61" s="6">
        <f t="shared" si="52"/>
        <v>-366.09</v>
      </c>
      <c r="Y61" s="2"/>
      <c r="Z61" s="7">
        <f t="shared" si="53"/>
        <v>-1</v>
      </c>
    </row>
    <row r="62" spans="1:26" s="24" customFormat="1" hidden="1" outlineLevel="2" x14ac:dyDescent="0.25">
      <c r="A62" s="28"/>
      <c r="B62" s="11" t="str">
        <f>CONCATENATE("          ", "6248", " - ", "UNIFORMS")</f>
        <v xml:space="preserve">          6248 - UNIFORMS</v>
      </c>
      <c r="C62" s="11"/>
      <c r="D62" s="6"/>
      <c r="E62" s="2"/>
      <c r="F62" s="7">
        <f t="shared" si="46"/>
        <v>0</v>
      </c>
      <c r="G62" s="2"/>
      <c r="H62" s="6"/>
      <c r="I62" s="2"/>
      <c r="J62" s="7">
        <f t="shared" si="47"/>
        <v>0</v>
      </c>
      <c r="K62" s="2"/>
      <c r="L62" s="6">
        <f t="shared" si="48"/>
        <v>0</v>
      </c>
      <c r="M62" s="2"/>
      <c r="N62" s="7">
        <f t="shared" si="49"/>
        <v>0</v>
      </c>
      <c r="O62" s="11"/>
      <c r="P62" s="6"/>
      <c r="Q62" s="2"/>
      <c r="R62" s="7">
        <f t="shared" si="50"/>
        <v>0</v>
      </c>
      <c r="S62" s="2"/>
      <c r="T62" s="6">
        <v>435.62</v>
      </c>
      <c r="U62" s="2"/>
      <c r="V62" s="7">
        <f t="shared" si="51"/>
        <v>1.4991011656180899E-3</v>
      </c>
      <c r="W62" s="2"/>
      <c r="X62" s="6">
        <f t="shared" si="52"/>
        <v>-435.62</v>
      </c>
      <c r="Y62" s="2"/>
      <c r="Z62" s="7">
        <f t="shared" si="53"/>
        <v>-1</v>
      </c>
    </row>
    <row r="63" spans="1:26" s="29" customFormat="1" outlineLevel="1" collapsed="1" x14ac:dyDescent="0.25">
      <c r="A63" s="27"/>
      <c r="B63" s="14" t="str">
        <f>CONCATENATE("     ","Telephone/Data Lines                              ")</f>
        <v xml:space="preserve">     Telephone/Data Lines                              </v>
      </c>
      <c r="C63" s="14"/>
      <c r="D63" s="1">
        <f>SUM(OSRRefD22_11x_0)</f>
        <v>49.93</v>
      </c>
      <c r="E63" s="1"/>
      <c r="F63" s="5">
        <f t="shared" ref="F63:F66" si="54">IF(D$12=0,0,D63/D$12)</f>
        <v>0</v>
      </c>
      <c r="G63" s="1"/>
      <c r="H63" s="1">
        <f>SUM(OSRRefH22_11x_0)</f>
        <v>192.28</v>
      </c>
      <c r="I63" s="1"/>
      <c r="J63" s="5">
        <f t="shared" ref="J63:J66" si="55">IF(H$12=0,0,H63/H$12)</f>
        <v>2.0215911145876702E-3</v>
      </c>
      <c r="K63" s="1"/>
      <c r="L63" s="1">
        <f t="shared" ref="L63:L66" si="56">+D63-H63</f>
        <v>-142.35</v>
      </c>
      <c r="M63" s="1"/>
      <c r="N63" s="5">
        <f t="shared" ref="N63:N66" si="57">IF(H63=0,0,L63/H63)</f>
        <v>-0.74032660703141251</v>
      </c>
      <c r="O63" s="14"/>
      <c r="P63" s="1">
        <f>SUM(OSRRefP22_11x_0)</f>
        <v>221.03</v>
      </c>
      <c r="Q63" s="1"/>
      <c r="R63" s="5">
        <f t="shared" ref="R63:R66" si="58">IF(P$12=0,0,P63/P$12)</f>
        <v>0</v>
      </c>
      <c r="S63" s="1"/>
      <c r="T63" s="1">
        <f>SUM(OSRRefT22_11x_0)</f>
        <v>764.03</v>
      </c>
      <c r="U63" s="1"/>
      <c r="V63" s="5">
        <f t="shared" ref="V63:V66" si="59">IF(T$12=0,0,T63/T$12)</f>
        <v>2.6292600513456435E-3</v>
      </c>
      <c r="W63" s="1"/>
      <c r="X63" s="1">
        <f t="shared" ref="X63:X66" si="60">+P63-T63</f>
        <v>-543</v>
      </c>
      <c r="Y63" s="1"/>
      <c r="Z63" s="5">
        <f t="shared" ref="Z63:Z66" si="61">IF(T63=0,0,X63/T63)</f>
        <v>-0.71070507702577124</v>
      </c>
    </row>
    <row r="64" spans="1:26" s="24" customFormat="1" hidden="1" outlineLevel="2" x14ac:dyDescent="0.25">
      <c r="A64" s="28"/>
      <c r="B64" s="11" t="str">
        <f>CONCATENATE("          ", "6309", " - ", "TELEPHONE")</f>
        <v xml:space="preserve">          6309 - TELEPHONE</v>
      </c>
      <c r="C64" s="11"/>
      <c r="D64" s="6">
        <v>49.93</v>
      </c>
      <c r="E64" s="2"/>
      <c r="F64" s="7">
        <f t="shared" si="54"/>
        <v>0</v>
      </c>
      <c r="G64" s="2"/>
      <c r="H64" s="6">
        <v>192.28</v>
      </c>
      <c r="I64" s="2"/>
      <c r="J64" s="7">
        <f t="shared" si="55"/>
        <v>2.0215911145876702E-3</v>
      </c>
      <c r="K64" s="2"/>
      <c r="L64" s="6">
        <f t="shared" si="56"/>
        <v>-142.35</v>
      </c>
      <c r="M64" s="2"/>
      <c r="N64" s="7">
        <f t="shared" si="57"/>
        <v>-0.74032660703141251</v>
      </c>
      <c r="O64" s="11"/>
      <c r="P64" s="6">
        <v>221.03</v>
      </c>
      <c r="Q64" s="2"/>
      <c r="R64" s="7">
        <f t="shared" si="58"/>
        <v>0</v>
      </c>
      <c r="S64" s="2"/>
      <c r="T64" s="6">
        <v>764.03</v>
      </c>
      <c r="U64" s="2"/>
      <c r="V64" s="7">
        <f t="shared" si="59"/>
        <v>2.6292600513456435E-3</v>
      </c>
      <c r="W64" s="2"/>
      <c r="X64" s="6">
        <f t="shared" si="60"/>
        <v>-543</v>
      </c>
      <c r="Y64" s="2"/>
      <c r="Z64" s="7">
        <f t="shared" si="61"/>
        <v>-0.71070507702577124</v>
      </c>
    </row>
    <row r="65" spans="1:26" s="29" customFormat="1" outlineLevel="1" collapsed="1" x14ac:dyDescent="0.25">
      <c r="A65" s="27"/>
      <c r="B65" s="14" t="str">
        <f>CONCATENATE("     ","Training                                          ")</f>
        <v xml:space="preserve">     Training                                          </v>
      </c>
      <c r="C65" s="14"/>
      <c r="D65" s="1">
        <f>SUM(OSRRefD22_12x_0)</f>
        <v>0</v>
      </c>
      <c r="E65" s="1"/>
      <c r="F65" s="5">
        <f t="shared" si="54"/>
        <v>0</v>
      </c>
      <c r="G65" s="1"/>
      <c r="H65" s="1">
        <f>SUM(OSRRefH22_12x_0)</f>
        <v>0</v>
      </c>
      <c r="I65" s="1"/>
      <c r="J65" s="5">
        <f t="shared" si="55"/>
        <v>0</v>
      </c>
      <c r="K65" s="1"/>
      <c r="L65" s="1">
        <f t="shared" si="56"/>
        <v>0</v>
      </c>
      <c r="M65" s="1"/>
      <c r="N65" s="5">
        <f t="shared" si="57"/>
        <v>0</v>
      </c>
      <c r="O65" s="14"/>
      <c r="P65" s="1">
        <f>SUM(OSRRefP22_12x_0)</f>
        <v>0</v>
      </c>
      <c r="Q65" s="1"/>
      <c r="R65" s="5">
        <f t="shared" si="58"/>
        <v>0</v>
      </c>
      <c r="S65" s="1"/>
      <c r="T65" s="1">
        <f>SUM(OSRRefT22_12x_0)</f>
        <v>175</v>
      </c>
      <c r="U65" s="1"/>
      <c r="V65" s="5">
        <f t="shared" si="59"/>
        <v>6.0222832740270359E-4</v>
      </c>
      <c r="W65" s="1"/>
      <c r="X65" s="1">
        <f t="shared" si="60"/>
        <v>-175</v>
      </c>
      <c r="Y65" s="1"/>
      <c r="Z65" s="5">
        <f t="shared" si="61"/>
        <v>-1</v>
      </c>
    </row>
    <row r="66" spans="1:26" s="24" customFormat="1" hidden="1" outlineLevel="2" x14ac:dyDescent="0.25">
      <c r="A66" s="28"/>
      <c r="B66" s="11" t="str">
        <f>CONCATENATE("          ", "6376", " - ", "TRAINING")</f>
        <v xml:space="preserve">          6376 - TRAINING</v>
      </c>
      <c r="C66" s="11"/>
      <c r="D66" s="6"/>
      <c r="E66" s="2"/>
      <c r="F66" s="7">
        <f t="shared" si="54"/>
        <v>0</v>
      </c>
      <c r="G66" s="2"/>
      <c r="H66" s="6"/>
      <c r="I66" s="2"/>
      <c r="J66" s="7">
        <f t="shared" si="55"/>
        <v>0</v>
      </c>
      <c r="K66" s="2"/>
      <c r="L66" s="6">
        <f t="shared" si="56"/>
        <v>0</v>
      </c>
      <c r="M66" s="2"/>
      <c r="N66" s="7">
        <f t="shared" si="57"/>
        <v>0</v>
      </c>
      <c r="O66" s="11"/>
      <c r="P66" s="6"/>
      <c r="Q66" s="2"/>
      <c r="R66" s="7">
        <f t="shared" si="58"/>
        <v>0</v>
      </c>
      <c r="S66" s="2"/>
      <c r="T66" s="6">
        <v>175</v>
      </c>
      <c r="U66" s="2"/>
      <c r="V66" s="7">
        <f t="shared" si="59"/>
        <v>6.0222832740270359E-4</v>
      </c>
      <c r="W66" s="2"/>
      <c r="X66" s="6">
        <f t="shared" si="60"/>
        <v>-175</v>
      </c>
      <c r="Y66" s="2"/>
      <c r="Z66" s="7">
        <f t="shared" si="61"/>
        <v>-1</v>
      </c>
    </row>
    <row r="67" spans="1:26" s="57" customFormat="1" x14ac:dyDescent="0.25">
      <c r="A67" s="37"/>
      <c r="B67" s="37"/>
      <c r="C67" s="37"/>
      <c r="D67" s="1"/>
      <c r="E67" s="1"/>
      <c r="F67" s="5"/>
      <c r="G67" s="1"/>
      <c r="H67" s="1"/>
      <c r="I67" s="1"/>
      <c r="J67" s="5"/>
      <c r="K67" s="1"/>
      <c r="L67" s="1"/>
      <c r="M67" s="1"/>
      <c r="N67" s="5"/>
      <c r="O67" s="37"/>
      <c r="P67" s="1"/>
      <c r="Q67" s="1"/>
      <c r="R67" s="5"/>
      <c r="S67" s="1"/>
      <c r="T67" s="1"/>
      <c r="U67" s="1"/>
      <c r="V67" s="5"/>
      <c r="W67" s="1"/>
      <c r="X67" s="1"/>
      <c r="Y67" s="1"/>
      <c r="Z67" s="5"/>
    </row>
    <row r="68" spans="1:26" s="23" customFormat="1" x14ac:dyDescent="0.25">
      <c r="A68" s="10"/>
      <c r="B68" s="26" t="s">
        <v>0</v>
      </c>
      <c r="C68" s="10"/>
      <c r="D68" s="4">
        <f>SUM(0)</f>
        <v>0</v>
      </c>
      <c r="E68" s="4"/>
      <c r="F68" s="12">
        <f>IF(D$12=0,0,D68/D$12)</f>
        <v>0</v>
      </c>
      <c r="G68" s="4"/>
      <c r="H68" s="4">
        <f>SUM(0)</f>
        <v>0</v>
      </c>
      <c r="I68" s="4"/>
      <c r="J68" s="12">
        <f>IF(H$12=0,0,H68/H$12)</f>
        <v>0</v>
      </c>
      <c r="K68" s="4"/>
      <c r="L68" s="4">
        <f>+D68-H68</f>
        <v>0</v>
      </c>
      <c r="M68" s="4"/>
      <c r="N68" s="12">
        <f>IF(H68=0,0,L68/H68)</f>
        <v>0</v>
      </c>
      <c r="O68" s="10"/>
      <c r="P68" s="4">
        <f>SUM(0)</f>
        <v>0</v>
      </c>
      <c r="Q68" s="4"/>
      <c r="R68" s="12">
        <f>IF(P$12=0,0,P68/P$12)</f>
        <v>0</v>
      </c>
      <c r="S68" s="4"/>
      <c r="T68" s="4">
        <f>SUM(0)</f>
        <v>0</v>
      </c>
      <c r="U68" s="4"/>
      <c r="V68" s="12">
        <f>IF(T$12=0,0,T68/T$12)</f>
        <v>0</v>
      </c>
      <c r="W68" s="4"/>
      <c r="X68" s="4">
        <f>+P68-T68</f>
        <v>0</v>
      </c>
      <c r="Y68" s="4"/>
      <c r="Z68" s="12">
        <f>IF(T68=0,0,X68/T68)</f>
        <v>0</v>
      </c>
    </row>
    <row r="69" spans="1:26" x14ac:dyDescent="0.25">
      <c r="A69" s="9"/>
      <c r="B69" s="10"/>
      <c r="C69" s="10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O69" s="10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x14ac:dyDescent="0.25">
      <c r="A70" s="10"/>
      <c r="B70" s="25" t="s">
        <v>3</v>
      </c>
      <c r="C70" s="25"/>
      <c r="D70" s="20">
        <f>+D19-D21+D68</f>
        <v>-627.29</v>
      </c>
      <c r="E70" s="13"/>
      <c r="F70" s="21">
        <f>IF(D$12=0,0,D70/D$12)</f>
        <v>0</v>
      </c>
      <c r="G70" s="13"/>
      <c r="H70" s="20">
        <f>+H19-H21+H68</f>
        <v>26786.639999999999</v>
      </c>
      <c r="I70" s="13"/>
      <c r="J70" s="21">
        <f>IF(H$12=0,0,H70/H$12)</f>
        <v>0.28162904833398517</v>
      </c>
      <c r="K70" s="15"/>
      <c r="L70" s="20">
        <f>+D70-H70</f>
        <v>-27413.93</v>
      </c>
      <c r="M70" s="15"/>
      <c r="N70" s="21">
        <f>IF(H70=0,0,L70/H70)</f>
        <v>-1.0234180173399874</v>
      </c>
      <c r="O70" s="26"/>
      <c r="P70" s="20">
        <f>+P19-P21+P68</f>
        <v>-3424.08</v>
      </c>
      <c r="Q70" s="13"/>
      <c r="R70" s="21">
        <f>IF(P$12=0,0,P70/P$12)</f>
        <v>0</v>
      </c>
      <c r="S70" s="13"/>
      <c r="T70" s="20">
        <f>+T19-T21+T68</f>
        <v>-5094.7599999999802</v>
      </c>
      <c r="U70" s="13"/>
      <c r="V70" s="21">
        <f>IF(T$12=0,0,T70/T$12)</f>
        <v>-1.7532621676103921E-2</v>
      </c>
      <c r="W70" s="15"/>
      <c r="X70" s="20">
        <f>+P70-T70</f>
        <v>1670.6799999999803</v>
      </c>
      <c r="Y70" s="15"/>
      <c r="Z70" s="21">
        <f>IF(T70=0,0,X70/T70)</f>
        <v>-0.32792123672164869</v>
      </c>
    </row>
    <row r="71" spans="1:26" x14ac:dyDescent="0.25">
      <c r="A71" s="9"/>
      <c r="B71" s="10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x14ac:dyDescent="0.25">
      <c r="A72" s="51"/>
      <c r="B72" s="10" t="s">
        <v>13</v>
      </c>
      <c r="C72" s="10"/>
      <c r="D72" s="4"/>
      <c r="E72" s="4"/>
      <c r="F72" s="12">
        <f>IF(D$12=0,0,D72/D$12)</f>
        <v>0</v>
      </c>
      <c r="G72" s="4"/>
      <c r="H72" s="4">
        <v>8254.75</v>
      </c>
      <c r="I72" s="4"/>
      <c r="J72" s="12">
        <f>IF(H$12=0,0,H72/H$12)</f>
        <v>8.6788689687656392E-2</v>
      </c>
      <c r="K72" s="4"/>
      <c r="L72" s="4">
        <f>+D72-H72</f>
        <v>-8254.75</v>
      </c>
      <c r="M72" s="4"/>
      <c r="N72" s="12">
        <f>IF(H72=0,0,L72/H72)</f>
        <v>-1</v>
      </c>
      <c r="O72" s="10"/>
      <c r="P72" s="4"/>
      <c r="Q72" s="4"/>
      <c r="R72" s="12">
        <f>IF(P$12=0,0,P72/P$12)</f>
        <v>0</v>
      </c>
      <c r="S72" s="4"/>
      <c r="T72" s="4">
        <v>29251.279999999999</v>
      </c>
      <c r="U72" s="4"/>
      <c r="V72" s="12">
        <f>IF(T$12=0,0,T72/T$12)</f>
        <v>0.10066256816450374</v>
      </c>
      <c r="W72" s="4"/>
      <c r="X72" s="4">
        <f>+P72-T72</f>
        <v>-29251.279999999999</v>
      </c>
      <c r="Y72" s="4"/>
      <c r="Z72" s="12">
        <f>IF(T72=0,0,X72/T72)</f>
        <v>-1</v>
      </c>
    </row>
    <row r="73" spans="1:26" x14ac:dyDescent="0.25">
      <c r="A73" s="9"/>
      <c r="B73" s="10"/>
      <c r="C73" s="10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0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ht="15.75" thickBot="1" x14ac:dyDescent="0.3">
      <c r="A74" s="10"/>
      <c r="B74" s="25" t="s">
        <v>4</v>
      </c>
      <c r="C74" s="25"/>
      <c r="D74" s="30">
        <f>+D70-D72</f>
        <v>-627.29</v>
      </c>
      <c r="E74" s="13"/>
      <c r="F74" s="33">
        <f>IF(D$12=0,0,D74/D$12)</f>
        <v>0</v>
      </c>
      <c r="G74" s="13"/>
      <c r="H74" s="30">
        <f>+H70-H72</f>
        <v>18531.89</v>
      </c>
      <c r="I74" s="13"/>
      <c r="J74" s="33">
        <f>IF(H$12=0,0,H74/H$12)</f>
        <v>0.19484035864632879</v>
      </c>
      <c r="K74" s="15"/>
      <c r="L74" s="30">
        <f>D74-H74</f>
        <v>-19159.18</v>
      </c>
      <c r="M74" s="15"/>
      <c r="N74" s="33">
        <f>IF(H74=0,0,L74/H74)</f>
        <v>-1.0338492188330495</v>
      </c>
      <c r="O74" s="26"/>
      <c r="P74" s="30">
        <f>+P70-P72</f>
        <v>-3424.08</v>
      </c>
      <c r="Q74" s="13"/>
      <c r="R74" s="33">
        <f>IF(P$12=0,0,P74/P$12)</f>
        <v>0</v>
      </c>
      <c r="S74" s="13"/>
      <c r="T74" s="30">
        <f>+T70-T72</f>
        <v>-34346.039999999979</v>
      </c>
      <c r="U74" s="13"/>
      <c r="V74" s="33">
        <f>IF(T$12=0,0,T74/T$12)</f>
        <v>-0.11819518984060766</v>
      </c>
      <c r="W74" s="15"/>
      <c r="X74" s="30">
        <f>P74-T74</f>
        <v>30921.959999999977</v>
      </c>
      <c r="Y74" s="15"/>
      <c r="Z74" s="33">
        <f>IF(T74=0,0,X74/T74)</f>
        <v>-0.90030641087007401</v>
      </c>
    </row>
    <row r="75" spans="1:26" ht="15.75" thickTop="1" x14ac:dyDescent="0.25">
      <c r="A75" s="9"/>
      <c r="B75" s="9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5" t="s">
        <v>5</v>
      </c>
      <c r="C77" s="25"/>
      <c r="D77" s="34">
        <f>SUM(D74:D76)</f>
        <v>-627.29</v>
      </c>
      <c r="E77" s="13"/>
      <c r="F77" s="35">
        <f>IF(D$12=0,0,D77/D$12)</f>
        <v>0</v>
      </c>
      <c r="G77" s="13"/>
      <c r="H77" s="34">
        <f>SUM(H74:H76)</f>
        <v>18531.89</v>
      </c>
      <c r="I77" s="13"/>
      <c r="J77" s="35">
        <f>IF(H$12=0,0,H77/H$12)</f>
        <v>0.19484035864632879</v>
      </c>
      <c r="K77" s="15"/>
      <c r="L77" s="34">
        <f>+D77-H77</f>
        <v>-19159.18</v>
      </c>
      <c r="M77" s="15"/>
      <c r="N77" s="35">
        <f>IF(H77=0,0,L77/H77)</f>
        <v>-1.0338492188330495</v>
      </c>
      <c r="O77" s="26"/>
      <c r="P77" s="34">
        <f>SUM(P74:P76)</f>
        <v>-3424.08</v>
      </c>
      <c r="Q77" s="13"/>
      <c r="R77" s="35">
        <f>IF(P$12=0,0,P77/P$12)</f>
        <v>0</v>
      </c>
      <c r="S77" s="13"/>
      <c r="T77" s="34">
        <f>SUM(T74:T76)</f>
        <v>-34346.039999999979</v>
      </c>
      <c r="U77" s="13"/>
      <c r="V77" s="35">
        <f>IF(T$12=0,0,T77/T$12)</f>
        <v>-0.11819518984060766</v>
      </c>
      <c r="W77" s="15"/>
      <c r="X77" s="34">
        <f>+P77-T77</f>
        <v>30921.959999999977</v>
      </c>
      <c r="Y77" s="15"/>
      <c r="Z77" s="35">
        <f>IF(T77=0,0,X77/T77)</f>
        <v>-0.90030641087007401</v>
      </c>
    </row>
    <row r="78" spans="1:26" ht="15.75" thickTop="1" x14ac:dyDescent="0.25">
      <c r="A78" s="9"/>
      <c r="C78" s="9"/>
      <c r="D78" s="18"/>
      <c r="E78" s="18"/>
      <c r="G78" s="18"/>
      <c r="H78" s="18"/>
      <c r="I78" s="18"/>
      <c r="J78" s="43"/>
      <c r="K78" s="18"/>
      <c r="L78" s="18"/>
      <c r="M78" s="18"/>
      <c r="P78" s="18"/>
      <c r="Q78" s="18"/>
      <c r="R78" s="43"/>
      <c r="S78" s="18"/>
      <c r="T78" s="18"/>
      <c r="U78" s="18"/>
      <c r="V78" s="43"/>
      <c r="W78" s="18"/>
      <c r="X78" s="18"/>
    </row>
    <row r="79" spans="1:26" x14ac:dyDescent="0.25">
      <c r="A79" s="9"/>
      <c r="B79" s="56">
        <v>44151.572765474535</v>
      </c>
      <c r="D79" s="18"/>
      <c r="E79" s="18"/>
      <c r="G79" s="18"/>
      <c r="H79" s="18"/>
      <c r="I79" s="18"/>
      <c r="J79" s="43"/>
      <c r="K79" s="18"/>
      <c r="L79" s="18"/>
      <c r="M79" s="18"/>
      <c r="P79" s="18"/>
      <c r="Q79" s="18"/>
      <c r="R79" s="43"/>
      <c r="S79" s="18"/>
      <c r="T79" s="18"/>
      <c r="U79" s="18"/>
      <c r="V79" s="43"/>
      <c r="W79" s="18"/>
      <c r="X79" s="18"/>
    </row>
    <row r="80" spans="1:26" x14ac:dyDescent="0.25">
      <c r="A80" s="9"/>
      <c r="B80" s="62" t="s">
        <v>313</v>
      </c>
      <c r="D80" s="18"/>
      <c r="E80" s="18"/>
      <c r="G80" s="18"/>
      <c r="H80" s="18"/>
      <c r="I80" s="18"/>
      <c r="J80" s="43"/>
      <c r="K80" s="18"/>
      <c r="L80" s="18"/>
      <c r="M80" s="18"/>
      <c r="P80" s="18"/>
      <c r="Q80" s="18"/>
      <c r="R80" s="43"/>
      <c r="S80" s="18"/>
      <c r="T80" s="18"/>
      <c r="U80" s="18"/>
      <c r="V80" s="43"/>
      <c r="W80" s="18"/>
      <c r="X80" s="18"/>
    </row>
    <row r="81" spans="1:24" x14ac:dyDescent="0.25">
      <c r="A81" s="9"/>
      <c r="B81" s="54"/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  <row r="82" spans="1:24" x14ac:dyDescent="0.25">
      <c r="D82" s="18"/>
      <c r="E82" s="18"/>
      <c r="G82" s="18"/>
      <c r="H82" s="18"/>
      <c r="I82" s="18"/>
      <c r="J82" s="43"/>
      <c r="K82" s="18"/>
      <c r="L82" s="18"/>
      <c r="M82" s="18"/>
      <c r="P82" s="18"/>
      <c r="Q82" s="18"/>
      <c r="R82" s="43"/>
      <c r="S82" s="18"/>
      <c r="T82" s="18"/>
      <c r="U82" s="18"/>
      <c r="V82" s="43"/>
      <c r="W82" s="18"/>
      <c r="X82" s="18"/>
    </row>
  </sheetData>
  <pageMargins left="0.25" right="0.25" top="0.75" bottom="0.75" header="0.3" footer="0.3"/>
  <pageSetup scale="55" fitToWidth="2" orientation="landscape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",RIGHT(202104,2),", ",2021)</f>
        <v>Period 04,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44135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","413", " - ", "Beach Walk")</f>
        <v>Department 413 - Beach Walk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61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50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50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2"/>
      <c r="F10" s="31" t="s">
        <v>14</v>
      </c>
      <c r="G10" s="32"/>
      <c r="H10" s="49" t="s">
        <v>306</v>
      </c>
      <c r="I10" s="32"/>
      <c r="J10" s="31" t="s">
        <v>14</v>
      </c>
      <c r="K10" s="10"/>
      <c r="L10" s="42" t="s">
        <v>11</v>
      </c>
      <c r="M10" s="10"/>
      <c r="N10" s="31" t="s">
        <v>15</v>
      </c>
      <c r="O10" s="10"/>
      <c r="P10" s="59" t="s">
        <v>10</v>
      </c>
      <c r="Q10" s="32"/>
      <c r="R10" s="31" t="s">
        <v>14</v>
      </c>
      <c r="S10" s="32"/>
      <c r="T10" s="49" t="s">
        <v>306</v>
      </c>
      <c r="U10" s="32"/>
      <c r="V10" s="31" t="s">
        <v>14</v>
      </c>
      <c r="W10" s="10"/>
      <c r="X10" s="42" t="s">
        <v>11</v>
      </c>
      <c r="Y10" s="10"/>
      <c r="Z10" s="31" t="s">
        <v>15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54485.820000000007</v>
      </c>
      <c r="I12" s="4"/>
      <c r="J12" s="12"/>
      <c r="K12" s="4"/>
      <c r="L12" s="4">
        <f t="shared" ref="L12:L14" si="0">+D12-H12</f>
        <v>-54485.820000000007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129883.59999999999</v>
      </c>
      <c r="U12" s="4"/>
      <c r="V12" s="12"/>
      <c r="W12" s="4"/>
      <c r="X12" s="4">
        <f t="shared" ref="X12:X14" si="2">+P12-T12</f>
        <v>-129883.59999999999</v>
      </c>
      <c r="Y12" s="4"/>
      <c r="Z12" s="12">
        <f t="shared" ref="Z12:Z14" si="3">IF(T12=0,0,X12/T12)</f>
        <v>-1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 t="shared" ref="D13:D14" si="4">0</f>
        <v>0</v>
      </c>
      <c r="E13" s="2"/>
      <c r="F13" s="19"/>
      <c r="G13" s="2"/>
      <c r="H13" s="2">
        <f>--10668.2</f>
        <v>10668.2</v>
      </c>
      <c r="I13" s="2"/>
      <c r="J13" s="19"/>
      <c r="K13" s="2"/>
      <c r="L13" s="2">
        <f t="shared" si="0"/>
        <v>-10668.2</v>
      </c>
      <c r="M13" s="2"/>
      <c r="N13" s="19">
        <f t="shared" si="1"/>
        <v>-1</v>
      </c>
      <c r="O13" s="11"/>
      <c r="P13" s="2">
        <f t="shared" ref="P13:P14" si="5">0</f>
        <v>0</v>
      </c>
      <c r="Q13" s="2"/>
      <c r="R13" s="19"/>
      <c r="S13" s="2"/>
      <c r="T13" s="2">
        <f>--31741.26</f>
        <v>31741.26</v>
      </c>
      <c r="U13" s="2"/>
      <c r="V13" s="19"/>
      <c r="W13" s="2"/>
      <c r="X13" s="2">
        <f t="shared" si="2"/>
        <v>-31741.26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 t="shared" si="4"/>
        <v>0</v>
      </c>
      <c r="E14" s="2"/>
      <c r="F14" s="19"/>
      <c r="G14" s="2"/>
      <c r="H14" s="2">
        <f>--43817.62</f>
        <v>43817.62</v>
      </c>
      <c r="I14" s="2"/>
      <c r="J14" s="19"/>
      <c r="K14" s="2"/>
      <c r="L14" s="2">
        <f t="shared" si="0"/>
        <v>-43817.62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f>--98142.34</f>
        <v>98142.34</v>
      </c>
      <c r="U14" s="2"/>
      <c r="V14" s="19"/>
      <c r="W14" s="2"/>
      <c r="X14" s="2">
        <f t="shared" si="2"/>
        <v>-98142.34</v>
      </c>
      <c r="Y14" s="2"/>
      <c r="Z14" s="19">
        <f t="shared" si="3"/>
        <v>-1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6" t="s">
        <v>8</v>
      </c>
      <c r="C16" s="10"/>
      <c r="D16" s="4">
        <f>SUM(OSRRefD16x_0)</f>
        <v>0</v>
      </c>
      <c r="E16" s="4"/>
      <c r="F16" s="12">
        <f t="shared" ref="F16:F18" si="6">IF(D$12=0,0,D16/D$12)</f>
        <v>0</v>
      </c>
      <c r="G16" s="4"/>
      <c r="H16" s="4">
        <f>SUM(OSRRefH16x_0)</f>
        <v>16171.27</v>
      </c>
      <c r="I16" s="4"/>
      <c r="J16" s="12">
        <f t="shared" ref="J16:J18" si="7">IF(H$12=0,0,H16/H$12)</f>
        <v>0.29679777233783028</v>
      </c>
      <c r="K16" s="4"/>
      <c r="L16" s="4">
        <f t="shared" ref="L16:L18" si="8">+D16-H16</f>
        <v>-16171.27</v>
      </c>
      <c r="M16" s="4"/>
      <c r="N16" s="12">
        <f t="shared" ref="N16:N18" si="9">IF(H16=0,0,L16/H16)</f>
        <v>-1</v>
      </c>
      <c r="O16" s="10"/>
      <c r="P16" s="4">
        <f>SUM(OSRRefP16x_0)</f>
        <v>0</v>
      </c>
      <c r="Q16" s="4"/>
      <c r="R16" s="12">
        <f t="shared" ref="R16:R18" si="10">IF(P$12=0,0,P16/P$12)</f>
        <v>0</v>
      </c>
      <c r="S16" s="4"/>
      <c r="T16" s="4">
        <f>SUM(OSRRefT16x_0)</f>
        <v>38456.28</v>
      </c>
      <c r="U16" s="4"/>
      <c r="V16" s="12">
        <f t="shared" ref="V16:V18" si="11">IF(T$12=0,0,T16/T$12)</f>
        <v>0.29608264630792497</v>
      </c>
      <c r="W16" s="4"/>
      <c r="X16" s="4">
        <f t="shared" ref="X16:X18" si="12">+P16-T16</f>
        <v>-38456.28</v>
      </c>
      <c r="Y16" s="4"/>
      <c r="Z16" s="12">
        <f t="shared" ref="Z16:Z18" si="13">IF(T16=0,0,X16/T16)</f>
        <v>-1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6"/>
        <v>0</v>
      </c>
      <c r="G17" s="2"/>
      <c r="H17" s="2">
        <v>17450.310000000001</v>
      </c>
      <c r="I17" s="2"/>
      <c r="J17" s="19">
        <f t="shared" si="7"/>
        <v>0.32027250392854506</v>
      </c>
      <c r="K17" s="2"/>
      <c r="L17" s="2">
        <f t="shared" si="8"/>
        <v>-17450.310000000001</v>
      </c>
      <c r="M17" s="2"/>
      <c r="N17" s="19">
        <f t="shared" si="9"/>
        <v>-1</v>
      </c>
      <c r="O17" s="11"/>
      <c r="P17" s="2"/>
      <c r="Q17" s="2"/>
      <c r="R17" s="19">
        <f t="shared" si="10"/>
        <v>0</v>
      </c>
      <c r="S17" s="2"/>
      <c r="T17" s="2">
        <v>43450.43</v>
      </c>
      <c r="U17" s="2"/>
      <c r="V17" s="19">
        <f t="shared" si="11"/>
        <v>0.33453361317364166</v>
      </c>
      <c r="W17" s="2"/>
      <c r="X17" s="2">
        <f t="shared" si="12"/>
        <v>-43450.43</v>
      </c>
      <c r="Y17" s="2"/>
      <c r="Z17" s="19">
        <f t="shared" si="13"/>
        <v>-1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/>
      <c r="E18" s="2"/>
      <c r="F18" s="19">
        <f t="shared" si="6"/>
        <v>0</v>
      </c>
      <c r="G18" s="2"/>
      <c r="H18" s="2">
        <v>-1279.04</v>
      </c>
      <c r="I18" s="2"/>
      <c r="J18" s="19">
        <f t="shared" si="7"/>
        <v>-2.3474731590714792E-2</v>
      </c>
      <c r="K18" s="2"/>
      <c r="L18" s="2">
        <f t="shared" si="8"/>
        <v>1279.04</v>
      </c>
      <c r="M18" s="2"/>
      <c r="N18" s="19">
        <f t="shared" si="9"/>
        <v>-1</v>
      </c>
      <c r="O18" s="11"/>
      <c r="P18" s="2"/>
      <c r="Q18" s="2"/>
      <c r="R18" s="19">
        <f t="shared" si="10"/>
        <v>0</v>
      </c>
      <c r="S18" s="2"/>
      <c r="T18" s="2">
        <v>-4994.1499999999996</v>
      </c>
      <c r="U18" s="2"/>
      <c r="V18" s="19">
        <f t="shared" si="11"/>
        <v>-3.8450966865716689E-2</v>
      </c>
      <c r="W18" s="2"/>
      <c r="X18" s="2">
        <f t="shared" si="12"/>
        <v>4994.1499999999996</v>
      </c>
      <c r="Y18" s="2"/>
      <c r="Z18" s="19">
        <f t="shared" si="13"/>
        <v>-1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5" t="s">
        <v>6</v>
      </c>
      <c r="C20" s="25"/>
      <c r="D20" s="20">
        <f>D12-D16</f>
        <v>0</v>
      </c>
      <c r="E20" s="13"/>
      <c r="F20" s="21">
        <f>IF(D$12=0,0,D20/D$12)</f>
        <v>0</v>
      </c>
      <c r="G20" s="13"/>
      <c r="H20" s="20">
        <f>H12-H16</f>
        <v>38314.550000000003</v>
      </c>
      <c r="I20" s="13"/>
      <c r="J20" s="21">
        <f>IF(H$12=0,0,H20/H$12)</f>
        <v>0.70320222766216967</v>
      </c>
      <c r="K20" s="15"/>
      <c r="L20" s="20">
        <f>+D20-H20</f>
        <v>-38314.550000000003</v>
      </c>
      <c r="M20" s="15"/>
      <c r="N20" s="21">
        <f>IF(H20=0,0,L20/H20)</f>
        <v>-1</v>
      </c>
      <c r="O20" s="26"/>
      <c r="P20" s="20">
        <f>P12-P16</f>
        <v>0</v>
      </c>
      <c r="Q20" s="13"/>
      <c r="R20" s="21">
        <f>IF(P$12=0,0,P20/P$12)</f>
        <v>0</v>
      </c>
      <c r="S20" s="13"/>
      <c r="T20" s="20">
        <f>T12-T16</f>
        <v>91427.319999999992</v>
      </c>
      <c r="U20" s="13"/>
      <c r="V20" s="21">
        <f>IF(T$12=0,0,T20/T$12)</f>
        <v>0.70391735369207509</v>
      </c>
      <c r="W20" s="15"/>
      <c r="X20" s="20">
        <f>+P20-T20</f>
        <v>-91427.319999999992</v>
      </c>
      <c r="Y20" s="15"/>
      <c r="Z20" s="21">
        <f>IF(T20=0,0,X20/T20)</f>
        <v>-1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6" t="s">
        <v>9</v>
      </c>
      <c r="C22" s="10"/>
      <c r="D22" s="22">
        <f>SUM(OSRRefD22x_0)</f>
        <v>65.73</v>
      </c>
      <c r="E22" s="22"/>
      <c r="F22" s="36">
        <f t="shared" ref="F22:F31" si="14">IF(D$12=0,0,D22/D$12)</f>
        <v>0</v>
      </c>
      <c r="G22" s="22"/>
      <c r="H22" s="22">
        <f>SUM(OSRRefH22x_0)</f>
        <v>27626.22</v>
      </c>
      <c r="I22" s="22"/>
      <c r="J22" s="36">
        <f t="shared" ref="J22:J31" si="15">IF(H$12=0,0,H22/H$12)</f>
        <v>0.50703504141077438</v>
      </c>
      <c r="K22" s="4"/>
      <c r="L22" s="22">
        <f t="shared" ref="L22:L31" si="16">+D22-H22</f>
        <v>-27560.49</v>
      </c>
      <c r="M22" s="4"/>
      <c r="N22" s="36">
        <f t="shared" ref="N22:N31" si="17">IF(H22=0,0,L22/H22)</f>
        <v>-0.99762073855923827</v>
      </c>
      <c r="O22" s="10"/>
      <c r="P22" s="22">
        <f>SUM(OSRRefP22x_0)</f>
        <v>4565.7</v>
      </c>
      <c r="Q22" s="22"/>
      <c r="R22" s="36">
        <f t="shared" ref="R22:R31" si="18">IF(P$12=0,0,P22/P$12)</f>
        <v>0</v>
      </c>
      <c r="S22" s="22"/>
      <c r="T22" s="22">
        <f>SUM(OSRRefT22x_0)</f>
        <v>87200.319999999992</v>
      </c>
      <c r="U22" s="22"/>
      <c r="V22" s="36">
        <f t="shared" ref="V22:V31" si="19">IF(T$12=0,0,T22/T$12)</f>
        <v>0.67137282921015429</v>
      </c>
      <c r="W22" s="4"/>
      <c r="X22" s="22">
        <f t="shared" ref="X22:X31" si="20">+P22-T22</f>
        <v>-82634.62</v>
      </c>
      <c r="Y22" s="4"/>
      <c r="Z22" s="36">
        <f t="shared" ref="Z22:Z31" si="21">IF(T22=0,0,X22/T22)</f>
        <v>-0.94764124718808374</v>
      </c>
    </row>
    <row r="23" spans="1:26" s="29" customFormat="1" outlineLevel="1" collapsed="1" x14ac:dyDescent="0.25">
      <c r="A23" s="27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0</v>
      </c>
      <c r="E23" s="1"/>
      <c r="F23" s="5">
        <f t="shared" si="14"/>
        <v>0</v>
      </c>
      <c r="G23" s="1"/>
      <c r="H23" s="1">
        <f>SUM(OSRRefH22_0x_0)</f>
        <v>3735.82</v>
      </c>
      <c r="I23" s="1"/>
      <c r="J23" s="5">
        <f t="shared" si="15"/>
        <v>6.8564995442850996E-2</v>
      </c>
      <c r="K23" s="1"/>
      <c r="L23" s="1">
        <f t="shared" si="16"/>
        <v>-3735.82</v>
      </c>
      <c r="M23" s="1"/>
      <c r="N23" s="5">
        <f t="shared" si="17"/>
        <v>-1</v>
      </c>
      <c r="O23" s="14"/>
      <c r="P23" s="1">
        <f>SUM(OSRRefP22_0x_0)</f>
        <v>1493.43</v>
      </c>
      <c r="Q23" s="1"/>
      <c r="R23" s="5">
        <f t="shared" si="18"/>
        <v>0</v>
      </c>
      <c r="S23" s="1"/>
      <c r="T23" s="1">
        <f>SUM(OSRRefT22_0x_0)</f>
        <v>14096.39</v>
      </c>
      <c r="U23" s="1"/>
      <c r="V23" s="5">
        <f t="shared" si="19"/>
        <v>0.10853094617026322</v>
      </c>
      <c r="W23" s="1"/>
      <c r="X23" s="1">
        <f t="shared" si="20"/>
        <v>-12602.96</v>
      </c>
      <c r="Y23" s="1"/>
      <c r="Z23" s="5">
        <f t="shared" si="21"/>
        <v>-0.89405585401652476</v>
      </c>
    </row>
    <row r="24" spans="1:26" s="24" customFormat="1" hidden="1" outlineLevel="2" x14ac:dyDescent="0.25">
      <c r="A24" s="28"/>
      <c r="B24" s="11" t="str">
        <f>CONCATENATE("          ", "6111", " - ", "F.I.C.A.")</f>
        <v xml:space="preserve">          6111 - F.I.C.A.</v>
      </c>
      <c r="C24" s="11"/>
      <c r="D24" s="6"/>
      <c r="E24" s="2"/>
      <c r="F24" s="7">
        <f t="shared" si="14"/>
        <v>0</v>
      </c>
      <c r="G24" s="2"/>
      <c r="H24" s="6">
        <v>1255.9000000000001</v>
      </c>
      <c r="I24" s="2"/>
      <c r="J24" s="7">
        <f t="shared" si="15"/>
        <v>2.3050033935434942E-2</v>
      </c>
      <c r="K24" s="2"/>
      <c r="L24" s="6">
        <f t="shared" si="16"/>
        <v>-1255.9000000000001</v>
      </c>
      <c r="M24" s="2"/>
      <c r="N24" s="7">
        <f t="shared" si="17"/>
        <v>-1</v>
      </c>
      <c r="O24" s="11"/>
      <c r="P24" s="6">
        <v>191.51</v>
      </c>
      <c r="Q24" s="2"/>
      <c r="R24" s="7">
        <f t="shared" si="18"/>
        <v>0</v>
      </c>
      <c r="S24" s="2"/>
      <c r="T24" s="6">
        <v>3173.65</v>
      </c>
      <c r="U24" s="2"/>
      <c r="V24" s="7">
        <f t="shared" si="19"/>
        <v>2.4434570646332563E-2</v>
      </c>
      <c r="W24" s="2"/>
      <c r="X24" s="6">
        <f t="shared" si="20"/>
        <v>-2982.1400000000003</v>
      </c>
      <c r="Y24" s="2"/>
      <c r="Z24" s="7">
        <f t="shared" si="21"/>
        <v>-0.93965623178359314</v>
      </c>
    </row>
    <row r="25" spans="1:26" s="24" customFormat="1" hidden="1" outlineLevel="2" x14ac:dyDescent="0.25">
      <c r="A25" s="28"/>
      <c r="B25" s="11" t="str">
        <f>CONCATENATE("          ", "6112", " - ", "COMPENSATION INSURANCE")</f>
        <v xml:space="preserve">          6112 - COMPENSATION INSURANCE</v>
      </c>
      <c r="C25" s="11"/>
      <c r="D25" s="6"/>
      <c r="E25" s="2"/>
      <c r="F25" s="7">
        <f t="shared" si="14"/>
        <v>0</v>
      </c>
      <c r="G25" s="2"/>
      <c r="H25" s="6">
        <v>-47.36</v>
      </c>
      <c r="I25" s="2"/>
      <c r="J25" s="7">
        <f t="shared" si="15"/>
        <v>-8.6921698159264183E-4</v>
      </c>
      <c r="K25" s="2"/>
      <c r="L25" s="6">
        <f t="shared" si="16"/>
        <v>47.36</v>
      </c>
      <c r="M25" s="2"/>
      <c r="N25" s="7">
        <f t="shared" si="17"/>
        <v>-1</v>
      </c>
      <c r="O25" s="11"/>
      <c r="P25" s="6"/>
      <c r="Q25" s="2"/>
      <c r="R25" s="7">
        <f t="shared" si="18"/>
        <v>0</v>
      </c>
      <c r="S25" s="2"/>
      <c r="T25" s="6">
        <v>1192.4000000000001</v>
      </c>
      <c r="U25" s="2"/>
      <c r="V25" s="7">
        <f t="shared" si="19"/>
        <v>9.1805277956570359E-3</v>
      </c>
      <c r="W25" s="2"/>
      <c r="X25" s="6">
        <f t="shared" si="20"/>
        <v>-1192.4000000000001</v>
      </c>
      <c r="Y25" s="2"/>
      <c r="Z25" s="7">
        <f t="shared" si="21"/>
        <v>-1</v>
      </c>
    </row>
    <row r="26" spans="1:26" s="24" customFormat="1" hidden="1" outlineLevel="2" x14ac:dyDescent="0.25">
      <c r="A26" s="28"/>
      <c r="B26" s="11" t="str">
        <f>CONCATENATE("          ", "6113", " - ", "GROUP INSURANCE")</f>
        <v xml:space="preserve">          6113 - GROUP INSURANCE</v>
      </c>
      <c r="C26" s="11"/>
      <c r="D26" s="6"/>
      <c r="E26" s="2"/>
      <c r="F26" s="7">
        <f t="shared" si="14"/>
        <v>0</v>
      </c>
      <c r="G26" s="2"/>
      <c r="H26" s="6">
        <v>1290.46</v>
      </c>
      <c r="I26" s="2"/>
      <c r="J26" s="7">
        <f t="shared" si="15"/>
        <v>2.3684327408489032E-2</v>
      </c>
      <c r="K26" s="2"/>
      <c r="L26" s="6">
        <f t="shared" si="16"/>
        <v>-1290.46</v>
      </c>
      <c r="M26" s="2"/>
      <c r="N26" s="7">
        <f t="shared" si="17"/>
        <v>-1</v>
      </c>
      <c r="O26" s="11"/>
      <c r="P26" s="6">
        <v>718.51</v>
      </c>
      <c r="Q26" s="2"/>
      <c r="R26" s="7">
        <f t="shared" si="18"/>
        <v>0</v>
      </c>
      <c r="S26" s="2"/>
      <c r="T26" s="6">
        <v>5150.26</v>
      </c>
      <c r="U26" s="2"/>
      <c r="V26" s="7">
        <f t="shared" si="19"/>
        <v>3.965288920233194E-2</v>
      </c>
      <c r="W26" s="2"/>
      <c r="X26" s="6">
        <f t="shared" si="20"/>
        <v>-4431.75</v>
      </c>
      <c r="Y26" s="2"/>
      <c r="Z26" s="7">
        <f t="shared" si="21"/>
        <v>-0.8604905383417536</v>
      </c>
    </row>
    <row r="27" spans="1:26" s="24" customFormat="1" hidden="1" outlineLevel="2" x14ac:dyDescent="0.25">
      <c r="A27" s="28"/>
      <c r="B27" s="11" t="str">
        <f>CONCATENATE("          ", "6114", " - ", "STATE UNEMPLOYMENT INSURANCE")</f>
        <v xml:space="preserve">          6114 - STATE UNEMPLOYMENT INSURANCE</v>
      </c>
      <c r="C27" s="11"/>
      <c r="D27" s="6"/>
      <c r="E27" s="2"/>
      <c r="F27" s="7">
        <f t="shared" si="14"/>
        <v>0</v>
      </c>
      <c r="G27" s="2"/>
      <c r="H27" s="6">
        <v>46.65</v>
      </c>
      <c r="I27" s="2"/>
      <c r="J27" s="7">
        <f t="shared" si="15"/>
        <v>8.5618606822839395E-4</v>
      </c>
      <c r="K27" s="2"/>
      <c r="L27" s="6">
        <f t="shared" si="16"/>
        <v>-46.65</v>
      </c>
      <c r="M27" s="2"/>
      <c r="N27" s="7">
        <f t="shared" si="17"/>
        <v>-1</v>
      </c>
      <c r="O27" s="11"/>
      <c r="P27" s="6"/>
      <c r="Q27" s="2"/>
      <c r="R27" s="7">
        <f t="shared" si="18"/>
        <v>0</v>
      </c>
      <c r="S27" s="2"/>
      <c r="T27" s="6">
        <v>129.72999999999999</v>
      </c>
      <c r="U27" s="2"/>
      <c r="V27" s="7">
        <f t="shared" si="19"/>
        <v>9.9881740265899614E-4</v>
      </c>
      <c r="W27" s="2"/>
      <c r="X27" s="6">
        <f t="shared" si="20"/>
        <v>-129.72999999999999</v>
      </c>
      <c r="Y27" s="2"/>
      <c r="Z27" s="7">
        <f t="shared" si="21"/>
        <v>-1</v>
      </c>
    </row>
    <row r="28" spans="1:26" s="24" customFormat="1" hidden="1" outlineLevel="2" x14ac:dyDescent="0.25">
      <c r="A28" s="28"/>
      <c r="B28" s="11" t="str">
        <f>CONCATENATE("          ", "6115", " - ", "P.E.R.S.")</f>
        <v xml:space="preserve">          6115 - P.E.R.S.</v>
      </c>
      <c r="C28" s="11"/>
      <c r="D28" s="6"/>
      <c r="E28" s="2"/>
      <c r="F28" s="7">
        <f t="shared" si="14"/>
        <v>0</v>
      </c>
      <c r="G28" s="2"/>
      <c r="H28" s="6">
        <v>326.52</v>
      </c>
      <c r="I28" s="2"/>
      <c r="J28" s="7">
        <f t="shared" si="15"/>
        <v>5.9927518756256208E-3</v>
      </c>
      <c r="K28" s="2"/>
      <c r="L28" s="6">
        <f t="shared" si="16"/>
        <v>-326.52</v>
      </c>
      <c r="M28" s="2"/>
      <c r="N28" s="7">
        <f t="shared" si="17"/>
        <v>-1</v>
      </c>
      <c r="O28" s="11"/>
      <c r="P28" s="6">
        <v>377.03</v>
      </c>
      <c r="Q28" s="2"/>
      <c r="R28" s="7">
        <f t="shared" si="18"/>
        <v>0</v>
      </c>
      <c r="S28" s="2"/>
      <c r="T28" s="6">
        <v>1306.08</v>
      </c>
      <c r="U28" s="2"/>
      <c r="V28" s="7">
        <f t="shared" si="19"/>
        <v>1.0055773015222862E-2</v>
      </c>
      <c r="W28" s="2"/>
      <c r="X28" s="6">
        <f t="shared" si="20"/>
        <v>-929.05</v>
      </c>
      <c r="Y28" s="2"/>
      <c r="Z28" s="7">
        <f t="shared" si="21"/>
        <v>-0.71132702437829232</v>
      </c>
    </row>
    <row r="29" spans="1:26" s="24" customFormat="1" hidden="1" outlineLevel="2" x14ac:dyDescent="0.25">
      <c r="A29" s="28"/>
      <c r="B29" s="11" t="str">
        <f>CONCATENATE("          ", "6118", " - ", "VACATION")</f>
        <v xml:space="preserve">          6118 - VACATION</v>
      </c>
      <c r="C29" s="11"/>
      <c r="D29" s="6"/>
      <c r="E29" s="2"/>
      <c r="F29" s="7">
        <f t="shared" si="14"/>
        <v>0</v>
      </c>
      <c r="G29" s="2"/>
      <c r="H29" s="6">
        <v>404.07</v>
      </c>
      <c r="I29" s="2"/>
      <c r="J29" s="7">
        <f t="shared" si="15"/>
        <v>7.4160579761853628E-3</v>
      </c>
      <c r="K29" s="2"/>
      <c r="L29" s="6">
        <f t="shared" si="16"/>
        <v>-404.07</v>
      </c>
      <c r="M29" s="2"/>
      <c r="N29" s="7">
        <f t="shared" si="17"/>
        <v>-1</v>
      </c>
      <c r="O29" s="11"/>
      <c r="P29" s="6">
        <v>93.89</v>
      </c>
      <c r="Q29" s="2"/>
      <c r="R29" s="7">
        <f t="shared" si="18"/>
        <v>0</v>
      </c>
      <c r="S29" s="2"/>
      <c r="T29" s="6">
        <v>1296.3</v>
      </c>
      <c r="U29" s="2"/>
      <c r="V29" s="7">
        <f t="shared" si="19"/>
        <v>9.9804748251511363E-3</v>
      </c>
      <c r="W29" s="2"/>
      <c r="X29" s="6">
        <f t="shared" si="20"/>
        <v>-1202.4099999999999</v>
      </c>
      <c r="Y29" s="2"/>
      <c r="Z29" s="7">
        <f t="shared" si="21"/>
        <v>-0.92757077836920454</v>
      </c>
    </row>
    <row r="30" spans="1:26" s="24" customFormat="1" hidden="1" outlineLevel="2" x14ac:dyDescent="0.25">
      <c r="A30" s="28"/>
      <c r="B30" s="11" t="str">
        <f>CONCATENATE("          ", "6119", " - ", "SICK LEAVE")</f>
        <v xml:space="preserve">          6119 - SICK LEAVE</v>
      </c>
      <c r="C30" s="11"/>
      <c r="D30" s="6"/>
      <c r="E30" s="2"/>
      <c r="F30" s="7">
        <f t="shared" si="14"/>
        <v>0</v>
      </c>
      <c r="G30" s="2"/>
      <c r="H30" s="6">
        <v>323.43</v>
      </c>
      <c r="I30" s="2"/>
      <c r="J30" s="7">
        <f t="shared" si="15"/>
        <v>5.9360398723924861E-3</v>
      </c>
      <c r="K30" s="2"/>
      <c r="L30" s="6">
        <f t="shared" si="16"/>
        <v>-323.43</v>
      </c>
      <c r="M30" s="2"/>
      <c r="N30" s="7">
        <f t="shared" si="17"/>
        <v>-1</v>
      </c>
      <c r="O30" s="11"/>
      <c r="P30" s="6">
        <v>112.49</v>
      </c>
      <c r="Q30" s="2"/>
      <c r="R30" s="7">
        <f t="shared" si="18"/>
        <v>0</v>
      </c>
      <c r="S30" s="2"/>
      <c r="T30" s="6">
        <v>1304.18</v>
      </c>
      <c r="U30" s="2"/>
      <c r="V30" s="7">
        <f t="shared" si="19"/>
        <v>1.0041144532489091E-2</v>
      </c>
      <c r="W30" s="2"/>
      <c r="X30" s="6">
        <f t="shared" si="20"/>
        <v>-1191.69</v>
      </c>
      <c r="Y30" s="2"/>
      <c r="Z30" s="7">
        <f t="shared" si="21"/>
        <v>-0.91374656872517601</v>
      </c>
    </row>
    <row r="31" spans="1:26" s="24" customFormat="1" hidden="1" outlineLevel="2" x14ac:dyDescent="0.25">
      <c r="A31" s="28"/>
      <c r="B31" s="11" t="str">
        <f>CONCATENATE("          ", "6156", " - ", "EMPLOYEE MEALS")</f>
        <v xml:space="preserve">          6156 - EMPLOYEE MEALS</v>
      </c>
      <c r="C31" s="11"/>
      <c r="D31" s="6"/>
      <c r="E31" s="2"/>
      <c r="F31" s="7">
        <f t="shared" si="14"/>
        <v>0</v>
      </c>
      <c r="G31" s="2"/>
      <c r="H31" s="6">
        <v>136.15</v>
      </c>
      <c r="I31" s="2"/>
      <c r="J31" s="7">
        <f t="shared" si="15"/>
        <v>2.4988152880877994E-3</v>
      </c>
      <c r="K31" s="2"/>
      <c r="L31" s="6">
        <f t="shared" si="16"/>
        <v>-136.15</v>
      </c>
      <c r="M31" s="2"/>
      <c r="N31" s="7">
        <f t="shared" si="17"/>
        <v>-1</v>
      </c>
      <c r="O31" s="11"/>
      <c r="P31" s="6"/>
      <c r="Q31" s="2"/>
      <c r="R31" s="7">
        <f t="shared" si="18"/>
        <v>0</v>
      </c>
      <c r="S31" s="2"/>
      <c r="T31" s="6">
        <v>543.79</v>
      </c>
      <c r="U31" s="2"/>
      <c r="V31" s="7">
        <f t="shared" si="19"/>
        <v>4.1867487504196063E-3</v>
      </c>
      <c r="W31" s="2"/>
      <c r="X31" s="6">
        <f t="shared" si="20"/>
        <v>-543.79</v>
      </c>
      <c r="Y31" s="2"/>
      <c r="Z31" s="7">
        <f t="shared" si="21"/>
        <v>-1</v>
      </c>
    </row>
    <row r="32" spans="1:26" s="29" customFormat="1" outlineLevel="1" collapsed="1" x14ac:dyDescent="0.25">
      <c r="A32" s="27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0</v>
      </c>
      <c r="E32" s="1"/>
      <c r="F32" s="5">
        <f t="shared" ref="F32:F36" si="22">IF(D$12=0,0,D32/D$12)</f>
        <v>0</v>
      </c>
      <c r="G32" s="1"/>
      <c r="H32" s="1">
        <f>SUM(OSRRefH22_1x_0)</f>
        <v>18759.560000000001</v>
      </c>
      <c r="I32" s="1"/>
      <c r="J32" s="5">
        <f t="shared" ref="J32:J36" si="23">IF(H$12=0,0,H32/H$12)</f>
        <v>0.34430169170620906</v>
      </c>
      <c r="K32" s="1"/>
      <c r="L32" s="1">
        <f t="shared" ref="L32:L36" si="24">+D32-H32</f>
        <v>-18759.560000000001</v>
      </c>
      <c r="M32" s="1"/>
      <c r="N32" s="5">
        <f t="shared" ref="N32:N36" si="25">IF(H32=0,0,L32/H32)</f>
        <v>-1</v>
      </c>
      <c r="O32" s="14"/>
      <c r="P32" s="1">
        <f>SUM(OSRRefP22_1x_0)</f>
        <v>2259.48</v>
      </c>
      <c r="Q32" s="1"/>
      <c r="R32" s="5">
        <f t="shared" ref="R32:R36" si="26">IF(P$12=0,0,P32/P$12)</f>
        <v>0</v>
      </c>
      <c r="S32" s="1"/>
      <c r="T32" s="1">
        <f>SUM(OSRRefT22_1x_0)</f>
        <v>53180.42</v>
      </c>
      <c r="U32" s="1"/>
      <c r="V32" s="5">
        <f t="shared" ref="V32:V36" si="27">IF(T$12=0,0,T32/T$12)</f>
        <v>0.40944676618141168</v>
      </c>
      <c r="W32" s="1"/>
      <c r="X32" s="1">
        <f t="shared" ref="X32:X36" si="28">+P32-T32</f>
        <v>-50920.939999999995</v>
      </c>
      <c r="Y32" s="1"/>
      <c r="Z32" s="5">
        <f t="shared" ref="Z32:Z36" si="29">IF(T32=0,0,X32/T32)</f>
        <v>-0.95751293427167361</v>
      </c>
    </row>
    <row r="33" spans="1:26" s="24" customFormat="1" hidden="1" outlineLevel="2" x14ac:dyDescent="0.25">
      <c r="A33" s="28"/>
      <c r="B33" s="11" t="str">
        <f>CONCATENATE("          ", "6002", " - ", "STAFF SALARIES")</f>
        <v xml:space="preserve">          6002 - STAFF SALARIES</v>
      </c>
      <c r="C33" s="11"/>
      <c r="D33" s="6"/>
      <c r="E33" s="2"/>
      <c r="F33" s="7">
        <f t="shared" si="22"/>
        <v>0</v>
      </c>
      <c r="G33" s="2"/>
      <c r="H33" s="6">
        <v>5842.93</v>
      </c>
      <c r="I33" s="2"/>
      <c r="J33" s="7">
        <f t="shared" si="23"/>
        <v>0.10723762623009069</v>
      </c>
      <c r="K33" s="2"/>
      <c r="L33" s="6">
        <f t="shared" si="24"/>
        <v>-5842.93</v>
      </c>
      <c r="M33" s="2"/>
      <c r="N33" s="7">
        <f t="shared" si="25"/>
        <v>-1</v>
      </c>
      <c r="O33" s="11"/>
      <c r="P33" s="6">
        <v>2259.48</v>
      </c>
      <c r="Q33" s="2"/>
      <c r="R33" s="7">
        <f t="shared" si="26"/>
        <v>0</v>
      </c>
      <c r="S33" s="2"/>
      <c r="T33" s="6">
        <v>20100.870000000003</v>
      </c>
      <c r="U33" s="2"/>
      <c r="V33" s="7">
        <f t="shared" si="27"/>
        <v>0.15476064722566979</v>
      </c>
      <c r="W33" s="2"/>
      <c r="X33" s="6">
        <f t="shared" si="28"/>
        <v>-17841.390000000003</v>
      </c>
      <c r="Y33" s="2"/>
      <c r="Z33" s="7">
        <f t="shared" si="29"/>
        <v>-0.88759292508234722</v>
      </c>
    </row>
    <row r="34" spans="1:26" s="24" customFormat="1" hidden="1" outlineLevel="2" x14ac:dyDescent="0.25">
      <c r="A34" s="28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22"/>
        <v>0</v>
      </c>
      <c r="G34" s="2"/>
      <c r="H34" s="6">
        <v>6974.63</v>
      </c>
      <c r="I34" s="2"/>
      <c r="J34" s="7">
        <f t="shared" si="23"/>
        <v>0.12800816799673748</v>
      </c>
      <c r="K34" s="2"/>
      <c r="L34" s="6">
        <f t="shared" si="24"/>
        <v>-6974.63</v>
      </c>
      <c r="M34" s="2"/>
      <c r="N34" s="7">
        <f t="shared" si="25"/>
        <v>-1</v>
      </c>
      <c r="O34" s="11"/>
      <c r="P34" s="6"/>
      <c r="Q34" s="2"/>
      <c r="R34" s="7">
        <f t="shared" si="26"/>
        <v>0</v>
      </c>
      <c r="S34" s="2"/>
      <c r="T34" s="6">
        <v>14355.24</v>
      </c>
      <c r="U34" s="2"/>
      <c r="V34" s="7">
        <f t="shared" si="27"/>
        <v>0.11052388446270353</v>
      </c>
      <c r="W34" s="2"/>
      <c r="X34" s="6">
        <f t="shared" si="28"/>
        <v>-14355.24</v>
      </c>
      <c r="Y34" s="2"/>
      <c r="Z34" s="7">
        <f t="shared" si="29"/>
        <v>-1</v>
      </c>
    </row>
    <row r="35" spans="1:26" s="24" customFormat="1" hidden="1" outlineLevel="2" x14ac:dyDescent="0.25">
      <c r="A35" s="28"/>
      <c r="B35" s="11" t="str">
        <f>CONCATENATE("          ", "6007", " - ", "STUDENT HOURLY")</f>
        <v xml:space="preserve">          6007 - STUDENT HOURLY</v>
      </c>
      <c r="C35" s="11"/>
      <c r="D35" s="6"/>
      <c r="E35" s="2"/>
      <c r="F35" s="7">
        <f t="shared" si="22"/>
        <v>0</v>
      </c>
      <c r="G35" s="2"/>
      <c r="H35" s="6">
        <v>4931</v>
      </c>
      <c r="I35" s="2"/>
      <c r="J35" s="7">
        <f t="shared" si="23"/>
        <v>9.0500610984656185E-2</v>
      </c>
      <c r="K35" s="2"/>
      <c r="L35" s="6">
        <f t="shared" si="24"/>
        <v>-4931</v>
      </c>
      <c r="M35" s="2"/>
      <c r="N35" s="7">
        <f t="shared" si="25"/>
        <v>-1</v>
      </c>
      <c r="O35" s="11"/>
      <c r="P35" s="6"/>
      <c r="Q35" s="2"/>
      <c r="R35" s="7">
        <f t="shared" si="26"/>
        <v>0</v>
      </c>
      <c r="S35" s="2"/>
      <c r="T35" s="6">
        <v>16966.310000000001</v>
      </c>
      <c r="U35" s="2"/>
      <c r="V35" s="7">
        <f t="shared" si="27"/>
        <v>0.13062703836358094</v>
      </c>
      <c r="W35" s="2"/>
      <c r="X35" s="6">
        <f t="shared" si="28"/>
        <v>-16966.310000000001</v>
      </c>
      <c r="Y35" s="2"/>
      <c r="Z35" s="7">
        <f t="shared" si="29"/>
        <v>-1</v>
      </c>
    </row>
    <row r="36" spans="1:26" s="24" customFormat="1" hidden="1" outlineLevel="2" x14ac:dyDescent="0.25">
      <c r="A36" s="28"/>
      <c r="B36" s="11" t="str">
        <f>CONCATENATE("          ", "6008", " - ", "STUDENT HOURLY-FICA EXEMPT")</f>
        <v xml:space="preserve">          6008 - STUDENT HOURLY-FICA EXEMPT</v>
      </c>
      <c r="C36" s="11"/>
      <c r="D36" s="6"/>
      <c r="E36" s="2"/>
      <c r="F36" s="7">
        <f t="shared" si="22"/>
        <v>0</v>
      </c>
      <c r="G36" s="2"/>
      <c r="H36" s="6">
        <v>1011</v>
      </c>
      <c r="I36" s="2"/>
      <c r="J36" s="7">
        <f t="shared" si="23"/>
        <v>1.8555286494724679E-2</v>
      </c>
      <c r="K36" s="2"/>
      <c r="L36" s="6">
        <f t="shared" si="24"/>
        <v>-1011</v>
      </c>
      <c r="M36" s="2"/>
      <c r="N36" s="7">
        <f t="shared" si="25"/>
        <v>-1</v>
      </c>
      <c r="O36" s="11"/>
      <c r="P36" s="6"/>
      <c r="Q36" s="2"/>
      <c r="R36" s="7">
        <f t="shared" si="26"/>
        <v>0</v>
      </c>
      <c r="S36" s="2"/>
      <c r="T36" s="6">
        <v>1758</v>
      </c>
      <c r="U36" s="2"/>
      <c r="V36" s="7">
        <f t="shared" si="27"/>
        <v>1.3535196129457453E-2</v>
      </c>
      <c r="W36" s="2"/>
      <c r="X36" s="6">
        <f t="shared" si="28"/>
        <v>-1758</v>
      </c>
      <c r="Y36" s="2"/>
      <c r="Z36" s="7">
        <f t="shared" si="29"/>
        <v>-1</v>
      </c>
    </row>
    <row r="37" spans="1:26" s="29" customFormat="1" outlineLevel="1" collapsed="1" x14ac:dyDescent="0.25">
      <c r="A37" s="27"/>
      <c r="B37" s="14" t="str">
        <f>CONCATENATE("     ","Advertising/Promo                                 ")</f>
        <v xml:space="preserve">     Advertising/Promo                                 </v>
      </c>
      <c r="C37" s="14"/>
      <c r="D37" s="1">
        <f>SUM(OSRRefD22_2x_0)</f>
        <v>0</v>
      </c>
      <c r="E37" s="1"/>
      <c r="F37" s="5">
        <f t="shared" ref="F37:F50" si="30">IF(D$12=0,0,D37/D$12)</f>
        <v>0</v>
      </c>
      <c r="G37" s="1"/>
      <c r="H37" s="1">
        <f>SUM(OSRRefH22_2x_0)</f>
        <v>288.79000000000002</v>
      </c>
      <c r="I37" s="1"/>
      <c r="J37" s="5">
        <f t="shared" ref="J37:J50" si="31">IF(H$12=0,0,H37/H$12)</f>
        <v>5.3002781274100307E-3</v>
      </c>
      <c r="K37" s="1"/>
      <c r="L37" s="1">
        <f t="shared" ref="L37:L50" si="32">+D37-H37</f>
        <v>-288.79000000000002</v>
      </c>
      <c r="M37" s="1"/>
      <c r="N37" s="5">
        <f t="shared" ref="N37:N50" si="33">IF(H37=0,0,L37/H37)</f>
        <v>-1</v>
      </c>
      <c r="O37" s="14"/>
      <c r="P37" s="1">
        <f>SUM(OSRRefP22_2x_0)</f>
        <v>0</v>
      </c>
      <c r="Q37" s="1"/>
      <c r="R37" s="5">
        <f t="shared" ref="R37:R50" si="34">IF(P$12=0,0,P37/P$12)</f>
        <v>0</v>
      </c>
      <c r="S37" s="1"/>
      <c r="T37" s="1">
        <f>SUM(OSRRefT22_2x_0)</f>
        <v>1329.72</v>
      </c>
      <c r="U37" s="1"/>
      <c r="V37" s="5">
        <f t="shared" ref="V37:V50" si="35">IF(T$12=0,0,T37/T$12)</f>
        <v>1.0237782137236726E-2</v>
      </c>
      <c r="W37" s="1"/>
      <c r="X37" s="1">
        <f t="shared" ref="X37:X50" si="36">+P37-T37</f>
        <v>-1329.72</v>
      </c>
      <c r="Y37" s="1"/>
      <c r="Z37" s="5">
        <f t="shared" ref="Z37:Z50" si="37">IF(T37=0,0,X37/T37)</f>
        <v>-1</v>
      </c>
    </row>
    <row r="38" spans="1:26" s="24" customFormat="1" hidden="1" outlineLevel="2" x14ac:dyDescent="0.25">
      <c r="A38" s="28"/>
      <c r="B38" s="11" t="str">
        <f>CONCATENATE("          ", "6362", " - ", "ADVERTISING EXPENSE")</f>
        <v xml:space="preserve">          6362 - ADVERTISING EXPENSE</v>
      </c>
      <c r="C38" s="11"/>
      <c r="D38" s="6"/>
      <c r="E38" s="2"/>
      <c r="F38" s="7">
        <f t="shared" si="30"/>
        <v>0</v>
      </c>
      <c r="G38" s="2"/>
      <c r="H38" s="6">
        <v>288.79000000000002</v>
      </c>
      <c r="I38" s="2"/>
      <c r="J38" s="7">
        <f t="shared" si="31"/>
        <v>5.3002781274100307E-3</v>
      </c>
      <c r="K38" s="2"/>
      <c r="L38" s="6">
        <f t="shared" si="32"/>
        <v>-288.79000000000002</v>
      </c>
      <c r="M38" s="2"/>
      <c r="N38" s="7">
        <f t="shared" si="33"/>
        <v>-1</v>
      </c>
      <c r="O38" s="11"/>
      <c r="P38" s="6"/>
      <c r="Q38" s="2"/>
      <c r="R38" s="7">
        <f t="shared" si="34"/>
        <v>0</v>
      </c>
      <c r="S38" s="2"/>
      <c r="T38" s="6">
        <v>1329.72</v>
      </c>
      <c r="U38" s="2"/>
      <c r="V38" s="7">
        <f t="shared" si="35"/>
        <v>1.0237782137236726E-2</v>
      </c>
      <c r="W38" s="2"/>
      <c r="X38" s="6">
        <f t="shared" si="36"/>
        <v>-1329.72</v>
      </c>
      <c r="Y38" s="2"/>
      <c r="Z38" s="7">
        <f t="shared" si="37"/>
        <v>-1</v>
      </c>
    </row>
    <row r="39" spans="1:26" s="29" customFormat="1" outlineLevel="1" collapsed="1" x14ac:dyDescent="0.25">
      <c r="A39" s="27"/>
      <c r="B39" s="14" t="str">
        <f>CONCATENATE("     ","Bad Debts/Over/Short                              ")</f>
        <v xml:space="preserve">     Bad Debts/Over/Short                              </v>
      </c>
      <c r="C39" s="14"/>
      <c r="D39" s="1">
        <f>SUM(OSRRefD22_3x_0)</f>
        <v>0</v>
      </c>
      <c r="E39" s="1"/>
      <c r="F39" s="5">
        <f t="shared" si="30"/>
        <v>0</v>
      </c>
      <c r="G39" s="1"/>
      <c r="H39" s="1">
        <f>SUM(OSRRefH22_3x_0)</f>
        <v>11.17</v>
      </c>
      <c r="I39" s="1"/>
      <c r="J39" s="5">
        <f t="shared" si="31"/>
        <v>2.0500746799809562E-4</v>
      </c>
      <c r="K39" s="1"/>
      <c r="L39" s="1">
        <f t="shared" si="32"/>
        <v>-11.17</v>
      </c>
      <c r="M39" s="1"/>
      <c r="N39" s="5">
        <f t="shared" si="33"/>
        <v>-1</v>
      </c>
      <c r="O39" s="14"/>
      <c r="P39" s="1">
        <f>SUM(OSRRefP22_3x_0)</f>
        <v>0</v>
      </c>
      <c r="Q39" s="1"/>
      <c r="R39" s="5">
        <f t="shared" si="34"/>
        <v>0</v>
      </c>
      <c r="S39" s="1"/>
      <c r="T39" s="1">
        <f>SUM(OSRRefT22_3x_0)</f>
        <v>-26.56</v>
      </c>
      <c r="U39" s="1"/>
      <c r="V39" s="5">
        <f t="shared" si="35"/>
        <v>-2.0449079021523888E-4</v>
      </c>
      <c r="W39" s="1"/>
      <c r="X39" s="1">
        <f t="shared" si="36"/>
        <v>26.56</v>
      </c>
      <c r="Y39" s="1"/>
      <c r="Z39" s="5">
        <f t="shared" si="37"/>
        <v>-1</v>
      </c>
    </row>
    <row r="40" spans="1:26" s="24" customFormat="1" hidden="1" outlineLevel="2" x14ac:dyDescent="0.25">
      <c r="A40" s="28"/>
      <c r="B40" s="11" t="str">
        <f>CONCATENATE("          ", "6272", " - ", "CASH (OVER/SHORT)")</f>
        <v xml:space="preserve">          6272 - CASH (OVER/SHORT)</v>
      </c>
      <c r="C40" s="11"/>
      <c r="D40" s="6"/>
      <c r="E40" s="2"/>
      <c r="F40" s="7">
        <f t="shared" si="30"/>
        <v>0</v>
      </c>
      <c r="G40" s="2"/>
      <c r="H40" s="6">
        <v>11.17</v>
      </c>
      <c r="I40" s="2"/>
      <c r="J40" s="7">
        <f t="shared" si="31"/>
        <v>2.0500746799809562E-4</v>
      </c>
      <c r="K40" s="2"/>
      <c r="L40" s="6">
        <f t="shared" si="32"/>
        <v>-11.17</v>
      </c>
      <c r="M40" s="2"/>
      <c r="N40" s="7">
        <f t="shared" si="33"/>
        <v>-1</v>
      </c>
      <c r="O40" s="11"/>
      <c r="P40" s="6"/>
      <c r="Q40" s="2"/>
      <c r="R40" s="7">
        <f t="shared" si="34"/>
        <v>0</v>
      </c>
      <c r="S40" s="2"/>
      <c r="T40" s="6">
        <v>-26.56</v>
      </c>
      <c r="U40" s="2"/>
      <c r="V40" s="7">
        <f t="shared" si="35"/>
        <v>-2.0449079021523888E-4</v>
      </c>
      <c r="W40" s="2"/>
      <c r="X40" s="6">
        <f t="shared" si="36"/>
        <v>26.56</v>
      </c>
      <c r="Y40" s="2"/>
      <c r="Z40" s="7">
        <f t="shared" si="37"/>
        <v>-1</v>
      </c>
    </row>
    <row r="41" spans="1:26" s="29" customFormat="1" outlineLevel="1" collapsed="1" x14ac:dyDescent="0.25">
      <c r="A41" s="27"/>
      <c r="B41" s="14" t="str">
        <f>CONCATENATE("     ","Bank/card Fees                                    ")</f>
        <v xml:space="preserve">     Bank/card Fees                                    </v>
      </c>
      <c r="C41" s="14"/>
      <c r="D41" s="1">
        <f>SUM(OSRRefD22_4x_0)</f>
        <v>0</v>
      </c>
      <c r="E41" s="1"/>
      <c r="F41" s="5">
        <f t="shared" si="30"/>
        <v>0</v>
      </c>
      <c r="G41" s="1"/>
      <c r="H41" s="1">
        <f>SUM(OSRRefH22_4x_0)</f>
        <v>2122.56</v>
      </c>
      <c r="I41" s="1"/>
      <c r="J41" s="5">
        <f t="shared" si="31"/>
        <v>3.8956190803405358E-2</v>
      </c>
      <c r="K41" s="1"/>
      <c r="L41" s="1">
        <f t="shared" si="32"/>
        <v>-2122.56</v>
      </c>
      <c r="M41" s="1"/>
      <c r="N41" s="5">
        <f t="shared" si="33"/>
        <v>-1</v>
      </c>
      <c r="O41" s="14"/>
      <c r="P41" s="1">
        <f>SUM(OSRRefP22_4x_0)</f>
        <v>0</v>
      </c>
      <c r="Q41" s="1"/>
      <c r="R41" s="5">
        <f t="shared" si="34"/>
        <v>0</v>
      </c>
      <c r="S41" s="1"/>
      <c r="T41" s="1">
        <f>SUM(OSRRefT22_4x_0)</f>
        <v>4622.76</v>
      </c>
      <c r="U41" s="1"/>
      <c r="V41" s="5">
        <f t="shared" si="35"/>
        <v>3.5591560443350823E-2</v>
      </c>
      <c r="W41" s="1"/>
      <c r="X41" s="1">
        <f t="shared" si="36"/>
        <v>-4622.76</v>
      </c>
      <c r="Y41" s="1"/>
      <c r="Z41" s="5">
        <f t="shared" si="37"/>
        <v>-1</v>
      </c>
    </row>
    <row r="42" spans="1:26" s="24" customFormat="1" hidden="1" outlineLevel="2" x14ac:dyDescent="0.25">
      <c r="A42" s="28"/>
      <c r="B42" s="11" t="str">
        <f>CONCATENATE("          ", "6381", " - ", "BANK/CREDIT CARD FEES")</f>
        <v xml:space="preserve">          6381 - BANK/CREDIT CARD FEES</v>
      </c>
      <c r="C42" s="11"/>
      <c r="D42" s="6"/>
      <c r="E42" s="2"/>
      <c r="F42" s="7">
        <f t="shared" si="30"/>
        <v>0</v>
      </c>
      <c r="G42" s="2"/>
      <c r="H42" s="6">
        <v>2122.56</v>
      </c>
      <c r="I42" s="2"/>
      <c r="J42" s="7">
        <f t="shared" si="31"/>
        <v>3.8956190803405358E-2</v>
      </c>
      <c r="K42" s="2"/>
      <c r="L42" s="6">
        <f t="shared" si="32"/>
        <v>-2122.56</v>
      </c>
      <c r="M42" s="2"/>
      <c r="N42" s="7">
        <f t="shared" si="33"/>
        <v>-1</v>
      </c>
      <c r="O42" s="11"/>
      <c r="P42" s="6"/>
      <c r="Q42" s="2"/>
      <c r="R42" s="7">
        <f t="shared" si="34"/>
        <v>0</v>
      </c>
      <c r="S42" s="2"/>
      <c r="T42" s="6">
        <v>4622.76</v>
      </c>
      <c r="U42" s="2"/>
      <c r="V42" s="7">
        <f t="shared" si="35"/>
        <v>3.5591560443350823E-2</v>
      </c>
      <c r="W42" s="2"/>
      <c r="X42" s="6">
        <f t="shared" si="36"/>
        <v>-4622.76</v>
      </c>
      <c r="Y42" s="2"/>
      <c r="Z42" s="7">
        <f t="shared" si="37"/>
        <v>-1</v>
      </c>
    </row>
    <row r="43" spans="1:26" s="29" customFormat="1" outlineLevel="1" collapsed="1" x14ac:dyDescent="0.25">
      <c r="A43" s="27"/>
      <c r="B43" s="14" t="str">
        <f>CONCATENATE("     ","Depreciation                                      ")</f>
        <v xml:space="preserve">     Depreciation                                      </v>
      </c>
      <c r="C43" s="14"/>
      <c r="D43" s="1">
        <f>SUM(OSRRefD22_5x_0)</f>
        <v>58.03</v>
      </c>
      <c r="E43" s="1"/>
      <c r="F43" s="5">
        <f t="shared" si="30"/>
        <v>0</v>
      </c>
      <c r="G43" s="1"/>
      <c r="H43" s="1">
        <f>SUM(OSRRefH22_5x_0)</f>
        <v>630.21</v>
      </c>
      <c r="I43" s="1"/>
      <c r="J43" s="5">
        <f t="shared" si="31"/>
        <v>1.1566495649693809E-2</v>
      </c>
      <c r="K43" s="1"/>
      <c r="L43" s="1">
        <f t="shared" si="32"/>
        <v>-572.18000000000006</v>
      </c>
      <c r="M43" s="1"/>
      <c r="N43" s="5">
        <f t="shared" si="33"/>
        <v>-0.90791958236143511</v>
      </c>
      <c r="O43" s="14"/>
      <c r="P43" s="1">
        <f>SUM(OSRRefP22_5x_0)</f>
        <v>232.12</v>
      </c>
      <c r="Q43" s="1"/>
      <c r="R43" s="5">
        <f t="shared" si="34"/>
        <v>0</v>
      </c>
      <c r="S43" s="1"/>
      <c r="T43" s="1">
        <f>SUM(OSRRefT22_5x_0)</f>
        <v>2520.84</v>
      </c>
      <c r="U43" s="1"/>
      <c r="V43" s="5">
        <f t="shared" si="35"/>
        <v>1.9408454955052064E-2</v>
      </c>
      <c r="W43" s="1"/>
      <c r="X43" s="1">
        <f t="shared" si="36"/>
        <v>-2288.7200000000003</v>
      </c>
      <c r="Y43" s="1"/>
      <c r="Z43" s="5">
        <f t="shared" si="37"/>
        <v>-0.90791958236143511</v>
      </c>
    </row>
    <row r="44" spans="1:26" s="24" customFormat="1" hidden="1" outlineLevel="2" x14ac:dyDescent="0.25">
      <c r="A44" s="28"/>
      <c r="B44" s="11" t="str">
        <f>CONCATENATE("          ", "6322", " - ", "EQUIPMENT DEPRECIATION EXPENSE")</f>
        <v xml:space="preserve">          6322 - EQUIPMENT DEPRECIATION EXPENSE</v>
      </c>
      <c r="C44" s="11"/>
      <c r="D44" s="6">
        <v>58.03</v>
      </c>
      <c r="E44" s="2"/>
      <c r="F44" s="7">
        <f t="shared" si="30"/>
        <v>0</v>
      </c>
      <c r="G44" s="2"/>
      <c r="H44" s="6">
        <v>630.21</v>
      </c>
      <c r="I44" s="2"/>
      <c r="J44" s="7">
        <f t="shared" si="31"/>
        <v>1.1566495649693809E-2</v>
      </c>
      <c r="K44" s="2"/>
      <c r="L44" s="6">
        <f t="shared" si="32"/>
        <v>-572.18000000000006</v>
      </c>
      <c r="M44" s="2"/>
      <c r="N44" s="7">
        <f t="shared" si="33"/>
        <v>-0.90791958236143511</v>
      </c>
      <c r="O44" s="11"/>
      <c r="P44" s="6">
        <v>232.12</v>
      </c>
      <c r="Q44" s="2"/>
      <c r="R44" s="7">
        <f t="shared" si="34"/>
        <v>0</v>
      </c>
      <c r="S44" s="2"/>
      <c r="T44" s="6">
        <v>2520.84</v>
      </c>
      <c r="U44" s="2"/>
      <c r="V44" s="7">
        <f t="shared" si="35"/>
        <v>1.9408454955052064E-2</v>
      </c>
      <c r="W44" s="2"/>
      <c r="X44" s="6">
        <f t="shared" si="36"/>
        <v>-2288.7200000000003</v>
      </c>
      <c r="Y44" s="2"/>
      <c r="Z44" s="7">
        <f t="shared" si="37"/>
        <v>-0.90791958236143511</v>
      </c>
    </row>
    <row r="45" spans="1:26" s="29" customFormat="1" outlineLevel="1" collapsed="1" x14ac:dyDescent="0.25">
      <c r="A45" s="27"/>
      <c r="B45" s="14" t="str">
        <f>CONCATENATE("     ","General                                           ")</f>
        <v xml:space="preserve">     General                                           </v>
      </c>
      <c r="C45" s="14"/>
      <c r="D45" s="1">
        <f>SUM(OSRRefD22_6x_0)</f>
        <v>0</v>
      </c>
      <c r="E45" s="1"/>
      <c r="F45" s="5">
        <f t="shared" si="30"/>
        <v>0</v>
      </c>
      <c r="G45" s="1"/>
      <c r="H45" s="1">
        <f>SUM(OSRRefH22_6x_0)</f>
        <v>101.8</v>
      </c>
      <c r="I45" s="1"/>
      <c r="J45" s="5">
        <f t="shared" si="31"/>
        <v>1.8683760288456699E-3</v>
      </c>
      <c r="K45" s="1"/>
      <c r="L45" s="1">
        <f t="shared" si="32"/>
        <v>-101.8</v>
      </c>
      <c r="M45" s="1"/>
      <c r="N45" s="5">
        <f t="shared" si="33"/>
        <v>-1</v>
      </c>
      <c r="O45" s="14"/>
      <c r="P45" s="1">
        <f>SUM(OSRRefP22_6x_0)</f>
        <v>0</v>
      </c>
      <c r="Q45" s="1"/>
      <c r="R45" s="5">
        <f t="shared" si="34"/>
        <v>0</v>
      </c>
      <c r="S45" s="1"/>
      <c r="T45" s="1">
        <f>SUM(OSRRefT22_6x_0)</f>
        <v>851.35</v>
      </c>
      <c r="U45" s="1"/>
      <c r="V45" s="5">
        <f t="shared" si="35"/>
        <v>6.554715144945167E-3</v>
      </c>
      <c r="W45" s="1"/>
      <c r="X45" s="1">
        <f t="shared" si="36"/>
        <v>-851.35</v>
      </c>
      <c r="Y45" s="1"/>
      <c r="Z45" s="5">
        <f t="shared" si="37"/>
        <v>-1</v>
      </c>
    </row>
    <row r="46" spans="1:26" s="24" customFormat="1" hidden="1" outlineLevel="2" x14ac:dyDescent="0.25">
      <c r="A46" s="28"/>
      <c r="B46" s="11" t="str">
        <f>CONCATENATE("          ", "6279", " - ", "GENERAL EXPENSE")</f>
        <v xml:space="preserve">          6279 - GENERAL EXPENSE</v>
      </c>
      <c r="C46" s="11"/>
      <c r="D46" s="6"/>
      <c r="E46" s="2"/>
      <c r="F46" s="7">
        <f t="shared" si="30"/>
        <v>0</v>
      </c>
      <c r="G46" s="2"/>
      <c r="H46" s="6">
        <v>101.8</v>
      </c>
      <c r="I46" s="2"/>
      <c r="J46" s="7">
        <f t="shared" si="31"/>
        <v>1.8683760288456699E-3</v>
      </c>
      <c r="K46" s="2"/>
      <c r="L46" s="6">
        <f t="shared" si="32"/>
        <v>-101.8</v>
      </c>
      <c r="M46" s="2"/>
      <c r="N46" s="7">
        <f t="shared" si="33"/>
        <v>-1</v>
      </c>
      <c r="O46" s="11"/>
      <c r="P46" s="6"/>
      <c r="Q46" s="2"/>
      <c r="R46" s="7">
        <f t="shared" si="34"/>
        <v>0</v>
      </c>
      <c r="S46" s="2"/>
      <c r="T46" s="6">
        <v>851.35</v>
      </c>
      <c r="U46" s="2"/>
      <c r="V46" s="7">
        <f t="shared" si="35"/>
        <v>6.554715144945167E-3</v>
      </c>
      <c r="W46" s="2"/>
      <c r="X46" s="6">
        <f t="shared" si="36"/>
        <v>-851.35</v>
      </c>
      <c r="Y46" s="2"/>
      <c r="Z46" s="7">
        <f t="shared" si="37"/>
        <v>-1</v>
      </c>
    </row>
    <row r="47" spans="1:26" s="29" customFormat="1" outlineLevel="1" collapsed="1" x14ac:dyDescent="0.25">
      <c r="A47" s="27"/>
      <c r="B47" s="14" t="str">
        <f>CONCATENATE("     ","Repair and Maintenance                            ")</f>
        <v xml:space="preserve">     Repair and Maintenance                            </v>
      </c>
      <c r="C47" s="14"/>
      <c r="D47" s="1">
        <f>SUM(OSRRefD22_7x_0)</f>
        <v>0</v>
      </c>
      <c r="E47" s="1"/>
      <c r="F47" s="5">
        <f t="shared" si="30"/>
        <v>0</v>
      </c>
      <c r="G47" s="1"/>
      <c r="H47" s="1">
        <f>SUM(OSRRefH22_7x_0)</f>
        <v>1098.97</v>
      </c>
      <c r="I47" s="1"/>
      <c r="J47" s="5">
        <f t="shared" si="31"/>
        <v>2.0169835013954088E-2</v>
      </c>
      <c r="K47" s="1"/>
      <c r="L47" s="1">
        <f t="shared" si="32"/>
        <v>-1098.97</v>
      </c>
      <c r="M47" s="1"/>
      <c r="N47" s="5">
        <f t="shared" si="33"/>
        <v>-1</v>
      </c>
      <c r="O47" s="14"/>
      <c r="P47" s="1">
        <f>SUM(OSRRefP22_7x_0)</f>
        <v>244.35</v>
      </c>
      <c r="Q47" s="1"/>
      <c r="R47" s="5">
        <f t="shared" si="34"/>
        <v>0</v>
      </c>
      <c r="S47" s="1"/>
      <c r="T47" s="1">
        <f>SUM(OSRRefT22_7x_0)</f>
        <v>7677.8099999999995</v>
      </c>
      <c r="U47" s="1"/>
      <c r="V47" s="5">
        <f t="shared" si="35"/>
        <v>5.9113005799038526E-2</v>
      </c>
      <c r="W47" s="1"/>
      <c r="X47" s="1">
        <f t="shared" si="36"/>
        <v>-7433.4599999999991</v>
      </c>
      <c r="Y47" s="1"/>
      <c r="Z47" s="5">
        <f t="shared" si="37"/>
        <v>-0.96817451851504521</v>
      </c>
    </row>
    <row r="48" spans="1:26" s="24" customFormat="1" hidden="1" outlineLevel="2" x14ac:dyDescent="0.25">
      <c r="A48" s="28"/>
      <c r="B48" s="11" t="str">
        <f>CONCATENATE("          ", "6371", " - ", "COMPUTER SOFTWARE MAINTENANCE")</f>
        <v xml:space="preserve">          6371 - COMPUTER SOFTWARE MAINTENANCE</v>
      </c>
      <c r="C48" s="11"/>
      <c r="D48" s="6"/>
      <c r="E48" s="2"/>
      <c r="F48" s="7">
        <f t="shared" si="30"/>
        <v>0</v>
      </c>
      <c r="G48" s="2"/>
      <c r="H48" s="6"/>
      <c r="I48" s="2"/>
      <c r="J48" s="7">
        <f t="shared" si="31"/>
        <v>0</v>
      </c>
      <c r="K48" s="2"/>
      <c r="L48" s="6">
        <f t="shared" si="32"/>
        <v>0</v>
      </c>
      <c r="M48" s="2"/>
      <c r="N48" s="7">
        <f t="shared" si="33"/>
        <v>0</v>
      </c>
      <c r="O48" s="11"/>
      <c r="P48" s="6"/>
      <c r="Q48" s="2"/>
      <c r="R48" s="7">
        <f t="shared" si="34"/>
        <v>0</v>
      </c>
      <c r="S48" s="2"/>
      <c r="T48" s="6">
        <v>874.62</v>
      </c>
      <c r="U48" s="2"/>
      <c r="V48" s="7">
        <f t="shared" si="35"/>
        <v>6.7338755624266654E-3</v>
      </c>
      <c r="W48" s="2"/>
      <c r="X48" s="6">
        <f t="shared" si="36"/>
        <v>-874.62</v>
      </c>
      <c r="Y48" s="2"/>
      <c r="Z48" s="7">
        <f t="shared" si="37"/>
        <v>-1</v>
      </c>
    </row>
    <row r="49" spans="1:26" s="24" customFormat="1" hidden="1" outlineLevel="2" x14ac:dyDescent="0.25">
      <c r="A49" s="28"/>
      <c r="B49" s="11" t="str">
        <f>CONCATENATE("          ", "6373", " - ", "MAINTENANCE CONTRACTS")</f>
        <v xml:space="preserve">          6373 - MAINTENANCE CONTRACTS</v>
      </c>
      <c r="C49" s="11"/>
      <c r="D49" s="6"/>
      <c r="E49" s="2"/>
      <c r="F49" s="7">
        <f t="shared" si="30"/>
        <v>0</v>
      </c>
      <c r="G49" s="2"/>
      <c r="H49" s="6">
        <v>157.29</v>
      </c>
      <c r="I49" s="2"/>
      <c r="J49" s="7">
        <f t="shared" si="31"/>
        <v>2.8868061451585011E-3</v>
      </c>
      <c r="K49" s="2"/>
      <c r="L49" s="6">
        <f t="shared" si="32"/>
        <v>-157.29</v>
      </c>
      <c r="M49" s="2"/>
      <c r="N49" s="7">
        <f t="shared" si="33"/>
        <v>-1</v>
      </c>
      <c r="O49" s="11"/>
      <c r="P49" s="6">
        <v>244.35</v>
      </c>
      <c r="Q49" s="2"/>
      <c r="R49" s="7">
        <f t="shared" si="34"/>
        <v>0</v>
      </c>
      <c r="S49" s="2"/>
      <c r="T49" s="6">
        <v>157.29</v>
      </c>
      <c r="U49" s="2"/>
      <c r="V49" s="7">
        <f t="shared" si="35"/>
        <v>1.2110073943130619E-3</v>
      </c>
      <c r="W49" s="2"/>
      <c r="X49" s="6">
        <f t="shared" si="36"/>
        <v>87.06</v>
      </c>
      <c r="Y49" s="2"/>
      <c r="Z49" s="7">
        <f t="shared" si="37"/>
        <v>0.55349990463475118</v>
      </c>
    </row>
    <row r="50" spans="1:26" s="24" customFormat="1" hidden="1" outlineLevel="2" x14ac:dyDescent="0.25">
      <c r="A50" s="28"/>
      <c r="B50" s="11" t="str">
        <f>CONCATENATE("          ", "6375", " - ", "OUTSIDE REPAIRS &amp; MAINTENANCE")</f>
        <v xml:space="preserve">          6375 - OUTSIDE REPAIRS &amp; MAINTENANCE</v>
      </c>
      <c r="C50" s="11"/>
      <c r="D50" s="6"/>
      <c r="E50" s="2"/>
      <c r="F50" s="7">
        <f t="shared" si="30"/>
        <v>0</v>
      </c>
      <c r="G50" s="2"/>
      <c r="H50" s="6">
        <v>941.68</v>
      </c>
      <c r="I50" s="2"/>
      <c r="J50" s="7">
        <f t="shared" si="31"/>
        <v>1.7283028868795583E-2</v>
      </c>
      <c r="K50" s="2"/>
      <c r="L50" s="6">
        <f t="shared" si="32"/>
        <v>-941.68</v>
      </c>
      <c r="M50" s="2"/>
      <c r="N50" s="7">
        <f t="shared" si="33"/>
        <v>-1</v>
      </c>
      <c r="O50" s="11"/>
      <c r="P50" s="6"/>
      <c r="Q50" s="2"/>
      <c r="R50" s="7">
        <f t="shared" si="34"/>
        <v>0</v>
      </c>
      <c r="S50" s="2"/>
      <c r="T50" s="6">
        <v>6645.9</v>
      </c>
      <c r="U50" s="2"/>
      <c r="V50" s="7">
        <f t="shared" si="35"/>
        <v>5.1168122842298797E-2</v>
      </c>
      <c r="W50" s="2"/>
      <c r="X50" s="6">
        <f t="shared" si="36"/>
        <v>-6645.9</v>
      </c>
      <c r="Y50" s="2"/>
      <c r="Z50" s="7">
        <f t="shared" si="37"/>
        <v>-1</v>
      </c>
    </row>
    <row r="51" spans="1:26" s="29" customFormat="1" outlineLevel="1" collapsed="1" x14ac:dyDescent="0.25">
      <c r="A51" s="27"/>
      <c r="B51" s="14" t="str">
        <f>CONCATENATE("     ","Services                                          ")</f>
        <v xml:space="preserve">     Services                                          </v>
      </c>
      <c r="C51" s="14"/>
      <c r="D51" s="1">
        <f>SUM(OSRRefD22_8x_0)</f>
        <v>0</v>
      </c>
      <c r="E51" s="1"/>
      <c r="F51" s="5">
        <f t="shared" ref="F51:F53" si="38">IF(D$12=0,0,D51/D$12)</f>
        <v>0</v>
      </c>
      <c r="G51" s="1"/>
      <c r="H51" s="1">
        <f>SUM(OSRRefH22_8x_0)</f>
        <v>206.55</v>
      </c>
      <c r="I51" s="1"/>
      <c r="J51" s="5">
        <f t="shared" ref="J51:J53" si="39">IF(H$12=0,0,H51/H$12)</f>
        <v>3.7908945850498349E-3</v>
      </c>
      <c r="K51" s="1"/>
      <c r="L51" s="1">
        <f t="shared" ref="L51:L53" si="40">+D51-H51</f>
        <v>-206.55</v>
      </c>
      <c r="M51" s="1"/>
      <c r="N51" s="5">
        <f t="shared" ref="N51:N53" si="41">IF(H51=0,0,L51/H51)</f>
        <v>-1</v>
      </c>
      <c r="O51" s="14"/>
      <c r="P51" s="1">
        <f>SUM(OSRRefP22_8x_0)</f>
        <v>286.62</v>
      </c>
      <c r="Q51" s="1"/>
      <c r="R51" s="5">
        <f t="shared" ref="R51:R53" si="42">IF(P$12=0,0,P51/P$12)</f>
        <v>0</v>
      </c>
      <c r="S51" s="1"/>
      <c r="T51" s="1">
        <f>SUM(OSRRefT22_8x_0)</f>
        <v>273.77</v>
      </c>
      <c r="U51" s="1"/>
      <c r="V51" s="5">
        <f t="shared" ref="V51:V53" si="43">IF(T$12=0,0,T51/T$12)</f>
        <v>2.1078103779076035E-3</v>
      </c>
      <c r="W51" s="1"/>
      <c r="X51" s="1">
        <f t="shared" ref="X51:X53" si="44">+P51-T51</f>
        <v>12.850000000000023</v>
      </c>
      <c r="Y51" s="1"/>
      <c r="Z51" s="5">
        <f t="shared" ref="Z51:Z53" si="45">IF(T51=0,0,X51/T51)</f>
        <v>4.6937210066844516E-2</v>
      </c>
    </row>
    <row r="52" spans="1:26" s="24" customFormat="1" hidden="1" outlineLevel="2" x14ac:dyDescent="0.25">
      <c r="A52" s="28"/>
      <c r="B52" s="11" t="str">
        <f>CONCATENATE("          ", "6282", " - ", "JANITORIAL/EXTERMINATOR EXPENS")</f>
        <v xml:space="preserve">          6282 - JANITORIAL/EXTERMINATOR EXPENS</v>
      </c>
      <c r="C52" s="11"/>
      <c r="D52" s="6"/>
      <c r="E52" s="2"/>
      <c r="F52" s="7">
        <f t="shared" si="38"/>
        <v>0</v>
      </c>
      <c r="G52" s="2"/>
      <c r="H52" s="6"/>
      <c r="I52" s="2"/>
      <c r="J52" s="7">
        <f t="shared" si="39"/>
        <v>0</v>
      </c>
      <c r="K52" s="2"/>
      <c r="L52" s="6">
        <f t="shared" si="40"/>
        <v>0</v>
      </c>
      <c r="M52" s="2"/>
      <c r="N52" s="7">
        <f t="shared" si="41"/>
        <v>0</v>
      </c>
      <c r="O52" s="11"/>
      <c r="P52" s="6">
        <v>286.62</v>
      </c>
      <c r="Q52" s="2"/>
      <c r="R52" s="7">
        <f t="shared" si="42"/>
        <v>0</v>
      </c>
      <c r="S52" s="2"/>
      <c r="T52" s="6"/>
      <c r="U52" s="2"/>
      <c r="V52" s="7">
        <f t="shared" si="43"/>
        <v>0</v>
      </c>
      <c r="W52" s="2"/>
      <c r="X52" s="6">
        <f t="shared" si="44"/>
        <v>286.62</v>
      </c>
      <c r="Y52" s="2"/>
      <c r="Z52" s="7">
        <f t="shared" si="45"/>
        <v>0</v>
      </c>
    </row>
    <row r="53" spans="1:26" s="24" customFormat="1" hidden="1" outlineLevel="2" x14ac:dyDescent="0.25">
      <c r="A53" s="28"/>
      <c r="B53" s="11" t="str">
        <f>CONCATENATE("          ", "6286", " - ", "LAUNDRY EXPENSE")</f>
        <v xml:space="preserve">          6286 - LAUNDRY EXPENSE</v>
      </c>
      <c r="C53" s="11"/>
      <c r="D53" s="6"/>
      <c r="E53" s="2"/>
      <c r="F53" s="7">
        <f t="shared" si="38"/>
        <v>0</v>
      </c>
      <c r="G53" s="2"/>
      <c r="H53" s="6">
        <v>206.55</v>
      </c>
      <c r="I53" s="2"/>
      <c r="J53" s="7">
        <f t="shared" si="39"/>
        <v>3.7908945850498349E-3</v>
      </c>
      <c r="K53" s="2"/>
      <c r="L53" s="6">
        <f t="shared" si="40"/>
        <v>-206.55</v>
      </c>
      <c r="M53" s="2"/>
      <c r="N53" s="7">
        <f t="shared" si="41"/>
        <v>-1</v>
      </c>
      <c r="O53" s="11"/>
      <c r="P53" s="6"/>
      <c r="Q53" s="2"/>
      <c r="R53" s="7">
        <f t="shared" si="42"/>
        <v>0</v>
      </c>
      <c r="S53" s="2"/>
      <c r="T53" s="6">
        <v>273.77</v>
      </c>
      <c r="U53" s="2"/>
      <c r="V53" s="7">
        <f t="shared" si="43"/>
        <v>2.1078103779076035E-3</v>
      </c>
      <c r="W53" s="2"/>
      <c r="X53" s="6">
        <f t="shared" si="44"/>
        <v>-273.77</v>
      </c>
      <c r="Y53" s="2"/>
      <c r="Z53" s="7">
        <f t="shared" si="45"/>
        <v>-1</v>
      </c>
    </row>
    <row r="54" spans="1:26" s="29" customFormat="1" outlineLevel="1" collapsed="1" x14ac:dyDescent="0.25">
      <c r="A54" s="27"/>
      <c r="B54" s="14" t="str">
        <f>CONCATENATE("     ","Supplies                                          ")</f>
        <v xml:space="preserve">     Supplies                                          </v>
      </c>
      <c r="C54" s="14"/>
      <c r="D54" s="1">
        <f>SUM(OSRRefD22_9x_0)</f>
        <v>0</v>
      </c>
      <c r="E54" s="1"/>
      <c r="F54" s="5">
        <f t="shared" ref="F54:F59" si="46">IF(D$12=0,0,D54/D$12)</f>
        <v>0</v>
      </c>
      <c r="G54" s="1"/>
      <c r="H54" s="1">
        <f>SUM(OSRRefH22_9x_0)</f>
        <v>599.79000000000008</v>
      </c>
      <c r="I54" s="1"/>
      <c r="J54" s="5">
        <f t="shared" ref="J54:J59" si="47">IF(H$12=0,0,H54/H$12)</f>
        <v>1.1008185248932658E-2</v>
      </c>
      <c r="K54" s="1"/>
      <c r="L54" s="1">
        <f t="shared" ref="L54:L59" si="48">+D54-H54</f>
        <v>-599.79000000000008</v>
      </c>
      <c r="M54" s="1"/>
      <c r="N54" s="5">
        <f t="shared" ref="N54:N59" si="49">IF(H54=0,0,L54/H54)</f>
        <v>-1</v>
      </c>
      <c r="O54" s="14"/>
      <c r="P54" s="1">
        <f>SUM(OSRRefP22_9x_0)</f>
        <v>0</v>
      </c>
      <c r="Q54" s="1"/>
      <c r="R54" s="5">
        <f t="shared" ref="R54:R59" si="50">IF(P$12=0,0,P54/P$12)</f>
        <v>0</v>
      </c>
      <c r="S54" s="1"/>
      <c r="T54" s="1">
        <f>SUM(OSRRefT22_9x_0)</f>
        <v>2389.8199999999997</v>
      </c>
      <c r="U54" s="1"/>
      <c r="V54" s="5">
        <f t="shared" ref="V54:V59" si="51">IF(T$12=0,0,T54/T$12)</f>
        <v>1.8399705582536979E-2</v>
      </c>
      <c r="W54" s="1"/>
      <c r="X54" s="1">
        <f t="shared" ref="X54:X59" si="52">+P54-T54</f>
        <v>-2389.8199999999997</v>
      </c>
      <c r="Y54" s="1"/>
      <c r="Z54" s="5">
        <f t="shared" ref="Z54:Z59" si="53">IF(T54=0,0,X54/T54)</f>
        <v>-1</v>
      </c>
    </row>
    <row r="55" spans="1:26" s="24" customFormat="1" hidden="1" outlineLevel="2" x14ac:dyDescent="0.25">
      <c r="A55" s="28"/>
      <c r="B55" s="11" t="str">
        <f>CONCATENATE("          ", "6239", " - ", "KITCHEN SUPPLIES")</f>
        <v xml:space="preserve">          6239 - KITCHEN SUPPLIES</v>
      </c>
      <c r="C55" s="11"/>
      <c r="D55" s="6"/>
      <c r="E55" s="2"/>
      <c r="F55" s="7">
        <f t="shared" si="46"/>
        <v>0</v>
      </c>
      <c r="G55" s="2"/>
      <c r="H55" s="6"/>
      <c r="I55" s="2"/>
      <c r="J55" s="7">
        <f t="shared" si="47"/>
        <v>0</v>
      </c>
      <c r="K55" s="2"/>
      <c r="L55" s="6">
        <f t="shared" si="48"/>
        <v>0</v>
      </c>
      <c r="M55" s="2"/>
      <c r="N55" s="7">
        <f t="shared" si="49"/>
        <v>0</v>
      </c>
      <c r="O55" s="11"/>
      <c r="P55" s="6"/>
      <c r="Q55" s="2"/>
      <c r="R55" s="7">
        <f t="shared" si="50"/>
        <v>0</v>
      </c>
      <c r="S55" s="2"/>
      <c r="T55" s="6">
        <v>540.89</v>
      </c>
      <c r="U55" s="2"/>
      <c r="V55" s="7">
        <f t="shared" si="51"/>
        <v>4.1644210662470094E-3</v>
      </c>
      <c r="W55" s="2"/>
      <c r="X55" s="6">
        <f t="shared" si="52"/>
        <v>-540.89</v>
      </c>
      <c r="Y55" s="2"/>
      <c r="Z55" s="7">
        <f t="shared" si="53"/>
        <v>-1</v>
      </c>
    </row>
    <row r="56" spans="1:26" s="24" customFormat="1" hidden="1" outlineLevel="2" x14ac:dyDescent="0.25">
      <c r="A56" s="28"/>
      <c r="B56" s="11" t="str">
        <f>CONCATENATE("          ", "6241", " - ", "OFFICE EXPENSE")</f>
        <v xml:space="preserve">          6241 - OFFICE EXPENSE</v>
      </c>
      <c r="C56" s="11"/>
      <c r="D56" s="6"/>
      <c r="E56" s="2"/>
      <c r="F56" s="7">
        <f t="shared" si="46"/>
        <v>0</v>
      </c>
      <c r="G56" s="2"/>
      <c r="H56" s="6">
        <v>237.09</v>
      </c>
      <c r="I56" s="2"/>
      <c r="J56" s="7">
        <f t="shared" si="47"/>
        <v>4.3514073937035358E-3</v>
      </c>
      <c r="K56" s="2"/>
      <c r="L56" s="6">
        <f t="shared" si="48"/>
        <v>-237.09</v>
      </c>
      <c r="M56" s="2"/>
      <c r="N56" s="7">
        <f t="shared" si="49"/>
        <v>-1</v>
      </c>
      <c r="O56" s="11"/>
      <c r="P56" s="6"/>
      <c r="Q56" s="2"/>
      <c r="R56" s="7">
        <f t="shared" si="50"/>
        <v>0</v>
      </c>
      <c r="S56" s="2"/>
      <c r="T56" s="6">
        <v>419.47</v>
      </c>
      <c r="U56" s="2"/>
      <c r="V56" s="7">
        <f t="shared" si="51"/>
        <v>3.2295840275446634E-3</v>
      </c>
      <c r="W56" s="2"/>
      <c r="X56" s="6">
        <f t="shared" si="52"/>
        <v>-419.47</v>
      </c>
      <c r="Y56" s="2"/>
      <c r="Z56" s="7">
        <f t="shared" si="53"/>
        <v>-1</v>
      </c>
    </row>
    <row r="57" spans="1:26" s="24" customFormat="1" hidden="1" outlineLevel="2" x14ac:dyDescent="0.25">
      <c r="A57" s="28"/>
      <c r="B57" s="11" t="str">
        <f>CONCATENATE("          ", "6243", " - ", "PAPER SUPPLIES")</f>
        <v xml:space="preserve">          6243 - PAPER SUPPLIES</v>
      </c>
      <c r="C57" s="11"/>
      <c r="D57" s="6"/>
      <c r="E57" s="2"/>
      <c r="F57" s="7">
        <f t="shared" si="46"/>
        <v>0</v>
      </c>
      <c r="G57" s="2"/>
      <c r="H57" s="6">
        <v>319.72000000000003</v>
      </c>
      <c r="I57" s="2"/>
      <c r="J57" s="7">
        <f t="shared" si="47"/>
        <v>5.8679487617145157E-3</v>
      </c>
      <c r="K57" s="2"/>
      <c r="L57" s="6">
        <f t="shared" si="48"/>
        <v>-319.72000000000003</v>
      </c>
      <c r="M57" s="2"/>
      <c r="N57" s="7">
        <f t="shared" si="49"/>
        <v>-1</v>
      </c>
      <c r="O57" s="11"/>
      <c r="P57" s="6"/>
      <c r="Q57" s="2"/>
      <c r="R57" s="7">
        <f t="shared" si="50"/>
        <v>0</v>
      </c>
      <c r="S57" s="2"/>
      <c r="T57" s="6">
        <v>691.24</v>
      </c>
      <c r="U57" s="2"/>
      <c r="V57" s="7">
        <f t="shared" si="51"/>
        <v>5.3219960025746131E-3</v>
      </c>
      <c r="W57" s="2"/>
      <c r="X57" s="6">
        <f t="shared" si="52"/>
        <v>-691.24</v>
      </c>
      <c r="Y57" s="2"/>
      <c r="Z57" s="7">
        <f t="shared" si="53"/>
        <v>-1</v>
      </c>
    </row>
    <row r="58" spans="1:26" s="24" customFormat="1" hidden="1" outlineLevel="2" x14ac:dyDescent="0.25">
      <c r="A58" s="28"/>
      <c r="B58" s="11" t="str">
        <f>CONCATENATE("          ", "6247", " - ", "STORE SUPPLIES")</f>
        <v xml:space="preserve">          6247 - STORE SUPPLIES</v>
      </c>
      <c r="C58" s="11"/>
      <c r="D58" s="6"/>
      <c r="E58" s="2"/>
      <c r="F58" s="7">
        <f t="shared" si="46"/>
        <v>0</v>
      </c>
      <c r="G58" s="2"/>
      <c r="H58" s="6">
        <v>42.98</v>
      </c>
      <c r="I58" s="2"/>
      <c r="J58" s="7">
        <f t="shared" si="47"/>
        <v>7.88829093514606E-4</v>
      </c>
      <c r="K58" s="2"/>
      <c r="L58" s="6">
        <f t="shared" si="48"/>
        <v>-42.98</v>
      </c>
      <c r="M58" s="2"/>
      <c r="N58" s="7">
        <f t="shared" si="49"/>
        <v>-1</v>
      </c>
      <c r="O58" s="11"/>
      <c r="P58" s="6"/>
      <c r="Q58" s="2"/>
      <c r="R58" s="7">
        <f t="shared" si="50"/>
        <v>0</v>
      </c>
      <c r="S58" s="2"/>
      <c r="T58" s="6">
        <v>42.98</v>
      </c>
      <c r="U58" s="2"/>
      <c r="V58" s="7">
        <f t="shared" si="51"/>
        <v>3.3091167784077437E-4</v>
      </c>
      <c r="W58" s="2"/>
      <c r="X58" s="6">
        <f t="shared" si="52"/>
        <v>-42.98</v>
      </c>
      <c r="Y58" s="2"/>
      <c r="Z58" s="7">
        <f t="shared" si="53"/>
        <v>-1</v>
      </c>
    </row>
    <row r="59" spans="1:26" s="24" customFormat="1" hidden="1" outlineLevel="2" x14ac:dyDescent="0.25">
      <c r="A59" s="28"/>
      <c r="B59" s="11" t="str">
        <f>CONCATENATE("          ", "6248", " - ", "UNIFORMS")</f>
        <v xml:space="preserve">          6248 - UNIFORMS</v>
      </c>
      <c r="C59" s="11"/>
      <c r="D59" s="6"/>
      <c r="E59" s="2"/>
      <c r="F59" s="7">
        <f t="shared" si="46"/>
        <v>0</v>
      </c>
      <c r="G59" s="2"/>
      <c r="H59" s="6"/>
      <c r="I59" s="2"/>
      <c r="J59" s="7">
        <f t="shared" si="47"/>
        <v>0</v>
      </c>
      <c r="K59" s="2"/>
      <c r="L59" s="6">
        <f t="shared" si="48"/>
        <v>0</v>
      </c>
      <c r="M59" s="2"/>
      <c r="N59" s="7">
        <f t="shared" si="49"/>
        <v>0</v>
      </c>
      <c r="O59" s="11"/>
      <c r="P59" s="6"/>
      <c r="Q59" s="2"/>
      <c r="R59" s="7">
        <f t="shared" si="50"/>
        <v>0</v>
      </c>
      <c r="S59" s="2"/>
      <c r="T59" s="6">
        <v>695.24</v>
      </c>
      <c r="U59" s="2"/>
      <c r="V59" s="7">
        <f t="shared" si="51"/>
        <v>5.3527928083299207E-3</v>
      </c>
      <c r="W59" s="2"/>
      <c r="X59" s="6">
        <f t="shared" si="52"/>
        <v>-695.24</v>
      </c>
      <c r="Y59" s="2"/>
      <c r="Z59" s="7">
        <f t="shared" si="53"/>
        <v>-1</v>
      </c>
    </row>
    <row r="60" spans="1:26" s="29" customFormat="1" outlineLevel="1" collapsed="1" x14ac:dyDescent="0.25">
      <c r="A60" s="27"/>
      <c r="B60" s="14" t="str">
        <f>CONCATENATE("     ","Telephone/Data Lines                              ")</f>
        <v xml:space="preserve">     Telephone/Data Lines                              </v>
      </c>
      <c r="C60" s="14"/>
      <c r="D60" s="1">
        <f>SUM(OSRRefD22_10x_0)</f>
        <v>7.7</v>
      </c>
      <c r="E60" s="1"/>
      <c r="F60" s="5">
        <f t="shared" ref="F60:F61" si="54">IF(D$12=0,0,D60/D$12)</f>
        <v>0</v>
      </c>
      <c r="G60" s="1"/>
      <c r="H60" s="1">
        <f>SUM(OSRRefH22_10x_0)</f>
        <v>71</v>
      </c>
      <c r="I60" s="1"/>
      <c r="J60" s="5">
        <f t="shared" ref="J60:J61" si="55">IF(H$12=0,0,H60/H$12)</f>
        <v>1.3030913364247797E-3</v>
      </c>
      <c r="K60" s="1"/>
      <c r="L60" s="1">
        <f t="shared" ref="L60:L61" si="56">+D60-H60</f>
        <v>-63.3</v>
      </c>
      <c r="M60" s="1"/>
      <c r="N60" s="5">
        <f t="shared" ref="N60:N61" si="57">IF(H60=0,0,L60/H60)</f>
        <v>-0.89154929577464781</v>
      </c>
      <c r="O60" s="14"/>
      <c r="P60" s="1">
        <f>SUM(OSRRefP22_10x_0)</f>
        <v>49.7</v>
      </c>
      <c r="Q60" s="1"/>
      <c r="R60" s="5">
        <f t="shared" ref="R60:R61" si="58">IF(P$12=0,0,P60/P$12)</f>
        <v>0</v>
      </c>
      <c r="S60" s="1"/>
      <c r="T60" s="1">
        <f>SUM(OSRRefT22_10x_0)</f>
        <v>284</v>
      </c>
      <c r="U60" s="1"/>
      <c r="V60" s="5">
        <f t="shared" ref="V60:V61" si="59">IF(T$12=0,0,T60/T$12)</f>
        <v>2.1865732086268014E-3</v>
      </c>
      <c r="W60" s="1"/>
      <c r="X60" s="1">
        <f t="shared" ref="X60:X61" si="60">+P60-T60</f>
        <v>-234.3</v>
      </c>
      <c r="Y60" s="1"/>
      <c r="Z60" s="5">
        <f t="shared" ref="Z60:Z61" si="61">IF(T60=0,0,X60/T60)</f>
        <v>-0.82500000000000007</v>
      </c>
    </row>
    <row r="61" spans="1:26" s="24" customFormat="1" hidden="1" outlineLevel="2" x14ac:dyDescent="0.25">
      <c r="A61" s="28"/>
      <c r="B61" s="11" t="str">
        <f>CONCATENATE("          ", "6309", " - ", "TELEPHONE")</f>
        <v xml:space="preserve">          6309 - TELEPHONE</v>
      </c>
      <c r="C61" s="11"/>
      <c r="D61" s="6">
        <v>7.7</v>
      </c>
      <c r="E61" s="2"/>
      <c r="F61" s="7">
        <f t="shared" si="54"/>
        <v>0</v>
      </c>
      <c r="G61" s="2"/>
      <c r="H61" s="6">
        <v>71</v>
      </c>
      <c r="I61" s="2"/>
      <c r="J61" s="7">
        <f t="shared" si="55"/>
        <v>1.3030913364247797E-3</v>
      </c>
      <c r="K61" s="2"/>
      <c r="L61" s="6">
        <f t="shared" si="56"/>
        <v>-63.3</v>
      </c>
      <c r="M61" s="2"/>
      <c r="N61" s="7">
        <f t="shared" si="57"/>
        <v>-0.89154929577464781</v>
      </c>
      <c r="O61" s="11"/>
      <c r="P61" s="6">
        <v>49.7</v>
      </c>
      <c r="Q61" s="2"/>
      <c r="R61" s="7">
        <f t="shared" si="58"/>
        <v>0</v>
      </c>
      <c r="S61" s="2"/>
      <c r="T61" s="6">
        <v>284</v>
      </c>
      <c r="U61" s="2"/>
      <c r="V61" s="7">
        <f t="shared" si="59"/>
        <v>2.1865732086268014E-3</v>
      </c>
      <c r="W61" s="2"/>
      <c r="X61" s="6">
        <f t="shared" si="60"/>
        <v>-234.3</v>
      </c>
      <c r="Y61" s="2"/>
      <c r="Z61" s="7">
        <f t="shared" si="61"/>
        <v>-0.82500000000000007</v>
      </c>
    </row>
    <row r="62" spans="1:26" s="57" customFormat="1" x14ac:dyDescent="0.25">
      <c r="A62" s="37"/>
      <c r="B62" s="37"/>
      <c r="C62" s="37"/>
      <c r="D62" s="1"/>
      <c r="E62" s="1"/>
      <c r="F62" s="5"/>
      <c r="G62" s="1"/>
      <c r="H62" s="1"/>
      <c r="I62" s="1"/>
      <c r="J62" s="5"/>
      <c r="K62" s="1"/>
      <c r="L62" s="1"/>
      <c r="M62" s="1"/>
      <c r="N62" s="5"/>
      <c r="O62" s="37"/>
      <c r="P62" s="1"/>
      <c r="Q62" s="1"/>
      <c r="R62" s="5"/>
      <c r="S62" s="1"/>
      <c r="T62" s="1"/>
      <c r="U62" s="1"/>
      <c r="V62" s="5"/>
      <c r="W62" s="1"/>
      <c r="X62" s="1"/>
      <c r="Y62" s="1"/>
      <c r="Z62" s="5"/>
    </row>
    <row r="63" spans="1:26" s="23" customFormat="1" collapsed="1" x14ac:dyDescent="0.25">
      <c r="A63" s="10"/>
      <c r="B63" s="26" t="s">
        <v>0</v>
      </c>
      <c r="C63" s="10"/>
      <c r="D63" s="4">
        <f>SUM(OSRRefD25x_0)</f>
        <v>0</v>
      </c>
      <c r="E63" s="4"/>
      <c r="F63" s="12">
        <f t="shared" ref="F63:F64" si="62">IF(D$12=0,0,D63/D$12)</f>
        <v>0</v>
      </c>
      <c r="G63" s="4"/>
      <c r="H63" s="4">
        <f>SUM(OSRRefH25x_0)</f>
        <v>143</v>
      </c>
      <c r="I63" s="4"/>
      <c r="J63" s="12">
        <f t="shared" ref="J63:J64" si="63">IF(H$12=0,0,H63/H$12)</f>
        <v>2.6245360719541339E-3</v>
      </c>
      <c r="K63" s="4"/>
      <c r="L63" s="4">
        <f t="shared" ref="L63:L64" si="64">+D63-H63</f>
        <v>-143</v>
      </c>
      <c r="M63" s="4"/>
      <c r="N63" s="12">
        <f t="shared" ref="N63:N64" si="65">IF(H63=0,0,L63/H63)</f>
        <v>-1</v>
      </c>
      <c r="O63" s="10"/>
      <c r="P63" s="4">
        <f>SUM(OSRRefP25x_0)</f>
        <v>0</v>
      </c>
      <c r="Q63" s="4"/>
      <c r="R63" s="12">
        <f t="shared" ref="R63:R64" si="66">IF(P$12=0,0,P63/P$12)</f>
        <v>0</v>
      </c>
      <c r="S63" s="4"/>
      <c r="T63" s="4">
        <f>SUM(OSRRefT25x_0)</f>
        <v>279</v>
      </c>
      <c r="U63" s="4"/>
      <c r="V63" s="12">
        <f t="shared" ref="V63:V64" si="67">IF(T$12=0,0,T63/T$12)</f>
        <v>2.1480772014326674E-3</v>
      </c>
      <c r="W63" s="4"/>
      <c r="X63" s="4">
        <f t="shared" ref="X63:X64" si="68">+P63-T63</f>
        <v>-279</v>
      </c>
      <c r="Y63" s="4"/>
      <c r="Z63" s="12">
        <f t="shared" ref="Z63:Z64" si="69">IF(T63=0,0,X63/T63)</f>
        <v>-1</v>
      </c>
    </row>
    <row r="64" spans="1:26" s="24" customFormat="1" hidden="1" outlineLevel="1" x14ac:dyDescent="0.25">
      <c r="A64" s="44"/>
      <c r="B64" s="11" t="str">
        <f>CONCATENATE("          ", "9150", " - ", "MISC. INCOME")</f>
        <v xml:space="preserve">          9150 - MISC. INCOME</v>
      </c>
      <c r="C64" s="11"/>
      <c r="D64" s="2">
        <f>0</f>
        <v>0</v>
      </c>
      <c r="E64" s="2"/>
      <c r="F64" s="19">
        <f t="shared" si="62"/>
        <v>0</v>
      </c>
      <c r="G64" s="2"/>
      <c r="H64" s="2">
        <f>--143</f>
        <v>143</v>
      </c>
      <c r="I64" s="2"/>
      <c r="J64" s="19">
        <f t="shared" si="63"/>
        <v>2.6245360719541339E-3</v>
      </c>
      <c r="K64" s="2"/>
      <c r="L64" s="2">
        <f t="shared" si="64"/>
        <v>-143</v>
      </c>
      <c r="M64" s="2"/>
      <c r="N64" s="19">
        <f t="shared" si="65"/>
        <v>-1</v>
      </c>
      <c r="O64" s="11"/>
      <c r="P64" s="2">
        <f>0</f>
        <v>0</v>
      </c>
      <c r="Q64" s="2"/>
      <c r="R64" s="19">
        <f t="shared" si="66"/>
        <v>0</v>
      </c>
      <c r="S64" s="2"/>
      <c r="T64" s="2">
        <f>--279</f>
        <v>279</v>
      </c>
      <c r="U64" s="2"/>
      <c r="V64" s="19">
        <f t="shared" si="67"/>
        <v>2.1480772014326674E-3</v>
      </c>
      <c r="W64" s="2"/>
      <c r="X64" s="2">
        <f t="shared" si="68"/>
        <v>-279</v>
      </c>
      <c r="Y64" s="2"/>
      <c r="Z64" s="19">
        <f t="shared" si="69"/>
        <v>-1</v>
      </c>
    </row>
    <row r="65" spans="1:26" x14ac:dyDescent="0.25">
      <c r="A65" s="9"/>
      <c r="B65" s="10"/>
      <c r="C65" s="10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O65" s="10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s="23" customFormat="1" x14ac:dyDescent="0.25">
      <c r="A66" s="10"/>
      <c r="B66" s="25" t="s">
        <v>3</v>
      </c>
      <c r="C66" s="25"/>
      <c r="D66" s="20">
        <f>+D20-D22+D63</f>
        <v>-65.73</v>
      </c>
      <c r="E66" s="13"/>
      <c r="F66" s="21">
        <f>IF(D$12=0,0,D66/D$12)</f>
        <v>0</v>
      </c>
      <c r="G66" s="13"/>
      <c r="H66" s="20">
        <f>+H20-H22+H63</f>
        <v>10831.330000000002</v>
      </c>
      <c r="I66" s="13"/>
      <c r="J66" s="21">
        <f>IF(H$12=0,0,H66/H$12)</f>
        <v>0.19879172232334946</v>
      </c>
      <c r="K66" s="15"/>
      <c r="L66" s="20">
        <f>+D66-H66</f>
        <v>-10897.060000000001</v>
      </c>
      <c r="M66" s="15"/>
      <c r="N66" s="21">
        <f>IF(H66=0,0,L66/H66)</f>
        <v>-1.0060685068223385</v>
      </c>
      <c r="O66" s="26"/>
      <c r="P66" s="20">
        <f>+P20-P22+P63</f>
        <v>-4565.7</v>
      </c>
      <c r="Q66" s="13"/>
      <c r="R66" s="21">
        <f>IF(P$12=0,0,P66/P$12)</f>
        <v>0</v>
      </c>
      <c r="S66" s="13"/>
      <c r="T66" s="20">
        <f>+T20-T22+T63</f>
        <v>4506</v>
      </c>
      <c r="U66" s="13"/>
      <c r="V66" s="21">
        <f>IF(T$12=0,0,T66/T$12)</f>
        <v>3.4692601683353405E-2</v>
      </c>
      <c r="W66" s="15"/>
      <c r="X66" s="20">
        <f>+P66-T66</f>
        <v>-9071.7000000000007</v>
      </c>
      <c r="Y66" s="15"/>
      <c r="Z66" s="21">
        <f>IF(T66=0,0,X66/T66)</f>
        <v>-2.013249001331558</v>
      </c>
    </row>
    <row r="67" spans="1:26" x14ac:dyDescent="0.25">
      <c r="A67" s="9"/>
      <c r="B67" s="10"/>
      <c r="C67" s="9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3" customFormat="1" x14ac:dyDescent="0.25">
      <c r="A68" s="51"/>
      <c r="B68" s="10" t="s">
        <v>13</v>
      </c>
      <c r="C68" s="10"/>
      <c r="D68" s="4"/>
      <c r="E68" s="4"/>
      <c r="F68" s="12">
        <f>IF(D$12=0,0,D68/D$12)</f>
        <v>0</v>
      </c>
      <c r="G68" s="4"/>
      <c r="H68" s="4">
        <v>4975.6899999999996</v>
      </c>
      <c r="I68" s="4"/>
      <c r="J68" s="12">
        <f>IF(H$12=0,0,H68/H$12)</f>
        <v>9.1320824390639599E-2</v>
      </c>
      <c r="K68" s="4"/>
      <c r="L68" s="4">
        <f>+D68-H68</f>
        <v>-4975.6899999999996</v>
      </c>
      <c r="M68" s="4"/>
      <c r="N68" s="12">
        <f>IF(H68=0,0,L68/H68)</f>
        <v>-1</v>
      </c>
      <c r="O68" s="10"/>
      <c r="P68" s="4"/>
      <c r="Q68" s="4"/>
      <c r="R68" s="12">
        <f>IF(P$12=0,0,P68/P$12)</f>
        <v>0</v>
      </c>
      <c r="S68" s="4"/>
      <c r="T68" s="4">
        <v>13074.41</v>
      </c>
      <c r="U68" s="4"/>
      <c r="V68" s="12">
        <f>IF(T$12=0,0,T68/T$12)</f>
        <v>0.10066251628381105</v>
      </c>
      <c r="W68" s="4"/>
      <c r="X68" s="4">
        <f>+P68-T68</f>
        <v>-13074.41</v>
      </c>
      <c r="Y68" s="4"/>
      <c r="Z68" s="12">
        <f>IF(T68=0,0,X68/T68)</f>
        <v>-1</v>
      </c>
    </row>
    <row r="69" spans="1:26" x14ac:dyDescent="0.25">
      <c r="A69" s="9"/>
      <c r="B69" s="10"/>
      <c r="C69" s="10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O69" s="10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ht="15.75" thickBot="1" x14ac:dyDescent="0.3">
      <c r="A70" s="10"/>
      <c r="B70" s="25" t="s">
        <v>4</v>
      </c>
      <c r="C70" s="25"/>
      <c r="D70" s="30">
        <f>+D66-D68</f>
        <v>-65.73</v>
      </c>
      <c r="E70" s="13"/>
      <c r="F70" s="33">
        <f>IF(D$12=0,0,D70/D$12)</f>
        <v>0</v>
      </c>
      <c r="G70" s="13"/>
      <c r="H70" s="30">
        <f>+H66-H68</f>
        <v>5855.6400000000021</v>
      </c>
      <c r="I70" s="13"/>
      <c r="J70" s="33">
        <f>IF(H$12=0,0,H70/H$12)</f>
        <v>0.10747089793270986</v>
      </c>
      <c r="K70" s="15"/>
      <c r="L70" s="30">
        <f>D70-H70</f>
        <v>-5921.3700000000017</v>
      </c>
      <c r="M70" s="15"/>
      <c r="N70" s="33">
        <f>IF(H70=0,0,L70/H70)</f>
        <v>-1.0112250753120069</v>
      </c>
      <c r="O70" s="26"/>
      <c r="P70" s="30">
        <f>+P66-P68</f>
        <v>-4565.7</v>
      </c>
      <c r="Q70" s="13"/>
      <c r="R70" s="33">
        <f>IF(P$12=0,0,P70/P$12)</f>
        <v>0</v>
      </c>
      <c r="S70" s="13"/>
      <c r="T70" s="30">
        <f>+T66-T68</f>
        <v>-8568.41</v>
      </c>
      <c r="U70" s="13"/>
      <c r="V70" s="33">
        <f>IF(T$12=0,0,T70/T$12)</f>
        <v>-6.5969914600457646E-2</v>
      </c>
      <c r="W70" s="15"/>
      <c r="X70" s="30">
        <f>P70-T70</f>
        <v>4002.71</v>
      </c>
      <c r="Y70" s="15"/>
      <c r="Z70" s="33">
        <f>IF(T70=0,0,X70/T70)</f>
        <v>-0.4671473470573887</v>
      </c>
    </row>
    <row r="71" spans="1:26" ht="15.75" thickTop="1" x14ac:dyDescent="0.25">
      <c r="A71" s="9"/>
      <c r="B71" s="9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x14ac:dyDescent="0.25">
      <c r="A72" s="9"/>
      <c r="B72" s="9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ht="15.75" thickBot="1" x14ac:dyDescent="0.3">
      <c r="A73" s="10"/>
      <c r="B73" s="25" t="s">
        <v>5</v>
      </c>
      <c r="C73" s="25"/>
      <c r="D73" s="34">
        <f>SUM(D70:D72)</f>
        <v>-65.73</v>
      </c>
      <c r="E73" s="13"/>
      <c r="F73" s="35">
        <f>IF(D$12=0,0,D73/D$12)</f>
        <v>0</v>
      </c>
      <c r="G73" s="13"/>
      <c r="H73" s="34">
        <f>SUM(H70:H72)</f>
        <v>5855.6400000000021</v>
      </c>
      <c r="I73" s="13"/>
      <c r="J73" s="35">
        <f>IF(H$12=0,0,H73/H$12)</f>
        <v>0.10747089793270986</v>
      </c>
      <c r="K73" s="15"/>
      <c r="L73" s="34">
        <f>+D73-H73</f>
        <v>-5921.3700000000017</v>
      </c>
      <c r="M73" s="15"/>
      <c r="N73" s="35">
        <f>IF(H73=0,0,L73/H73)</f>
        <v>-1.0112250753120069</v>
      </c>
      <c r="O73" s="26"/>
      <c r="P73" s="34">
        <f>SUM(P70:P72)</f>
        <v>-4565.7</v>
      </c>
      <c r="Q73" s="13"/>
      <c r="R73" s="35">
        <f>IF(P$12=0,0,P73/P$12)</f>
        <v>0</v>
      </c>
      <c r="S73" s="13"/>
      <c r="T73" s="34">
        <f>SUM(T70:T72)</f>
        <v>-8568.41</v>
      </c>
      <c r="U73" s="13"/>
      <c r="V73" s="35">
        <f>IF(T$12=0,0,T73/T$12)</f>
        <v>-6.5969914600457646E-2</v>
      </c>
      <c r="W73" s="15"/>
      <c r="X73" s="34">
        <f>+P73-T73</f>
        <v>4002.71</v>
      </c>
      <c r="Y73" s="15"/>
      <c r="Z73" s="35">
        <f>IF(T73=0,0,X73/T73)</f>
        <v>-0.4671473470573887</v>
      </c>
    </row>
    <row r="74" spans="1:26" ht="15.75" thickTop="1" x14ac:dyDescent="0.25">
      <c r="A74" s="9"/>
      <c r="C74" s="9"/>
      <c r="D74" s="18"/>
      <c r="E74" s="18"/>
      <c r="G74" s="18"/>
      <c r="H74" s="18"/>
      <c r="I74" s="18"/>
      <c r="J74" s="43"/>
      <c r="K74" s="18"/>
      <c r="L74" s="18"/>
      <c r="M74" s="18"/>
      <c r="P74" s="18"/>
      <c r="Q74" s="18"/>
      <c r="R74" s="43"/>
      <c r="S74" s="18"/>
      <c r="T74" s="18"/>
      <c r="U74" s="18"/>
      <c r="V74" s="43"/>
      <c r="W74" s="18"/>
      <c r="X74" s="18"/>
    </row>
    <row r="75" spans="1:26" x14ac:dyDescent="0.25">
      <c r="A75" s="9"/>
      <c r="B75" s="56">
        <v>44151.5727815625</v>
      </c>
      <c r="D75" s="18"/>
      <c r="E75" s="18"/>
      <c r="G75" s="18"/>
      <c r="H75" s="18"/>
      <c r="I75" s="18"/>
      <c r="J75" s="43"/>
      <c r="K75" s="18"/>
      <c r="L75" s="18"/>
      <c r="M75" s="18"/>
      <c r="P75" s="18"/>
      <c r="Q75" s="18"/>
      <c r="R75" s="43"/>
      <c r="S75" s="18"/>
      <c r="T75" s="18"/>
      <c r="U75" s="18"/>
      <c r="V75" s="43"/>
      <c r="W75" s="18"/>
      <c r="X75" s="18"/>
    </row>
    <row r="76" spans="1:26" x14ac:dyDescent="0.25">
      <c r="A76" s="9"/>
      <c r="B76" s="62" t="s">
        <v>313</v>
      </c>
      <c r="D76" s="18"/>
      <c r="E76" s="18"/>
      <c r="G76" s="18"/>
      <c r="H76" s="18"/>
      <c r="I76" s="18"/>
      <c r="J76" s="43"/>
      <c r="K76" s="18"/>
      <c r="L76" s="18"/>
      <c r="M76" s="18"/>
      <c r="P76" s="18"/>
      <c r="Q76" s="18"/>
      <c r="R76" s="43"/>
      <c r="S76" s="18"/>
      <c r="T76" s="18"/>
      <c r="U76" s="18"/>
      <c r="V76" s="43"/>
      <c r="W76" s="18"/>
      <c r="X76" s="18"/>
    </row>
    <row r="77" spans="1:26" x14ac:dyDescent="0.25">
      <c r="A77" s="9"/>
      <c r="B77" s="54"/>
      <c r="D77" s="18"/>
      <c r="E77" s="18"/>
      <c r="G77" s="18"/>
      <c r="H77" s="18"/>
      <c r="I77" s="18"/>
      <c r="J77" s="43"/>
      <c r="K77" s="18"/>
      <c r="L77" s="18"/>
      <c r="M77" s="18"/>
      <c r="P77" s="18"/>
      <c r="Q77" s="18"/>
      <c r="R77" s="43"/>
      <c r="S77" s="18"/>
      <c r="T77" s="18"/>
      <c r="U77" s="18"/>
      <c r="V77" s="43"/>
      <c r="W77" s="18"/>
      <c r="X77" s="18"/>
    </row>
    <row r="78" spans="1:26" x14ac:dyDescent="0.25">
      <c r="D78" s="18"/>
      <c r="E78" s="18"/>
      <c r="G78" s="18"/>
      <c r="H78" s="18"/>
      <c r="I78" s="18"/>
      <c r="J78" s="43"/>
      <c r="K78" s="18"/>
      <c r="L78" s="18"/>
      <c r="M78" s="18"/>
      <c r="P78" s="18"/>
      <c r="Q78" s="18"/>
      <c r="R78" s="43"/>
      <c r="S78" s="18"/>
      <c r="T78" s="18"/>
      <c r="U78" s="18"/>
      <c r="V78" s="43"/>
      <c r="W78" s="18"/>
      <c r="X78" s="18"/>
    </row>
  </sheetData>
  <pageMargins left="0.25" right="0.25" top="0.75" bottom="0.75" header="0.3" footer="0.3"/>
  <pageSetup scale="55" fitToWidth="2" orientation="landscape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",RIGHT(202104,2),", ",2021)</f>
        <v>Period 04,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44135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","414", " - ", "Starbucks UDP")</f>
        <v>Department 414 - Starbucks UDP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61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50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50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2"/>
      <c r="F10" s="31" t="s">
        <v>14</v>
      </c>
      <c r="G10" s="32"/>
      <c r="H10" s="49" t="s">
        <v>306</v>
      </c>
      <c r="I10" s="32"/>
      <c r="J10" s="31" t="s">
        <v>14</v>
      </c>
      <c r="K10" s="10"/>
      <c r="L10" s="42" t="s">
        <v>11</v>
      </c>
      <c r="M10" s="10"/>
      <c r="N10" s="31" t="s">
        <v>15</v>
      </c>
      <c r="O10" s="10"/>
      <c r="P10" s="59" t="s">
        <v>10</v>
      </c>
      <c r="Q10" s="32"/>
      <c r="R10" s="31" t="s">
        <v>14</v>
      </c>
      <c r="S10" s="32"/>
      <c r="T10" s="49" t="s">
        <v>306</v>
      </c>
      <c r="U10" s="32"/>
      <c r="V10" s="31" t="s">
        <v>14</v>
      </c>
      <c r="W10" s="10"/>
      <c r="X10" s="42" t="s">
        <v>11</v>
      </c>
      <c r="Y10" s="10"/>
      <c r="Z10" s="31" t="s">
        <v>15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117328.67</v>
      </c>
      <c r="I12" s="4"/>
      <c r="J12" s="12"/>
      <c r="K12" s="4"/>
      <c r="L12" s="4">
        <f t="shared" ref="L12:L14" si="0">+D12-H12</f>
        <v>-117328.67</v>
      </c>
      <c r="M12" s="4"/>
      <c r="N12" s="12">
        <f t="shared" ref="N12:N14" si="1">IF(H12=0,0,L12/H12)</f>
        <v>-1</v>
      </c>
      <c r="O12" s="10"/>
      <c r="P12" s="4">
        <f>SUM(OSRRefP13x_0)</f>
        <v>974.91</v>
      </c>
      <c r="Q12" s="4"/>
      <c r="R12" s="12"/>
      <c r="S12" s="4"/>
      <c r="T12" s="4">
        <f>SUM(OSRRefT13x_0)</f>
        <v>271866.2</v>
      </c>
      <c r="U12" s="4"/>
      <c r="V12" s="12"/>
      <c r="W12" s="4"/>
      <c r="X12" s="4">
        <f t="shared" ref="X12:X14" si="2">+P12-T12</f>
        <v>-270891.29000000004</v>
      </c>
      <c r="Y12" s="4"/>
      <c r="Z12" s="12">
        <f t="shared" ref="Z12:Z14" si="3">IF(T12=0,0,X12/T12)</f>
        <v>-0.9964140080672037</v>
      </c>
    </row>
    <row r="13" spans="1:26" s="24" customFormat="1" hidden="1" outlineLevel="1" x14ac:dyDescent="0.25">
      <c r="A13" s="44"/>
      <c r="B13" s="11" t="str">
        <f>CONCATENATE("          ", "4058", " - ", "TAXABLE SALES-FOOD")</f>
        <v xml:space="preserve">          4058 - TAXABLE SALES-FOOD</v>
      </c>
      <c r="C13" s="11"/>
      <c r="D13" s="2">
        <f t="shared" ref="D13:D14" si="4">0</f>
        <v>0</v>
      </c>
      <c r="E13" s="2"/>
      <c r="F13" s="19"/>
      <c r="G13" s="2"/>
      <c r="H13" s="2">
        <f>--21855.03</f>
        <v>21855.03</v>
      </c>
      <c r="I13" s="2"/>
      <c r="J13" s="19"/>
      <c r="K13" s="2"/>
      <c r="L13" s="2">
        <f t="shared" si="0"/>
        <v>-21855.03</v>
      </c>
      <c r="M13" s="2"/>
      <c r="N13" s="19">
        <f t="shared" si="1"/>
        <v>-1</v>
      </c>
      <c r="O13" s="11"/>
      <c r="P13" s="2">
        <f>--974.91</f>
        <v>974.91</v>
      </c>
      <c r="Q13" s="2"/>
      <c r="R13" s="19"/>
      <c r="S13" s="2"/>
      <c r="T13" s="2">
        <f>--64145.93</f>
        <v>64145.93</v>
      </c>
      <c r="U13" s="2"/>
      <c r="V13" s="19"/>
      <c r="W13" s="2"/>
      <c r="X13" s="2">
        <f t="shared" si="2"/>
        <v>-63171.02</v>
      </c>
      <c r="Y13" s="2"/>
      <c r="Z13" s="19">
        <f t="shared" si="3"/>
        <v>-0.98480168578115546</v>
      </c>
    </row>
    <row r="14" spans="1:26" s="24" customFormat="1" hidden="1" outlineLevel="1" x14ac:dyDescent="0.25">
      <c r="A14" s="44"/>
      <c r="B14" s="11" t="str">
        <f>CONCATENATE("          ", "4158", " - ", "NON-TAXABLE SALES-FOOD")</f>
        <v xml:space="preserve">          4158 - NON-TAXABLE SALES-FOOD</v>
      </c>
      <c r="C14" s="11"/>
      <c r="D14" s="2">
        <f t="shared" si="4"/>
        <v>0</v>
      </c>
      <c r="E14" s="2"/>
      <c r="F14" s="19"/>
      <c r="G14" s="2"/>
      <c r="H14" s="2">
        <f>--95473.64</f>
        <v>95473.64</v>
      </c>
      <c r="I14" s="2"/>
      <c r="J14" s="19"/>
      <c r="K14" s="2"/>
      <c r="L14" s="2">
        <f t="shared" si="0"/>
        <v>-95473.64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f>--207720.27</f>
        <v>207720.27</v>
      </c>
      <c r="U14" s="2"/>
      <c r="V14" s="19"/>
      <c r="W14" s="2"/>
      <c r="X14" s="2">
        <f t="shared" si="2"/>
        <v>-207720.27</v>
      </c>
      <c r="Y14" s="2"/>
      <c r="Z14" s="19">
        <f t="shared" si="3"/>
        <v>-1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6" t="s">
        <v>8</v>
      </c>
      <c r="C16" s="10"/>
      <c r="D16" s="4">
        <f>SUM(OSRRefD16x_0)</f>
        <v>0</v>
      </c>
      <c r="E16" s="4"/>
      <c r="F16" s="12">
        <f t="shared" ref="F16:F18" si="5">IF(D$12=0,0,D16/D$12)</f>
        <v>0</v>
      </c>
      <c r="G16" s="4"/>
      <c r="H16" s="4">
        <f>SUM(OSRRefH16x_0)</f>
        <v>30425.61</v>
      </c>
      <c r="I16" s="4"/>
      <c r="J16" s="12">
        <f t="shared" ref="J16:J18" si="6">IF(H$12=0,0,H16/H$12)</f>
        <v>0.25931948261239135</v>
      </c>
      <c r="K16" s="4"/>
      <c r="L16" s="4">
        <f t="shared" ref="L16:L18" si="7">+D16-H16</f>
        <v>-30425.61</v>
      </c>
      <c r="M16" s="4"/>
      <c r="N16" s="12">
        <f t="shared" ref="N16:N18" si="8">IF(H16=0,0,L16/H16)</f>
        <v>-1</v>
      </c>
      <c r="O16" s="10"/>
      <c r="P16" s="4">
        <f>SUM(OSRRefP16x_0)</f>
        <v>0</v>
      </c>
      <c r="Q16" s="4"/>
      <c r="R16" s="12">
        <f t="shared" ref="R16:R18" si="9">IF(P$12=0,0,P16/P$12)</f>
        <v>0</v>
      </c>
      <c r="S16" s="4"/>
      <c r="T16" s="4">
        <f>SUM(OSRRefT16x_0)</f>
        <v>92355.51</v>
      </c>
      <c r="U16" s="4"/>
      <c r="V16" s="12">
        <f t="shared" ref="V16:V18" si="10">IF(T$12=0,0,T16/T$12)</f>
        <v>0.33970942323834297</v>
      </c>
      <c r="W16" s="4"/>
      <c r="X16" s="4">
        <f t="shared" ref="X16:X18" si="11">+P16-T16</f>
        <v>-92355.51</v>
      </c>
      <c r="Y16" s="4"/>
      <c r="Z16" s="12">
        <f t="shared" ref="Z16:Z18" si="12">IF(T16=0,0,X16/T16)</f>
        <v>-1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5"/>
        <v>0</v>
      </c>
      <c r="G17" s="2"/>
      <c r="H17" s="2">
        <v>37612.61</v>
      </c>
      <c r="I17" s="2"/>
      <c r="J17" s="19">
        <f t="shared" si="6"/>
        <v>0.3205747580706404</v>
      </c>
      <c r="K17" s="2"/>
      <c r="L17" s="2">
        <f t="shared" si="7"/>
        <v>-37612.61</v>
      </c>
      <c r="M17" s="2"/>
      <c r="N17" s="19">
        <f t="shared" si="8"/>
        <v>-1</v>
      </c>
      <c r="O17" s="11"/>
      <c r="P17" s="2"/>
      <c r="Q17" s="2"/>
      <c r="R17" s="19">
        <f t="shared" si="9"/>
        <v>0</v>
      </c>
      <c r="S17" s="2"/>
      <c r="T17" s="2">
        <v>89048.51</v>
      </c>
      <c r="U17" s="2"/>
      <c r="V17" s="19">
        <f t="shared" si="10"/>
        <v>0.32754535135298168</v>
      </c>
      <c r="W17" s="2"/>
      <c r="X17" s="2">
        <f t="shared" si="11"/>
        <v>-89048.51</v>
      </c>
      <c r="Y17" s="2"/>
      <c r="Z17" s="19">
        <f t="shared" si="12"/>
        <v>-1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/>
      <c r="E18" s="2"/>
      <c r="F18" s="19">
        <f t="shared" si="5"/>
        <v>0</v>
      </c>
      <c r="G18" s="2"/>
      <c r="H18" s="2">
        <v>-7187</v>
      </c>
      <c r="I18" s="2"/>
      <c r="J18" s="19">
        <f t="shared" si="6"/>
        <v>-6.1255275458249041E-2</v>
      </c>
      <c r="K18" s="2"/>
      <c r="L18" s="2">
        <f t="shared" si="7"/>
        <v>7187</v>
      </c>
      <c r="M18" s="2"/>
      <c r="N18" s="19">
        <f t="shared" si="8"/>
        <v>-1</v>
      </c>
      <c r="O18" s="11"/>
      <c r="P18" s="2"/>
      <c r="Q18" s="2"/>
      <c r="R18" s="19">
        <f t="shared" si="9"/>
        <v>0</v>
      </c>
      <c r="S18" s="2"/>
      <c r="T18" s="2">
        <v>3307</v>
      </c>
      <c r="U18" s="2"/>
      <c r="V18" s="19">
        <f t="shared" si="10"/>
        <v>1.2164071885361255E-2</v>
      </c>
      <c r="W18" s="2"/>
      <c r="X18" s="2">
        <f t="shared" si="11"/>
        <v>-3307</v>
      </c>
      <c r="Y18" s="2"/>
      <c r="Z18" s="19">
        <f t="shared" si="12"/>
        <v>-1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5" t="s">
        <v>6</v>
      </c>
      <c r="C20" s="25"/>
      <c r="D20" s="20">
        <f>D12-D16</f>
        <v>0</v>
      </c>
      <c r="E20" s="13"/>
      <c r="F20" s="21">
        <f>IF(D$12=0,0,D20/D$12)</f>
        <v>0</v>
      </c>
      <c r="G20" s="13"/>
      <c r="H20" s="20">
        <f>H12-H16</f>
        <v>86903.06</v>
      </c>
      <c r="I20" s="13"/>
      <c r="J20" s="21">
        <f>IF(H$12=0,0,H20/H$12)</f>
        <v>0.74068051738760865</v>
      </c>
      <c r="K20" s="15"/>
      <c r="L20" s="20">
        <f>+D20-H20</f>
        <v>-86903.06</v>
      </c>
      <c r="M20" s="15"/>
      <c r="N20" s="21">
        <f>IF(H20=0,0,L20/H20)</f>
        <v>-1</v>
      </c>
      <c r="O20" s="26"/>
      <c r="P20" s="20">
        <f>P12-P16</f>
        <v>974.91</v>
      </c>
      <c r="Q20" s="13"/>
      <c r="R20" s="21">
        <f>IF(P$12=0,0,P20/P$12)</f>
        <v>1</v>
      </c>
      <c r="S20" s="13"/>
      <c r="T20" s="20">
        <f>T12-T16</f>
        <v>179510.69</v>
      </c>
      <c r="U20" s="13"/>
      <c r="V20" s="21">
        <f>IF(T$12=0,0,T20/T$12)</f>
        <v>0.66029057676165703</v>
      </c>
      <c r="W20" s="15"/>
      <c r="X20" s="20">
        <f>+P20-T20</f>
        <v>-178535.78</v>
      </c>
      <c r="Y20" s="15"/>
      <c r="Z20" s="21">
        <f>IF(T20=0,0,X20/T20)</f>
        <v>-0.99456906995343841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6" t="s">
        <v>9</v>
      </c>
      <c r="C22" s="10"/>
      <c r="D22" s="22">
        <f>SUM(OSRRefD22x_0)</f>
        <v>1825.26</v>
      </c>
      <c r="E22" s="22"/>
      <c r="F22" s="36">
        <f t="shared" ref="F22:F30" si="13">IF(D$12=0,0,D22/D$12)</f>
        <v>0</v>
      </c>
      <c r="G22" s="22"/>
      <c r="H22" s="22">
        <f>SUM(OSRRefH22x_0)</f>
        <v>47383.26</v>
      </c>
      <c r="I22" s="22"/>
      <c r="J22" s="36">
        <f t="shared" ref="J22:J30" si="14">IF(H$12=0,0,H22/H$12)</f>
        <v>0.40385065304157969</v>
      </c>
      <c r="K22" s="4"/>
      <c r="L22" s="22">
        <f t="shared" ref="L22:L30" si="15">+D22-H22</f>
        <v>-45558</v>
      </c>
      <c r="M22" s="4"/>
      <c r="N22" s="36">
        <f t="shared" ref="N22:N30" si="16">IF(H22=0,0,L22/H22)</f>
        <v>-0.9614788007410211</v>
      </c>
      <c r="O22" s="10"/>
      <c r="P22" s="22">
        <f>SUM(OSRRefP22x_0)</f>
        <v>8622.7999999999993</v>
      </c>
      <c r="Q22" s="22"/>
      <c r="R22" s="36">
        <f t="shared" ref="R22:R30" si="17">IF(P$12=0,0,P22/P$12)</f>
        <v>8.8447138710239912</v>
      </c>
      <c r="S22" s="22"/>
      <c r="T22" s="22">
        <f>SUM(OSRRefT22x_0)</f>
        <v>139054.48000000001</v>
      </c>
      <c r="U22" s="22"/>
      <c r="V22" s="36">
        <f t="shared" ref="V22:V30" si="18">IF(T$12=0,0,T22/T$12)</f>
        <v>0.51148130955595072</v>
      </c>
      <c r="W22" s="4"/>
      <c r="X22" s="22">
        <f t="shared" ref="X22:X30" si="19">+P22-T22</f>
        <v>-130431.68000000001</v>
      </c>
      <c r="Y22" s="4"/>
      <c r="Z22" s="36">
        <f t="shared" ref="Z22:Z30" si="20">IF(T22=0,0,X22/T22)</f>
        <v>-0.93798977206631529</v>
      </c>
    </row>
    <row r="23" spans="1:26" s="29" customFormat="1" outlineLevel="1" collapsed="1" x14ac:dyDescent="0.25">
      <c r="A23" s="27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0</v>
      </c>
      <c r="E23" s="1"/>
      <c r="F23" s="5">
        <f t="shared" si="13"/>
        <v>0</v>
      </c>
      <c r="G23" s="1"/>
      <c r="H23" s="1">
        <f>SUM(OSRRefH22_0x_0)</f>
        <v>1737.2800000000002</v>
      </c>
      <c r="I23" s="1"/>
      <c r="J23" s="5">
        <f t="shared" si="14"/>
        <v>1.4806952128580339E-2</v>
      </c>
      <c r="K23" s="1"/>
      <c r="L23" s="1">
        <f t="shared" si="15"/>
        <v>-1737.2800000000002</v>
      </c>
      <c r="M23" s="1"/>
      <c r="N23" s="5">
        <f t="shared" si="16"/>
        <v>-1</v>
      </c>
      <c r="O23" s="14"/>
      <c r="P23" s="1">
        <f>SUM(OSRRefP22_0x_0)</f>
        <v>702.51</v>
      </c>
      <c r="Q23" s="1"/>
      <c r="R23" s="5">
        <f t="shared" si="17"/>
        <v>0.72058959288549718</v>
      </c>
      <c r="S23" s="1"/>
      <c r="T23" s="1">
        <f>SUM(OSRRefT22_0x_0)</f>
        <v>9681.65</v>
      </c>
      <c r="U23" s="1"/>
      <c r="V23" s="5">
        <f t="shared" si="18"/>
        <v>3.5611819343485875E-2</v>
      </c>
      <c r="W23" s="1"/>
      <c r="X23" s="1">
        <f t="shared" si="19"/>
        <v>-8979.14</v>
      </c>
      <c r="Y23" s="1"/>
      <c r="Z23" s="5">
        <f t="shared" si="20"/>
        <v>-0.92743902124121402</v>
      </c>
    </row>
    <row r="24" spans="1:26" s="24" customFormat="1" hidden="1" outlineLevel="2" x14ac:dyDescent="0.25">
      <c r="A24" s="28"/>
      <c r="B24" s="11" t="str">
        <f>CONCATENATE("          ", "6111", " - ", "F.I.C.A.")</f>
        <v xml:space="preserve">          6111 - F.I.C.A.</v>
      </c>
      <c r="C24" s="11"/>
      <c r="D24" s="6"/>
      <c r="E24" s="2"/>
      <c r="F24" s="7">
        <f t="shared" si="13"/>
        <v>0</v>
      </c>
      <c r="G24" s="2"/>
      <c r="H24" s="6">
        <v>652.94000000000005</v>
      </c>
      <c r="I24" s="2"/>
      <c r="J24" s="7">
        <f t="shared" si="14"/>
        <v>5.5650507246012429E-3</v>
      </c>
      <c r="K24" s="2"/>
      <c r="L24" s="6">
        <f t="shared" si="15"/>
        <v>-652.94000000000005</v>
      </c>
      <c r="M24" s="2"/>
      <c r="N24" s="7">
        <f t="shared" si="16"/>
        <v>-1</v>
      </c>
      <c r="O24" s="11"/>
      <c r="P24" s="6"/>
      <c r="Q24" s="2"/>
      <c r="R24" s="7">
        <f t="shared" si="17"/>
        <v>0</v>
      </c>
      <c r="S24" s="2"/>
      <c r="T24" s="6">
        <v>2898.63</v>
      </c>
      <c r="U24" s="2"/>
      <c r="V24" s="7">
        <f t="shared" si="18"/>
        <v>1.0661972690978136E-2</v>
      </c>
      <c r="W24" s="2"/>
      <c r="X24" s="6">
        <f t="shared" si="19"/>
        <v>-2898.63</v>
      </c>
      <c r="Y24" s="2"/>
      <c r="Z24" s="7">
        <f t="shared" si="20"/>
        <v>-1</v>
      </c>
    </row>
    <row r="25" spans="1:26" s="24" customFormat="1" hidden="1" outlineLevel="2" x14ac:dyDescent="0.25">
      <c r="A25" s="28"/>
      <c r="B25" s="11" t="str">
        <f>CONCATENATE("          ", "6112", " - ", "COMPENSATION INSURANCE")</f>
        <v xml:space="preserve">          6112 - COMPENSATION INSURANCE</v>
      </c>
      <c r="C25" s="11"/>
      <c r="D25" s="6"/>
      <c r="E25" s="2"/>
      <c r="F25" s="7">
        <f t="shared" si="13"/>
        <v>0</v>
      </c>
      <c r="G25" s="2"/>
      <c r="H25" s="6">
        <v>-427.93</v>
      </c>
      <c r="I25" s="2"/>
      <c r="J25" s="7">
        <f t="shared" si="14"/>
        <v>-3.6472756403017267E-3</v>
      </c>
      <c r="K25" s="2"/>
      <c r="L25" s="6">
        <f t="shared" si="15"/>
        <v>427.93</v>
      </c>
      <c r="M25" s="2"/>
      <c r="N25" s="7">
        <f t="shared" si="16"/>
        <v>-1</v>
      </c>
      <c r="O25" s="11"/>
      <c r="P25" s="6"/>
      <c r="Q25" s="2"/>
      <c r="R25" s="7">
        <f t="shared" si="17"/>
        <v>0</v>
      </c>
      <c r="S25" s="2"/>
      <c r="T25" s="6">
        <v>1457.73</v>
      </c>
      <c r="U25" s="2"/>
      <c r="V25" s="7">
        <f t="shared" si="18"/>
        <v>5.3619390714991413E-3</v>
      </c>
      <c r="W25" s="2"/>
      <c r="X25" s="6">
        <f t="shared" si="19"/>
        <v>-1457.73</v>
      </c>
      <c r="Y25" s="2"/>
      <c r="Z25" s="7">
        <f t="shared" si="20"/>
        <v>-1</v>
      </c>
    </row>
    <row r="26" spans="1:26" s="24" customFormat="1" hidden="1" outlineLevel="2" x14ac:dyDescent="0.25">
      <c r="A26" s="28"/>
      <c r="B26" s="11" t="str">
        <f>CONCATENATE("          ", "6113", " - ", "GROUP INSURANCE")</f>
        <v xml:space="preserve">          6113 - GROUP INSURANCE</v>
      </c>
      <c r="C26" s="11"/>
      <c r="D26" s="6"/>
      <c r="E26" s="2"/>
      <c r="F26" s="7">
        <f t="shared" si="13"/>
        <v>0</v>
      </c>
      <c r="G26" s="2"/>
      <c r="H26" s="6">
        <v>650.39</v>
      </c>
      <c r="I26" s="2"/>
      <c r="J26" s="7">
        <f t="shared" si="14"/>
        <v>5.5433169062599963E-3</v>
      </c>
      <c r="K26" s="2"/>
      <c r="L26" s="6">
        <f t="shared" si="15"/>
        <v>-650.39</v>
      </c>
      <c r="M26" s="2"/>
      <c r="N26" s="7">
        <f t="shared" si="16"/>
        <v>-1</v>
      </c>
      <c r="O26" s="11"/>
      <c r="P26" s="6">
        <v>702.51</v>
      </c>
      <c r="Q26" s="2"/>
      <c r="R26" s="7">
        <f t="shared" si="17"/>
        <v>0.72058959288549718</v>
      </c>
      <c r="S26" s="2"/>
      <c r="T26" s="6">
        <v>2601.56</v>
      </c>
      <c r="U26" s="2"/>
      <c r="V26" s="7">
        <f t="shared" si="18"/>
        <v>9.5692660580829828E-3</v>
      </c>
      <c r="W26" s="2"/>
      <c r="X26" s="6">
        <f t="shared" si="19"/>
        <v>-1899.05</v>
      </c>
      <c r="Y26" s="2"/>
      <c r="Z26" s="7">
        <f t="shared" si="20"/>
        <v>-0.72996586663386587</v>
      </c>
    </row>
    <row r="27" spans="1:26" s="24" customFormat="1" hidden="1" outlineLevel="2" x14ac:dyDescent="0.25">
      <c r="A27" s="28"/>
      <c r="B27" s="11" t="str">
        <f>CONCATENATE("          ", "6114", " - ", "STATE UNEMPLOYMENT INSURANCE")</f>
        <v xml:space="preserve">          6114 - STATE UNEMPLOYMENT INSURANCE</v>
      </c>
      <c r="C27" s="11"/>
      <c r="D27" s="6"/>
      <c r="E27" s="2"/>
      <c r="F27" s="7">
        <f t="shared" si="13"/>
        <v>0</v>
      </c>
      <c r="G27" s="2"/>
      <c r="H27" s="6">
        <v>55.46</v>
      </c>
      <c r="I27" s="2"/>
      <c r="J27" s="7">
        <f t="shared" si="14"/>
        <v>4.7268924125706021E-4</v>
      </c>
      <c r="K27" s="2"/>
      <c r="L27" s="6">
        <f t="shared" si="15"/>
        <v>-55.46</v>
      </c>
      <c r="M27" s="2"/>
      <c r="N27" s="7">
        <f t="shared" si="16"/>
        <v>-1</v>
      </c>
      <c r="O27" s="11"/>
      <c r="P27" s="6"/>
      <c r="Q27" s="2"/>
      <c r="R27" s="7">
        <f t="shared" si="17"/>
        <v>0</v>
      </c>
      <c r="S27" s="2"/>
      <c r="T27" s="6">
        <v>181.82</v>
      </c>
      <c r="U27" s="2"/>
      <c r="V27" s="7">
        <f t="shared" si="18"/>
        <v>6.6878486549633602E-4</v>
      </c>
      <c r="W27" s="2"/>
      <c r="X27" s="6">
        <f t="shared" si="19"/>
        <v>-181.82</v>
      </c>
      <c r="Y27" s="2"/>
      <c r="Z27" s="7">
        <f t="shared" si="20"/>
        <v>-1</v>
      </c>
    </row>
    <row r="28" spans="1:26" s="24" customFormat="1" hidden="1" outlineLevel="2" x14ac:dyDescent="0.25">
      <c r="A28" s="28"/>
      <c r="B28" s="11" t="str">
        <f>CONCATENATE("          ", "6118", " - ", "VACATION")</f>
        <v xml:space="preserve">          6118 - VACATION</v>
      </c>
      <c r="C28" s="11"/>
      <c r="D28" s="6"/>
      <c r="E28" s="2"/>
      <c r="F28" s="7">
        <f t="shared" si="13"/>
        <v>0</v>
      </c>
      <c r="G28" s="2"/>
      <c r="H28" s="6">
        <v>288.75</v>
      </c>
      <c r="I28" s="2"/>
      <c r="J28" s="7">
        <f t="shared" si="14"/>
        <v>2.4610353121705037E-3</v>
      </c>
      <c r="K28" s="2"/>
      <c r="L28" s="6">
        <f t="shared" si="15"/>
        <v>-288.75</v>
      </c>
      <c r="M28" s="2"/>
      <c r="N28" s="7">
        <f t="shared" si="16"/>
        <v>-1</v>
      </c>
      <c r="O28" s="11"/>
      <c r="P28" s="6"/>
      <c r="Q28" s="2"/>
      <c r="R28" s="7">
        <f t="shared" si="17"/>
        <v>0</v>
      </c>
      <c r="S28" s="2"/>
      <c r="T28" s="6">
        <v>866.25</v>
      </c>
      <c r="U28" s="2"/>
      <c r="V28" s="7">
        <f t="shared" si="18"/>
        <v>3.1863100304488014E-3</v>
      </c>
      <c r="W28" s="2"/>
      <c r="X28" s="6">
        <f t="shared" si="19"/>
        <v>-866.25</v>
      </c>
      <c r="Y28" s="2"/>
      <c r="Z28" s="7">
        <f t="shared" si="20"/>
        <v>-1</v>
      </c>
    </row>
    <row r="29" spans="1:26" s="24" customFormat="1" hidden="1" outlineLevel="2" x14ac:dyDescent="0.25">
      <c r="A29" s="28"/>
      <c r="B29" s="11" t="str">
        <f>CONCATENATE("          ", "6119", " - ", "SICK LEAVE")</f>
        <v xml:space="preserve">          6119 - SICK LEAVE</v>
      </c>
      <c r="C29" s="11"/>
      <c r="D29" s="6"/>
      <c r="E29" s="2"/>
      <c r="F29" s="7">
        <f t="shared" si="13"/>
        <v>0</v>
      </c>
      <c r="G29" s="2"/>
      <c r="H29" s="6">
        <v>345.93</v>
      </c>
      <c r="I29" s="2"/>
      <c r="J29" s="7">
        <f t="shared" si="14"/>
        <v>2.9483842269753847E-3</v>
      </c>
      <c r="K29" s="2"/>
      <c r="L29" s="6">
        <f t="shared" si="15"/>
        <v>-345.93</v>
      </c>
      <c r="M29" s="2"/>
      <c r="N29" s="7">
        <f t="shared" si="16"/>
        <v>-1</v>
      </c>
      <c r="O29" s="11"/>
      <c r="P29" s="6"/>
      <c r="Q29" s="2"/>
      <c r="R29" s="7">
        <f t="shared" si="17"/>
        <v>0</v>
      </c>
      <c r="S29" s="2"/>
      <c r="T29" s="6">
        <v>1037.79</v>
      </c>
      <c r="U29" s="2"/>
      <c r="V29" s="7">
        <f t="shared" si="18"/>
        <v>3.8172821777771562E-3</v>
      </c>
      <c r="W29" s="2"/>
      <c r="X29" s="6">
        <f t="shared" si="19"/>
        <v>-1037.79</v>
      </c>
      <c r="Y29" s="2"/>
      <c r="Z29" s="7">
        <f t="shared" si="20"/>
        <v>-1</v>
      </c>
    </row>
    <row r="30" spans="1:26" s="24" customFormat="1" hidden="1" outlineLevel="2" x14ac:dyDescent="0.25">
      <c r="A30" s="28"/>
      <c r="B30" s="11" t="str">
        <f>CONCATENATE("          ", "6156", " - ", "EMPLOYEE MEALS")</f>
        <v xml:space="preserve">          6156 - EMPLOYEE MEALS</v>
      </c>
      <c r="C30" s="11"/>
      <c r="D30" s="6"/>
      <c r="E30" s="2"/>
      <c r="F30" s="7">
        <f t="shared" si="13"/>
        <v>0</v>
      </c>
      <c r="G30" s="2"/>
      <c r="H30" s="6">
        <v>171.74</v>
      </c>
      <c r="I30" s="2"/>
      <c r="J30" s="7">
        <f t="shared" si="14"/>
        <v>1.4637513576178781E-3</v>
      </c>
      <c r="K30" s="2"/>
      <c r="L30" s="6">
        <f t="shared" si="15"/>
        <v>-171.74</v>
      </c>
      <c r="M30" s="2"/>
      <c r="N30" s="7">
        <f t="shared" si="16"/>
        <v>-1</v>
      </c>
      <c r="O30" s="11"/>
      <c r="P30" s="6"/>
      <c r="Q30" s="2"/>
      <c r="R30" s="7">
        <f t="shared" si="17"/>
        <v>0</v>
      </c>
      <c r="S30" s="2"/>
      <c r="T30" s="6">
        <v>637.87</v>
      </c>
      <c r="U30" s="2"/>
      <c r="V30" s="7">
        <f t="shared" si="18"/>
        <v>2.3462644492033211E-3</v>
      </c>
      <c r="W30" s="2"/>
      <c r="X30" s="6">
        <f t="shared" si="19"/>
        <v>-637.87</v>
      </c>
      <c r="Y30" s="2"/>
      <c r="Z30" s="7">
        <f t="shared" si="20"/>
        <v>-1</v>
      </c>
    </row>
    <row r="31" spans="1:26" s="29" customFormat="1" outlineLevel="1" collapsed="1" x14ac:dyDescent="0.25">
      <c r="A31" s="27"/>
      <c r="B31" s="14" t="str">
        <f>CONCATENATE("     ","*Payroll                                          ")</f>
        <v xml:space="preserve">     *Payroll                                          </v>
      </c>
      <c r="C31" s="14"/>
      <c r="D31" s="1">
        <f>SUM(OSRRefD22_1x_0)</f>
        <v>0</v>
      </c>
      <c r="E31" s="1"/>
      <c r="F31" s="5">
        <f t="shared" ref="F31:F35" si="21">IF(D$12=0,0,D31/D$12)</f>
        <v>0</v>
      </c>
      <c r="G31" s="1"/>
      <c r="H31" s="1">
        <f>SUM(OSRRefH22_1x_0)</f>
        <v>28225.86</v>
      </c>
      <c r="I31" s="1"/>
      <c r="J31" s="5">
        <f t="shared" ref="J31:J35" si="22">IF(H$12=0,0,H31/H$12)</f>
        <v>0.24057086814331058</v>
      </c>
      <c r="K31" s="1"/>
      <c r="L31" s="1">
        <f t="shared" ref="L31:L35" si="23">+D31-H31</f>
        <v>-28225.86</v>
      </c>
      <c r="M31" s="1"/>
      <c r="N31" s="5">
        <f t="shared" ref="N31:N35" si="24">IF(H31=0,0,L31/H31)</f>
        <v>-1</v>
      </c>
      <c r="O31" s="14"/>
      <c r="P31" s="1">
        <f>SUM(OSRRefP22_1x_0)</f>
        <v>0</v>
      </c>
      <c r="Q31" s="1"/>
      <c r="R31" s="5">
        <f t="shared" ref="R31:R35" si="25">IF(P$12=0,0,P31/P$12)</f>
        <v>0</v>
      </c>
      <c r="S31" s="1"/>
      <c r="T31" s="1">
        <f>SUM(OSRRefT22_1x_0)</f>
        <v>81303.100000000006</v>
      </c>
      <c r="U31" s="1"/>
      <c r="V31" s="5">
        <f t="shared" ref="V31:V35" si="26">IF(T$12=0,0,T31/T$12)</f>
        <v>0.29905556483299506</v>
      </c>
      <c r="W31" s="1"/>
      <c r="X31" s="1">
        <f t="shared" ref="X31:X35" si="27">+P31-T31</f>
        <v>-81303.100000000006</v>
      </c>
      <c r="Y31" s="1"/>
      <c r="Z31" s="5">
        <f t="shared" ref="Z31:Z35" si="28">IF(T31=0,0,X31/T31)</f>
        <v>-1</v>
      </c>
    </row>
    <row r="32" spans="1:26" s="24" customFormat="1" hidden="1" outlineLevel="2" x14ac:dyDescent="0.25">
      <c r="A32" s="28"/>
      <c r="B32" s="11" t="str">
        <f>CONCATENATE("          ", "6004", " - ", "STAFF HOURLY")</f>
        <v xml:space="preserve">          6004 - STAFF HOURLY</v>
      </c>
      <c r="C32" s="11"/>
      <c r="D32" s="6"/>
      <c r="E32" s="2"/>
      <c r="F32" s="7">
        <f t="shared" si="21"/>
        <v>0</v>
      </c>
      <c r="G32" s="2"/>
      <c r="H32" s="6">
        <v>8535.16</v>
      </c>
      <c r="I32" s="2"/>
      <c r="J32" s="7">
        <f t="shared" si="22"/>
        <v>7.274573213861539E-2</v>
      </c>
      <c r="K32" s="2"/>
      <c r="L32" s="6">
        <f t="shared" si="23"/>
        <v>-8535.16</v>
      </c>
      <c r="M32" s="2"/>
      <c r="N32" s="7">
        <f t="shared" si="24"/>
        <v>-1</v>
      </c>
      <c r="O32" s="11"/>
      <c r="P32" s="6"/>
      <c r="Q32" s="2"/>
      <c r="R32" s="7">
        <f t="shared" si="25"/>
        <v>0</v>
      </c>
      <c r="S32" s="2"/>
      <c r="T32" s="6">
        <v>25070.31</v>
      </c>
      <c r="U32" s="2"/>
      <c r="V32" s="7">
        <f t="shared" si="26"/>
        <v>9.221561930096496E-2</v>
      </c>
      <c r="W32" s="2"/>
      <c r="X32" s="6">
        <f t="shared" si="27"/>
        <v>-25070.31</v>
      </c>
      <c r="Y32" s="2"/>
      <c r="Z32" s="7">
        <f t="shared" si="28"/>
        <v>-1</v>
      </c>
    </row>
    <row r="33" spans="1:26" s="24" customFormat="1" hidden="1" outlineLevel="2" x14ac:dyDescent="0.25">
      <c r="A33" s="28"/>
      <c r="B33" s="11" t="str">
        <f>CONCATENATE("          ", "6005", " - ", "TEMPORARY WAGES-HOURLY")</f>
        <v xml:space="preserve">          6005 - TEMPORARY WAGES-HOURLY</v>
      </c>
      <c r="C33" s="11"/>
      <c r="D33" s="6"/>
      <c r="E33" s="2"/>
      <c r="F33" s="7">
        <f t="shared" si="21"/>
        <v>0</v>
      </c>
      <c r="G33" s="2"/>
      <c r="H33" s="6"/>
      <c r="I33" s="2"/>
      <c r="J33" s="7">
        <f t="shared" si="22"/>
        <v>0</v>
      </c>
      <c r="K33" s="2"/>
      <c r="L33" s="6">
        <f t="shared" si="23"/>
        <v>0</v>
      </c>
      <c r="M33" s="2"/>
      <c r="N33" s="7">
        <f t="shared" si="24"/>
        <v>0</v>
      </c>
      <c r="O33" s="11"/>
      <c r="P33" s="6"/>
      <c r="Q33" s="2"/>
      <c r="R33" s="7">
        <f t="shared" si="25"/>
        <v>0</v>
      </c>
      <c r="S33" s="2"/>
      <c r="T33" s="6">
        <v>1997.5</v>
      </c>
      <c r="U33" s="2"/>
      <c r="V33" s="7">
        <f t="shared" si="26"/>
        <v>7.3473642549165726E-3</v>
      </c>
      <c r="W33" s="2"/>
      <c r="X33" s="6">
        <f t="shared" si="27"/>
        <v>-1997.5</v>
      </c>
      <c r="Y33" s="2"/>
      <c r="Z33" s="7">
        <f t="shared" si="28"/>
        <v>-1</v>
      </c>
    </row>
    <row r="34" spans="1:26" s="24" customFormat="1" hidden="1" outlineLevel="2" x14ac:dyDescent="0.25">
      <c r="A34" s="28"/>
      <c r="B34" s="11" t="str">
        <f>CONCATENATE("          ", "6006", " - ", "TEMPORARY PART TIME")</f>
        <v xml:space="preserve">          6006 - TEMPORARY PART TIME</v>
      </c>
      <c r="C34" s="11"/>
      <c r="D34" s="6"/>
      <c r="E34" s="2"/>
      <c r="F34" s="7">
        <f t="shared" si="21"/>
        <v>0</v>
      </c>
      <c r="G34" s="2"/>
      <c r="H34" s="6"/>
      <c r="I34" s="2"/>
      <c r="J34" s="7">
        <f t="shared" si="22"/>
        <v>0</v>
      </c>
      <c r="K34" s="2"/>
      <c r="L34" s="6">
        <f t="shared" si="23"/>
        <v>0</v>
      </c>
      <c r="M34" s="2"/>
      <c r="N34" s="7">
        <f t="shared" si="24"/>
        <v>0</v>
      </c>
      <c r="O34" s="11"/>
      <c r="P34" s="6"/>
      <c r="Q34" s="2"/>
      <c r="R34" s="7">
        <f t="shared" si="25"/>
        <v>0</v>
      </c>
      <c r="S34" s="2"/>
      <c r="T34" s="6">
        <v>29.25</v>
      </c>
      <c r="U34" s="2"/>
      <c r="V34" s="7">
        <f t="shared" si="26"/>
        <v>1.0758968933982966E-4</v>
      </c>
      <c r="W34" s="2"/>
      <c r="X34" s="6">
        <f t="shared" si="27"/>
        <v>-29.25</v>
      </c>
      <c r="Y34" s="2"/>
      <c r="Z34" s="7">
        <f t="shared" si="28"/>
        <v>-1</v>
      </c>
    </row>
    <row r="35" spans="1:26" s="24" customFormat="1" hidden="1" outlineLevel="2" x14ac:dyDescent="0.25">
      <c r="A35" s="28"/>
      <c r="B35" s="11" t="str">
        <f>CONCATENATE("          ", "6007", " - ", "STUDENT HOURLY")</f>
        <v xml:space="preserve">          6007 - STUDENT HOURLY</v>
      </c>
      <c r="C35" s="11"/>
      <c r="D35" s="6"/>
      <c r="E35" s="2"/>
      <c r="F35" s="7">
        <f t="shared" si="21"/>
        <v>0</v>
      </c>
      <c r="G35" s="2"/>
      <c r="H35" s="6">
        <v>19690.7</v>
      </c>
      <c r="I35" s="2"/>
      <c r="J35" s="7">
        <f t="shared" si="22"/>
        <v>0.1678251360046952</v>
      </c>
      <c r="K35" s="2"/>
      <c r="L35" s="6">
        <f t="shared" si="23"/>
        <v>-19690.7</v>
      </c>
      <c r="M35" s="2"/>
      <c r="N35" s="7">
        <f t="shared" si="24"/>
        <v>-1</v>
      </c>
      <c r="O35" s="11"/>
      <c r="P35" s="6"/>
      <c r="Q35" s="2"/>
      <c r="R35" s="7">
        <f t="shared" si="25"/>
        <v>0</v>
      </c>
      <c r="S35" s="2"/>
      <c r="T35" s="6">
        <v>54206.04</v>
      </c>
      <c r="U35" s="2"/>
      <c r="V35" s="7">
        <f t="shared" si="26"/>
        <v>0.19938499158777367</v>
      </c>
      <c r="W35" s="2"/>
      <c r="X35" s="6">
        <f t="shared" si="27"/>
        <v>-54206.04</v>
      </c>
      <c r="Y35" s="2"/>
      <c r="Z35" s="7">
        <f t="shared" si="28"/>
        <v>-1</v>
      </c>
    </row>
    <row r="36" spans="1:26" s="29" customFormat="1" outlineLevel="1" collapsed="1" x14ac:dyDescent="0.25">
      <c r="A36" s="27"/>
      <c r="B36" s="14" t="str">
        <f>CONCATENATE("     ","Advertising/Promo                                 ")</f>
        <v xml:space="preserve">     Advertising/Promo                                 </v>
      </c>
      <c r="C36" s="14"/>
      <c r="D36" s="1">
        <f>SUM(OSRRefD22_2x_0)</f>
        <v>0</v>
      </c>
      <c r="E36" s="1"/>
      <c r="F36" s="5">
        <f t="shared" ref="F36:F50" si="29">IF(D$12=0,0,D36/D$12)</f>
        <v>0</v>
      </c>
      <c r="G36" s="1"/>
      <c r="H36" s="1">
        <f>SUM(OSRRefH22_2x_0)</f>
        <v>48.68</v>
      </c>
      <c r="I36" s="1"/>
      <c r="J36" s="5">
        <f t="shared" ref="J36:J50" si="30">IF(H$12=0,0,H36/H$12)</f>
        <v>4.1490285366739435E-4</v>
      </c>
      <c r="K36" s="1"/>
      <c r="L36" s="1">
        <f t="shared" ref="L36:L50" si="31">+D36-H36</f>
        <v>-48.68</v>
      </c>
      <c r="M36" s="1"/>
      <c r="N36" s="5">
        <f t="shared" ref="N36:N50" si="32">IF(H36=0,0,L36/H36)</f>
        <v>-1</v>
      </c>
      <c r="O36" s="14"/>
      <c r="P36" s="1">
        <f>SUM(OSRRefP22_2x_0)</f>
        <v>0</v>
      </c>
      <c r="Q36" s="1"/>
      <c r="R36" s="5">
        <f t="shared" ref="R36:R50" si="33">IF(P$12=0,0,P36/P$12)</f>
        <v>0</v>
      </c>
      <c r="S36" s="1"/>
      <c r="T36" s="1">
        <f>SUM(OSRRefT22_2x_0)</f>
        <v>579.89</v>
      </c>
      <c r="U36" s="1"/>
      <c r="V36" s="5">
        <f t="shared" ref="V36:V50" si="34">IF(T$12=0,0,T36/T$12)</f>
        <v>2.1329977761119254E-3</v>
      </c>
      <c r="W36" s="1"/>
      <c r="X36" s="1">
        <f t="shared" ref="X36:X50" si="35">+P36-T36</f>
        <v>-579.89</v>
      </c>
      <c r="Y36" s="1"/>
      <c r="Z36" s="5">
        <f t="shared" ref="Z36:Z50" si="36">IF(T36=0,0,X36/T36)</f>
        <v>-1</v>
      </c>
    </row>
    <row r="37" spans="1:26" s="24" customFormat="1" hidden="1" outlineLevel="2" x14ac:dyDescent="0.25">
      <c r="A37" s="28"/>
      <c r="B37" s="11" t="str">
        <f>CONCATENATE("          ", "6362", " - ", "ADVERTISING EXPENSE")</f>
        <v xml:space="preserve">          6362 - ADVERTISING EXPENSE</v>
      </c>
      <c r="C37" s="11"/>
      <c r="D37" s="6"/>
      <c r="E37" s="2"/>
      <c r="F37" s="7">
        <f t="shared" si="29"/>
        <v>0</v>
      </c>
      <c r="G37" s="2"/>
      <c r="H37" s="6">
        <v>48.68</v>
      </c>
      <c r="I37" s="2"/>
      <c r="J37" s="7">
        <f t="shared" si="30"/>
        <v>4.1490285366739435E-4</v>
      </c>
      <c r="K37" s="2"/>
      <c r="L37" s="6">
        <f t="shared" si="31"/>
        <v>-48.68</v>
      </c>
      <c r="M37" s="2"/>
      <c r="N37" s="7">
        <f t="shared" si="32"/>
        <v>-1</v>
      </c>
      <c r="O37" s="11"/>
      <c r="P37" s="6"/>
      <c r="Q37" s="2"/>
      <c r="R37" s="7">
        <f t="shared" si="33"/>
        <v>0</v>
      </c>
      <c r="S37" s="2"/>
      <c r="T37" s="6">
        <v>579.89</v>
      </c>
      <c r="U37" s="2"/>
      <c r="V37" s="7">
        <f t="shared" si="34"/>
        <v>2.1329977761119254E-3</v>
      </c>
      <c r="W37" s="2"/>
      <c r="X37" s="6">
        <f t="shared" si="35"/>
        <v>-579.89</v>
      </c>
      <c r="Y37" s="2"/>
      <c r="Z37" s="7">
        <f t="shared" si="36"/>
        <v>-1</v>
      </c>
    </row>
    <row r="38" spans="1:26" s="29" customFormat="1" outlineLevel="1" collapsed="1" x14ac:dyDescent="0.25">
      <c r="A38" s="27"/>
      <c r="B38" s="14" t="str">
        <f>CONCATENATE("     ","Bad Debts/Over/Short                              ")</f>
        <v xml:space="preserve">     Bad Debts/Over/Short                              </v>
      </c>
      <c r="C38" s="14"/>
      <c r="D38" s="1">
        <f>SUM(OSRRefD22_3x_0)</f>
        <v>0</v>
      </c>
      <c r="E38" s="1"/>
      <c r="F38" s="5">
        <f t="shared" si="29"/>
        <v>0</v>
      </c>
      <c r="G38" s="1"/>
      <c r="H38" s="1">
        <f>SUM(OSRRefH22_3x_0)</f>
        <v>1.68</v>
      </c>
      <c r="I38" s="1"/>
      <c r="J38" s="5">
        <f t="shared" si="30"/>
        <v>1.4318750907173839E-5</v>
      </c>
      <c r="K38" s="1"/>
      <c r="L38" s="1">
        <f t="shared" si="31"/>
        <v>-1.68</v>
      </c>
      <c r="M38" s="1"/>
      <c r="N38" s="5">
        <f t="shared" si="32"/>
        <v>-1</v>
      </c>
      <c r="O38" s="14"/>
      <c r="P38" s="1">
        <f>SUM(OSRRefP22_3x_0)</f>
        <v>0</v>
      </c>
      <c r="Q38" s="1"/>
      <c r="R38" s="5">
        <f t="shared" si="33"/>
        <v>0</v>
      </c>
      <c r="S38" s="1"/>
      <c r="T38" s="1">
        <f>SUM(OSRRefT22_3x_0)</f>
        <v>1.88</v>
      </c>
      <c r="U38" s="1"/>
      <c r="V38" s="5">
        <f t="shared" si="34"/>
        <v>6.9151663575685388E-6</v>
      </c>
      <c r="W38" s="1"/>
      <c r="X38" s="1">
        <f t="shared" si="35"/>
        <v>-1.88</v>
      </c>
      <c r="Y38" s="1"/>
      <c r="Z38" s="5">
        <f t="shared" si="36"/>
        <v>-1</v>
      </c>
    </row>
    <row r="39" spans="1:26" s="24" customFormat="1" hidden="1" outlineLevel="2" x14ac:dyDescent="0.25">
      <c r="A39" s="28"/>
      <c r="B39" s="11" t="str">
        <f>CONCATENATE("          ", "6272", " - ", "CASH (OVER/SHORT)")</f>
        <v xml:space="preserve">          6272 - CASH (OVER/SHORT)</v>
      </c>
      <c r="C39" s="11"/>
      <c r="D39" s="6"/>
      <c r="E39" s="2"/>
      <c r="F39" s="7">
        <f t="shared" si="29"/>
        <v>0</v>
      </c>
      <c r="G39" s="2"/>
      <c r="H39" s="6">
        <v>1.68</v>
      </c>
      <c r="I39" s="2"/>
      <c r="J39" s="7">
        <f t="shared" si="30"/>
        <v>1.4318750907173839E-5</v>
      </c>
      <c r="K39" s="2"/>
      <c r="L39" s="6">
        <f t="shared" si="31"/>
        <v>-1.68</v>
      </c>
      <c r="M39" s="2"/>
      <c r="N39" s="7">
        <f t="shared" si="32"/>
        <v>-1</v>
      </c>
      <c r="O39" s="11"/>
      <c r="P39" s="6"/>
      <c r="Q39" s="2"/>
      <c r="R39" s="7">
        <f t="shared" si="33"/>
        <v>0</v>
      </c>
      <c r="S39" s="2"/>
      <c r="T39" s="6">
        <v>1.88</v>
      </c>
      <c r="U39" s="2"/>
      <c r="V39" s="7">
        <f t="shared" si="34"/>
        <v>6.9151663575685388E-6</v>
      </c>
      <c r="W39" s="2"/>
      <c r="X39" s="6">
        <f t="shared" si="35"/>
        <v>-1.88</v>
      </c>
      <c r="Y39" s="2"/>
      <c r="Z39" s="7">
        <f t="shared" si="36"/>
        <v>-1</v>
      </c>
    </row>
    <row r="40" spans="1:26" s="29" customFormat="1" outlineLevel="1" collapsed="1" x14ac:dyDescent="0.25">
      <c r="A40" s="27"/>
      <c r="B40" s="14" t="str">
        <f>CONCATENATE("     ","Bank/card Fees                                    ")</f>
        <v xml:space="preserve">     Bank/card Fees                                    </v>
      </c>
      <c r="C40" s="14"/>
      <c r="D40" s="1">
        <f>SUM(OSRRefD22_4x_0)</f>
        <v>0</v>
      </c>
      <c r="E40" s="1"/>
      <c r="F40" s="5">
        <f t="shared" si="29"/>
        <v>0</v>
      </c>
      <c r="G40" s="1"/>
      <c r="H40" s="1">
        <f>SUM(OSRRefH22_4x_0)</f>
        <v>3652.09</v>
      </c>
      <c r="I40" s="1"/>
      <c r="J40" s="5">
        <f t="shared" si="30"/>
        <v>3.1127004167012209E-2</v>
      </c>
      <c r="K40" s="1"/>
      <c r="L40" s="1">
        <f t="shared" si="31"/>
        <v>-3652.09</v>
      </c>
      <c r="M40" s="1"/>
      <c r="N40" s="5">
        <f t="shared" si="32"/>
        <v>-1</v>
      </c>
      <c r="O40" s="14"/>
      <c r="P40" s="1">
        <f>SUM(OSRRefP22_4x_0)</f>
        <v>0</v>
      </c>
      <c r="Q40" s="1"/>
      <c r="R40" s="5">
        <f t="shared" si="33"/>
        <v>0</v>
      </c>
      <c r="S40" s="1"/>
      <c r="T40" s="1">
        <f>SUM(OSRRefT22_4x_0)</f>
        <v>7431.61</v>
      </c>
      <c r="U40" s="1"/>
      <c r="V40" s="5">
        <f t="shared" si="34"/>
        <v>2.7335542263069109E-2</v>
      </c>
      <c r="W40" s="1"/>
      <c r="X40" s="1">
        <f t="shared" si="35"/>
        <v>-7431.61</v>
      </c>
      <c r="Y40" s="1"/>
      <c r="Z40" s="5">
        <f t="shared" si="36"/>
        <v>-1</v>
      </c>
    </row>
    <row r="41" spans="1:26" s="24" customFormat="1" hidden="1" outlineLevel="2" x14ac:dyDescent="0.25">
      <c r="A41" s="28"/>
      <c r="B41" s="11" t="str">
        <f>CONCATENATE("          ", "6381", " - ", "BANK/CREDIT CARD FEES")</f>
        <v xml:space="preserve">          6381 - BANK/CREDIT CARD FEES</v>
      </c>
      <c r="C41" s="11"/>
      <c r="D41" s="6"/>
      <c r="E41" s="2"/>
      <c r="F41" s="7">
        <f t="shared" si="29"/>
        <v>0</v>
      </c>
      <c r="G41" s="2"/>
      <c r="H41" s="6">
        <v>3652.09</v>
      </c>
      <c r="I41" s="2"/>
      <c r="J41" s="7">
        <f t="shared" si="30"/>
        <v>3.1127004167012209E-2</v>
      </c>
      <c r="K41" s="2"/>
      <c r="L41" s="6">
        <f t="shared" si="31"/>
        <v>-3652.09</v>
      </c>
      <c r="M41" s="2"/>
      <c r="N41" s="7">
        <f t="shared" si="32"/>
        <v>-1</v>
      </c>
      <c r="O41" s="11"/>
      <c r="P41" s="6"/>
      <c r="Q41" s="2"/>
      <c r="R41" s="7">
        <f t="shared" si="33"/>
        <v>0</v>
      </c>
      <c r="S41" s="2"/>
      <c r="T41" s="6">
        <v>7431.61</v>
      </c>
      <c r="U41" s="2"/>
      <c r="V41" s="7">
        <f t="shared" si="34"/>
        <v>2.7335542263069109E-2</v>
      </c>
      <c r="W41" s="2"/>
      <c r="X41" s="6">
        <f t="shared" si="35"/>
        <v>-7431.61</v>
      </c>
      <c r="Y41" s="2"/>
      <c r="Z41" s="7">
        <f t="shared" si="36"/>
        <v>-1</v>
      </c>
    </row>
    <row r="42" spans="1:26" s="29" customFormat="1" outlineLevel="1" collapsed="1" x14ac:dyDescent="0.25">
      <c r="A42" s="27"/>
      <c r="B42" s="14" t="str">
        <f>CONCATENATE("     ","Depreciation                                      ")</f>
        <v xml:space="preserve">     Depreciation                                      </v>
      </c>
      <c r="C42" s="14"/>
      <c r="D42" s="1">
        <f>SUM(OSRRefD22_5x_0)</f>
        <v>1825.26</v>
      </c>
      <c r="E42" s="1"/>
      <c r="F42" s="5">
        <f t="shared" si="29"/>
        <v>0</v>
      </c>
      <c r="G42" s="1"/>
      <c r="H42" s="1">
        <f>SUM(OSRRefH22_5x_0)</f>
        <v>1647.59</v>
      </c>
      <c r="I42" s="1"/>
      <c r="J42" s="5">
        <f t="shared" si="30"/>
        <v>1.4042518337589609E-2</v>
      </c>
      <c r="K42" s="1"/>
      <c r="L42" s="1">
        <f t="shared" si="31"/>
        <v>177.67000000000007</v>
      </c>
      <c r="M42" s="1"/>
      <c r="N42" s="5">
        <f t="shared" si="32"/>
        <v>0.10783629422368433</v>
      </c>
      <c r="O42" s="14"/>
      <c r="P42" s="1">
        <f>SUM(OSRRefP22_5x_0)</f>
        <v>7447.83</v>
      </c>
      <c r="Q42" s="1"/>
      <c r="R42" s="5">
        <f t="shared" si="33"/>
        <v>7.6395051850940092</v>
      </c>
      <c r="S42" s="1"/>
      <c r="T42" s="1">
        <f>SUM(OSRRefT22_5x_0)</f>
        <v>6590.36</v>
      </c>
      <c r="U42" s="1"/>
      <c r="V42" s="5">
        <f t="shared" si="34"/>
        <v>2.4241189232056062E-2</v>
      </c>
      <c r="W42" s="1"/>
      <c r="X42" s="1">
        <f t="shared" si="35"/>
        <v>857.47000000000025</v>
      </c>
      <c r="Y42" s="1"/>
      <c r="Z42" s="5">
        <f t="shared" si="36"/>
        <v>0.13010973603869899</v>
      </c>
    </row>
    <row r="43" spans="1:26" s="24" customFormat="1" hidden="1" outlineLevel="2" x14ac:dyDescent="0.25">
      <c r="A43" s="28"/>
      <c r="B43" s="11" t="str">
        <f>CONCATENATE("          ", "6322", " - ", "EQUIPMENT DEPRECIATION EXPENSE")</f>
        <v xml:space="preserve">          6322 - EQUIPMENT DEPRECIATION EXPENSE</v>
      </c>
      <c r="C43" s="11"/>
      <c r="D43" s="6">
        <v>1825.26</v>
      </c>
      <c r="E43" s="2"/>
      <c r="F43" s="7">
        <f t="shared" si="29"/>
        <v>0</v>
      </c>
      <c r="G43" s="2"/>
      <c r="H43" s="6">
        <v>1647.59</v>
      </c>
      <c r="I43" s="2"/>
      <c r="J43" s="7">
        <f t="shared" si="30"/>
        <v>1.4042518337589609E-2</v>
      </c>
      <c r="K43" s="2"/>
      <c r="L43" s="6">
        <f t="shared" si="31"/>
        <v>177.67000000000007</v>
      </c>
      <c r="M43" s="2"/>
      <c r="N43" s="7">
        <f t="shared" si="32"/>
        <v>0.10783629422368433</v>
      </c>
      <c r="O43" s="11"/>
      <c r="P43" s="6">
        <v>7447.83</v>
      </c>
      <c r="Q43" s="2"/>
      <c r="R43" s="7">
        <f t="shared" si="33"/>
        <v>7.6395051850940092</v>
      </c>
      <c r="S43" s="2"/>
      <c r="T43" s="6">
        <v>6590.36</v>
      </c>
      <c r="U43" s="2"/>
      <c r="V43" s="7">
        <f t="shared" si="34"/>
        <v>2.4241189232056062E-2</v>
      </c>
      <c r="W43" s="2"/>
      <c r="X43" s="6">
        <f t="shared" si="35"/>
        <v>857.47000000000025</v>
      </c>
      <c r="Y43" s="2"/>
      <c r="Z43" s="7">
        <f t="shared" si="36"/>
        <v>0.13010973603869899</v>
      </c>
    </row>
    <row r="44" spans="1:26" s="29" customFormat="1" outlineLevel="1" collapsed="1" x14ac:dyDescent="0.25">
      <c r="A44" s="27"/>
      <c r="B44" s="14" t="str">
        <f>CONCATENATE("     ","Equipment Rental                                  ")</f>
        <v xml:space="preserve">     Equipment Rental                                  </v>
      </c>
      <c r="C44" s="14"/>
      <c r="D44" s="1">
        <f>SUM(OSRRefD22_6x_0)</f>
        <v>0</v>
      </c>
      <c r="E44" s="1"/>
      <c r="F44" s="5">
        <f t="shared" si="29"/>
        <v>0</v>
      </c>
      <c r="G44" s="1"/>
      <c r="H44" s="1">
        <f>SUM(OSRRefH22_6x_0)</f>
        <v>118.91</v>
      </c>
      <c r="I44" s="1"/>
      <c r="J44" s="5">
        <f t="shared" si="30"/>
        <v>1.0134777799833579E-3</v>
      </c>
      <c r="K44" s="1"/>
      <c r="L44" s="1">
        <f t="shared" si="31"/>
        <v>-118.91</v>
      </c>
      <c r="M44" s="1"/>
      <c r="N44" s="5">
        <f t="shared" si="32"/>
        <v>-1</v>
      </c>
      <c r="O44" s="14"/>
      <c r="P44" s="1">
        <f>SUM(OSRRefP22_6x_0)</f>
        <v>96.3</v>
      </c>
      <c r="Q44" s="1"/>
      <c r="R44" s="5">
        <f t="shared" si="33"/>
        <v>9.8778348770655749E-2</v>
      </c>
      <c r="S44" s="1"/>
      <c r="T44" s="1">
        <f>SUM(OSRRefT22_6x_0)</f>
        <v>475.64</v>
      </c>
      <c r="U44" s="1"/>
      <c r="V44" s="5">
        <f t="shared" si="34"/>
        <v>1.7495370884648403E-3</v>
      </c>
      <c r="W44" s="1"/>
      <c r="X44" s="1">
        <f t="shared" si="35"/>
        <v>-379.34</v>
      </c>
      <c r="Y44" s="1"/>
      <c r="Z44" s="5">
        <f t="shared" si="36"/>
        <v>-0.79753595156000334</v>
      </c>
    </row>
    <row r="45" spans="1:26" s="24" customFormat="1" hidden="1" outlineLevel="2" x14ac:dyDescent="0.25">
      <c r="A45" s="28"/>
      <c r="B45" s="11" t="str">
        <f>CONCATENATE("          ", "6351", " - ", "EQUIPMENT RENTAL")</f>
        <v xml:space="preserve">          6351 - EQUIPMENT RENTAL</v>
      </c>
      <c r="C45" s="11"/>
      <c r="D45" s="6"/>
      <c r="E45" s="2"/>
      <c r="F45" s="7">
        <f t="shared" si="29"/>
        <v>0</v>
      </c>
      <c r="G45" s="2"/>
      <c r="H45" s="6">
        <v>118.91</v>
      </c>
      <c r="I45" s="2"/>
      <c r="J45" s="7">
        <f t="shared" si="30"/>
        <v>1.0134777799833579E-3</v>
      </c>
      <c r="K45" s="2"/>
      <c r="L45" s="6">
        <f t="shared" si="31"/>
        <v>-118.91</v>
      </c>
      <c r="M45" s="2"/>
      <c r="N45" s="7">
        <f t="shared" si="32"/>
        <v>-1</v>
      </c>
      <c r="O45" s="11"/>
      <c r="P45" s="6">
        <v>96.3</v>
      </c>
      <c r="Q45" s="2"/>
      <c r="R45" s="7">
        <f t="shared" si="33"/>
        <v>9.8778348770655749E-2</v>
      </c>
      <c r="S45" s="2"/>
      <c r="T45" s="6">
        <v>475.64</v>
      </c>
      <c r="U45" s="2"/>
      <c r="V45" s="7">
        <f t="shared" si="34"/>
        <v>1.7495370884648403E-3</v>
      </c>
      <c r="W45" s="2"/>
      <c r="X45" s="6">
        <f t="shared" si="35"/>
        <v>-379.34</v>
      </c>
      <c r="Y45" s="2"/>
      <c r="Z45" s="7">
        <f t="shared" si="36"/>
        <v>-0.79753595156000334</v>
      </c>
    </row>
    <row r="46" spans="1:26" s="29" customFormat="1" outlineLevel="1" collapsed="1" x14ac:dyDescent="0.25">
      <c r="A46" s="27"/>
      <c r="B46" s="14" t="str">
        <f>CONCATENATE("     ","General                                           ")</f>
        <v xml:space="preserve">     General                                           </v>
      </c>
      <c r="C46" s="14"/>
      <c r="D46" s="1">
        <f>SUM(OSRRefD22_7x_0)</f>
        <v>0</v>
      </c>
      <c r="E46" s="1"/>
      <c r="F46" s="5">
        <f t="shared" si="29"/>
        <v>0</v>
      </c>
      <c r="G46" s="1"/>
      <c r="H46" s="1">
        <f>SUM(OSRRefH22_7x_0)</f>
        <v>1465.02</v>
      </c>
      <c r="I46" s="1"/>
      <c r="J46" s="5">
        <f t="shared" si="30"/>
        <v>1.2486462175016559E-2</v>
      </c>
      <c r="K46" s="1"/>
      <c r="L46" s="1">
        <f t="shared" si="31"/>
        <v>-1465.02</v>
      </c>
      <c r="M46" s="1"/>
      <c r="N46" s="5">
        <f t="shared" si="32"/>
        <v>-1</v>
      </c>
      <c r="O46" s="14"/>
      <c r="P46" s="1">
        <f>SUM(OSRRefP22_7x_0)</f>
        <v>7.28</v>
      </c>
      <c r="Q46" s="1"/>
      <c r="R46" s="5">
        <f t="shared" si="33"/>
        <v>7.467355961063073E-3</v>
      </c>
      <c r="S46" s="1"/>
      <c r="T46" s="1">
        <f>SUM(OSRRefT22_7x_0)</f>
        <v>4201.76</v>
      </c>
      <c r="U46" s="1"/>
      <c r="V46" s="5">
        <f t="shared" si="34"/>
        <v>1.5455249677966588E-2</v>
      </c>
      <c r="W46" s="1"/>
      <c r="X46" s="1">
        <f t="shared" si="35"/>
        <v>-4194.4800000000005</v>
      </c>
      <c r="Y46" s="1"/>
      <c r="Z46" s="5">
        <f t="shared" si="36"/>
        <v>-0.99826739271162568</v>
      </c>
    </row>
    <row r="47" spans="1:26" s="24" customFormat="1" hidden="1" outlineLevel="2" x14ac:dyDescent="0.25">
      <c r="A47" s="28"/>
      <c r="B47" s="11" t="str">
        <f>CONCATENATE("          ", "6279", " - ", "GENERAL EXPENSE")</f>
        <v xml:space="preserve">          6279 - GENERAL EXPENSE</v>
      </c>
      <c r="C47" s="11"/>
      <c r="D47" s="6"/>
      <c r="E47" s="2"/>
      <c r="F47" s="7">
        <f t="shared" si="29"/>
        <v>0</v>
      </c>
      <c r="G47" s="2"/>
      <c r="H47" s="6">
        <v>1465.02</v>
      </c>
      <c r="I47" s="2"/>
      <c r="J47" s="7">
        <f t="shared" si="30"/>
        <v>1.2486462175016559E-2</v>
      </c>
      <c r="K47" s="2"/>
      <c r="L47" s="6">
        <f t="shared" si="31"/>
        <v>-1465.02</v>
      </c>
      <c r="M47" s="2"/>
      <c r="N47" s="7">
        <f t="shared" si="32"/>
        <v>-1</v>
      </c>
      <c r="O47" s="11"/>
      <c r="P47" s="6">
        <v>7.28</v>
      </c>
      <c r="Q47" s="2"/>
      <c r="R47" s="7">
        <f t="shared" si="33"/>
        <v>7.467355961063073E-3</v>
      </c>
      <c r="S47" s="2"/>
      <c r="T47" s="6">
        <v>4201.76</v>
      </c>
      <c r="U47" s="2"/>
      <c r="V47" s="7">
        <f t="shared" si="34"/>
        <v>1.5455249677966588E-2</v>
      </c>
      <c r="W47" s="2"/>
      <c r="X47" s="6">
        <f t="shared" si="35"/>
        <v>-4194.4800000000005</v>
      </c>
      <c r="Y47" s="2"/>
      <c r="Z47" s="7">
        <f t="shared" si="36"/>
        <v>-0.99826739271162568</v>
      </c>
    </row>
    <row r="48" spans="1:26" s="29" customFormat="1" outlineLevel="1" collapsed="1" x14ac:dyDescent="0.25">
      <c r="A48" s="27"/>
      <c r="B48" s="14" t="str">
        <f>CONCATENATE("     ","Repair and Maintenance                            ")</f>
        <v xml:space="preserve">     Repair and Maintenance                            </v>
      </c>
      <c r="C48" s="14"/>
      <c r="D48" s="1">
        <f>SUM(OSRRefD22_8x_0)</f>
        <v>0</v>
      </c>
      <c r="E48" s="1"/>
      <c r="F48" s="5">
        <f t="shared" si="29"/>
        <v>0</v>
      </c>
      <c r="G48" s="1"/>
      <c r="H48" s="1">
        <f>SUM(OSRRefH22_8x_0)</f>
        <v>377</v>
      </c>
      <c r="I48" s="1"/>
      <c r="J48" s="5">
        <f t="shared" si="30"/>
        <v>3.2131958880979388E-3</v>
      </c>
      <c r="K48" s="1"/>
      <c r="L48" s="1">
        <f t="shared" si="31"/>
        <v>-377</v>
      </c>
      <c r="M48" s="1"/>
      <c r="N48" s="5">
        <f t="shared" si="32"/>
        <v>-1</v>
      </c>
      <c r="O48" s="14"/>
      <c r="P48" s="1">
        <f>SUM(OSRRefP22_8x_0)</f>
        <v>368.88</v>
      </c>
      <c r="Q48" s="1"/>
      <c r="R48" s="5">
        <f t="shared" si="33"/>
        <v>0.37837338831276734</v>
      </c>
      <c r="S48" s="1"/>
      <c r="T48" s="1">
        <f>SUM(OSRRefT22_8x_0)</f>
        <v>3971.6299999999997</v>
      </c>
      <c r="U48" s="1"/>
      <c r="V48" s="5">
        <f t="shared" si="34"/>
        <v>1.4608767106760604E-2</v>
      </c>
      <c r="W48" s="1"/>
      <c r="X48" s="1">
        <f t="shared" si="35"/>
        <v>-3602.7499999999995</v>
      </c>
      <c r="Y48" s="1"/>
      <c r="Z48" s="5">
        <f t="shared" si="36"/>
        <v>-0.90712125751895312</v>
      </c>
    </row>
    <row r="49" spans="1:26" s="24" customFormat="1" hidden="1" outlineLevel="2" x14ac:dyDescent="0.25">
      <c r="A49" s="28"/>
      <c r="B49" s="11" t="str">
        <f>CONCATENATE("          ", "6373", " - ", "MAINTENANCE CONTRACTS")</f>
        <v xml:space="preserve">          6373 - MAINTENANCE CONTRACTS</v>
      </c>
      <c r="C49" s="11"/>
      <c r="D49" s="6"/>
      <c r="E49" s="2"/>
      <c r="F49" s="7">
        <f t="shared" si="29"/>
        <v>0</v>
      </c>
      <c r="G49" s="2"/>
      <c r="H49" s="6">
        <v>111.64</v>
      </c>
      <c r="I49" s="2"/>
      <c r="J49" s="7">
        <f t="shared" si="30"/>
        <v>9.5151509004576631E-4</v>
      </c>
      <c r="K49" s="2"/>
      <c r="L49" s="6">
        <f t="shared" si="31"/>
        <v>-111.64</v>
      </c>
      <c r="M49" s="2"/>
      <c r="N49" s="7">
        <f t="shared" si="32"/>
        <v>-1</v>
      </c>
      <c r="O49" s="11"/>
      <c r="P49" s="6">
        <v>168.88</v>
      </c>
      <c r="Q49" s="2"/>
      <c r="R49" s="7">
        <f t="shared" si="33"/>
        <v>0.17322624652532029</v>
      </c>
      <c r="S49" s="2"/>
      <c r="T49" s="6">
        <v>111.64</v>
      </c>
      <c r="U49" s="2"/>
      <c r="V49" s="7">
        <f t="shared" si="34"/>
        <v>4.1064317668029347E-4</v>
      </c>
      <c r="W49" s="2"/>
      <c r="X49" s="6">
        <f t="shared" si="35"/>
        <v>57.239999999999995</v>
      </c>
      <c r="Y49" s="2"/>
      <c r="Z49" s="7">
        <f t="shared" si="36"/>
        <v>0.51271945539233243</v>
      </c>
    </row>
    <row r="50" spans="1:26" s="24" customFormat="1" hidden="1" outlineLevel="2" x14ac:dyDescent="0.25">
      <c r="A50" s="28"/>
      <c r="B50" s="11" t="str">
        <f>CONCATENATE("          ", "6375", " - ", "OUTSIDE REPAIRS &amp; MAINTENANCE")</f>
        <v xml:space="preserve">          6375 - OUTSIDE REPAIRS &amp; MAINTENANCE</v>
      </c>
      <c r="C50" s="11"/>
      <c r="D50" s="6"/>
      <c r="E50" s="2"/>
      <c r="F50" s="7">
        <f t="shared" si="29"/>
        <v>0</v>
      </c>
      <c r="G50" s="2"/>
      <c r="H50" s="6">
        <v>265.36</v>
      </c>
      <c r="I50" s="2"/>
      <c r="J50" s="7">
        <f t="shared" si="30"/>
        <v>2.2616807980521728E-3</v>
      </c>
      <c r="K50" s="2"/>
      <c r="L50" s="6">
        <f t="shared" si="31"/>
        <v>-265.36</v>
      </c>
      <c r="M50" s="2"/>
      <c r="N50" s="7">
        <f t="shared" si="32"/>
        <v>-1</v>
      </c>
      <c r="O50" s="11"/>
      <c r="P50" s="6">
        <v>200</v>
      </c>
      <c r="Q50" s="2"/>
      <c r="R50" s="7">
        <f t="shared" si="33"/>
        <v>0.20514714178744706</v>
      </c>
      <c r="S50" s="2"/>
      <c r="T50" s="6">
        <v>3859.99</v>
      </c>
      <c r="U50" s="2"/>
      <c r="V50" s="7">
        <f t="shared" si="34"/>
        <v>1.419812393008031E-2</v>
      </c>
      <c r="W50" s="2"/>
      <c r="X50" s="6">
        <f t="shared" si="35"/>
        <v>-3659.99</v>
      </c>
      <c r="Y50" s="2"/>
      <c r="Z50" s="7">
        <f t="shared" si="36"/>
        <v>-0.94818639426527007</v>
      </c>
    </row>
    <row r="51" spans="1:26" s="29" customFormat="1" outlineLevel="1" collapsed="1" x14ac:dyDescent="0.25">
      <c r="A51" s="27"/>
      <c r="B51" s="14" t="str">
        <f>CONCATENATE("     ","Royalty &amp; Commissions                             ")</f>
        <v xml:space="preserve">     Royalty &amp; Commissions                             </v>
      </c>
      <c r="C51" s="14"/>
      <c r="D51" s="1">
        <f>SUM(OSRRefD22_9x_0)</f>
        <v>0</v>
      </c>
      <c r="E51" s="1"/>
      <c r="F51" s="5">
        <f t="shared" ref="F51:F64" si="37">IF(D$12=0,0,D51/D$12)</f>
        <v>0</v>
      </c>
      <c r="G51" s="1"/>
      <c r="H51" s="1">
        <f>SUM(OSRRefH22_9x_0)</f>
        <v>9386.32</v>
      </c>
      <c r="I51" s="1"/>
      <c r="J51" s="5">
        <f t="shared" ref="J51:J64" si="38">IF(H$12=0,0,H51/H$12)</f>
        <v>8.0000225008942827E-2</v>
      </c>
      <c r="K51" s="1"/>
      <c r="L51" s="1">
        <f t="shared" ref="L51:L64" si="39">+D51-H51</f>
        <v>-9386.32</v>
      </c>
      <c r="M51" s="1"/>
      <c r="N51" s="5">
        <f t="shared" ref="N51:N64" si="40">IF(H51=0,0,L51/H51)</f>
        <v>-1</v>
      </c>
      <c r="O51" s="14"/>
      <c r="P51" s="1">
        <f>SUM(OSRRefP22_9x_0)</f>
        <v>0</v>
      </c>
      <c r="Q51" s="1"/>
      <c r="R51" s="5">
        <f t="shared" ref="R51:R64" si="41">IF(P$12=0,0,P51/P$12)</f>
        <v>0</v>
      </c>
      <c r="S51" s="1"/>
      <c r="T51" s="1">
        <f>SUM(OSRRefT22_9x_0)</f>
        <v>18529.52</v>
      </c>
      <c r="U51" s="1"/>
      <c r="V51" s="5">
        <f t="shared" ref="V51:V64" si="42">IF(T$12=0,0,T51/T$12)</f>
        <v>6.8156762407390103E-2</v>
      </c>
      <c r="W51" s="1"/>
      <c r="X51" s="1">
        <f t="shared" ref="X51:X64" si="43">+P51-T51</f>
        <v>-18529.52</v>
      </c>
      <c r="Y51" s="1"/>
      <c r="Z51" s="5">
        <f t="shared" ref="Z51:Z64" si="44">IF(T51=0,0,X51/T51)</f>
        <v>-1</v>
      </c>
    </row>
    <row r="52" spans="1:26" s="24" customFormat="1" hidden="1" outlineLevel="2" x14ac:dyDescent="0.25">
      <c r="A52" s="28"/>
      <c r="B52" s="11" t="str">
        <f>CONCATENATE("          ", "6259", " - ", "ROYALTY &amp; COMMISSIONS")</f>
        <v xml:space="preserve">          6259 - ROYALTY &amp; COMMISSIONS</v>
      </c>
      <c r="C52" s="11"/>
      <c r="D52" s="6"/>
      <c r="E52" s="2"/>
      <c r="F52" s="7">
        <f t="shared" si="37"/>
        <v>0</v>
      </c>
      <c r="G52" s="2"/>
      <c r="H52" s="6">
        <v>9386.32</v>
      </c>
      <c r="I52" s="2"/>
      <c r="J52" s="7">
        <f t="shared" si="38"/>
        <v>8.0000225008942827E-2</v>
      </c>
      <c r="K52" s="2"/>
      <c r="L52" s="6">
        <f t="shared" si="39"/>
        <v>-9386.32</v>
      </c>
      <c r="M52" s="2"/>
      <c r="N52" s="7">
        <f t="shared" si="40"/>
        <v>-1</v>
      </c>
      <c r="O52" s="11"/>
      <c r="P52" s="6"/>
      <c r="Q52" s="2"/>
      <c r="R52" s="7">
        <f t="shared" si="41"/>
        <v>0</v>
      </c>
      <c r="S52" s="2"/>
      <c r="T52" s="6">
        <v>18529.52</v>
      </c>
      <c r="U52" s="2"/>
      <c r="V52" s="7">
        <f t="shared" si="42"/>
        <v>6.8156762407390103E-2</v>
      </c>
      <c r="W52" s="2"/>
      <c r="X52" s="6">
        <f t="shared" si="43"/>
        <v>-18529.52</v>
      </c>
      <c r="Y52" s="2"/>
      <c r="Z52" s="7">
        <f t="shared" si="44"/>
        <v>-1</v>
      </c>
    </row>
    <row r="53" spans="1:26" s="29" customFormat="1" outlineLevel="1" collapsed="1" x14ac:dyDescent="0.25">
      <c r="A53" s="27"/>
      <c r="B53" s="14" t="str">
        <f>CONCATENATE("     ","Services                                          ")</f>
        <v xml:space="preserve">     Services                                          </v>
      </c>
      <c r="C53" s="14"/>
      <c r="D53" s="1">
        <f>SUM(OSRRefD22_10x_0)</f>
        <v>0</v>
      </c>
      <c r="E53" s="1"/>
      <c r="F53" s="5">
        <f t="shared" si="37"/>
        <v>0</v>
      </c>
      <c r="G53" s="1"/>
      <c r="H53" s="1">
        <f>SUM(OSRRefH22_10x_0)</f>
        <v>146.25</v>
      </c>
      <c r="I53" s="1"/>
      <c r="J53" s="5">
        <f t="shared" si="38"/>
        <v>1.2464984048655798E-3</v>
      </c>
      <c r="K53" s="1"/>
      <c r="L53" s="1">
        <f t="shared" si="39"/>
        <v>-146.25</v>
      </c>
      <c r="M53" s="1"/>
      <c r="N53" s="5">
        <f t="shared" si="40"/>
        <v>-1</v>
      </c>
      <c r="O53" s="14"/>
      <c r="P53" s="1">
        <f>SUM(OSRRefP22_10x_0)</f>
        <v>0</v>
      </c>
      <c r="Q53" s="1"/>
      <c r="R53" s="5">
        <f t="shared" si="41"/>
        <v>0</v>
      </c>
      <c r="S53" s="1"/>
      <c r="T53" s="1">
        <f>SUM(OSRRefT22_10x_0)</f>
        <v>232.35</v>
      </c>
      <c r="U53" s="1"/>
      <c r="V53" s="5">
        <f t="shared" si="42"/>
        <v>8.5464835275587763E-4</v>
      </c>
      <c r="W53" s="1"/>
      <c r="X53" s="1">
        <f t="shared" si="43"/>
        <v>-232.35</v>
      </c>
      <c r="Y53" s="1"/>
      <c r="Z53" s="5">
        <f t="shared" si="44"/>
        <v>-1</v>
      </c>
    </row>
    <row r="54" spans="1:26" s="24" customFormat="1" hidden="1" outlineLevel="2" x14ac:dyDescent="0.25">
      <c r="A54" s="28"/>
      <c r="B54" s="11" t="str">
        <f>CONCATENATE("          ", "6286", " - ", "LAUNDRY EXPENSE")</f>
        <v xml:space="preserve">          6286 - LAUNDRY EXPENSE</v>
      </c>
      <c r="C54" s="11"/>
      <c r="D54" s="6"/>
      <c r="E54" s="2"/>
      <c r="F54" s="7">
        <f t="shared" si="37"/>
        <v>0</v>
      </c>
      <c r="G54" s="2"/>
      <c r="H54" s="6">
        <v>146.25</v>
      </c>
      <c r="I54" s="2"/>
      <c r="J54" s="7">
        <f t="shared" si="38"/>
        <v>1.2464984048655798E-3</v>
      </c>
      <c r="K54" s="2"/>
      <c r="L54" s="6">
        <f t="shared" si="39"/>
        <v>-146.25</v>
      </c>
      <c r="M54" s="2"/>
      <c r="N54" s="7">
        <f t="shared" si="40"/>
        <v>-1</v>
      </c>
      <c r="O54" s="11"/>
      <c r="P54" s="6"/>
      <c r="Q54" s="2"/>
      <c r="R54" s="7">
        <f t="shared" si="41"/>
        <v>0</v>
      </c>
      <c r="S54" s="2"/>
      <c r="T54" s="6">
        <v>232.35</v>
      </c>
      <c r="U54" s="2"/>
      <c r="V54" s="7">
        <f t="shared" si="42"/>
        <v>8.5464835275587763E-4</v>
      </c>
      <c r="W54" s="2"/>
      <c r="X54" s="6">
        <f t="shared" si="43"/>
        <v>-232.35</v>
      </c>
      <c r="Y54" s="2"/>
      <c r="Z54" s="7">
        <f t="shared" si="44"/>
        <v>-1</v>
      </c>
    </row>
    <row r="55" spans="1:26" s="29" customFormat="1" outlineLevel="1" collapsed="1" x14ac:dyDescent="0.25">
      <c r="A55" s="27"/>
      <c r="B55" s="14" t="str">
        <f>CONCATENATE("     ","Subscriptions &amp; Dues                              ")</f>
        <v xml:space="preserve">     Subscriptions &amp; Dues                              </v>
      </c>
      <c r="C55" s="14"/>
      <c r="D55" s="1">
        <f>SUM(OSRRefD22_11x_0)</f>
        <v>0</v>
      </c>
      <c r="E55" s="1"/>
      <c r="F55" s="5">
        <f t="shared" si="37"/>
        <v>0</v>
      </c>
      <c r="G55" s="1"/>
      <c r="H55" s="1">
        <f>SUM(OSRRefH22_11x_0)</f>
        <v>0</v>
      </c>
      <c r="I55" s="1"/>
      <c r="J55" s="5">
        <f t="shared" si="38"/>
        <v>0</v>
      </c>
      <c r="K55" s="1"/>
      <c r="L55" s="1">
        <f t="shared" si="39"/>
        <v>0</v>
      </c>
      <c r="M55" s="1"/>
      <c r="N55" s="5">
        <f t="shared" si="40"/>
        <v>0</v>
      </c>
      <c r="O55" s="14"/>
      <c r="P55" s="1">
        <f>SUM(OSRRefP22_11x_0)</f>
        <v>0</v>
      </c>
      <c r="Q55" s="1"/>
      <c r="R55" s="5">
        <f t="shared" si="41"/>
        <v>0</v>
      </c>
      <c r="S55" s="1"/>
      <c r="T55" s="1">
        <f>SUM(OSRRefT22_11x_0)</f>
        <v>61.36</v>
      </c>
      <c r="U55" s="1"/>
      <c r="V55" s="5">
        <f t="shared" si="42"/>
        <v>2.2569925941510934E-4</v>
      </c>
      <c r="W55" s="1"/>
      <c r="X55" s="1">
        <f t="shared" si="43"/>
        <v>-61.36</v>
      </c>
      <c r="Y55" s="1"/>
      <c r="Z55" s="5">
        <f t="shared" si="44"/>
        <v>-1</v>
      </c>
    </row>
    <row r="56" spans="1:26" s="24" customFormat="1" hidden="1" outlineLevel="2" x14ac:dyDescent="0.25">
      <c r="A56" s="28"/>
      <c r="B56" s="11" t="str">
        <f>CONCATENATE("          ", "6275", " - ", "SUBSCRIPTIONS")</f>
        <v xml:space="preserve">          6275 - SUBSCRIPTIONS</v>
      </c>
      <c r="C56" s="11"/>
      <c r="D56" s="6"/>
      <c r="E56" s="2"/>
      <c r="F56" s="7">
        <f t="shared" si="37"/>
        <v>0</v>
      </c>
      <c r="G56" s="2"/>
      <c r="H56" s="6"/>
      <c r="I56" s="2"/>
      <c r="J56" s="7">
        <f t="shared" si="38"/>
        <v>0</v>
      </c>
      <c r="K56" s="2"/>
      <c r="L56" s="6">
        <f t="shared" si="39"/>
        <v>0</v>
      </c>
      <c r="M56" s="2"/>
      <c r="N56" s="7">
        <f t="shared" si="40"/>
        <v>0</v>
      </c>
      <c r="O56" s="11"/>
      <c r="P56" s="6"/>
      <c r="Q56" s="2"/>
      <c r="R56" s="7">
        <f t="shared" si="41"/>
        <v>0</v>
      </c>
      <c r="S56" s="2"/>
      <c r="T56" s="6">
        <v>61.36</v>
      </c>
      <c r="U56" s="2"/>
      <c r="V56" s="7">
        <f t="shared" si="42"/>
        <v>2.2569925941510934E-4</v>
      </c>
      <c r="W56" s="2"/>
      <c r="X56" s="6">
        <f t="shared" si="43"/>
        <v>-61.36</v>
      </c>
      <c r="Y56" s="2"/>
      <c r="Z56" s="7">
        <f t="shared" si="44"/>
        <v>-1</v>
      </c>
    </row>
    <row r="57" spans="1:26" s="29" customFormat="1" outlineLevel="1" collapsed="1" x14ac:dyDescent="0.25">
      <c r="A57" s="27"/>
      <c r="B57" s="14" t="str">
        <f>CONCATENATE("     ","Supplies                                          ")</f>
        <v xml:space="preserve">     Supplies                                          </v>
      </c>
      <c r="C57" s="14"/>
      <c r="D57" s="1">
        <f>SUM(OSRRefD22_12x_0)</f>
        <v>0</v>
      </c>
      <c r="E57" s="1"/>
      <c r="F57" s="5">
        <f t="shared" si="37"/>
        <v>0</v>
      </c>
      <c r="G57" s="1"/>
      <c r="H57" s="1">
        <f>SUM(OSRRefH22_12x_0)</f>
        <v>576.57999999999993</v>
      </c>
      <c r="I57" s="1"/>
      <c r="J57" s="5">
        <f t="shared" si="38"/>
        <v>4.9142294036061259E-3</v>
      </c>
      <c r="K57" s="1"/>
      <c r="L57" s="1">
        <f t="shared" si="39"/>
        <v>-576.57999999999993</v>
      </c>
      <c r="M57" s="1"/>
      <c r="N57" s="5">
        <f t="shared" si="40"/>
        <v>-1</v>
      </c>
      <c r="O57" s="14"/>
      <c r="P57" s="1">
        <f>SUM(OSRRefP22_12x_0)</f>
        <v>0</v>
      </c>
      <c r="Q57" s="1"/>
      <c r="R57" s="5">
        <f t="shared" si="41"/>
        <v>0</v>
      </c>
      <c r="S57" s="1"/>
      <c r="T57" s="1">
        <f>SUM(OSRRefT22_12x_0)</f>
        <v>5942.7300000000005</v>
      </c>
      <c r="U57" s="1"/>
      <c r="V57" s="5">
        <f t="shared" si="42"/>
        <v>2.1859024770273024E-2</v>
      </c>
      <c r="W57" s="1"/>
      <c r="X57" s="1">
        <f t="shared" si="43"/>
        <v>-5942.7300000000005</v>
      </c>
      <c r="Y57" s="1"/>
      <c r="Z57" s="5">
        <f t="shared" si="44"/>
        <v>-1</v>
      </c>
    </row>
    <row r="58" spans="1:26" s="24" customFormat="1" hidden="1" outlineLevel="2" x14ac:dyDescent="0.25">
      <c r="A58" s="28"/>
      <c r="B58" s="11" t="str">
        <f>CONCATENATE("          ", "6237", " - ", "JANITORIAL SUPPLIES")</f>
        <v xml:space="preserve">          6237 - JANITORIAL SUPPLIES</v>
      </c>
      <c r="C58" s="11"/>
      <c r="D58" s="6"/>
      <c r="E58" s="2"/>
      <c r="F58" s="7">
        <f t="shared" si="37"/>
        <v>0</v>
      </c>
      <c r="G58" s="2"/>
      <c r="H58" s="6">
        <v>31.82</v>
      </c>
      <c r="I58" s="2"/>
      <c r="J58" s="7">
        <f t="shared" si="38"/>
        <v>2.7120396063468549E-4</v>
      </c>
      <c r="K58" s="2"/>
      <c r="L58" s="6">
        <f t="shared" si="39"/>
        <v>-31.82</v>
      </c>
      <c r="M58" s="2"/>
      <c r="N58" s="7">
        <f t="shared" si="40"/>
        <v>-1</v>
      </c>
      <c r="O58" s="11"/>
      <c r="P58" s="6"/>
      <c r="Q58" s="2"/>
      <c r="R58" s="7">
        <f t="shared" si="41"/>
        <v>0</v>
      </c>
      <c r="S58" s="2"/>
      <c r="T58" s="6">
        <v>137.11000000000001</v>
      </c>
      <c r="U58" s="2"/>
      <c r="V58" s="7">
        <f t="shared" si="42"/>
        <v>5.0432896770543744E-4</v>
      </c>
      <c r="W58" s="2"/>
      <c r="X58" s="6">
        <f t="shared" si="43"/>
        <v>-137.11000000000001</v>
      </c>
      <c r="Y58" s="2"/>
      <c r="Z58" s="7">
        <f t="shared" si="44"/>
        <v>-1</v>
      </c>
    </row>
    <row r="59" spans="1:26" s="24" customFormat="1" hidden="1" outlineLevel="2" x14ac:dyDescent="0.25">
      <c r="A59" s="28"/>
      <c r="B59" s="11" t="str">
        <f>CONCATENATE("          ", "6239", " - ", "KITCHEN SUPPLIES")</f>
        <v xml:space="preserve">          6239 - KITCHEN SUPPLIES</v>
      </c>
      <c r="C59" s="11"/>
      <c r="D59" s="6"/>
      <c r="E59" s="2"/>
      <c r="F59" s="7">
        <f t="shared" si="37"/>
        <v>0</v>
      </c>
      <c r="G59" s="2"/>
      <c r="H59" s="6"/>
      <c r="I59" s="2"/>
      <c r="J59" s="7">
        <f t="shared" si="38"/>
        <v>0</v>
      </c>
      <c r="K59" s="2"/>
      <c r="L59" s="6">
        <f t="shared" si="39"/>
        <v>0</v>
      </c>
      <c r="M59" s="2"/>
      <c r="N59" s="7">
        <f t="shared" si="40"/>
        <v>0</v>
      </c>
      <c r="O59" s="11"/>
      <c r="P59" s="6"/>
      <c r="Q59" s="2"/>
      <c r="R59" s="7">
        <f t="shared" si="41"/>
        <v>0</v>
      </c>
      <c r="S59" s="2"/>
      <c r="T59" s="6">
        <v>1905.7</v>
      </c>
      <c r="U59" s="2"/>
      <c r="V59" s="7">
        <f t="shared" si="42"/>
        <v>7.0096981529884916E-3</v>
      </c>
      <c r="W59" s="2"/>
      <c r="X59" s="6">
        <f t="shared" si="43"/>
        <v>-1905.7</v>
      </c>
      <c r="Y59" s="2"/>
      <c r="Z59" s="7">
        <f t="shared" si="44"/>
        <v>-1</v>
      </c>
    </row>
    <row r="60" spans="1:26" s="24" customFormat="1" hidden="1" outlineLevel="2" x14ac:dyDescent="0.25">
      <c r="A60" s="28"/>
      <c r="B60" s="11" t="str">
        <f>CONCATENATE("          ", "6241", " - ", "OFFICE EXPENSE")</f>
        <v xml:space="preserve">          6241 - OFFICE EXPENSE</v>
      </c>
      <c r="C60" s="11"/>
      <c r="D60" s="6"/>
      <c r="E60" s="2"/>
      <c r="F60" s="7">
        <f t="shared" si="37"/>
        <v>0</v>
      </c>
      <c r="G60" s="2"/>
      <c r="H60" s="6">
        <v>45.22</v>
      </c>
      <c r="I60" s="2"/>
      <c r="J60" s="7">
        <f t="shared" si="38"/>
        <v>3.8541304525142915E-4</v>
      </c>
      <c r="K60" s="2"/>
      <c r="L60" s="6">
        <f t="shared" si="39"/>
        <v>-45.22</v>
      </c>
      <c r="M60" s="2"/>
      <c r="N60" s="7">
        <f t="shared" si="40"/>
        <v>-1</v>
      </c>
      <c r="O60" s="11"/>
      <c r="P60" s="6"/>
      <c r="Q60" s="2"/>
      <c r="R60" s="7">
        <f t="shared" si="41"/>
        <v>0</v>
      </c>
      <c r="S60" s="2"/>
      <c r="T60" s="6">
        <v>1119.5</v>
      </c>
      <c r="U60" s="2"/>
      <c r="V60" s="7">
        <f t="shared" si="42"/>
        <v>4.1178344347329674E-3</v>
      </c>
      <c r="W60" s="2"/>
      <c r="X60" s="6">
        <f t="shared" si="43"/>
        <v>-1119.5</v>
      </c>
      <c r="Y60" s="2"/>
      <c r="Z60" s="7">
        <f t="shared" si="44"/>
        <v>-1</v>
      </c>
    </row>
    <row r="61" spans="1:26" s="24" customFormat="1" hidden="1" outlineLevel="2" x14ac:dyDescent="0.25">
      <c r="A61" s="28"/>
      <c r="B61" s="11" t="str">
        <f>CONCATENATE("          ", "6243", " - ", "PAPER SUPPLIES")</f>
        <v xml:space="preserve">          6243 - PAPER SUPPLIES</v>
      </c>
      <c r="C61" s="11"/>
      <c r="D61" s="6"/>
      <c r="E61" s="2"/>
      <c r="F61" s="7">
        <f t="shared" si="37"/>
        <v>0</v>
      </c>
      <c r="G61" s="2"/>
      <c r="H61" s="6">
        <v>412.66</v>
      </c>
      <c r="I61" s="2"/>
      <c r="J61" s="7">
        <f t="shared" si="38"/>
        <v>3.5171284222347363E-3</v>
      </c>
      <c r="K61" s="2"/>
      <c r="L61" s="6">
        <f t="shared" si="39"/>
        <v>-412.66</v>
      </c>
      <c r="M61" s="2"/>
      <c r="N61" s="7">
        <f t="shared" si="40"/>
        <v>-1</v>
      </c>
      <c r="O61" s="11"/>
      <c r="P61" s="6"/>
      <c r="Q61" s="2"/>
      <c r="R61" s="7">
        <f t="shared" si="41"/>
        <v>0</v>
      </c>
      <c r="S61" s="2"/>
      <c r="T61" s="6">
        <v>1573.54</v>
      </c>
      <c r="U61" s="2"/>
      <c r="V61" s="7">
        <f t="shared" si="42"/>
        <v>5.7879206756853187E-3</v>
      </c>
      <c r="W61" s="2"/>
      <c r="X61" s="6">
        <f t="shared" si="43"/>
        <v>-1573.54</v>
      </c>
      <c r="Y61" s="2"/>
      <c r="Z61" s="7">
        <f t="shared" si="44"/>
        <v>-1</v>
      </c>
    </row>
    <row r="62" spans="1:26" s="24" customFormat="1" hidden="1" outlineLevel="2" x14ac:dyDescent="0.25">
      <c r="A62" s="28"/>
      <c r="B62" s="11" t="str">
        <f>CONCATENATE("          ", "6245", " - ", "PRINTING")</f>
        <v xml:space="preserve">          6245 - PRINTING</v>
      </c>
      <c r="C62" s="11"/>
      <c r="D62" s="6"/>
      <c r="E62" s="2"/>
      <c r="F62" s="7">
        <f t="shared" si="37"/>
        <v>0</v>
      </c>
      <c r="G62" s="2"/>
      <c r="H62" s="6">
        <v>27.79</v>
      </c>
      <c r="I62" s="2"/>
      <c r="J62" s="7">
        <f t="shared" si="38"/>
        <v>2.368560045895006E-4</v>
      </c>
      <c r="K62" s="2"/>
      <c r="L62" s="6">
        <f t="shared" si="39"/>
        <v>-27.79</v>
      </c>
      <c r="M62" s="2"/>
      <c r="N62" s="7">
        <f t="shared" si="40"/>
        <v>-1</v>
      </c>
      <c r="O62" s="11"/>
      <c r="P62" s="6"/>
      <c r="Q62" s="2"/>
      <c r="R62" s="7">
        <f t="shared" si="41"/>
        <v>0</v>
      </c>
      <c r="S62" s="2"/>
      <c r="T62" s="6">
        <v>181.92</v>
      </c>
      <c r="U62" s="2"/>
      <c r="V62" s="7">
        <f t="shared" si="42"/>
        <v>6.6915269349407901E-4</v>
      </c>
      <c r="W62" s="2"/>
      <c r="X62" s="6">
        <f t="shared" si="43"/>
        <v>-181.92</v>
      </c>
      <c r="Y62" s="2"/>
      <c r="Z62" s="7">
        <f t="shared" si="44"/>
        <v>-1</v>
      </c>
    </row>
    <row r="63" spans="1:26" s="24" customFormat="1" hidden="1" outlineLevel="2" x14ac:dyDescent="0.25">
      <c r="A63" s="28"/>
      <c r="B63" s="11" t="str">
        <f>CONCATENATE("          ", "6247", " - ", "STORE SUPPLIES")</f>
        <v xml:space="preserve">          6247 - STORE SUPPLIES</v>
      </c>
      <c r="C63" s="11"/>
      <c r="D63" s="6"/>
      <c r="E63" s="2"/>
      <c r="F63" s="7">
        <f t="shared" si="37"/>
        <v>0</v>
      </c>
      <c r="G63" s="2"/>
      <c r="H63" s="6">
        <v>36.159999999999997</v>
      </c>
      <c r="I63" s="2"/>
      <c r="J63" s="7">
        <f t="shared" si="38"/>
        <v>3.0819406714488451E-4</v>
      </c>
      <c r="K63" s="2"/>
      <c r="L63" s="6">
        <f t="shared" si="39"/>
        <v>-36.159999999999997</v>
      </c>
      <c r="M63" s="2"/>
      <c r="N63" s="7">
        <f t="shared" si="40"/>
        <v>-1</v>
      </c>
      <c r="O63" s="11"/>
      <c r="P63" s="6"/>
      <c r="Q63" s="2"/>
      <c r="R63" s="7">
        <f t="shared" si="41"/>
        <v>0</v>
      </c>
      <c r="S63" s="2"/>
      <c r="T63" s="6">
        <v>911.18</v>
      </c>
      <c r="U63" s="2"/>
      <c r="V63" s="7">
        <f t="shared" si="42"/>
        <v>3.3515751498347348E-3</v>
      </c>
      <c r="W63" s="2"/>
      <c r="X63" s="6">
        <f t="shared" si="43"/>
        <v>-911.18</v>
      </c>
      <c r="Y63" s="2"/>
      <c r="Z63" s="7">
        <f t="shared" si="44"/>
        <v>-1</v>
      </c>
    </row>
    <row r="64" spans="1:26" s="24" customFormat="1" hidden="1" outlineLevel="2" x14ac:dyDescent="0.25">
      <c r="A64" s="28"/>
      <c r="B64" s="11" t="str">
        <f>CONCATENATE("          ", "6248", " - ", "UNIFORMS")</f>
        <v xml:space="preserve">          6248 - UNIFORMS</v>
      </c>
      <c r="C64" s="11"/>
      <c r="D64" s="6"/>
      <c r="E64" s="2"/>
      <c r="F64" s="7">
        <f t="shared" si="37"/>
        <v>0</v>
      </c>
      <c r="G64" s="2"/>
      <c r="H64" s="6">
        <v>22.93</v>
      </c>
      <c r="I64" s="2"/>
      <c r="J64" s="7">
        <f t="shared" si="38"/>
        <v>1.9543390375089054E-4</v>
      </c>
      <c r="K64" s="2"/>
      <c r="L64" s="6">
        <f t="shared" si="39"/>
        <v>-22.93</v>
      </c>
      <c r="M64" s="2"/>
      <c r="N64" s="7">
        <f t="shared" si="40"/>
        <v>-1</v>
      </c>
      <c r="O64" s="11"/>
      <c r="P64" s="6"/>
      <c r="Q64" s="2"/>
      <c r="R64" s="7">
        <f t="shared" si="41"/>
        <v>0</v>
      </c>
      <c r="S64" s="2"/>
      <c r="T64" s="6">
        <v>113.78</v>
      </c>
      <c r="U64" s="2"/>
      <c r="V64" s="7">
        <f t="shared" si="42"/>
        <v>4.1851469583199379E-4</v>
      </c>
      <c r="W64" s="2"/>
      <c r="X64" s="6">
        <f t="shared" si="43"/>
        <v>-113.78</v>
      </c>
      <c r="Y64" s="2"/>
      <c r="Z64" s="7">
        <f t="shared" si="44"/>
        <v>-1</v>
      </c>
    </row>
    <row r="65" spans="1:26" s="29" customFormat="1" outlineLevel="1" collapsed="1" x14ac:dyDescent="0.25">
      <c r="A65" s="27"/>
      <c r="B65" s="14" t="str">
        <f>CONCATENATE("     ","Telephone/Data Lines                              ")</f>
        <v xml:space="preserve">     Telephone/Data Lines                              </v>
      </c>
      <c r="C65" s="14"/>
      <c r="D65" s="1">
        <f>SUM(OSRRefD22_13x_0)</f>
        <v>0</v>
      </c>
      <c r="E65" s="1"/>
      <c r="F65" s="5">
        <f t="shared" ref="F65:F68" si="45">IF(D$12=0,0,D65/D$12)</f>
        <v>0</v>
      </c>
      <c r="G65" s="1"/>
      <c r="H65" s="1">
        <f>SUM(OSRRefH22_13x_0)</f>
        <v>0</v>
      </c>
      <c r="I65" s="1"/>
      <c r="J65" s="5">
        <f t="shared" ref="J65:J68" si="46">IF(H$12=0,0,H65/H$12)</f>
        <v>0</v>
      </c>
      <c r="K65" s="1"/>
      <c r="L65" s="1">
        <f t="shared" ref="L65:L68" si="47">+D65-H65</f>
        <v>0</v>
      </c>
      <c r="M65" s="1"/>
      <c r="N65" s="5">
        <f t="shared" ref="N65:N68" si="48">IF(H65=0,0,L65/H65)</f>
        <v>0</v>
      </c>
      <c r="O65" s="14"/>
      <c r="P65" s="1">
        <f>SUM(OSRRefP22_13x_0)</f>
        <v>0</v>
      </c>
      <c r="Q65" s="1"/>
      <c r="R65" s="5">
        <f t="shared" ref="R65:R68" si="49">IF(P$12=0,0,P65/P$12)</f>
        <v>0</v>
      </c>
      <c r="S65" s="1"/>
      <c r="T65" s="1">
        <f>SUM(OSRRefT22_13x_0)</f>
        <v>-45</v>
      </c>
      <c r="U65" s="1"/>
      <c r="V65" s="5">
        <f t="shared" ref="V65:V68" si="50">IF(T$12=0,0,T65/T$12)</f>
        <v>-1.6552259898435333E-4</v>
      </c>
      <c r="W65" s="1"/>
      <c r="X65" s="1">
        <f t="shared" ref="X65:X68" si="51">+P65-T65</f>
        <v>45</v>
      </c>
      <c r="Y65" s="1"/>
      <c r="Z65" s="5">
        <f t="shared" ref="Z65:Z68" si="52">IF(T65=0,0,X65/T65)</f>
        <v>-1</v>
      </c>
    </row>
    <row r="66" spans="1:26" s="24" customFormat="1" hidden="1" outlineLevel="2" x14ac:dyDescent="0.25">
      <c r="A66" s="28"/>
      <c r="B66" s="11" t="str">
        <f>CONCATENATE("          ", "6309", " - ", "TELEPHONE")</f>
        <v xml:space="preserve">          6309 - TELEPHONE</v>
      </c>
      <c r="C66" s="11"/>
      <c r="D66" s="6"/>
      <c r="E66" s="2"/>
      <c r="F66" s="7">
        <f t="shared" si="45"/>
        <v>0</v>
      </c>
      <c r="G66" s="2"/>
      <c r="H66" s="6"/>
      <c r="I66" s="2"/>
      <c r="J66" s="7">
        <f t="shared" si="46"/>
        <v>0</v>
      </c>
      <c r="K66" s="2"/>
      <c r="L66" s="6">
        <f t="shared" si="47"/>
        <v>0</v>
      </c>
      <c r="M66" s="2"/>
      <c r="N66" s="7">
        <f t="shared" si="48"/>
        <v>0</v>
      </c>
      <c r="O66" s="11"/>
      <c r="P66" s="6"/>
      <c r="Q66" s="2"/>
      <c r="R66" s="7">
        <f t="shared" si="49"/>
        <v>0</v>
      </c>
      <c r="S66" s="2"/>
      <c r="T66" s="6">
        <v>-45</v>
      </c>
      <c r="U66" s="2"/>
      <c r="V66" s="7">
        <f t="shared" si="50"/>
        <v>-1.6552259898435333E-4</v>
      </c>
      <c r="W66" s="2"/>
      <c r="X66" s="6">
        <f t="shared" si="51"/>
        <v>45</v>
      </c>
      <c r="Y66" s="2"/>
      <c r="Z66" s="7">
        <f t="shared" si="52"/>
        <v>-1</v>
      </c>
    </row>
    <row r="67" spans="1:26" s="29" customFormat="1" outlineLevel="1" collapsed="1" x14ac:dyDescent="0.25">
      <c r="A67" s="27"/>
      <c r="B67" s="14" t="str">
        <f>CONCATENATE("     ","Training                                          ")</f>
        <v xml:space="preserve">     Training                                          </v>
      </c>
      <c r="C67" s="14"/>
      <c r="D67" s="1">
        <f>SUM(OSRRefD22_14x_0)</f>
        <v>0</v>
      </c>
      <c r="E67" s="1"/>
      <c r="F67" s="5">
        <f t="shared" si="45"/>
        <v>0</v>
      </c>
      <c r="G67" s="1"/>
      <c r="H67" s="1">
        <f>SUM(OSRRefH22_14x_0)</f>
        <v>0</v>
      </c>
      <c r="I67" s="1"/>
      <c r="J67" s="5">
        <f t="shared" si="46"/>
        <v>0</v>
      </c>
      <c r="K67" s="1"/>
      <c r="L67" s="1">
        <f t="shared" si="47"/>
        <v>0</v>
      </c>
      <c r="M67" s="1"/>
      <c r="N67" s="5">
        <f t="shared" si="48"/>
        <v>0</v>
      </c>
      <c r="O67" s="14"/>
      <c r="P67" s="1">
        <f>SUM(OSRRefP22_14x_0)</f>
        <v>0</v>
      </c>
      <c r="Q67" s="1"/>
      <c r="R67" s="5">
        <f t="shared" si="49"/>
        <v>0</v>
      </c>
      <c r="S67" s="1"/>
      <c r="T67" s="1">
        <f>SUM(OSRRefT22_14x_0)</f>
        <v>96</v>
      </c>
      <c r="U67" s="1"/>
      <c r="V67" s="5">
        <f t="shared" si="50"/>
        <v>3.5311487783328709E-4</v>
      </c>
      <c r="W67" s="1"/>
      <c r="X67" s="1">
        <f t="shared" si="51"/>
        <v>-96</v>
      </c>
      <c r="Y67" s="1"/>
      <c r="Z67" s="5">
        <f t="shared" si="52"/>
        <v>-1</v>
      </c>
    </row>
    <row r="68" spans="1:26" s="24" customFormat="1" hidden="1" outlineLevel="2" x14ac:dyDescent="0.25">
      <c r="A68" s="28"/>
      <c r="B68" s="11" t="str">
        <f>CONCATENATE("          ", "6376", " - ", "TRAINING")</f>
        <v xml:space="preserve">          6376 - TRAINING</v>
      </c>
      <c r="C68" s="11"/>
      <c r="D68" s="6"/>
      <c r="E68" s="2"/>
      <c r="F68" s="7">
        <f t="shared" si="45"/>
        <v>0</v>
      </c>
      <c r="G68" s="2"/>
      <c r="H68" s="6"/>
      <c r="I68" s="2"/>
      <c r="J68" s="7">
        <f t="shared" si="46"/>
        <v>0</v>
      </c>
      <c r="K68" s="2"/>
      <c r="L68" s="6">
        <f t="shared" si="47"/>
        <v>0</v>
      </c>
      <c r="M68" s="2"/>
      <c r="N68" s="7">
        <f t="shared" si="48"/>
        <v>0</v>
      </c>
      <c r="O68" s="11"/>
      <c r="P68" s="6"/>
      <c r="Q68" s="2"/>
      <c r="R68" s="7">
        <f t="shared" si="49"/>
        <v>0</v>
      </c>
      <c r="S68" s="2"/>
      <c r="T68" s="6">
        <v>96</v>
      </c>
      <c r="U68" s="2"/>
      <c r="V68" s="7">
        <f t="shared" si="50"/>
        <v>3.5311487783328709E-4</v>
      </c>
      <c r="W68" s="2"/>
      <c r="X68" s="6">
        <f t="shared" si="51"/>
        <v>-96</v>
      </c>
      <c r="Y68" s="2"/>
      <c r="Z68" s="7">
        <f t="shared" si="52"/>
        <v>-1</v>
      </c>
    </row>
    <row r="69" spans="1:26" s="57" customFormat="1" x14ac:dyDescent="0.25">
      <c r="A69" s="37"/>
      <c r="B69" s="37"/>
      <c r="C69" s="37"/>
      <c r="D69" s="1"/>
      <c r="E69" s="1"/>
      <c r="F69" s="5"/>
      <c r="G69" s="1"/>
      <c r="H69" s="1"/>
      <c r="I69" s="1"/>
      <c r="J69" s="5"/>
      <c r="K69" s="1"/>
      <c r="L69" s="1"/>
      <c r="M69" s="1"/>
      <c r="N69" s="5"/>
      <c r="O69" s="37"/>
      <c r="P69" s="1"/>
      <c r="Q69" s="1"/>
      <c r="R69" s="5"/>
      <c r="S69" s="1"/>
      <c r="T69" s="1"/>
      <c r="U69" s="1"/>
      <c r="V69" s="5"/>
      <c r="W69" s="1"/>
      <c r="X69" s="1"/>
      <c r="Y69" s="1"/>
      <c r="Z69" s="5"/>
    </row>
    <row r="70" spans="1:26" s="23" customFormat="1" x14ac:dyDescent="0.25">
      <c r="A70" s="10"/>
      <c r="B70" s="26" t="s">
        <v>0</v>
      </c>
      <c r="C70" s="10"/>
      <c r="D70" s="4">
        <f>SUM(0)</f>
        <v>0</v>
      </c>
      <c r="E70" s="4"/>
      <c r="F70" s="12">
        <f>IF(D$12=0,0,D70/D$12)</f>
        <v>0</v>
      </c>
      <c r="G70" s="4"/>
      <c r="H70" s="4">
        <f>SUM(0)</f>
        <v>0</v>
      </c>
      <c r="I70" s="4"/>
      <c r="J70" s="12">
        <f>IF(H$12=0,0,H70/H$12)</f>
        <v>0</v>
      </c>
      <c r="K70" s="4"/>
      <c r="L70" s="4">
        <f>+D70-H70</f>
        <v>0</v>
      </c>
      <c r="M70" s="4"/>
      <c r="N70" s="12">
        <f>IF(H70=0,0,L70/H70)</f>
        <v>0</v>
      </c>
      <c r="O70" s="10"/>
      <c r="P70" s="4">
        <f>SUM(0)</f>
        <v>0</v>
      </c>
      <c r="Q70" s="4"/>
      <c r="R70" s="12">
        <f>IF(P$12=0,0,P70/P$12)</f>
        <v>0</v>
      </c>
      <c r="S70" s="4"/>
      <c r="T70" s="4">
        <f>SUM(0)</f>
        <v>0</v>
      </c>
      <c r="U70" s="4"/>
      <c r="V70" s="12">
        <f>IF(T$12=0,0,T70/T$12)</f>
        <v>0</v>
      </c>
      <c r="W70" s="4"/>
      <c r="X70" s="4">
        <f>+P70-T70</f>
        <v>0</v>
      </c>
      <c r="Y70" s="4"/>
      <c r="Z70" s="12">
        <f>IF(T70=0,0,X70/T70)</f>
        <v>0</v>
      </c>
    </row>
    <row r="71" spans="1:26" x14ac:dyDescent="0.25">
      <c r="A71" s="9"/>
      <c r="B71" s="10"/>
      <c r="C71" s="10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O71" s="10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x14ac:dyDescent="0.25">
      <c r="A72" s="10"/>
      <c r="B72" s="25" t="s">
        <v>3</v>
      </c>
      <c r="C72" s="25"/>
      <c r="D72" s="20">
        <f>+D20-D22+D70</f>
        <v>-1825.26</v>
      </c>
      <c r="E72" s="13"/>
      <c r="F72" s="21">
        <f>IF(D$12=0,0,D72/D$12)</f>
        <v>0</v>
      </c>
      <c r="G72" s="13"/>
      <c r="H72" s="20">
        <f>+H20-H22+H70</f>
        <v>39519.799999999996</v>
      </c>
      <c r="I72" s="13"/>
      <c r="J72" s="21">
        <f>IF(H$12=0,0,H72/H$12)</f>
        <v>0.33682986434602896</v>
      </c>
      <c r="K72" s="15"/>
      <c r="L72" s="20">
        <f>+D72-H72</f>
        <v>-41345.06</v>
      </c>
      <c r="M72" s="15"/>
      <c r="N72" s="21">
        <f>IF(H72=0,0,L72/H72)</f>
        <v>-1.0461859624795673</v>
      </c>
      <c r="O72" s="26"/>
      <c r="P72" s="20">
        <f>+P20-P22+P70</f>
        <v>-7647.8899999999994</v>
      </c>
      <c r="Q72" s="13"/>
      <c r="R72" s="21">
        <f>IF(P$12=0,0,P72/P$12)</f>
        <v>-7.8447138710239912</v>
      </c>
      <c r="S72" s="13"/>
      <c r="T72" s="20">
        <f>+T20-T22+T70</f>
        <v>40456.209999999992</v>
      </c>
      <c r="U72" s="13"/>
      <c r="V72" s="21">
        <f>IF(T$12=0,0,T72/T$12)</f>
        <v>0.14880926720570631</v>
      </c>
      <c r="W72" s="15"/>
      <c r="X72" s="20">
        <f>+P72-T72</f>
        <v>-48104.099999999991</v>
      </c>
      <c r="Y72" s="15"/>
      <c r="Z72" s="21">
        <f>IF(T72=0,0,X72/T72)</f>
        <v>-1.1890411879906695</v>
      </c>
    </row>
    <row r="73" spans="1:26" x14ac:dyDescent="0.25">
      <c r="A73" s="9"/>
      <c r="B73" s="10"/>
      <c r="C73" s="9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x14ac:dyDescent="0.25">
      <c r="A74" s="51"/>
      <c r="B74" s="10" t="s">
        <v>13</v>
      </c>
      <c r="C74" s="10"/>
      <c r="D74" s="4">
        <v>30.58</v>
      </c>
      <c r="E74" s="4"/>
      <c r="F74" s="12">
        <f>IF(D$12=0,0,D74/D$12)</f>
        <v>0</v>
      </c>
      <c r="G74" s="4"/>
      <c r="H74" s="4">
        <v>10767.37</v>
      </c>
      <c r="I74" s="4"/>
      <c r="J74" s="12">
        <f>IF(H$12=0,0,H74/H$12)</f>
        <v>9.177100533058119E-2</v>
      </c>
      <c r="K74" s="4"/>
      <c r="L74" s="4">
        <f>+D74-H74</f>
        <v>-10736.79</v>
      </c>
      <c r="M74" s="4"/>
      <c r="N74" s="12">
        <f>IF(H74=0,0,L74/H74)</f>
        <v>-0.99715993784926127</v>
      </c>
      <c r="O74" s="10"/>
      <c r="P74" s="4">
        <v>211.19</v>
      </c>
      <c r="Q74" s="4"/>
      <c r="R74" s="12">
        <f>IF(P$12=0,0,P74/P$12)</f>
        <v>0.21662512437045472</v>
      </c>
      <c r="S74" s="4"/>
      <c r="T74" s="4">
        <v>27366.75</v>
      </c>
      <c r="U74" s="4"/>
      <c r="V74" s="12">
        <f>IF(T$12=0,0,T74/T$12)</f>
        <v>0.10066256857233448</v>
      </c>
      <c r="W74" s="4"/>
      <c r="X74" s="4">
        <f>+P74-T74</f>
        <v>-27155.56</v>
      </c>
      <c r="Y74" s="4"/>
      <c r="Z74" s="12">
        <f>IF(T74=0,0,X74/T74)</f>
        <v>-0.99228297112371766</v>
      </c>
    </row>
    <row r="75" spans="1:26" x14ac:dyDescent="0.25">
      <c r="A75" s="9"/>
      <c r="B75" s="10"/>
      <c r="C75" s="10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O75" s="10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ht="15.75" thickBot="1" x14ac:dyDescent="0.3">
      <c r="A76" s="10"/>
      <c r="B76" s="25" t="s">
        <v>4</v>
      </c>
      <c r="C76" s="25"/>
      <c r="D76" s="30">
        <f>+D72-D74</f>
        <v>-1855.84</v>
      </c>
      <c r="E76" s="13"/>
      <c r="F76" s="33">
        <f>IF(D$12=0,0,D76/D$12)</f>
        <v>0</v>
      </c>
      <c r="G76" s="13"/>
      <c r="H76" s="30">
        <f>+H72-H74</f>
        <v>28752.429999999993</v>
      </c>
      <c r="I76" s="13"/>
      <c r="J76" s="33">
        <f>IF(H$12=0,0,H76/H$12)</f>
        <v>0.24505885901544774</v>
      </c>
      <c r="K76" s="15"/>
      <c r="L76" s="30">
        <f>D76-H76</f>
        <v>-30608.269999999993</v>
      </c>
      <c r="M76" s="15"/>
      <c r="N76" s="33">
        <f>IF(H76=0,0,L76/H76)</f>
        <v>-1.0645455010237397</v>
      </c>
      <c r="O76" s="26"/>
      <c r="P76" s="30">
        <f>+P72-P74</f>
        <v>-7859.079999999999</v>
      </c>
      <c r="Q76" s="13"/>
      <c r="R76" s="33">
        <f>IF(P$12=0,0,P76/P$12)</f>
        <v>-8.0613389953944452</v>
      </c>
      <c r="S76" s="13"/>
      <c r="T76" s="30">
        <f>+T72-T74</f>
        <v>13089.459999999992</v>
      </c>
      <c r="U76" s="13"/>
      <c r="V76" s="33">
        <f>IF(T$12=0,0,T76/T$12)</f>
        <v>4.8146698633371822E-2</v>
      </c>
      <c r="W76" s="15"/>
      <c r="X76" s="30">
        <f>P76-T76</f>
        <v>-20948.53999999999</v>
      </c>
      <c r="Y76" s="15"/>
      <c r="Z76" s="33">
        <f>IF(T76=0,0,X76/T76)</f>
        <v>-1.6004128512558962</v>
      </c>
    </row>
    <row r="77" spans="1:26" ht="15.75" thickTop="1" x14ac:dyDescent="0.25">
      <c r="A77" s="9"/>
      <c r="B77" s="9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x14ac:dyDescent="0.25">
      <c r="A78" s="9"/>
      <c r="B78" s="9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ht="15.75" thickBot="1" x14ac:dyDescent="0.3">
      <c r="A79" s="10"/>
      <c r="B79" s="25" t="s">
        <v>5</v>
      </c>
      <c r="C79" s="25"/>
      <c r="D79" s="34">
        <f>SUM(D76:D78)</f>
        <v>-1855.84</v>
      </c>
      <c r="E79" s="13"/>
      <c r="F79" s="35">
        <f>IF(D$12=0,0,D79/D$12)</f>
        <v>0</v>
      </c>
      <c r="G79" s="13"/>
      <c r="H79" s="34">
        <f>SUM(H76:H78)</f>
        <v>28752.429999999993</v>
      </c>
      <c r="I79" s="13"/>
      <c r="J79" s="35">
        <f>IF(H$12=0,0,H79/H$12)</f>
        <v>0.24505885901544774</v>
      </c>
      <c r="K79" s="15"/>
      <c r="L79" s="34">
        <f>+D79-H79</f>
        <v>-30608.269999999993</v>
      </c>
      <c r="M79" s="15"/>
      <c r="N79" s="35">
        <f>IF(H79=0,0,L79/H79)</f>
        <v>-1.0645455010237397</v>
      </c>
      <c r="O79" s="26"/>
      <c r="P79" s="34">
        <f>SUM(P76:P78)</f>
        <v>-7859.079999999999</v>
      </c>
      <c r="Q79" s="13"/>
      <c r="R79" s="35">
        <f>IF(P$12=0,0,P79/P$12)</f>
        <v>-8.0613389953944452</v>
      </c>
      <c r="S79" s="13"/>
      <c r="T79" s="34">
        <f>SUM(T76:T78)</f>
        <v>13089.459999999992</v>
      </c>
      <c r="U79" s="13"/>
      <c r="V79" s="35">
        <f>IF(T$12=0,0,T79/T$12)</f>
        <v>4.8146698633371822E-2</v>
      </c>
      <c r="W79" s="15"/>
      <c r="X79" s="34">
        <f>+P79-T79</f>
        <v>-20948.53999999999</v>
      </c>
      <c r="Y79" s="15"/>
      <c r="Z79" s="35">
        <f>IF(T79=0,0,X79/T79)</f>
        <v>-1.6004128512558962</v>
      </c>
    </row>
    <row r="80" spans="1:26" ht="15.75" thickTop="1" x14ac:dyDescent="0.25">
      <c r="A80" s="9"/>
      <c r="C80" s="9"/>
      <c r="D80" s="18"/>
      <c r="E80" s="18"/>
      <c r="G80" s="18"/>
      <c r="H80" s="18"/>
      <c r="I80" s="18"/>
      <c r="J80" s="43"/>
      <c r="K80" s="18"/>
      <c r="L80" s="18"/>
      <c r="M80" s="18"/>
      <c r="P80" s="18"/>
      <c r="Q80" s="18"/>
      <c r="R80" s="43"/>
      <c r="S80" s="18"/>
      <c r="T80" s="18"/>
      <c r="U80" s="18"/>
      <c r="V80" s="43"/>
      <c r="W80" s="18"/>
      <c r="X80" s="18"/>
    </row>
    <row r="81" spans="1:24" x14ac:dyDescent="0.25">
      <c r="A81" s="9"/>
      <c r="B81" s="56">
        <v>44151.572799305555</v>
      </c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  <row r="82" spans="1:24" x14ac:dyDescent="0.25">
      <c r="A82" s="9"/>
      <c r="B82" s="62" t="s">
        <v>313</v>
      </c>
      <c r="D82" s="18"/>
      <c r="E82" s="18"/>
      <c r="G82" s="18"/>
      <c r="H82" s="18"/>
      <c r="I82" s="18"/>
      <c r="J82" s="43"/>
      <c r="K82" s="18"/>
      <c r="L82" s="18"/>
      <c r="M82" s="18"/>
      <c r="P82" s="18"/>
      <c r="Q82" s="18"/>
      <c r="R82" s="43"/>
      <c r="S82" s="18"/>
      <c r="T82" s="18"/>
      <c r="U82" s="18"/>
      <c r="V82" s="43"/>
      <c r="W82" s="18"/>
      <c r="X82" s="18"/>
    </row>
    <row r="83" spans="1:24" x14ac:dyDescent="0.25">
      <c r="A83" s="9"/>
      <c r="B83" s="54"/>
      <c r="D83" s="18"/>
      <c r="E83" s="18"/>
      <c r="G83" s="18"/>
      <c r="H83" s="18"/>
      <c r="I83" s="18"/>
      <c r="J83" s="43"/>
      <c r="K83" s="18"/>
      <c r="L83" s="18"/>
      <c r="M83" s="18"/>
      <c r="P83" s="18"/>
      <c r="Q83" s="18"/>
      <c r="R83" s="43"/>
      <c r="S83" s="18"/>
      <c r="T83" s="18"/>
      <c r="U83" s="18"/>
      <c r="V83" s="43"/>
      <c r="W83" s="18"/>
      <c r="X83" s="18"/>
    </row>
    <row r="84" spans="1:24" x14ac:dyDescent="0.25">
      <c r="D84" s="18"/>
      <c r="E84" s="18"/>
      <c r="G84" s="18"/>
      <c r="H84" s="18"/>
      <c r="I84" s="18"/>
      <c r="J84" s="43"/>
      <c r="K84" s="18"/>
      <c r="L84" s="18"/>
      <c r="M84" s="18"/>
      <c r="P84" s="18"/>
      <c r="Q84" s="18"/>
      <c r="R84" s="43"/>
      <c r="S84" s="18"/>
      <c r="T84" s="18"/>
      <c r="U84" s="18"/>
      <c r="V84" s="43"/>
      <c r="W84" s="18"/>
      <c r="X84" s="18"/>
    </row>
  </sheetData>
  <pageMargins left="0.25" right="0.25" top="0.75" bottom="0.75" header="0.3" footer="0.3"/>
  <pageSetup scale="55" fitToWidth="2" orientation="landscape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",RIGHT(202104,2),", ",2021)</f>
        <v>Period 04,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44135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","415", " - ", "Outpost")</f>
        <v>Department 415 - Outpost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61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50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50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2"/>
      <c r="F10" s="31" t="s">
        <v>14</v>
      </c>
      <c r="G10" s="32"/>
      <c r="H10" s="49" t="s">
        <v>306</v>
      </c>
      <c r="I10" s="32"/>
      <c r="J10" s="31" t="s">
        <v>14</v>
      </c>
      <c r="K10" s="10"/>
      <c r="L10" s="42" t="s">
        <v>11</v>
      </c>
      <c r="M10" s="10"/>
      <c r="N10" s="31" t="s">
        <v>15</v>
      </c>
      <c r="O10" s="10"/>
      <c r="P10" s="59" t="s">
        <v>10</v>
      </c>
      <c r="Q10" s="32"/>
      <c r="R10" s="31" t="s">
        <v>14</v>
      </c>
      <c r="S10" s="32"/>
      <c r="T10" s="49" t="s">
        <v>306</v>
      </c>
      <c r="U10" s="32"/>
      <c r="V10" s="31" t="s">
        <v>14</v>
      </c>
      <c r="W10" s="10"/>
      <c r="X10" s="42" t="s">
        <v>11</v>
      </c>
      <c r="Y10" s="10"/>
      <c r="Z10" s="31" t="s">
        <v>15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13289.61</v>
      </c>
      <c r="E12" s="4"/>
      <c r="F12" s="12"/>
      <c r="G12" s="4"/>
      <c r="H12" s="4">
        <f>SUM(OSRRefH13x_0)</f>
        <v>138771.65</v>
      </c>
      <c r="I12" s="4"/>
      <c r="J12" s="12"/>
      <c r="K12" s="4"/>
      <c r="L12" s="4">
        <f t="shared" ref="L12:L14" si="0">+D12-H12</f>
        <v>-125482.04</v>
      </c>
      <c r="M12" s="4"/>
      <c r="N12" s="12">
        <f t="shared" ref="N12:N14" si="1">IF(H12=0,0,L12/H12)</f>
        <v>-0.90423396997873839</v>
      </c>
      <c r="O12" s="10"/>
      <c r="P12" s="4">
        <f>SUM(OSRRefP13x_0)</f>
        <v>26686.2</v>
      </c>
      <c r="Q12" s="4"/>
      <c r="R12" s="12"/>
      <c r="S12" s="4"/>
      <c r="T12" s="4">
        <f>SUM(OSRRefT13x_0)</f>
        <v>311832.64</v>
      </c>
      <c r="U12" s="4"/>
      <c r="V12" s="12"/>
      <c r="W12" s="4"/>
      <c r="X12" s="4">
        <f t="shared" ref="X12:X14" si="2">+P12-T12</f>
        <v>-285146.44</v>
      </c>
      <c r="Y12" s="4"/>
      <c r="Z12" s="12">
        <f t="shared" ref="Z12:Z14" si="3">IF(T12=0,0,X12/T12)</f>
        <v>-0.91442140245485526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--6097.26</f>
        <v>6097.26</v>
      </c>
      <c r="E13" s="2"/>
      <c r="F13" s="19"/>
      <c r="G13" s="2"/>
      <c r="H13" s="2">
        <f>--37940.7</f>
        <v>37940.699999999997</v>
      </c>
      <c r="I13" s="2"/>
      <c r="J13" s="19"/>
      <c r="K13" s="2"/>
      <c r="L13" s="2">
        <f t="shared" si="0"/>
        <v>-31843.439999999995</v>
      </c>
      <c r="M13" s="2"/>
      <c r="N13" s="19">
        <f t="shared" si="1"/>
        <v>-0.83929500510006394</v>
      </c>
      <c r="O13" s="11"/>
      <c r="P13" s="2">
        <f>--12749.94</f>
        <v>12749.94</v>
      </c>
      <c r="Q13" s="2"/>
      <c r="R13" s="19"/>
      <c r="S13" s="2"/>
      <c r="T13" s="2">
        <f>--94820.75</f>
        <v>94820.75</v>
      </c>
      <c r="U13" s="2"/>
      <c r="V13" s="19"/>
      <c r="W13" s="2"/>
      <c r="X13" s="2">
        <f t="shared" si="2"/>
        <v>-82070.81</v>
      </c>
      <c r="Y13" s="2"/>
      <c r="Z13" s="19">
        <f t="shared" si="3"/>
        <v>-0.86553639366910717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--7192.35</f>
        <v>7192.35</v>
      </c>
      <c r="E14" s="2"/>
      <c r="F14" s="19"/>
      <c r="G14" s="2"/>
      <c r="H14" s="2">
        <f>--100830.95</f>
        <v>100830.95</v>
      </c>
      <c r="I14" s="2"/>
      <c r="J14" s="19"/>
      <c r="K14" s="2"/>
      <c r="L14" s="2">
        <f t="shared" si="0"/>
        <v>-93638.599999999991</v>
      </c>
      <c r="M14" s="2"/>
      <c r="N14" s="19">
        <f t="shared" si="1"/>
        <v>-0.92866922309072752</v>
      </c>
      <c r="O14" s="11"/>
      <c r="P14" s="2">
        <f>--13936.26</f>
        <v>13936.26</v>
      </c>
      <c r="Q14" s="2"/>
      <c r="R14" s="19"/>
      <c r="S14" s="2"/>
      <c r="T14" s="2">
        <f>--217011.89</f>
        <v>217011.89</v>
      </c>
      <c r="U14" s="2"/>
      <c r="V14" s="19"/>
      <c r="W14" s="2"/>
      <c r="X14" s="2">
        <f t="shared" si="2"/>
        <v>-203075.63</v>
      </c>
      <c r="Y14" s="2"/>
      <c r="Z14" s="19">
        <f t="shared" si="3"/>
        <v>-0.93578112240762468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6" t="s">
        <v>8</v>
      </c>
      <c r="C16" s="10"/>
      <c r="D16" s="4">
        <f>SUM(OSRRefD16x_0)</f>
        <v>5796.07</v>
      </c>
      <c r="E16" s="4"/>
      <c r="F16" s="12">
        <f t="shared" ref="F16:F18" si="4">IF(D$12=0,0,D16/D$12)</f>
        <v>0.43613544716511615</v>
      </c>
      <c r="G16" s="4"/>
      <c r="H16" s="4">
        <f>SUM(OSRRefH16x_0)</f>
        <v>38137.440000000002</v>
      </c>
      <c r="I16" s="4"/>
      <c r="J16" s="12">
        <f t="shared" ref="J16:J18" si="5">IF(H$12=0,0,H16/H$12)</f>
        <v>0.27482155036709588</v>
      </c>
      <c r="K16" s="4"/>
      <c r="L16" s="4">
        <f t="shared" ref="L16:L18" si="6">+D16-H16</f>
        <v>-32341.370000000003</v>
      </c>
      <c r="M16" s="4"/>
      <c r="N16" s="12">
        <f t="shared" ref="N16:N18" si="7">IF(H16=0,0,L16/H16)</f>
        <v>-0.84802152425542987</v>
      </c>
      <c r="O16" s="10"/>
      <c r="P16" s="4">
        <f>SUM(OSRRefP16x_0)</f>
        <v>11812.47</v>
      </c>
      <c r="Q16" s="4"/>
      <c r="R16" s="12">
        <f t="shared" ref="R16:R18" si="8">IF(P$12=0,0,P16/P$12)</f>
        <v>0.44264338871776421</v>
      </c>
      <c r="S16" s="4"/>
      <c r="T16" s="4">
        <f>SUM(OSRRefT16x_0)</f>
        <v>99570.239999999991</v>
      </c>
      <c r="U16" s="4"/>
      <c r="V16" s="12">
        <f t="shared" ref="V16:V18" si="9">IF(T$12=0,0,T16/T$12)</f>
        <v>0.31930666398488622</v>
      </c>
      <c r="W16" s="4"/>
      <c r="X16" s="4">
        <f t="shared" ref="X16:X18" si="10">+P16-T16</f>
        <v>-87757.76999999999</v>
      </c>
      <c r="Y16" s="4"/>
      <c r="Z16" s="12">
        <f t="shared" ref="Z16:Z18" si="11">IF(T16=0,0,X16/T16)</f>
        <v>-0.88136545618449846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4199.07</v>
      </c>
      <c r="E17" s="2"/>
      <c r="F17" s="19">
        <f t="shared" si="4"/>
        <v>0.31596638276066791</v>
      </c>
      <c r="G17" s="2"/>
      <c r="H17" s="2">
        <v>44109.440000000002</v>
      </c>
      <c r="I17" s="2"/>
      <c r="J17" s="19">
        <f t="shared" si="5"/>
        <v>0.31785627684040657</v>
      </c>
      <c r="K17" s="2"/>
      <c r="L17" s="2">
        <f t="shared" si="6"/>
        <v>-39910.370000000003</v>
      </c>
      <c r="M17" s="2"/>
      <c r="N17" s="19">
        <f t="shared" si="7"/>
        <v>-0.90480337088840845</v>
      </c>
      <c r="O17" s="11"/>
      <c r="P17" s="2">
        <v>9629.41</v>
      </c>
      <c r="Q17" s="2"/>
      <c r="R17" s="19">
        <f t="shared" si="8"/>
        <v>0.36083856075424747</v>
      </c>
      <c r="S17" s="2"/>
      <c r="T17" s="2">
        <v>102127.23999999999</v>
      </c>
      <c r="U17" s="2"/>
      <c r="V17" s="19">
        <f t="shared" si="9"/>
        <v>0.32750657532194188</v>
      </c>
      <c r="W17" s="2"/>
      <c r="X17" s="2">
        <f t="shared" si="10"/>
        <v>-92497.829999999987</v>
      </c>
      <c r="Y17" s="2"/>
      <c r="Z17" s="19">
        <f t="shared" si="11"/>
        <v>-0.90571163971531976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1597</v>
      </c>
      <c r="E18" s="2"/>
      <c r="F18" s="19">
        <f t="shared" si="4"/>
        <v>0.12016906440444829</v>
      </c>
      <c r="G18" s="2"/>
      <c r="H18" s="2">
        <v>-5972</v>
      </c>
      <c r="I18" s="2"/>
      <c r="J18" s="19">
        <f t="shared" si="5"/>
        <v>-4.303472647331065E-2</v>
      </c>
      <c r="K18" s="2"/>
      <c r="L18" s="2">
        <f t="shared" si="6"/>
        <v>7569</v>
      </c>
      <c r="M18" s="2"/>
      <c r="N18" s="19">
        <f t="shared" si="7"/>
        <v>-1.2674146014735432</v>
      </c>
      <c r="O18" s="11"/>
      <c r="P18" s="2">
        <v>2183.06</v>
      </c>
      <c r="Q18" s="2"/>
      <c r="R18" s="19">
        <f t="shared" si="8"/>
        <v>8.1804827963516721E-2</v>
      </c>
      <c r="S18" s="2"/>
      <c r="T18" s="2">
        <v>-2557</v>
      </c>
      <c r="U18" s="2"/>
      <c r="V18" s="19">
        <f t="shared" si="9"/>
        <v>-8.1999113370556723E-3</v>
      </c>
      <c r="W18" s="2"/>
      <c r="X18" s="2">
        <f t="shared" si="10"/>
        <v>4740.0599999999995</v>
      </c>
      <c r="Y18" s="2"/>
      <c r="Z18" s="19">
        <f t="shared" si="11"/>
        <v>-1.8537583105201405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5" t="s">
        <v>6</v>
      </c>
      <c r="C20" s="25"/>
      <c r="D20" s="20">
        <f>D12-D16</f>
        <v>7493.5400000000009</v>
      </c>
      <c r="E20" s="13"/>
      <c r="F20" s="21">
        <f>IF(D$12=0,0,D20/D$12)</f>
        <v>0.56386455283488379</v>
      </c>
      <c r="G20" s="13"/>
      <c r="H20" s="20">
        <f>H12-H16</f>
        <v>100634.20999999999</v>
      </c>
      <c r="I20" s="13"/>
      <c r="J20" s="21">
        <f>IF(H$12=0,0,H20/H$12)</f>
        <v>0.72517844963290412</v>
      </c>
      <c r="K20" s="15"/>
      <c r="L20" s="20">
        <f>+D20-H20</f>
        <v>-93140.669999999984</v>
      </c>
      <c r="M20" s="15"/>
      <c r="N20" s="21">
        <f>IF(H20=0,0,L20/H20)</f>
        <v>-0.92553685272632424</v>
      </c>
      <c r="O20" s="26"/>
      <c r="P20" s="20">
        <f>P12-P16</f>
        <v>14873.730000000001</v>
      </c>
      <c r="Q20" s="13"/>
      <c r="R20" s="21">
        <f>IF(P$12=0,0,P20/P$12)</f>
        <v>0.55735661128223579</v>
      </c>
      <c r="S20" s="13"/>
      <c r="T20" s="20">
        <f>T12-T16</f>
        <v>212262.40000000002</v>
      </c>
      <c r="U20" s="13"/>
      <c r="V20" s="21">
        <f>IF(T$12=0,0,T20/T$12)</f>
        <v>0.68069333601511384</v>
      </c>
      <c r="W20" s="15"/>
      <c r="X20" s="20">
        <f>+P20-T20</f>
        <v>-197388.67</v>
      </c>
      <c r="Y20" s="15"/>
      <c r="Z20" s="21">
        <f>IF(T20=0,0,X20/T20)</f>
        <v>-0.92992762731411682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6" t="s">
        <v>9</v>
      </c>
      <c r="C22" s="10"/>
      <c r="D22" s="22">
        <f>SUM(OSRRefD22x_0)</f>
        <v>75869.480000000025</v>
      </c>
      <c r="E22" s="22"/>
      <c r="F22" s="36">
        <f t="shared" ref="F22:F31" si="12">IF(D$12=0,0,D22/D$12)</f>
        <v>5.7089320153112109</v>
      </c>
      <c r="G22" s="22"/>
      <c r="H22" s="22">
        <f>SUM(OSRRefH22x_0)</f>
        <v>88811.919999999984</v>
      </c>
      <c r="I22" s="22"/>
      <c r="J22" s="36">
        <f t="shared" ref="J22:J31" si="13">IF(H$12=0,0,H22/H$12)</f>
        <v>0.63998604902370182</v>
      </c>
      <c r="K22" s="4"/>
      <c r="L22" s="22">
        <f t="shared" ref="L22:L31" si="14">+D22-H22</f>
        <v>-12942.439999999959</v>
      </c>
      <c r="M22" s="4"/>
      <c r="N22" s="36">
        <f t="shared" ref="N22:N31" si="15">IF(H22=0,0,L22/H22)</f>
        <v>-0.14572863642628109</v>
      </c>
      <c r="O22" s="10"/>
      <c r="P22" s="22">
        <f>SUM(OSRRefP22x_0)</f>
        <v>265913.90999999992</v>
      </c>
      <c r="Q22" s="22"/>
      <c r="R22" s="36">
        <f t="shared" ref="R22:R31" si="16">IF(P$12=0,0,P22/P$12)</f>
        <v>9.9644726487847617</v>
      </c>
      <c r="S22" s="22"/>
      <c r="T22" s="22">
        <f>SUM(OSRRefT22x_0)</f>
        <v>285781.77999999997</v>
      </c>
      <c r="U22" s="22"/>
      <c r="V22" s="36">
        <f t="shared" ref="V22:V31" si="17">IF(T$12=0,0,T22/T$12)</f>
        <v>0.91645884151190826</v>
      </c>
      <c r="W22" s="4"/>
      <c r="X22" s="22">
        <f t="shared" ref="X22:X31" si="18">+P22-T22</f>
        <v>-19867.870000000054</v>
      </c>
      <c r="Y22" s="4"/>
      <c r="Z22" s="36">
        <f t="shared" ref="Z22:Z31" si="19">IF(T22=0,0,X22/T22)</f>
        <v>-6.9521122025344148E-2</v>
      </c>
    </row>
    <row r="23" spans="1:26" s="29" customFormat="1" outlineLevel="1" collapsed="1" x14ac:dyDescent="0.25">
      <c r="A23" s="27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15447.64</v>
      </c>
      <c r="E23" s="1"/>
      <c r="F23" s="5">
        <f t="shared" si="12"/>
        <v>1.1623847501920672</v>
      </c>
      <c r="G23" s="1"/>
      <c r="H23" s="1">
        <f>SUM(OSRRefH22_0x_0)</f>
        <v>8312.51</v>
      </c>
      <c r="I23" s="1"/>
      <c r="J23" s="5">
        <f t="shared" si="13"/>
        <v>5.9900635324289943E-2</v>
      </c>
      <c r="K23" s="1"/>
      <c r="L23" s="1">
        <f t="shared" si="14"/>
        <v>7135.1299999999992</v>
      </c>
      <c r="M23" s="1"/>
      <c r="N23" s="5">
        <f t="shared" si="15"/>
        <v>0.85836047114529779</v>
      </c>
      <c r="O23" s="14"/>
      <c r="P23" s="1">
        <f>SUM(OSRRefP22_0x_0)</f>
        <v>54642.130000000005</v>
      </c>
      <c r="Q23" s="1"/>
      <c r="R23" s="5">
        <f t="shared" si="16"/>
        <v>2.0475800226334213</v>
      </c>
      <c r="S23" s="1"/>
      <c r="T23" s="1">
        <f>SUM(OSRRefT22_0x_0)</f>
        <v>34547.42</v>
      </c>
      <c r="U23" s="1"/>
      <c r="V23" s="5">
        <f t="shared" si="17"/>
        <v>0.11078833825734213</v>
      </c>
      <c r="W23" s="1"/>
      <c r="X23" s="1">
        <f t="shared" si="18"/>
        <v>20094.710000000006</v>
      </c>
      <c r="Y23" s="1"/>
      <c r="Z23" s="5">
        <f t="shared" si="19"/>
        <v>0.58165588052595552</v>
      </c>
    </row>
    <row r="24" spans="1:26" s="24" customFormat="1" hidden="1" outlineLevel="2" x14ac:dyDescent="0.25">
      <c r="A24" s="28"/>
      <c r="B24" s="11" t="str">
        <f>CONCATENATE("          ", "6111", " - ", "F.I.C.A.")</f>
        <v xml:space="preserve">          6111 - F.I.C.A.</v>
      </c>
      <c r="C24" s="11"/>
      <c r="D24" s="6">
        <v>2728.37</v>
      </c>
      <c r="E24" s="2"/>
      <c r="F24" s="7">
        <f t="shared" si="12"/>
        <v>0.20530098324932031</v>
      </c>
      <c r="G24" s="2"/>
      <c r="H24" s="6">
        <v>2456.4</v>
      </c>
      <c r="I24" s="2"/>
      <c r="J24" s="7">
        <f t="shared" si="13"/>
        <v>1.7701021786510431E-2</v>
      </c>
      <c r="K24" s="2"/>
      <c r="L24" s="6">
        <f t="shared" si="14"/>
        <v>271.9699999999998</v>
      </c>
      <c r="M24" s="2"/>
      <c r="N24" s="7">
        <f t="shared" si="15"/>
        <v>0.11071893828366706</v>
      </c>
      <c r="O24" s="11"/>
      <c r="P24" s="6">
        <v>6851.78</v>
      </c>
      <c r="Q24" s="2"/>
      <c r="R24" s="7">
        <f t="shared" si="16"/>
        <v>0.25675367793091558</v>
      </c>
      <c r="S24" s="2"/>
      <c r="T24" s="6">
        <v>6268.05</v>
      </c>
      <c r="U24" s="2"/>
      <c r="V24" s="7">
        <f t="shared" si="17"/>
        <v>2.0100686060317483E-2</v>
      </c>
      <c r="W24" s="2"/>
      <c r="X24" s="6">
        <f t="shared" si="18"/>
        <v>583.72999999999956</v>
      </c>
      <c r="Y24" s="2"/>
      <c r="Z24" s="7">
        <f t="shared" si="19"/>
        <v>9.3127846778503609E-2</v>
      </c>
    </row>
    <row r="25" spans="1:26" s="24" customFormat="1" hidden="1" outlineLevel="2" x14ac:dyDescent="0.25">
      <c r="A25" s="28"/>
      <c r="B25" s="11" t="str">
        <f>CONCATENATE("          ", "6112", " - ", "COMPENSATION INSURANCE")</f>
        <v xml:space="preserve">          6112 - COMPENSATION INSURANCE</v>
      </c>
      <c r="C25" s="11"/>
      <c r="D25" s="6">
        <v>620.08000000000004</v>
      </c>
      <c r="E25" s="2"/>
      <c r="F25" s="7">
        <f t="shared" si="12"/>
        <v>4.6659006547219974E-2</v>
      </c>
      <c r="G25" s="2"/>
      <c r="H25" s="6">
        <v>-224.96</v>
      </c>
      <c r="I25" s="2"/>
      <c r="J25" s="7">
        <f t="shared" si="13"/>
        <v>-1.6210803863757476E-3</v>
      </c>
      <c r="K25" s="2"/>
      <c r="L25" s="6">
        <f t="shared" si="14"/>
        <v>845.04000000000008</v>
      </c>
      <c r="M25" s="2"/>
      <c r="N25" s="7">
        <f t="shared" si="15"/>
        <v>-3.7564011379800855</v>
      </c>
      <c r="O25" s="11"/>
      <c r="P25" s="6">
        <v>2428.75</v>
      </c>
      <c r="Q25" s="2"/>
      <c r="R25" s="7">
        <f t="shared" si="16"/>
        <v>9.1011459106204701E-2</v>
      </c>
      <c r="S25" s="2"/>
      <c r="T25" s="6">
        <v>2120.4299999999998</v>
      </c>
      <c r="U25" s="2"/>
      <c r="V25" s="7">
        <f t="shared" si="17"/>
        <v>6.7998975347801941E-3</v>
      </c>
      <c r="W25" s="2"/>
      <c r="X25" s="6">
        <f t="shared" si="18"/>
        <v>308.32000000000016</v>
      </c>
      <c r="Y25" s="2"/>
      <c r="Z25" s="7">
        <f t="shared" si="19"/>
        <v>0.14540446984809693</v>
      </c>
    </row>
    <row r="26" spans="1:26" s="24" customFormat="1" hidden="1" outlineLevel="2" x14ac:dyDescent="0.25">
      <c r="A26" s="28"/>
      <c r="B26" s="11" t="str">
        <f>CONCATENATE("          ", "6113", " - ", "GROUP INSURANCE")</f>
        <v xml:space="preserve">          6113 - GROUP INSURANCE</v>
      </c>
      <c r="C26" s="11"/>
      <c r="D26" s="6">
        <v>6712.24</v>
      </c>
      <c r="E26" s="2"/>
      <c r="F26" s="7">
        <f t="shared" si="12"/>
        <v>0.50507426478278894</v>
      </c>
      <c r="G26" s="2"/>
      <c r="H26" s="6">
        <v>3090.11</v>
      </c>
      <c r="I26" s="2"/>
      <c r="J26" s="7">
        <f t="shared" si="13"/>
        <v>2.2267588516818818E-2</v>
      </c>
      <c r="K26" s="2"/>
      <c r="L26" s="6">
        <f t="shared" si="14"/>
        <v>3622.1299999999997</v>
      </c>
      <c r="M26" s="2"/>
      <c r="N26" s="7">
        <f t="shared" si="15"/>
        <v>1.1721686283012578</v>
      </c>
      <c r="O26" s="11"/>
      <c r="P26" s="6">
        <v>27506.91</v>
      </c>
      <c r="Q26" s="2"/>
      <c r="R26" s="7">
        <f t="shared" si="16"/>
        <v>1.0307540976234908</v>
      </c>
      <c r="S26" s="2"/>
      <c r="T26" s="6">
        <v>12360.44</v>
      </c>
      <c r="U26" s="2"/>
      <c r="V26" s="7">
        <f t="shared" si="17"/>
        <v>3.9638057132184754E-2</v>
      </c>
      <c r="W26" s="2"/>
      <c r="X26" s="6">
        <f t="shared" si="18"/>
        <v>15146.47</v>
      </c>
      <c r="Y26" s="2"/>
      <c r="Z26" s="7">
        <f t="shared" si="19"/>
        <v>1.2253989340185301</v>
      </c>
    </row>
    <row r="27" spans="1:26" s="24" customFormat="1" hidden="1" outlineLevel="2" x14ac:dyDescent="0.25">
      <c r="A27" s="28"/>
      <c r="B27" s="11" t="str">
        <f>CONCATENATE("          ", "6114", " - ", "STATE UNEMPLOYMENT INSURANCE")</f>
        <v xml:space="preserve">          6114 - STATE UNEMPLOYMENT INSURANCE</v>
      </c>
      <c r="C27" s="11"/>
      <c r="D27" s="6">
        <v>52.33</v>
      </c>
      <c r="E27" s="2"/>
      <c r="F27" s="7">
        <f t="shared" si="12"/>
        <v>3.9376625800155154E-3</v>
      </c>
      <c r="G27" s="2"/>
      <c r="H27" s="6">
        <v>83.52</v>
      </c>
      <c r="I27" s="2"/>
      <c r="J27" s="7">
        <f t="shared" si="13"/>
        <v>6.0185203534007131E-4</v>
      </c>
      <c r="K27" s="2"/>
      <c r="L27" s="6">
        <f t="shared" si="14"/>
        <v>-31.189999999999998</v>
      </c>
      <c r="M27" s="2"/>
      <c r="N27" s="7">
        <f t="shared" si="15"/>
        <v>-0.37344348659003829</v>
      </c>
      <c r="O27" s="11"/>
      <c r="P27" s="6">
        <v>218.51</v>
      </c>
      <c r="Q27" s="2"/>
      <c r="R27" s="7">
        <f t="shared" si="16"/>
        <v>8.1881271968283226E-3</v>
      </c>
      <c r="S27" s="2"/>
      <c r="T27" s="6">
        <v>240.68</v>
      </c>
      <c r="U27" s="2"/>
      <c r="V27" s="7">
        <f t="shared" si="17"/>
        <v>7.7182427086529488E-4</v>
      </c>
      <c r="W27" s="2"/>
      <c r="X27" s="6">
        <f t="shared" si="18"/>
        <v>-22.170000000000016</v>
      </c>
      <c r="Y27" s="2"/>
      <c r="Z27" s="7">
        <f t="shared" si="19"/>
        <v>-9.2114010304138336E-2</v>
      </c>
    </row>
    <row r="28" spans="1:26" s="24" customFormat="1" hidden="1" outlineLevel="2" x14ac:dyDescent="0.25">
      <c r="A28" s="28"/>
      <c r="B28" s="11" t="str">
        <f>CONCATENATE("          ", "6115", " - ", "P.E.R.S.")</f>
        <v xml:space="preserve">          6115 - P.E.R.S.</v>
      </c>
      <c r="C28" s="11"/>
      <c r="D28" s="6">
        <v>1441.26</v>
      </c>
      <c r="E28" s="2"/>
      <c r="F28" s="7">
        <f t="shared" si="12"/>
        <v>0.10845013510554485</v>
      </c>
      <c r="G28" s="2"/>
      <c r="H28" s="6">
        <v>898.02</v>
      </c>
      <c r="I28" s="2"/>
      <c r="J28" s="7">
        <f t="shared" si="13"/>
        <v>6.4712064748095165E-3</v>
      </c>
      <c r="K28" s="2"/>
      <c r="L28" s="6">
        <f t="shared" si="14"/>
        <v>543.24</v>
      </c>
      <c r="M28" s="2"/>
      <c r="N28" s="7">
        <f t="shared" si="15"/>
        <v>0.60493084786530371</v>
      </c>
      <c r="O28" s="11"/>
      <c r="P28" s="6">
        <v>5581.11</v>
      </c>
      <c r="Q28" s="2"/>
      <c r="R28" s="7">
        <f t="shared" si="16"/>
        <v>0.20913843109921981</v>
      </c>
      <c r="S28" s="2"/>
      <c r="T28" s="6">
        <v>2643.45</v>
      </c>
      <c r="U28" s="2"/>
      <c r="V28" s="7">
        <f t="shared" si="17"/>
        <v>8.4771433805005143E-3</v>
      </c>
      <c r="W28" s="2"/>
      <c r="X28" s="6">
        <f t="shared" si="18"/>
        <v>2937.66</v>
      </c>
      <c r="Y28" s="2"/>
      <c r="Z28" s="7">
        <f t="shared" si="19"/>
        <v>1.1112977359132952</v>
      </c>
    </row>
    <row r="29" spans="1:26" s="24" customFormat="1" hidden="1" outlineLevel="2" x14ac:dyDescent="0.25">
      <c r="A29" s="28"/>
      <c r="B29" s="11" t="str">
        <f>CONCATENATE("          ", "6118", " - ", "VACATION")</f>
        <v xml:space="preserve">          6118 - VACATION</v>
      </c>
      <c r="C29" s="11"/>
      <c r="D29" s="6">
        <v>2066.79</v>
      </c>
      <c r="E29" s="2"/>
      <c r="F29" s="7">
        <f t="shared" si="12"/>
        <v>0.15551923645614882</v>
      </c>
      <c r="G29" s="2"/>
      <c r="H29" s="6">
        <v>1071.26</v>
      </c>
      <c r="I29" s="2"/>
      <c r="J29" s="7">
        <f t="shared" si="13"/>
        <v>7.7195882588410531E-3</v>
      </c>
      <c r="K29" s="2"/>
      <c r="L29" s="6">
        <f t="shared" si="14"/>
        <v>995.53</v>
      </c>
      <c r="M29" s="2"/>
      <c r="N29" s="7">
        <f t="shared" si="15"/>
        <v>0.92930754438698349</v>
      </c>
      <c r="O29" s="11"/>
      <c r="P29" s="6">
        <v>6060.5</v>
      </c>
      <c r="Q29" s="2"/>
      <c r="R29" s="7">
        <f t="shared" si="16"/>
        <v>0.22710239749383576</v>
      </c>
      <c r="S29" s="2"/>
      <c r="T29" s="6">
        <v>4389.2299999999996</v>
      </c>
      <c r="U29" s="2"/>
      <c r="V29" s="7">
        <f t="shared" si="17"/>
        <v>1.4075595165406673E-2</v>
      </c>
      <c r="W29" s="2"/>
      <c r="X29" s="6">
        <f t="shared" si="18"/>
        <v>1671.2700000000004</v>
      </c>
      <c r="Y29" s="2"/>
      <c r="Z29" s="7">
        <f t="shared" si="19"/>
        <v>0.38076610248266796</v>
      </c>
    </row>
    <row r="30" spans="1:26" s="24" customFormat="1" hidden="1" outlineLevel="2" x14ac:dyDescent="0.25">
      <c r="A30" s="28"/>
      <c r="B30" s="11" t="str">
        <f>CONCATENATE("          ", "6119", " - ", "SICK LEAVE")</f>
        <v xml:space="preserve">          6119 - SICK LEAVE</v>
      </c>
      <c r="C30" s="11"/>
      <c r="D30" s="6">
        <v>1286.28</v>
      </c>
      <c r="E30" s="2"/>
      <c r="F30" s="7">
        <f t="shared" si="12"/>
        <v>9.6788393338856443E-2</v>
      </c>
      <c r="G30" s="2"/>
      <c r="H30" s="6">
        <v>589.35</v>
      </c>
      <c r="I30" s="2"/>
      <c r="J30" s="7">
        <f t="shared" si="13"/>
        <v>4.2469048973619618E-3</v>
      </c>
      <c r="K30" s="2"/>
      <c r="L30" s="6">
        <f t="shared" si="14"/>
        <v>696.93</v>
      </c>
      <c r="M30" s="2"/>
      <c r="N30" s="7">
        <f t="shared" si="15"/>
        <v>1.1825400865360141</v>
      </c>
      <c r="O30" s="11"/>
      <c r="P30" s="6">
        <v>3869.56</v>
      </c>
      <c r="Q30" s="2"/>
      <c r="R30" s="7">
        <f t="shared" si="16"/>
        <v>0.14500228582563271</v>
      </c>
      <c r="S30" s="2"/>
      <c r="T30" s="6">
        <v>5210.9799999999996</v>
      </c>
      <c r="U30" s="2"/>
      <c r="V30" s="7">
        <f t="shared" si="17"/>
        <v>1.6710822831118639E-2</v>
      </c>
      <c r="W30" s="2"/>
      <c r="X30" s="6">
        <f t="shared" si="18"/>
        <v>-1341.4199999999996</v>
      </c>
      <c r="Y30" s="2"/>
      <c r="Z30" s="7">
        <f t="shared" si="19"/>
        <v>-0.25742182852361739</v>
      </c>
    </row>
    <row r="31" spans="1:26" s="24" customFormat="1" hidden="1" outlineLevel="2" x14ac:dyDescent="0.25">
      <c r="A31" s="28"/>
      <c r="B31" s="11" t="str">
        <f>CONCATENATE("          ", "6156", " - ", "EMPLOYEE MEALS")</f>
        <v xml:space="preserve">          6156 - EMPLOYEE MEALS</v>
      </c>
      <c r="C31" s="11"/>
      <c r="D31" s="6">
        <v>540.29</v>
      </c>
      <c r="E31" s="2"/>
      <c r="F31" s="7">
        <f t="shared" si="12"/>
        <v>4.0655068132172421E-2</v>
      </c>
      <c r="G31" s="2"/>
      <c r="H31" s="6">
        <v>348.81</v>
      </c>
      <c r="I31" s="2"/>
      <c r="J31" s="7">
        <f t="shared" si="13"/>
        <v>2.5135537409838394E-3</v>
      </c>
      <c r="K31" s="2"/>
      <c r="L31" s="6">
        <f t="shared" si="14"/>
        <v>191.47999999999996</v>
      </c>
      <c r="M31" s="2"/>
      <c r="N31" s="7">
        <f t="shared" si="15"/>
        <v>0.54895215160115807</v>
      </c>
      <c r="O31" s="11"/>
      <c r="P31" s="6">
        <v>2125.0100000000002</v>
      </c>
      <c r="Q31" s="2"/>
      <c r="R31" s="7">
        <f t="shared" si="16"/>
        <v>7.9629546357293288E-2</v>
      </c>
      <c r="S31" s="2"/>
      <c r="T31" s="6">
        <v>1314.16</v>
      </c>
      <c r="U31" s="2"/>
      <c r="V31" s="7">
        <f t="shared" si="17"/>
        <v>4.2143118821685891E-3</v>
      </c>
      <c r="W31" s="2"/>
      <c r="X31" s="6">
        <f t="shared" si="18"/>
        <v>810.85000000000014</v>
      </c>
      <c r="Y31" s="2"/>
      <c r="Z31" s="7">
        <f t="shared" si="19"/>
        <v>0.61701010531442146</v>
      </c>
    </row>
    <row r="32" spans="1:26" s="29" customFormat="1" outlineLevel="1" collapsed="1" x14ac:dyDescent="0.25">
      <c r="A32" s="27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21241.500000000004</v>
      </c>
      <c r="E32" s="1"/>
      <c r="F32" s="5">
        <f t="shared" ref="F32:F37" si="20">IF(D$12=0,0,D32/D$12)</f>
        <v>1.5983539020332427</v>
      </c>
      <c r="G32" s="1"/>
      <c r="H32" s="1">
        <f>SUM(OSRRefH22_1x_0)</f>
        <v>35545.39</v>
      </c>
      <c r="I32" s="1"/>
      <c r="J32" s="5">
        <f t="shared" ref="J32:J37" si="21">IF(H$12=0,0,H32/H$12)</f>
        <v>0.25614302344895373</v>
      </c>
      <c r="K32" s="1"/>
      <c r="L32" s="1">
        <f t="shared" ref="L32:L37" si="22">+D32-H32</f>
        <v>-14303.889999999996</v>
      </c>
      <c r="M32" s="1"/>
      <c r="N32" s="5">
        <f t="shared" ref="N32:N37" si="23">IF(H32=0,0,L32/H32)</f>
        <v>-0.40241195834396515</v>
      </c>
      <c r="O32" s="14"/>
      <c r="P32" s="1">
        <f>SUM(OSRRefP22_1x_0)</f>
        <v>77213.710000000006</v>
      </c>
      <c r="Q32" s="1"/>
      <c r="R32" s="5">
        <f t="shared" ref="R32:R37" si="24">IF(P$12=0,0,P32/P$12)</f>
        <v>2.8933947133724547</v>
      </c>
      <c r="S32" s="1"/>
      <c r="T32" s="1">
        <f>SUM(OSRRefT22_1x_0)</f>
        <v>101024.98</v>
      </c>
      <c r="U32" s="1"/>
      <c r="V32" s="5">
        <f t="shared" ref="V32:V37" si="25">IF(T$12=0,0,T32/T$12)</f>
        <v>0.32397179461393133</v>
      </c>
      <c r="W32" s="1"/>
      <c r="X32" s="1">
        <f t="shared" ref="X32:X37" si="26">+P32-T32</f>
        <v>-23811.26999999999</v>
      </c>
      <c r="Y32" s="1"/>
      <c r="Z32" s="5">
        <f t="shared" ref="Z32:Z37" si="27">IF(T32=0,0,X32/T32)</f>
        <v>-0.23569685438195573</v>
      </c>
    </row>
    <row r="33" spans="1:26" s="24" customFormat="1" hidden="1" outlineLevel="2" x14ac:dyDescent="0.25">
      <c r="A33" s="28"/>
      <c r="B33" s="11" t="str">
        <f>CONCATENATE("          ", "6002", " - ", "STAFF SALARIES")</f>
        <v xml:space="preserve">          6002 - STAFF SALARIES</v>
      </c>
      <c r="C33" s="11"/>
      <c r="D33" s="6">
        <v>16649.230000000003</v>
      </c>
      <c r="E33" s="2"/>
      <c r="F33" s="7">
        <f t="shared" si="20"/>
        <v>1.2528004960265955</v>
      </c>
      <c r="G33" s="2"/>
      <c r="H33" s="6">
        <v>6225.71</v>
      </c>
      <c r="I33" s="2"/>
      <c r="J33" s="7">
        <f t="shared" si="21"/>
        <v>4.4862981740146496E-2</v>
      </c>
      <c r="K33" s="2"/>
      <c r="L33" s="6">
        <f t="shared" si="22"/>
        <v>10423.520000000004</v>
      </c>
      <c r="M33" s="2"/>
      <c r="N33" s="7">
        <f t="shared" si="23"/>
        <v>1.6742700832515494</v>
      </c>
      <c r="O33" s="11"/>
      <c r="P33" s="6">
        <v>59670.07</v>
      </c>
      <c r="Q33" s="2"/>
      <c r="R33" s="7">
        <f t="shared" si="24"/>
        <v>2.2359897624989693</v>
      </c>
      <c r="S33" s="2"/>
      <c r="T33" s="6">
        <v>21737.42</v>
      </c>
      <c r="U33" s="2"/>
      <c r="V33" s="7">
        <f t="shared" si="25"/>
        <v>6.9708610362276366E-2</v>
      </c>
      <c r="W33" s="2"/>
      <c r="X33" s="6">
        <f t="shared" si="26"/>
        <v>37932.65</v>
      </c>
      <c r="Y33" s="2"/>
      <c r="Z33" s="7">
        <f t="shared" si="27"/>
        <v>1.7450391996842314</v>
      </c>
    </row>
    <row r="34" spans="1:26" s="24" customFormat="1" hidden="1" outlineLevel="2" x14ac:dyDescent="0.25">
      <c r="A34" s="28"/>
      <c r="B34" s="11" t="str">
        <f>CONCATENATE("          ", "6004", " - ", "STAFF HOURLY")</f>
        <v xml:space="preserve">          6004 - STAFF HOURLY</v>
      </c>
      <c r="C34" s="11"/>
      <c r="D34" s="6">
        <v>4641.7</v>
      </c>
      <c r="E34" s="2"/>
      <c r="F34" s="7">
        <f t="shared" si="20"/>
        <v>0.34927285300321076</v>
      </c>
      <c r="G34" s="2"/>
      <c r="H34" s="6">
        <v>4143.22</v>
      </c>
      <c r="I34" s="2"/>
      <c r="J34" s="7">
        <f t="shared" si="21"/>
        <v>2.9856386372865067E-2</v>
      </c>
      <c r="K34" s="2"/>
      <c r="L34" s="6">
        <f t="shared" si="22"/>
        <v>498.47999999999956</v>
      </c>
      <c r="M34" s="2"/>
      <c r="N34" s="7">
        <f t="shared" si="23"/>
        <v>0.12031222092961502</v>
      </c>
      <c r="O34" s="11"/>
      <c r="P34" s="6">
        <v>15347.3</v>
      </c>
      <c r="Q34" s="2"/>
      <c r="R34" s="7">
        <f t="shared" si="24"/>
        <v>0.575102487427959</v>
      </c>
      <c r="S34" s="2"/>
      <c r="T34" s="6">
        <v>13763.85</v>
      </c>
      <c r="U34" s="2"/>
      <c r="V34" s="7">
        <f t="shared" si="25"/>
        <v>4.4138580233294374E-2</v>
      </c>
      <c r="W34" s="2"/>
      <c r="X34" s="6">
        <f t="shared" si="26"/>
        <v>1583.4499999999989</v>
      </c>
      <c r="Y34" s="2"/>
      <c r="Z34" s="7">
        <f t="shared" si="27"/>
        <v>0.11504411919630037</v>
      </c>
    </row>
    <row r="35" spans="1:26" s="24" customFormat="1" hidden="1" outlineLevel="2" x14ac:dyDescent="0.25">
      <c r="A35" s="28"/>
      <c r="B35" s="11" t="str">
        <f>CONCATENATE("          ", "6005", " - ", "TEMPORARY WAGES-HOURLY")</f>
        <v xml:space="preserve">          6005 - TEMPORARY WAGES-HOURLY</v>
      </c>
      <c r="C35" s="11"/>
      <c r="D35" s="6">
        <v>704.86</v>
      </c>
      <c r="E35" s="2"/>
      <c r="F35" s="7">
        <f t="shared" si="20"/>
        <v>5.3038426259310843E-2</v>
      </c>
      <c r="G35" s="2"/>
      <c r="H35" s="6">
        <v>15188.56</v>
      </c>
      <c r="I35" s="2"/>
      <c r="J35" s="7">
        <f t="shared" si="21"/>
        <v>0.10945002095168574</v>
      </c>
      <c r="K35" s="2"/>
      <c r="L35" s="6">
        <f t="shared" si="22"/>
        <v>-14483.699999999999</v>
      </c>
      <c r="M35" s="2"/>
      <c r="N35" s="7">
        <f t="shared" si="23"/>
        <v>-0.95359270398247098</v>
      </c>
      <c r="O35" s="11"/>
      <c r="P35" s="6">
        <v>2126.63</v>
      </c>
      <c r="Q35" s="2"/>
      <c r="R35" s="7">
        <f t="shared" si="24"/>
        <v>7.9690251890490213E-2</v>
      </c>
      <c r="S35" s="2"/>
      <c r="T35" s="6">
        <v>31502.37</v>
      </c>
      <c r="U35" s="2"/>
      <c r="V35" s="7">
        <f t="shared" si="25"/>
        <v>0.10102332456281676</v>
      </c>
      <c r="W35" s="2"/>
      <c r="X35" s="6">
        <f t="shared" si="26"/>
        <v>-29375.739999999998</v>
      </c>
      <c r="Y35" s="2"/>
      <c r="Z35" s="7">
        <f t="shared" si="27"/>
        <v>-0.93249301560485764</v>
      </c>
    </row>
    <row r="36" spans="1:26" s="24" customFormat="1" hidden="1" outlineLevel="2" x14ac:dyDescent="0.25">
      <c r="A36" s="28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20"/>
        <v>0</v>
      </c>
      <c r="G36" s="2"/>
      <c r="H36" s="6"/>
      <c r="I36" s="2"/>
      <c r="J36" s="7">
        <f t="shared" si="21"/>
        <v>0</v>
      </c>
      <c r="K36" s="2"/>
      <c r="L36" s="6">
        <f t="shared" si="22"/>
        <v>0</v>
      </c>
      <c r="M36" s="2"/>
      <c r="N36" s="7">
        <f t="shared" si="23"/>
        <v>0</v>
      </c>
      <c r="O36" s="11"/>
      <c r="P36" s="6"/>
      <c r="Q36" s="2"/>
      <c r="R36" s="7">
        <f t="shared" si="24"/>
        <v>0</v>
      </c>
      <c r="S36" s="2"/>
      <c r="T36" s="6">
        <v>200.5</v>
      </c>
      <c r="U36" s="2"/>
      <c r="V36" s="7">
        <f t="shared" si="25"/>
        <v>6.4297310249497933E-4</v>
      </c>
      <c r="W36" s="2"/>
      <c r="X36" s="6">
        <f t="shared" si="26"/>
        <v>-200.5</v>
      </c>
      <c r="Y36" s="2"/>
      <c r="Z36" s="7">
        <f t="shared" si="27"/>
        <v>-1</v>
      </c>
    </row>
    <row r="37" spans="1:26" s="24" customFormat="1" hidden="1" outlineLevel="2" x14ac:dyDescent="0.25">
      <c r="A37" s="28"/>
      <c r="B37" s="11" t="str">
        <f>CONCATENATE("          ", "6007", " - ", "STUDENT HOURLY")</f>
        <v xml:space="preserve">          6007 - STUDENT HOURLY</v>
      </c>
      <c r="C37" s="11"/>
      <c r="D37" s="6">
        <v>-754.29</v>
      </c>
      <c r="E37" s="2"/>
      <c r="F37" s="7">
        <f t="shared" si="20"/>
        <v>-5.6757873255874322E-2</v>
      </c>
      <c r="G37" s="2"/>
      <c r="H37" s="6">
        <v>9987.9</v>
      </c>
      <c r="I37" s="2"/>
      <c r="J37" s="7">
        <f t="shared" si="21"/>
        <v>7.1973634384256441E-2</v>
      </c>
      <c r="K37" s="2"/>
      <c r="L37" s="6">
        <f t="shared" si="22"/>
        <v>-10742.189999999999</v>
      </c>
      <c r="M37" s="2"/>
      <c r="N37" s="7">
        <f t="shared" si="23"/>
        <v>-1.0755203796593877</v>
      </c>
      <c r="O37" s="11"/>
      <c r="P37" s="6">
        <v>69.709999999999994</v>
      </c>
      <c r="Q37" s="2"/>
      <c r="R37" s="7">
        <f t="shared" si="24"/>
        <v>2.6122115550359357E-3</v>
      </c>
      <c r="S37" s="2"/>
      <c r="T37" s="6">
        <v>33820.839999999997</v>
      </c>
      <c r="U37" s="2"/>
      <c r="V37" s="7">
        <f t="shared" si="25"/>
        <v>0.10845830635304884</v>
      </c>
      <c r="W37" s="2"/>
      <c r="X37" s="6">
        <f t="shared" si="26"/>
        <v>-33751.129999999997</v>
      </c>
      <c r="Y37" s="2"/>
      <c r="Z37" s="7">
        <f t="shared" si="27"/>
        <v>-0.99793884480692974</v>
      </c>
    </row>
    <row r="38" spans="1:26" s="29" customFormat="1" outlineLevel="1" collapsed="1" x14ac:dyDescent="0.25">
      <c r="A38" s="27"/>
      <c r="B38" s="14" t="str">
        <f>CONCATENATE("     ","Advertising/Promo                                 ")</f>
        <v xml:space="preserve">     Advertising/Promo                                 </v>
      </c>
      <c r="C38" s="14"/>
      <c r="D38" s="1">
        <f>SUM(OSRRefD22_2x_0)</f>
        <v>15.05</v>
      </c>
      <c r="E38" s="1"/>
      <c r="F38" s="5">
        <f t="shared" ref="F38:F46" si="28">IF(D$12=0,0,D38/D$12)</f>
        <v>1.1324636313631475E-3</v>
      </c>
      <c r="G38" s="1"/>
      <c r="H38" s="1">
        <f>SUM(OSRRefH22_2x_0)</f>
        <v>575.12</v>
      </c>
      <c r="I38" s="1"/>
      <c r="J38" s="5">
        <f t="shared" ref="J38:J46" si="29">IF(H$12=0,0,H38/H$12)</f>
        <v>4.1443623391377131E-3</v>
      </c>
      <c r="K38" s="1"/>
      <c r="L38" s="1">
        <f t="shared" ref="L38:L46" si="30">+D38-H38</f>
        <v>-560.07000000000005</v>
      </c>
      <c r="M38" s="1"/>
      <c r="N38" s="5">
        <f t="shared" ref="N38:N46" si="31">IF(H38=0,0,L38/H38)</f>
        <v>-0.97383154819863693</v>
      </c>
      <c r="O38" s="14"/>
      <c r="P38" s="1">
        <f>SUM(OSRRefP22_2x_0)</f>
        <v>110.63</v>
      </c>
      <c r="Q38" s="1"/>
      <c r="R38" s="5">
        <f t="shared" ref="R38:R46" si="32">IF(P$12=0,0,P38/P$12)</f>
        <v>4.1455883565288424E-3</v>
      </c>
      <c r="S38" s="1"/>
      <c r="T38" s="1">
        <f>SUM(OSRRefT22_2x_0)</f>
        <v>2588.98</v>
      </c>
      <c r="U38" s="1"/>
      <c r="V38" s="5">
        <f t="shared" ref="V38:V46" si="33">IF(T$12=0,0,T38/T$12)</f>
        <v>8.3024663486157193E-3</v>
      </c>
      <c r="W38" s="1"/>
      <c r="X38" s="1">
        <f t="shared" ref="X38:X46" si="34">+P38-T38</f>
        <v>-2478.35</v>
      </c>
      <c r="Y38" s="1"/>
      <c r="Z38" s="5">
        <f t="shared" ref="Z38:Z46" si="35">IF(T38=0,0,X38/T38)</f>
        <v>-0.95726888581603564</v>
      </c>
    </row>
    <row r="39" spans="1:26" s="24" customFormat="1" hidden="1" outlineLevel="2" x14ac:dyDescent="0.25">
      <c r="A39" s="28"/>
      <c r="B39" s="11" t="str">
        <f>CONCATENATE("          ", "6362", " - ", "ADVERTISING EXPENSE")</f>
        <v xml:space="preserve">          6362 - ADVERTISING EXPENSE</v>
      </c>
      <c r="C39" s="11"/>
      <c r="D39" s="6">
        <v>15.05</v>
      </c>
      <c r="E39" s="2"/>
      <c r="F39" s="7">
        <f t="shared" si="28"/>
        <v>1.1324636313631475E-3</v>
      </c>
      <c r="G39" s="2"/>
      <c r="H39" s="6">
        <v>575.12</v>
      </c>
      <c r="I39" s="2"/>
      <c r="J39" s="7">
        <f t="shared" si="29"/>
        <v>4.1443623391377131E-3</v>
      </c>
      <c r="K39" s="2"/>
      <c r="L39" s="6">
        <f t="shared" si="30"/>
        <v>-560.07000000000005</v>
      </c>
      <c r="M39" s="2"/>
      <c r="N39" s="7">
        <f t="shared" si="31"/>
        <v>-0.97383154819863693</v>
      </c>
      <c r="O39" s="11"/>
      <c r="P39" s="6">
        <v>110.63</v>
      </c>
      <c r="Q39" s="2"/>
      <c r="R39" s="7">
        <f t="shared" si="32"/>
        <v>4.1455883565288424E-3</v>
      </c>
      <c r="S39" s="2"/>
      <c r="T39" s="6">
        <v>2588.98</v>
      </c>
      <c r="U39" s="2"/>
      <c r="V39" s="7">
        <f t="shared" si="33"/>
        <v>8.3024663486157193E-3</v>
      </c>
      <c r="W39" s="2"/>
      <c r="X39" s="6">
        <f t="shared" si="34"/>
        <v>-2478.35</v>
      </c>
      <c r="Y39" s="2"/>
      <c r="Z39" s="7">
        <f t="shared" si="35"/>
        <v>-0.95726888581603564</v>
      </c>
    </row>
    <row r="40" spans="1:26" s="29" customFormat="1" outlineLevel="1" collapsed="1" x14ac:dyDescent="0.25">
      <c r="A40" s="27"/>
      <c r="B40" s="14" t="str">
        <f>CONCATENATE("     ","Bad Debts/Over/Short                              ")</f>
        <v xml:space="preserve">     Bad Debts/Over/Short                              </v>
      </c>
      <c r="C40" s="14"/>
      <c r="D40" s="1">
        <f>SUM(OSRRefD22_3x_0)</f>
        <v>1531.8</v>
      </c>
      <c r="E40" s="1"/>
      <c r="F40" s="5">
        <f t="shared" si="28"/>
        <v>0.11526297611442321</v>
      </c>
      <c r="G40" s="1"/>
      <c r="H40" s="1">
        <f>SUM(OSRRefH22_3x_0)</f>
        <v>-8.65</v>
      </c>
      <c r="I40" s="1"/>
      <c r="J40" s="5">
        <f t="shared" si="29"/>
        <v>-6.2332616207993498E-5</v>
      </c>
      <c r="K40" s="1"/>
      <c r="L40" s="1">
        <f t="shared" si="30"/>
        <v>1540.45</v>
      </c>
      <c r="M40" s="1"/>
      <c r="N40" s="5">
        <f t="shared" si="31"/>
        <v>-178.08670520231215</v>
      </c>
      <c r="O40" s="14"/>
      <c r="P40" s="1">
        <f>SUM(OSRRefP22_3x_0)</f>
        <v>1338.28</v>
      </c>
      <c r="Q40" s="1"/>
      <c r="R40" s="5">
        <f t="shared" si="32"/>
        <v>5.0148766028883837E-2</v>
      </c>
      <c r="S40" s="1"/>
      <c r="T40" s="1">
        <f>SUM(OSRRefT22_3x_0)</f>
        <v>-6.62</v>
      </c>
      <c r="U40" s="1"/>
      <c r="V40" s="5">
        <f t="shared" si="33"/>
        <v>-2.1229336351704555E-5</v>
      </c>
      <c r="W40" s="1"/>
      <c r="X40" s="1">
        <f t="shared" si="34"/>
        <v>1344.8999999999999</v>
      </c>
      <c r="Y40" s="1"/>
      <c r="Z40" s="5">
        <f t="shared" si="35"/>
        <v>-203.15709969788517</v>
      </c>
    </row>
    <row r="41" spans="1:26" s="24" customFormat="1" hidden="1" outlineLevel="2" x14ac:dyDescent="0.25">
      <c r="A41" s="28"/>
      <c r="B41" s="11" t="str">
        <f>CONCATENATE("          ", "6272", " - ", "CASH (OVER/SHORT)")</f>
        <v xml:space="preserve">          6272 - CASH (OVER/SHORT)</v>
      </c>
      <c r="C41" s="11"/>
      <c r="D41" s="6">
        <v>1531.8</v>
      </c>
      <c r="E41" s="2"/>
      <c r="F41" s="7">
        <f t="shared" si="28"/>
        <v>0.11526297611442321</v>
      </c>
      <c r="G41" s="2"/>
      <c r="H41" s="6">
        <v>-8.65</v>
      </c>
      <c r="I41" s="2"/>
      <c r="J41" s="7">
        <f t="shared" si="29"/>
        <v>-6.2332616207993498E-5</v>
      </c>
      <c r="K41" s="2"/>
      <c r="L41" s="6">
        <f t="shared" si="30"/>
        <v>1540.45</v>
      </c>
      <c r="M41" s="2"/>
      <c r="N41" s="7">
        <f t="shared" si="31"/>
        <v>-178.08670520231215</v>
      </c>
      <c r="O41" s="11"/>
      <c r="P41" s="6">
        <v>1338.28</v>
      </c>
      <c r="Q41" s="2"/>
      <c r="R41" s="7">
        <f t="shared" si="32"/>
        <v>5.0148766028883837E-2</v>
      </c>
      <c r="S41" s="2"/>
      <c r="T41" s="6">
        <v>-6.62</v>
      </c>
      <c r="U41" s="2"/>
      <c r="V41" s="7">
        <f t="shared" si="33"/>
        <v>-2.1229336351704555E-5</v>
      </c>
      <c r="W41" s="2"/>
      <c r="X41" s="6">
        <f t="shared" si="34"/>
        <v>1344.8999999999999</v>
      </c>
      <c r="Y41" s="2"/>
      <c r="Z41" s="7">
        <f t="shared" si="35"/>
        <v>-203.15709969788517</v>
      </c>
    </row>
    <row r="42" spans="1:26" s="29" customFormat="1" outlineLevel="1" collapsed="1" x14ac:dyDescent="0.25">
      <c r="A42" s="27"/>
      <c r="B42" s="14" t="str">
        <f>CONCATENATE("     ","Bank/card Fees                                    ")</f>
        <v xml:space="preserve">     Bank/card Fees                                    </v>
      </c>
      <c r="C42" s="14"/>
      <c r="D42" s="1">
        <f>SUM(OSRRefD22_4x_0)</f>
        <v>375.64</v>
      </c>
      <c r="E42" s="1"/>
      <c r="F42" s="5">
        <f t="shared" si="28"/>
        <v>2.8265690264800847E-2</v>
      </c>
      <c r="G42" s="1"/>
      <c r="H42" s="1">
        <f>SUM(OSRRefH22_4x_0)</f>
        <v>5588.45</v>
      </c>
      <c r="I42" s="1"/>
      <c r="J42" s="5">
        <f t="shared" si="29"/>
        <v>4.0270833415903033E-2</v>
      </c>
      <c r="K42" s="1"/>
      <c r="L42" s="1">
        <f t="shared" si="30"/>
        <v>-5212.8099999999995</v>
      </c>
      <c r="M42" s="1"/>
      <c r="N42" s="5">
        <f t="shared" si="31"/>
        <v>-0.9327827930821605</v>
      </c>
      <c r="O42" s="14"/>
      <c r="P42" s="1">
        <f>SUM(OSRRefP22_4x_0)</f>
        <v>441.15</v>
      </c>
      <c r="Q42" s="1"/>
      <c r="R42" s="5">
        <f t="shared" si="32"/>
        <v>1.6531016030757469E-2</v>
      </c>
      <c r="S42" s="1"/>
      <c r="T42" s="1">
        <f>SUM(OSRRefT22_4x_0)</f>
        <v>11981.29</v>
      </c>
      <c r="U42" s="1"/>
      <c r="V42" s="5">
        <f t="shared" si="33"/>
        <v>3.8422180564548984E-2</v>
      </c>
      <c r="W42" s="1"/>
      <c r="X42" s="1">
        <f t="shared" si="34"/>
        <v>-11540.140000000001</v>
      </c>
      <c r="Y42" s="1"/>
      <c r="Z42" s="5">
        <f t="shared" si="35"/>
        <v>-0.96318009162619389</v>
      </c>
    </row>
    <row r="43" spans="1:26" s="24" customFormat="1" hidden="1" outlineLevel="2" x14ac:dyDescent="0.25">
      <c r="A43" s="28"/>
      <c r="B43" s="11" t="str">
        <f>CONCATENATE("          ", "6381", " - ", "BANK/CREDIT CARD FEES")</f>
        <v xml:space="preserve">          6381 - BANK/CREDIT CARD FEES</v>
      </c>
      <c r="C43" s="11"/>
      <c r="D43" s="6">
        <v>375.64</v>
      </c>
      <c r="E43" s="2"/>
      <c r="F43" s="7">
        <f t="shared" si="28"/>
        <v>2.8265690264800847E-2</v>
      </c>
      <c r="G43" s="2"/>
      <c r="H43" s="6">
        <v>5588.45</v>
      </c>
      <c r="I43" s="2"/>
      <c r="J43" s="7">
        <f t="shared" si="29"/>
        <v>4.0270833415903033E-2</v>
      </c>
      <c r="K43" s="2"/>
      <c r="L43" s="6">
        <f t="shared" si="30"/>
        <v>-5212.8099999999995</v>
      </c>
      <c r="M43" s="2"/>
      <c r="N43" s="7">
        <f t="shared" si="31"/>
        <v>-0.9327827930821605</v>
      </c>
      <c r="O43" s="11"/>
      <c r="P43" s="6">
        <v>441.15</v>
      </c>
      <c r="Q43" s="2"/>
      <c r="R43" s="7">
        <f t="shared" si="32"/>
        <v>1.6531016030757469E-2</v>
      </c>
      <c r="S43" s="2"/>
      <c r="T43" s="6">
        <v>11981.29</v>
      </c>
      <c r="U43" s="2"/>
      <c r="V43" s="7">
        <f t="shared" si="33"/>
        <v>3.8422180564548984E-2</v>
      </c>
      <c r="W43" s="2"/>
      <c r="X43" s="6">
        <f t="shared" si="34"/>
        <v>-11540.140000000001</v>
      </c>
      <c r="Y43" s="2"/>
      <c r="Z43" s="7">
        <f t="shared" si="35"/>
        <v>-0.96318009162619389</v>
      </c>
    </row>
    <row r="44" spans="1:26" s="29" customFormat="1" outlineLevel="1" collapsed="1" x14ac:dyDescent="0.25">
      <c r="A44" s="27"/>
      <c r="B44" s="14" t="str">
        <f>CONCATENATE("     ","Depreciation                                      ")</f>
        <v xml:space="preserve">     Depreciation                                      </v>
      </c>
      <c r="C44" s="14"/>
      <c r="D44" s="1">
        <f>SUM(OSRRefD22_5x_0)</f>
        <v>13959.68</v>
      </c>
      <c r="E44" s="1"/>
      <c r="F44" s="5">
        <f t="shared" si="28"/>
        <v>1.0504205917254155</v>
      </c>
      <c r="G44" s="1"/>
      <c r="H44" s="1">
        <f>SUM(OSRRefH22_5x_0)</f>
        <v>13266.91</v>
      </c>
      <c r="I44" s="1"/>
      <c r="J44" s="5">
        <f t="shared" si="29"/>
        <v>9.5602451941733058E-2</v>
      </c>
      <c r="K44" s="1"/>
      <c r="L44" s="1">
        <f t="shared" si="30"/>
        <v>692.77000000000044</v>
      </c>
      <c r="M44" s="1"/>
      <c r="N44" s="5">
        <f t="shared" si="31"/>
        <v>5.2217886455851473E-2</v>
      </c>
      <c r="O44" s="14"/>
      <c r="P44" s="1">
        <f>SUM(OSRRefP22_5x_0)</f>
        <v>55574.559999999998</v>
      </c>
      <c r="Q44" s="1"/>
      <c r="R44" s="5">
        <f t="shared" si="32"/>
        <v>2.0825205536944189</v>
      </c>
      <c r="S44" s="1"/>
      <c r="T44" s="1">
        <f>SUM(OSRRefT22_5x_0)</f>
        <v>53067.64</v>
      </c>
      <c r="U44" s="1"/>
      <c r="V44" s="5">
        <f t="shared" si="33"/>
        <v>0.17017987597449707</v>
      </c>
      <c r="W44" s="1"/>
      <c r="X44" s="1">
        <f t="shared" si="34"/>
        <v>2506.9199999999983</v>
      </c>
      <c r="Y44" s="1"/>
      <c r="Z44" s="5">
        <f t="shared" si="35"/>
        <v>4.7240088309937998E-2</v>
      </c>
    </row>
    <row r="45" spans="1:26" s="24" customFormat="1" hidden="1" outlineLevel="2" x14ac:dyDescent="0.25">
      <c r="A45" s="28"/>
      <c r="B45" s="11" t="str">
        <f>CONCATENATE("          ", "6321", " - ", "BUILDING DEPRECIATION")</f>
        <v xml:space="preserve">          6321 - BUILDING DEPRECIATION</v>
      </c>
      <c r="C45" s="11"/>
      <c r="D45" s="6">
        <v>10597.26</v>
      </c>
      <c r="E45" s="2"/>
      <c r="F45" s="7">
        <f t="shared" si="28"/>
        <v>0.7974094047906598</v>
      </c>
      <c r="G45" s="2"/>
      <c r="H45" s="6">
        <v>10612.46</v>
      </c>
      <c r="I45" s="2"/>
      <c r="J45" s="7">
        <f t="shared" si="29"/>
        <v>7.6474265456957527E-2</v>
      </c>
      <c r="K45" s="2"/>
      <c r="L45" s="6">
        <f t="shared" si="30"/>
        <v>-15.199999999998909</v>
      </c>
      <c r="M45" s="2"/>
      <c r="N45" s="7">
        <f t="shared" si="31"/>
        <v>-1.4322786611208815E-3</v>
      </c>
      <c r="O45" s="11"/>
      <c r="P45" s="6">
        <v>42389.04</v>
      </c>
      <c r="Q45" s="2"/>
      <c r="R45" s="7">
        <f t="shared" si="32"/>
        <v>1.5884254783371181</v>
      </c>
      <c r="S45" s="2"/>
      <c r="T45" s="6">
        <v>42449.84</v>
      </c>
      <c r="U45" s="2"/>
      <c r="V45" s="7">
        <f t="shared" si="33"/>
        <v>0.13613020112326918</v>
      </c>
      <c r="W45" s="2"/>
      <c r="X45" s="6">
        <f t="shared" si="34"/>
        <v>-60.799999999995634</v>
      </c>
      <c r="Y45" s="2"/>
      <c r="Z45" s="7">
        <f t="shared" si="35"/>
        <v>-1.4322786611208815E-3</v>
      </c>
    </row>
    <row r="46" spans="1:26" s="24" customFormat="1" hidden="1" outlineLevel="2" x14ac:dyDescent="0.25">
      <c r="A46" s="28"/>
      <c r="B46" s="11" t="str">
        <f>CONCATENATE("          ", "6322", " - ", "EQUIPMENT DEPRECIATION EXPENSE")</f>
        <v xml:space="preserve">          6322 - EQUIPMENT DEPRECIATION EXPENSE</v>
      </c>
      <c r="C46" s="11"/>
      <c r="D46" s="6">
        <v>3362.42</v>
      </c>
      <c r="E46" s="2"/>
      <c r="F46" s="7">
        <f t="shared" si="28"/>
        <v>0.25301118693475577</v>
      </c>
      <c r="G46" s="2"/>
      <c r="H46" s="6">
        <v>2654.45</v>
      </c>
      <c r="I46" s="2"/>
      <c r="J46" s="7">
        <f t="shared" si="29"/>
        <v>1.9128186484775527E-2</v>
      </c>
      <c r="K46" s="2"/>
      <c r="L46" s="6">
        <f t="shared" si="30"/>
        <v>707.97000000000025</v>
      </c>
      <c r="M46" s="2"/>
      <c r="N46" s="7">
        <f t="shared" si="31"/>
        <v>0.26671061801879875</v>
      </c>
      <c r="O46" s="11"/>
      <c r="P46" s="6">
        <v>13185.52</v>
      </c>
      <c r="Q46" s="2"/>
      <c r="R46" s="7">
        <f t="shared" si="32"/>
        <v>0.49409507535730079</v>
      </c>
      <c r="S46" s="2"/>
      <c r="T46" s="6">
        <v>10617.8</v>
      </c>
      <c r="U46" s="2"/>
      <c r="V46" s="7">
        <f t="shared" si="33"/>
        <v>3.4049674851227889E-2</v>
      </c>
      <c r="W46" s="2"/>
      <c r="X46" s="6">
        <f t="shared" si="34"/>
        <v>2567.7200000000012</v>
      </c>
      <c r="Y46" s="2"/>
      <c r="Z46" s="7">
        <f t="shared" si="35"/>
        <v>0.24183164120627637</v>
      </c>
    </row>
    <row r="47" spans="1:26" s="29" customFormat="1" outlineLevel="1" collapsed="1" x14ac:dyDescent="0.25">
      <c r="A47" s="27"/>
      <c r="B47" s="14" t="str">
        <f>CONCATENATE("     ","Employees' Appreciation                           ")</f>
        <v xml:space="preserve">     Employees' Appreciation                           </v>
      </c>
      <c r="C47" s="14"/>
      <c r="D47" s="1">
        <f>SUM(OSRRefD22_6x_0)</f>
        <v>0</v>
      </c>
      <c r="E47" s="1"/>
      <c r="F47" s="5">
        <f t="shared" ref="F47:F60" si="36">IF(D$12=0,0,D47/D$12)</f>
        <v>0</v>
      </c>
      <c r="G47" s="1"/>
      <c r="H47" s="1">
        <f>SUM(OSRRefH22_6x_0)</f>
        <v>33.28</v>
      </c>
      <c r="I47" s="1"/>
      <c r="J47" s="5">
        <f t="shared" ref="J47:J60" si="37">IF(H$12=0,0,H47/H$12)</f>
        <v>2.3981843553780619E-4</v>
      </c>
      <c r="K47" s="1"/>
      <c r="L47" s="1">
        <f t="shared" ref="L47:L60" si="38">+D47-H47</f>
        <v>-33.28</v>
      </c>
      <c r="M47" s="1"/>
      <c r="N47" s="5">
        <f t="shared" ref="N47:N60" si="39">IF(H47=0,0,L47/H47)</f>
        <v>-1</v>
      </c>
      <c r="O47" s="14"/>
      <c r="P47" s="1">
        <f>SUM(OSRRefP22_6x_0)</f>
        <v>0</v>
      </c>
      <c r="Q47" s="1"/>
      <c r="R47" s="5">
        <f t="shared" ref="R47:R60" si="40">IF(P$12=0,0,P47/P$12)</f>
        <v>0</v>
      </c>
      <c r="S47" s="1"/>
      <c r="T47" s="1">
        <f>SUM(OSRRefT22_6x_0)</f>
        <v>48.63</v>
      </c>
      <c r="U47" s="1"/>
      <c r="V47" s="5">
        <f t="shared" ref="V47:V60" si="41">IF(T$12=0,0,T47/T$12)</f>
        <v>1.5594903727845808E-4</v>
      </c>
      <c r="W47" s="1"/>
      <c r="X47" s="1">
        <f t="shared" ref="X47:X60" si="42">+P47-T47</f>
        <v>-48.63</v>
      </c>
      <c r="Y47" s="1"/>
      <c r="Z47" s="5">
        <f t="shared" ref="Z47:Z60" si="43">IF(T47=0,0,X47/T47)</f>
        <v>-1</v>
      </c>
    </row>
    <row r="48" spans="1:26" s="24" customFormat="1" hidden="1" outlineLevel="2" x14ac:dyDescent="0.25">
      <c r="A48" s="28"/>
      <c r="B48" s="11" t="str">
        <f>CONCATENATE("          ", "6277", " - ", "EMPLOYEE APPRECIATION")</f>
        <v xml:space="preserve">          6277 - EMPLOYEE APPRECIATION</v>
      </c>
      <c r="C48" s="11"/>
      <c r="D48" s="6"/>
      <c r="E48" s="2"/>
      <c r="F48" s="7">
        <f t="shared" si="36"/>
        <v>0</v>
      </c>
      <c r="G48" s="2"/>
      <c r="H48" s="6">
        <v>33.28</v>
      </c>
      <c r="I48" s="2"/>
      <c r="J48" s="7">
        <f t="shared" si="37"/>
        <v>2.3981843553780619E-4</v>
      </c>
      <c r="K48" s="2"/>
      <c r="L48" s="6">
        <f t="shared" si="38"/>
        <v>-33.28</v>
      </c>
      <c r="M48" s="2"/>
      <c r="N48" s="7">
        <f t="shared" si="39"/>
        <v>-1</v>
      </c>
      <c r="O48" s="11"/>
      <c r="P48" s="6"/>
      <c r="Q48" s="2"/>
      <c r="R48" s="7">
        <f t="shared" si="40"/>
        <v>0</v>
      </c>
      <c r="S48" s="2"/>
      <c r="T48" s="6">
        <v>48.63</v>
      </c>
      <c r="U48" s="2"/>
      <c r="V48" s="7">
        <f t="shared" si="41"/>
        <v>1.5594903727845808E-4</v>
      </c>
      <c r="W48" s="2"/>
      <c r="X48" s="6">
        <f t="shared" si="42"/>
        <v>-48.63</v>
      </c>
      <c r="Y48" s="2"/>
      <c r="Z48" s="7">
        <f t="shared" si="43"/>
        <v>-1</v>
      </c>
    </row>
    <row r="49" spans="1:26" s="29" customFormat="1" outlineLevel="1" collapsed="1" x14ac:dyDescent="0.25">
      <c r="A49" s="27"/>
      <c r="B49" s="14" t="str">
        <f>CONCATENATE("     ","Equipment Rental                                  ")</f>
        <v xml:space="preserve">     Equipment Rental                                  </v>
      </c>
      <c r="C49" s="14"/>
      <c r="D49" s="1">
        <f>SUM(OSRRefD22_7x_0)</f>
        <v>407.23</v>
      </c>
      <c r="E49" s="1"/>
      <c r="F49" s="5">
        <f t="shared" si="36"/>
        <v>3.0642735189369739E-2</v>
      </c>
      <c r="G49" s="1"/>
      <c r="H49" s="1">
        <f>SUM(OSRRefH22_7x_0)</f>
        <v>123.73</v>
      </c>
      <c r="I49" s="1"/>
      <c r="J49" s="5">
        <f t="shared" si="37"/>
        <v>8.9160862467225837E-4</v>
      </c>
      <c r="K49" s="1"/>
      <c r="L49" s="1">
        <f t="shared" si="38"/>
        <v>283.5</v>
      </c>
      <c r="M49" s="1"/>
      <c r="N49" s="5">
        <f t="shared" si="39"/>
        <v>2.2912793986906976</v>
      </c>
      <c r="O49" s="14"/>
      <c r="P49" s="1">
        <f>SUM(OSRRefP22_7x_0)</f>
        <v>585.38</v>
      </c>
      <c r="Q49" s="1"/>
      <c r="R49" s="5">
        <f t="shared" si="40"/>
        <v>2.1935682112852337E-2</v>
      </c>
      <c r="S49" s="1"/>
      <c r="T49" s="1">
        <f>SUM(OSRRefT22_7x_0)</f>
        <v>472.93</v>
      </c>
      <c r="U49" s="1"/>
      <c r="V49" s="5">
        <f t="shared" si="41"/>
        <v>1.5166148097902773E-3</v>
      </c>
      <c r="W49" s="1"/>
      <c r="X49" s="1">
        <f t="shared" si="42"/>
        <v>112.44999999999999</v>
      </c>
      <c r="Y49" s="1"/>
      <c r="Z49" s="5">
        <f t="shared" si="43"/>
        <v>0.23777303194975999</v>
      </c>
    </row>
    <row r="50" spans="1:26" s="24" customFormat="1" hidden="1" outlineLevel="2" x14ac:dyDescent="0.25">
      <c r="A50" s="28"/>
      <c r="B50" s="11" t="str">
        <f>CONCATENATE("          ", "6351", " - ", "EQUIPMENT RENTAL")</f>
        <v xml:space="preserve">          6351 - EQUIPMENT RENTAL</v>
      </c>
      <c r="C50" s="11"/>
      <c r="D50" s="6">
        <v>407.23</v>
      </c>
      <c r="E50" s="2"/>
      <c r="F50" s="7">
        <f t="shared" si="36"/>
        <v>3.0642735189369739E-2</v>
      </c>
      <c r="G50" s="2"/>
      <c r="H50" s="6">
        <v>123.73</v>
      </c>
      <c r="I50" s="2"/>
      <c r="J50" s="7">
        <f t="shared" si="37"/>
        <v>8.9160862467225837E-4</v>
      </c>
      <c r="K50" s="2"/>
      <c r="L50" s="6">
        <f t="shared" si="38"/>
        <v>283.5</v>
      </c>
      <c r="M50" s="2"/>
      <c r="N50" s="7">
        <f t="shared" si="39"/>
        <v>2.2912793986906976</v>
      </c>
      <c r="O50" s="11"/>
      <c r="P50" s="6">
        <v>585.38</v>
      </c>
      <c r="Q50" s="2"/>
      <c r="R50" s="7">
        <f t="shared" si="40"/>
        <v>2.1935682112852337E-2</v>
      </c>
      <c r="S50" s="2"/>
      <c r="T50" s="6">
        <v>472.93</v>
      </c>
      <c r="U50" s="2"/>
      <c r="V50" s="7">
        <f t="shared" si="41"/>
        <v>1.5166148097902773E-3</v>
      </c>
      <c r="W50" s="2"/>
      <c r="X50" s="6">
        <f t="shared" si="42"/>
        <v>112.44999999999999</v>
      </c>
      <c r="Y50" s="2"/>
      <c r="Z50" s="7">
        <f t="shared" si="43"/>
        <v>0.23777303194975999</v>
      </c>
    </row>
    <row r="51" spans="1:26" s="29" customFormat="1" outlineLevel="1" collapsed="1" x14ac:dyDescent="0.25">
      <c r="A51" s="27"/>
      <c r="B51" s="14" t="str">
        <f>CONCATENATE("     ","General                                           ")</f>
        <v xml:space="preserve">     General                                           </v>
      </c>
      <c r="C51" s="14"/>
      <c r="D51" s="1">
        <f>SUM(OSRRefD22_8x_0)</f>
        <v>0</v>
      </c>
      <c r="E51" s="1"/>
      <c r="F51" s="5">
        <f t="shared" si="36"/>
        <v>0</v>
      </c>
      <c r="G51" s="1"/>
      <c r="H51" s="1">
        <f>SUM(OSRRefH22_8x_0)</f>
        <v>0</v>
      </c>
      <c r="I51" s="1"/>
      <c r="J51" s="5">
        <f t="shared" si="37"/>
        <v>0</v>
      </c>
      <c r="K51" s="1"/>
      <c r="L51" s="1">
        <f t="shared" si="38"/>
        <v>0</v>
      </c>
      <c r="M51" s="1"/>
      <c r="N51" s="5">
        <f t="shared" si="39"/>
        <v>0</v>
      </c>
      <c r="O51" s="14"/>
      <c r="P51" s="1">
        <f>SUM(OSRRefP22_8x_0)</f>
        <v>1955.07</v>
      </c>
      <c r="Q51" s="1"/>
      <c r="R51" s="5">
        <f t="shared" si="40"/>
        <v>7.3261460979832271E-2</v>
      </c>
      <c r="S51" s="1"/>
      <c r="T51" s="1">
        <f>SUM(OSRRefT22_8x_0)</f>
        <v>1354.55</v>
      </c>
      <c r="U51" s="1"/>
      <c r="V51" s="5">
        <f t="shared" si="41"/>
        <v>4.343836488701118E-3</v>
      </c>
      <c r="W51" s="1"/>
      <c r="X51" s="1">
        <f t="shared" si="42"/>
        <v>600.52</v>
      </c>
      <c r="Y51" s="1"/>
      <c r="Z51" s="5">
        <f t="shared" si="43"/>
        <v>0.44333542504890922</v>
      </c>
    </row>
    <row r="52" spans="1:26" s="24" customFormat="1" hidden="1" outlineLevel="2" x14ac:dyDescent="0.25">
      <c r="A52" s="28"/>
      <c r="B52" s="11" t="str">
        <f>CONCATENATE("          ", "6279", " - ", "GENERAL EXPENSE")</f>
        <v xml:space="preserve">          6279 - GENERAL EXPENSE</v>
      </c>
      <c r="C52" s="11"/>
      <c r="D52" s="6"/>
      <c r="E52" s="2"/>
      <c r="F52" s="7">
        <f t="shared" si="36"/>
        <v>0</v>
      </c>
      <c r="G52" s="2"/>
      <c r="H52" s="6"/>
      <c r="I52" s="2"/>
      <c r="J52" s="7">
        <f t="shared" si="37"/>
        <v>0</v>
      </c>
      <c r="K52" s="2"/>
      <c r="L52" s="6">
        <f t="shared" si="38"/>
        <v>0</v>
      </c>
      <c r="M52" s="2"/>
      <c r="N52" s="7">
        <f t="shared" si="39"/>
        <v>0</v>
      </c>
      <c r="O52" s="11"/>
      <c r="P52" s="6">
        <v>1955.07</v>
      </c>
      <c r="Q52" s="2"/>
      <c r="R52" s="7">
        <f t="shared" si="40"/>
        <v>7.3261460979832271E-2</v>
      </c>
      <c r="S52" s="2"/>
      <c r="T52" s="6">
        <v>1354.55</v>
      </c>
      <c r="U52" s="2"/>
      <c r="V52" s="7">
        <f t="shared" si="41"/>
        <v>4.343836488701118E-3</v>
      </c>
      <c r="W52" s="2"/>
      <c r="X52" s="6">
        <f t="shared" si="42"/>
        <v>600.52</v>
      </c>
      <c r="Y52" s="2"/>
      <c r="Z52" s="7">
        <f t="shared" si="43"/>
        <v>0.44333542504890922</v>
      </c>
    </row>
    <row r="53" spans="1:26" s="29" customFormat="1" outlineLevel="1" collapsed="1" x14ac:dyDescent="0.25">
      <c r="A53" s="27"/>
      <c r="B53" s="14" t="str">
        <f>CONCATENATE("     ","Insurance                                         ")</f>
        <v xml:space="preserve">     Insurance                                         </v>
      </c>
      <c r="C53" s="14"/>
      <c r="D53" s="1">
        <f>SUM(OSRRefD22_9x_0)</f>
        <v>641.28</v>
      </c>
      <c r="E53" s="1"/>
      <c r="F53" s="5">
        <f t="shared" si="36"/>
        <v>4.8254237709007261E-2</v>
      </c>
      <c r="G53" s="1"/>
      <c r="H53" s="1">
        <f>SUM(OSRRefH22_9x_0)</f>
        <v>641.28</v>
      </c>
      <c r="I53" s="1"/>
      <c r="J53" s="5">
        <f t="shared" si="37"/>
        <v>4.6211167770938803E-3</v>
      </c>
      <c r="K53" s="1"/>
      <c r="L53" s="1">
        <f t="shared" si="38"/>
        <v>0</v>
      </c>
      <c r="M53" s="1"/>
      <c r="N53" s="5">
        <f t="shared" si="39"/>
        <v>0</v>
      </c>
      <c r="O53" s="14"/>
      <c r="P53" s="1">
        <f>SUM(OSRRefP22_9x_0)</f>
        <v>2565.12</v>
      </c>
      <c r="Q53" s="1"/>
      <c r="R53" s="5">
        <f t="shared" si="40"/>
        <v>9.6121590934640372E-2</v>
      </c>
      <c r="S53" s="1"/>
      <c r="T53" s="1">
        <f>SUM(OSRRefT22_9x_0)</f>
        <v>2565.12</v>
      </c>
      <c r="U53" s="1"/>
      <c r="V53" s="5">
        <f t="shared" si="41"/>
        <v>8.2259509459946204E-3</v>
      </c>
      <c r="W53" s="1"/>
      <c r="X53" s="1">
        <f t="shared" si="42"/>
        <v>0</v>
      </c>
      <c r="Y53" s="1"/>
      <c r="Z53" s="5">
        <f t="shared" si="43"/>
        <v>0</v>
      </c>
    </row>
    <row r="54" spans="1:26" s="24" customFormat="1" hidden="1" outlineLevel="2" x14ac:dyDescent="0.25">
      <c r="A54" s="28"/>
      <c r="B54" s="11" t="str">
        <f>CONCATENATE("          ", "6314", " - ", "LIABILITY INSURANCE")</f>
        <v xml:space="preserve">          6314 - LIABILITY INSURANCE</v>
      </c>
      <c r="C54" s="11"/>
      <c r="D54" s="6">
        <v>641.28</v>
      </c>
      <c r="E54" s="2"/>
      <c r="F54" s="7">
        <f t="shared" si="36"/>
        <v>4.8254237709007261E-2</v>
      </c>
      <c r="G54" s="2"/>
      <c r="H54" s="6">
        <v>641.28</v>
      </c>
      <c r="I54" s="2"/>
      <c r="J54" s="7">
        <f t="shared" si="37"/>
        <v>4.6211167770938803E-3</v>
      </c>
      <c r="K54" s="2"/>
      <c r="L54" s="6">
        <f t="shared" si="38"/>
        <v>0</v>
      </c>
      <c r="M54" s="2"/>
      <c r="N54" s="7">
        <f t="shared" si="39"/>
        <v>0</v>
      </c>
      <c r="O54" s="11"/>
      <c r="P54" s="6">
        <v>2565.12</v>
      </c>
      <c r="Q54" s="2"/>
      <c r="R54" s="7">
        <f t="shared" si="40"/>
        <v>9.6121590934640372E-2</v>
      </c>
      <c r="S54" s="2"/>
      <c r="T54" s="6">
        <v>2565.12</v>
      </c>
      <c r="U54" s="2"/>
      <c r="V54" s="7">
        <f t="shared" si="41"/>
        <v>8.2259509459946204E-3</v>
      </c>
      <c r="W54" s="2"/>
      <c r="X54" s="6">
        <f t="shared" si="42"/>
        <v>0</v>
      </c>
      <c r="Y54" s="2"/>
      <c r="Z54" s="7">
        <f t="shared" si="43"/>
        <v>0</v>
      </c>
    </row>
    <row r="55" spans="1:26" s="29" customFormat="1" outlineLevel="1" collapsed="1" x14ac:dyDescent="0.25">
      <c r="A55" s="27"/>
      <c r="B55" s="14" t="str">
        <f>CONCATENATE("     ","Interest                                          ")</f>
        <v xml:space="preserve">     Interest                                          </v>
      </c>
      <c r="C55" s="14"/>
      <c r="D55" s="1">
        <f>SUM(OSRRefD22_10x_0)</f>
        <v>7023.15</v>
      </c>
      <c r="E55" s="1"/>
      <c r="F55" s="5">
        <f t="shared" si="36"/>
        <v>0.52846923273143454</v>
      </c>
      <c r="G55" s="1"/>
      <c r="H55" s="1">
        <f>SUM(OSRRefH22_10x_0)</f>
        <v>7733.05</v>
      </c>
      <c r="I55" s="1"/>
      <c r="J55" s="5">
        <f t="shared" si="37"/>
        <v>5.5724998585806255E-2</v>
      </c>
      <c r="K55" s="1"/>
      <c r="L55" s="1">
        <f t="shared" si="38"/>
        <v>-709.90000000000055</v>
      </c>
      <c r="M55" s="1"/>
      <c r="N55" s="5">
        <f t="shared" si="39"/>
        <v>-9.1800777183646889E-2</v>
      </c>
      <c r="O55" s="14"/>
      <c r="P55" s="1">
        <f>SUM(OSRRefP22_10x_0)</f>
        <v>29553.15</v>
      </c>
      <c r="Q55" s="1"/>
      <c r="R55" s="5">
        <f t="shared" si="40"/>
        <v>1.1074319311104617</v>
      </c>
      <c r="S55" s="1"/>
      <c r="T55" s="1">
        <f>SUM(OSRRefT22_10x_0)</f>
        <v>30623.05</v>
      </c>
      <c r="U55" s="1"/>
      <c r="V55" s="5">
        <f t="shared" si="41"/>
        <v>9.820347863520637E-2</v>
      </c>
      <c r="W55" s="1"/>
      <c r="X55" s="1">
        <f t="shared" si="42"/>
        <v>-1069.8999999999978</v>
      </c>
      <c r="Y55" s="1"/>
      <c r="Z55" s="5">
        <f t="shared" si="43"/>
        <v>-3.4937734810869522E-2</v>
      </c>
    </row>
    <row r="56" spans="1:26" s="24" customFormat="1" hidden="1" outlineLevel="2" x14ac:dyDescent="0.25">
      <c r="A56" s="28"/>
      <c r="B56" s="11" t="str">
        <f>CONCATENATE("          ", "6401", " - ", "INTEREST EXPENSE")</f>
        <v xml:space="preserve">          6401 - INTEREST EXPENSE</v>
      </c>
      <c r="C56" s="11"/>
      <c r="D56" s="6">
        <v>7023.15</v>
      </c>
      <c r="E56" s="2"/>
      <c r="F56" s="7">
        <f t="shared" si="36"/>
        <v>0.52846923273143454</v>
      </c>
      <c r="G56" s="2"/>
      <c r="H56" s="6">
        <v>7733.05</v>
      </c>
      <c r="I56" s="2"/>
      <c r="J56" s="7">
        <f t="shared" si="37"/>
        <v>5.5724998585806255E-2</v>
      </c>
      <c r="K56" s="2"/>
      <c r="L56" s="6">
        <f t="shared" si="38"/>
        <v>-709.90000000000055</v>
      </c>
      <c r="M56" s="2"/>
      <c r="N56" s="7">
        <f t="shared" si="39"/>
        <v>-9.1800777183646889E-2</v>
      </c>
      <c r="O56" s="11"/>
      <c r="P56" s="6">
        <v>29553.15</v>
      </c>
      <c r="Q56" s="2"/>
      <c r="R56" s="7">
        <f t="shared" si="40"/>
        <v>1.1074319311104617</v>
      </c>
      <c r="S56" s="2"/>
      <c r="T56" s="6">
        <v>30623.05</v>
      </c>
      <c r="U56" s="2"/>
      <c r="V56" s="7">
        <f t="shared" si="41"/>
        <v>9.820347863520637E-2</v>
      </c>
      <c r="W56" s="2"/>
      <c r="X56" s="6">
        <f t="shared" si="42"/>
        <v>-1069.8999999999978</v>
      </c>
      <c r="Y56" s="2"/>
      <c r="Z56" s="7">
        <f t="shared" si="43"/>
        <v>-3.4937734810869522E-2</v>
      </c>
    </row>
    <row r="57" spans="1:26" s="29" customFormat="1" outlineLevel="1" collapsed="1" x14ac:dyDescent="0.25">
      <c r="A57" s="27"/>
      <c r="B57" s="14" t="str">
        <f>CONCATENATE("     ","Repair and Maintenance                            ")</f>
        <v xml:space="preserve">     Repair and Maintenance                            </v>
      </c>
      <c r="C57" s="14"/>
      <c r="D57" s="1">
        <f>SUM(OSRRefD22_11x_0)</f>
        <v>3999.35</v>
      </c>
      <c r="E57" s="1"/>
      <c r="F57" s="5">
        <f t="shared" si="36"/>
        <v>0.300938101268585</v>
      </c>
      <c r="G57" s="1"/>
      <c r="H57" s="1">
        <f>SUM(OSRRefH22_11x_0)</f>
        <v>7331.38</v>
      </c>
      <c r="I57" s="1"/>
      <c r="J57" s="5">
        <f t="shared" si="37"/>
        <v>5.2830531308087784E-2</v>
      </c>
      <c r="K57" s="1"/>
      <c r="L57" s="1">
        <f t="shared" si="38"/>
        <v>-3332.03</v>
      </c>
      <c r="M57" s="1"/>
      <c r="N57" s="5">
        <f t="shared" si="39"/>
        <v>-0.45448878655860153</v>
      </c>
      <c r="O57" s="14"/>
      <c r="P57" s="1">
        <f>SUM(OSRRefP22_11x_0)</f>
        <v>11838.31</v>
      </c>
      <c r="Q57" s="1"/>
      <c r="R57" s="5">
        <f t="shared" si="40"/>
        <v>0.44361167944480667</v>
      </c>
      <c r="S57" s="1"/>
      <c r="T57" s="1">
        <f>SUM(OSRRefT22_11x_0)</f>
        <v>11785.529999999999</v>
      </c>
      <c r="U57" s="1"/>
      <c r="V57" s="5">
        <f t="shared" si="41"/>
        <v>3.7794407923429689E-2</v>
      </c>
      <c r="W57" s="1"/>
      <c r="X57" s="1">
        <f t="shared" si="42"/>
        <v>52.780000000000655</v>
      </c>
      <c r="Y57" s="1"/>
      <c r="Z57" s="5">
        <f t="shared" si="43"/>
        <v>4.4783730557726859E-3</v>
      </c>
    </row>
    <row r="58" spans="1:26" s="24" customFormat="1" hidden="1" outlineLevel="2" x14ac:dyDescent="0.25">
      <c r="A58" s="28"/>
      <c r="B58" s="11" t="str">
        <f>CONCATENATE("          ", "6371", " - ", "COMPUTER SOFTWARE MAINTENANCE")</f>
        <v xml:space="preserve">          6371 - COMPUTER SOFTWARE MAINTENANCE</v>
      </c>
      <c r="C58" s="11"/>
      <c r="D58" s="6"/>
      <c r="E58" s="2"/>
      <c r="F58" s="7">
        <f t="shared" si="36"/>
        <v>0</v>
      </c>
      <c r="G58" s="2"/>
      <c r="H58" s="6"/>
      <c r="I58" s="2"/>
      <c r="J58" s="7">
        <f t="shared" si="37"/>
        <v>0</v>
      </c>
      <c r="K58" s="2"/>
      <c r="L58" s="6">
        <f t="shared" si="38"/>
        <v>0</v>
      </c>
      <c r="M58" s="2"/>
      <c r="N58" s="7">
        <f t="shared" si="39"/>
        <v>0</v>
      </c>
      <c r="O58" s="11"/>
      <c r="P58" s="6"/>
      <c r="Q58" s="2"/>
      <c r="R58" s="7">
        <f t="shared" si="40"/>
        <v>0</v>
      </c>
      <c r="S58" s="2"/>
      <c r="T58" s="6">
        <v>2623.84</v>
      </c>
      <c r="U58" s="2"/>
      <c r="V58" s="7">
        <f t="shared" si="41"/>
        <v>8.4142570835432744E-3</v>
      </c>
      <c r="W58" s="2"/>
      <c r="X58" s="6">
        <f t="shared" si="42"/>
        <v>-2623.84</v>
      </c>
      <c r="Y58" s="2"/>
      <c r="Z58" s="7">
        <f t="shared" si="43"/>
        <v>-1</v>
      </c>
    </row>
    <row r="59" spans="1:26" s="24" customFormat="1" hidden="1" outlineLevel="2" x14ac:dyDescent="0.25">
      <c r="A59" s="28"/>
      <c r="B59" s="11" t="str">
        <f>CONCATENATE("          ", "6373", " - ", "MAINTENANCE CONTRACTS")</f>
        <v xml:space="preserve">          6373 - MAINTENANCE CONTRACTS</v>
      </c>
      <c r="C59" s="11"/>
      <c r="D59" s="6">
        <v>3179.44</v>
      </c>
      <c r="E59" s="2"/>
      <c r="F59" s="7">
        <f t="shared" si="36"/>
        <v>0.23924253608646151</v>
      </c>
      <c r="G59" s="2"/>
      <c r="H59" s="6">
        <v>102.71</v>
      </c>
      <c r="I59" s="2"/>
      <c r="J59" s="7">
        <f t="shared" si="37"/>
        <v>7.401367642454348E-4</v>
      </c>
      <c r="K59" s="2"/>
      <c r="L59" s="6">
        <f t="shared" si="38"/>
        <v>3076.73</v>
      </c>
      <c r="M59" s="2"/>
      <c r="N59" s="7">
        <f t="shared" si="39"/>
        <v>29.955505793009447</v>
      </c>
      <c r="O59" s="11"/>
      <c r="P59" s="6">
        <v>6487.82</v>
      </c>
      <c r="Q59" s="2"/>
      <c r="R59" s="7">
        <f t="shared" si="40"/>
        <v>0.24311516813933792</v>
      </c>
      <c r="S59" s="2"/>
      <c r="T59" s="6">
        <v>102.71</v>
      </c>
      <c r="U59" s="2"/>
      <c r="V59" s="7">
        <f t="shared" si="41"/>
        <v>3.293753982905702E-4</v>
      </c>
      <c r="W59" s="2"/>
      <c r="X59" s="6">
        <f t="shared" si="42"/>
        <v>6385.11</v>
      </c>
      <c r="Y59" s="2"/>
      <c r="Z59" s="7">
        <f t="shared" si="43"/>
        <v>62.166390809074095</v>
      </c>
    </row>
    <row r="60" spans="1:26" s="24" customFormat="1" hidden="1" outlineLevel="2" x14ac:dyDescent="0.25">
      <c r="A60" s="28"/>
      <c r="B60" s="11" t="str">
        <f>CONCATENATE("          ", "6375", " - ", "OUTSIDE REPAIRS &amp; MAINTENANCE")</f>
        <v xml:space="preserve">          6375 - OUTSIDE REPAIRS &amp; MAINTENANCE</v>
      </c>
      <c r="C60" s="11"/>
      <c r="D60" s="6">
        <v>819.91</v>
      </c>
      <c r="E60" s="2"/>
      <c r="F60" s="7">
        <f t="shared" si="36"/>
        <v>6.169556518212347E-2</v>
      </c>
      <c r="G60" s="2"/>
      <c r="H60" s="6">
        <v>7228.67</v>
      </c>
      <c r="I60" s="2"/>
      <c r="J60" s="7">
        <f t="shared" si="37"/>
        <v>5.2090394543842351E-2</v>
      </c>
      <c r="K60" s="2"/>
      <c r="L60" s="6">
        <f t="shared" si="38"/>
        <v>-6408.76</v>
      </c>
      <c r="M60" s="2"/>
      <c r="N60" s="7">
        <f t="shared" si="39"/>
        <v>-0.88657526211599091</v>
      </c>
      <c r="O60" s="11"/>
      <c r="P60" s="6">
        <v>5350.49</v>
      </c>
      <c r="Q60" s="2"/>
      <c r="R60" s="7">
        <f t="shared" si="40"/>
        <v>0.20049651130546872</v>
      </c>
      <c r="S60" s="2"/>
      <c r="T60" s="6">
        <v>9058.98</v>
      </c>
      <c r="U60" s="2"/>
      <c r="V60" s="7">
        <f t="shared" si="41"/>
        <v>2.9050775441595848E-2</v>
      </c>
      <c r="W60" s="2"/>
      <c r="X60" s="6">
        <f t="shared" si="42"/>
        <v>-3708.49</v>
      </c>
      <c r="Y60" s="2"/>
      <c r="Z60" s="7">
        <f t="shared" si="43"/>
        <v>-0.40937169526812067</v>
      </c>
    </row>
    <row r="61" spans="1:26" s="29" customFormat="1" outlineLevel="1" collapsed="1" x14ac:dyDescent="0.25">
      <c r="A61" s="27"/>
      <c r="B61" s="14" t="str">
        <f>CONCATENATE("     ","Services                                          ")</f>
        <v xml:space="preserve">     Services                                          </v>
      </c>
      <c r="C61" s="14"/>
      <c r="D61" s="1">
        <f>SUM(OSRRefD22_12x_0)</f>
        <v>2083.73</v>
      </c>
      <c r="E61" s="1"/>
      <c r="F61" s="5">
        <f t="shared" ref="F61:F66" si="44">IF(D$12=0,0,D61/D$12)</f>
        <v>0.15679391645052038</v>
      </c>
      <c r="G61" s="1"/>
      <c r="H61" s="1">
        <f>SUM(OSRRefH22_12x_0)</f>
        <v>4538.13</v>
      </c>
      <c r="I61" s="1"/>
      <c r="J61" s="5">
        <f t="shared" ref="J61:J66" si="45">IF(H$12=0,0,H61/H$12)</f>
        <v>3.2702140530864919E-2</v>
      </c>
      <c r="K61" s="1"/>
      <c r="L61" s="1">
        <f t="shared" ref="L61:L66" si="46">+D61-H61</f>
        <v>-2454.4</v>
      </c>
      <c r="M61" s="1"/>
      <c r="N61" s="5">
        <f t="shared" ref="N61:N66" si="47">IF(H61=0,0,L61/H61)</f>
        <v>-0.5408395087844553</v>
      </c>
      <c r="O61" s="14"/>
      <c r="P61" s="1">
        <f>SUM(OSRRefP22_12x_0)</f>
        <v>12004.589999999998</v>
      </c>
      <c r="Q61" s="1"/>
      <c r="R61" s="5">
        <f t="shared" ref="R61:R66" si="48">IF(P$12=0,0,P61/P$12)</f>
        <v>0.44984261528430419</v>
      </c>
      <c r="S61" s="1"/>
      <c r="T61" s="1">
        <f>SUM(OSRRefT22_12x_0)</f>
        <v>16795.47</v>
      </c>
      <c r="U61" s="1"/>
      <c r="V61" s="5">
        <f t="shared" ref="V61:V66" si="49">IF(T$12=0,0,T61/T$12)</f>
        <v>5.3860525953921955E-2</v>
      </c>
      <c r="W61" s="1"/>
      <c r="X61" s="1">
        <f t="shared" ref="X61:X66" si="50">+P61-T61</f>
        <v>-4790.8800000000028</v>
      </c>
      <c r="Y61" s="1"/>
      <c r="Z61" s="5">
        <f t="shared" ref="Z61:Z66" si="51">IF(T61=0,0,X61/T61)</f>
        <v>-0.28524834374983271</v>
      </c>
    </row>
    <row r="62" spans="1:26" s="24" customFormat="1" hidden="1" outlineLevel="2" x14ac:dyDescent="0.25">
      <c r="A62" s="28"/>
      <c r="B62" s="11" t="str">
        <f>CONCATENATE("          ", "6282", " - ", "JANITORIAL/EXTERMINATOR EXPENS")</f>
        <v xml:space="preserve">          6282 - JANITORIAL/EXTERMINATOR EXPENS</v>
      </c>
      <c r="C62" s="11"/>
      <c r="D62" s="6">
        <v>971.78</v>
      </c>
      <c r="E62" s="2"/>
      <c r="F62" s="7">
        <f t="shared" si="44"/>
        <v>7.3123289547247811E-2</v>
      </c>
      <c r="G62" s="2"/>
      <c r="H62" s="6">
        <v>328.54</v>
      </c>
      <c r="I62" s="2"/>
      <c r="J62" s="7">
        <f t="shared" si="45"/>
        <v>2.3674864426559751E-3</v>
      </c>
      <c r="K62" s="2"/>
      <c r="L62" s="6">
        <f t="shared" si="46"/>
        <v>643.24</v>
      </c>
      <c r="M62" s="2"/>
      <c r="N62" s="7">
        <f t="shared" si="47"/>
        <v>1.9578742314482254</v>
      </c>
      <c r="O62" s="11"/>
      <c r="P62" s="6">
        <v>1466.03</v>
      </c>
      <c r="Q62" s="2"/>
      <c r="R62" s="7">
        <f t="shared" si="48"/>
        <v>5.4935884464629658E-2</v>
      </c>
      <c r="S62" s="2"/>
      <c r="T62" s="6">
        <v>1314.16</v>
      </c>
      <c r="U62" s="2"/>
      <c r="V62" s="7">
        <f t="shared" si="49"/>
        <v>4.2143118821685891E-3</v>
      </c>
      <c r="W62" s="2"/>
      <c r="X62" s="6">
        <f t="shared" si="50"/>
        <v>151.86999999999989</v>
      </c>
      <c r="Y62" s="2"/>
      <c r="Z62" s="7">
        <f t="shared" si="51"/>
        <v>0.11556431484750707</v>
      </c>
    </row>
    <row r="63" spans="1:26" s="24" customFormat="1" hidden="1" outlineLevel="2" x14ac:dyDescent="0.25">
      <c r="A63" s="28"/>
      <c r="B63" s="11" t="str">
        <f>CONCATENATE("          ", "6283", " - ", "PLANT SERVICE")</f>
        <v xml:space="preserve">          6283 - PLANT SERVICE</v>
      </c>
      <c r="C63" s="11"/>
      <c r="D63" s="6"/>
      <c r="E63" s="2"/>
      <c r="F63" s="7">
        <f t="shared" si="44"/>
        <v>0</v>
      </c>
      <c r="G63" s="2"/>
      <c r="H63" s="6"/>
      <c r="I63" s="2"/>
      <c r="J63" s="7">
        <f t="shared" si="45"/>
        <v>0</v>
      </c>
      <c r="K63" s="2"/>
      <c r="L63" s="6">
        <f t="shared" si="46"/>
        <v>0</v>
      </c>
      <c r="M63" s="2"/>
      <c r="N63" s="7">
        <f t="shared" si="47"/>
        <v>0</v>
      </c>
      <c r="O63" s="11"/>
      <c r="P63" s="6"/>
      <c r="Q63" s="2"/>
      <c r="R63" s="7">
        <f t="shared" si="48"/>
        <v>0</v>
      </c>
      <c r="S63" s="2"/>
      <c r="T63" s="6">
        <v>184.65</v>
      </c>
      <c r="U63" s="2"/>
      <c r="V63" s="7">
        <f t="shared" si="49"/>
        <v>5.9214455548976526E-4</v>
      </c>
      <c r="W63" s="2"/>
      <c r="X63" s="6">
        <f t="shared" si="50"/>
        <v>-184.65</v>
      </c>
      <c r="Y63" s="2"/>
      <c r="Z63" s="7">
        <f t="shared" si="51"/>
        <v>-1</v>
      </c>
    </row>
    <row r="64" spans="1:26" s="24" customFormat="1" hidden="1" outlineLevel="2" x14ac:dyDescent="0.25">
      <c r="A64" s="28"/>
      <c r="B64" s="11" t="str">
        <f>CONCATENATE("          ", "6284", " - ", "TRASH REMOVAL EXPENSE")</f>
        <v xml:space="preserve">          6284 - TRASH REMOVAL EXPENSE</v>
      </c>
      <c r="C64" s="11"/>
      <c r="D64" s="6">
        <v>1000</v>
      </c>
      <c r="E64" s="2"/>
      <c r="F64" s="7">
        <f t="shared" si="44"/>
        <v>7.5246752914494855E-2</v>
      </c>
      <c r="G64" s="2"/>
      <c r="H64" s="6">
        <v>623</v>
      </c>
      <c r="I64" s="2"/>
      <c r="J64" s="7">
        <f t="shared" si="45"/>
        <v>4.4893895835352539E-3</v>
      </c>
      <c r="K64" s="2"/>
      <c r="L64" s="6">
        <f t="shared" si="46"/>
        <v>377</v>
      </c>
      <c r="M64" s="2"/>
      <c r="N64" s="7">
        <f t="shared" si="47"/>
        <v>0.60513643659711081</v>
      </c>
      <c r="O64" s="11"/>
      <c r="P64" s="6">
        <v>3761</v>
      </c>
      <c r="Q64" s="2"/>
      <c r="R64" s="7">
        <f t="shared" si="48"/>
        <v>0.14093426565041106</v>
      </c>
      <c r="S64" s="2"/>
      <c r="T64" s="6">
        <v>1869</v>
      </c>
      <c r="U64" s="2"/>
      <c r="V64" s="7">
        <f t="shared" si="49"/>
        <v>5.9935996437063162E-3</v>
      </c>
      <c r="W64" s="2"/>
      <c r="X64" s="6">
        <f t="shared" si="50"/>
        <v>1892</v>
      </c>
      <c r="Y64" s="2"/>
      <c r="Z64" s="7">
        <f t="shared" si="51"/>
        <v>1.0123060460139113</v>
      </c>
    </row>
    <row r="65" spans="1:26" s="24" customFormat="1" hidden="1" outlineLevel="2" x14ac:dyDescent="0.25">
      <c r="A65" s="28"/>
      <c r="B65" s="11" t="str">
        <f>CONCATENATE("          ", "6285", " - ", "JANITORIAL SERVICES")</f>
        <v xml:space="preserve">          6285 - JANITORIAL SERVICES</v>
      </c>
      <c r="C65" s="11"/>
      <c r="D65" s="6"/>
      <c r="E65" s="2"/>
      <c r="F65" s="7">
        <f t="shared" si="44"/>
        <v>0</v>
      </c>
      <c r="G65" s="2"/>
      <c r="H65" s="6">
        <v>3340.95</v>
      </c>
      <c r="I65" s="2"/>
      <c r="J65" s="7">
        <f t="shared" si="45"/>
        <v>2.4075162326022644E-2</v>
      </c>
      <c r="K65" s="2"/>
      <c r="L65" s="6">
        <f t="shared" si="46"/>
        <v>-3340.95</v>
      </c>
      <c r="M65" s="2"/>
      <c r="N65" s="7">
        <f t="shared" si="47"/>
        <v>-1</v>
      </c>
      <c r="O65" s="11"/>
      <c r="P65" s="6">
        <v>6411.93</v>
      </c>
      <c r="Q65" s="2"/>
      <c r="R65" s="7">
        <f t="shared" si="48"/>
        <v>0.2402713762169211</v>
      </c>
      <c r="S65" s="2"/>
      <c r="T65" s="6">
        <v>12463.8</v>
      </c>
      <c r="U65" s="2"/>
      <c r="V65" s="7">
        <f t="shared" si="49"/>
        <v>3.9969516981929791E-2</v>
      </c>
      <c r="W65" s="2"/>
      <c r="X65" s="6">
        <f t="shared" si="50"/>
        <v>-6051.869999999999</v>
      </c>
      <c r="Y65" s="2"/>
      <c r="Z65" s="7">
        <f t="shared" si="51"/>
        <v>-0.48555576950849655</v>
      </c>
    </row>
    <row r="66" spans="1:26" s="24" customFormat="1" hidden="1" outlineLevel="2" x14ac:dyDescent="0.25">
      <c r="A66" s="28"/>
      <c r="B66" s="11" t="str">
        <f>CONCATENATE("          ", "6286", " - ", "LAUNDRY EXPENSE")</f>
        <v xml:space="preserve">          6286 - LAUNDRY EXPENSE</v>
      </c>
      <c r="C66" s="11"/>
      <c r="D66" s="6">
        <v>111.95</v>
      </c>
      <c r="E66" s="2"/>
      <c r="F66" s="7">
        <f t="shared" si="44"/>
        <v>8.4238739887776987E-3</v>
      </c>
      <c r="G66" s="2"/>
      <c r="H66" s="6">
        <v>245.64</v>
      </c>
      <c r="I66" s="2"/>
      <c r="J66" s="7">
        <f t="shared" si="45"/>
        <v>1.7701021786510429E-3</v>
      </c>
      <c r="K66" s="2"/>
      <c r="L66" s="6">
        <f t="shared" si="46"/>
        <v>-133.69</v>
      </c>
      <c r="M66" s="2"/>
      <c r="N66" s="7">
        <f t="shared" si="47"/>
        <v>-0.54425175052922981</v>
      </c>
      <c r="O66" s="11"/>
      <c r="P66" s="6">
        <v>365.63</v>
      </c>
      <c r="Q66" s="2"/>
      <c r="R66" s="7">
        <f t="shared" si="48"/>
        <v>1.3701088952342408E-2</v>
      </c>
      <c r="S66" s="2"/>
      <c r="T66" s="6">
        <v>963.86</v>
      </c>
      <c r="U66" s="2"/>
      <c r="V66" s="7">
        <f t="shared" si="49"/>
        <v>3.0909528906274851E-3</v>
      </c>
      <c r="W66" s="2"/>
      <c r="X66" s="6">
        <f t="shared" si="50"/>
        <v>-598.23</v>
      </c>
      <c r="Y66" s="2"/>
      <c r="Z66" s="7">
        <f t="shared" si="51"/>
        <v>-0.62066067686178494</v>
      </c>
    </row>
    <row r="67" spans="1:26" s="29" customFormat="1" outlineLevel="1" collapsed="1" x14ac:dyDescent="0.25">
      <c r="A67" s="27"/>
      <c r="B67" s="14" t="str">
        <f>CONCATENATE("     ","Subscriptions &amp; Dues                              ")</f>
        <v xml:space="preserve">     Subscriptions &amp; Dues                              </v>
      </c>
      <c r="C67" s="14"/>
      <c r="D67" s="1">
        <f>SUM(OSRRefD22_13x_0)</f>
        <v>130.66999999999999</v>
      </c>
      <c r="E67" s="1"/>
      <c r="F67" s="5">
        <f t="shared" ref="F67:F76" si="52">IF(D$12=0,0,D67/D$12)</f>
        <v>9.8324932033370411E-3</v>
      </c>
      <c r="G67" s="1"/>
      <c r="H67" s="1">
        <f>SUM(OSRRefH22_13x_0)</f>
        <v>196.71</v>
      </c>
      <c r="I67" s="1"/>
      <c r="J67" s="5">
        <f t="shared" ref="J67:J76" si="53">IF(H$12=0,0,H67/H$12)</f>
        <v>1.4175085473149597E-3</v>
      </c>
      <c r="K67" s="1"/>
      <c r="L67" s="1">
        <f t="shared" ref="L67:L76" si="54">+D67-H67</f>
        <v>-66.04000000000002</v>
      </c>
      <c r="M67" s="1"/>
      <c r="N67" s="5">
        <f t="shared" ref="N67:N76" si="55">IF(H67=0,0,L67/H67)</f>
        <v>-0.33572263738498304</v>
      </c>
      <c r="O67" s="14"/>
      <c r="P67" s="1">
        <f>SUM(OSRRefP22_13x_0)</f>
        <v>271.33</v>
      </c>
      <c r="Q67" s="1"/>
      <c r="R67" s="5">
        <f t="shared" ref="R67:R76" si="56">IF(P$12=0,0,P67/P$12)</f>
        <v>1.0167427359459195E-2</v>
      </c>
      <c r="S67" s="1"/>
      <c r="T67" s="1">
        <f>SUM(OSRRefT22_13x_0)</f>
        <v>786.84</v>
      </c>
      <c r="U67" s="1"/>
      <c r="V67" s="5">
        <f t="shared" ref="V67:V76" si="57">IF(T$12=0,0,T67/T$12)</f>
        <v>2.5232765883648357E-3</v>
      </c>
      <c r="W67" s="1"/>
      <c r="X67" s="1">
        <f t="shared" ref="X67:X76" si="58">+P67-T67</f>
        <v>-515.51</v>
      </c>
      <c r="Y67" s="1"/>
      <c r="Z67" s="5">
        <f t="shared" ref="Z67:Z76" si="59">IF(T67=0,0,X67/T67)</f>
        <v>-0.65516496365207666</v>
      </c>
    </row>
    <row r="68" spans="1:26" s="24" customFormat="1" hidden="1" outlineLevel="2" x14ac:dyDescent="0.25">
      <c r="A68" s="28"/>
      <c r="B68" s="11" t="str">
        <f>CONCATENATE("          ", "6275", " - ", "SUBSCRIPTIONS")</f>
        <v xml:space="preserve">          6275 - SUBSCRIPTIONS</v>
      </c>
      <c r="C68" s="11"/>
      <c r="D68" s="6">
        <v>130.66999999999999</v>
      </c>
      <c r="E68" s="2"/>
      <c r="F68" s="7">
        <f t="shared" si="52"/>
        <v>9.8324932033370411E-3</v>
      </c>
      <c r="G68" s="2"/>
      <c r="H68" s="6">
        <v>196.71</v>
      </c>
      <c r="I68" s="2"/>
      <c r="J68" s="7">
        <f t="shared" si="53"/>
        <v>1.4175085473149597E-3</v>
      </c>
      <c r="K68" s="2"/>
      <c r="L68" s="6">
        <f t="shared" si="54"/>
        <v>-66.04000000000002</v>
      </c>
      <c r="M68" s="2"/>
      <c r="N68" s="7">
        <f t="shared" si="55"/>
        <v>-0.33572263738498304</v>
      </c>
      <c r="O68" s="11"/>
      <c r="P68" s="6">
        <v>271.33</v>
      </c>
      <c r="Q68" s="2"/>
      <c r="R68" s="7">
        <f t="shared" si="56"/>
        <v>1.0167427359459195E-2</v>
      </c>
      <c r="S68" s="2"/>
      <c r="T68" s="6">
        <v>786.84</v>
      </c>
      <c r="U68" s="2"/>
      <c r="V68" s="7">
        <f t="shared" si="57"/>
        <v>2.5232765883648357E-3</v>
      </c>
      <c r="W68" s="2"/>
      <c r="X68" s="6">
        <f t="shared" si="58"/>
        <v>-515.51</v>
      </c>
      <c r="Y68" s="2"/>
      <c r="Z68" s="7">
        <f t="shared" si="59"/>
        <v>-0.65516496365207666</v>
      </c>
    </row>
    <row r="69" spans="1:26" s="29" customFormat="1" outlineLevel="1" collapsed="1" x14ac:dyDescent="0.25">
      <c r="A69" s="27"/>
      <c r="B69" s="14" t="str">
        <f>CONCATENATE("     ","Supplies                                          ")</f>
        <v xml:space="preserve">     Supplies                                          </v>
      </c>
      <c r="C69" s="14"/>
      <c r="D69" s="1">
        <f>SUM(OSRRefD22_14x_0)</f>
        <v>6392.76</v>
      </c>
      <c r="E69" s="1"/>
      <c r="F69" s="5">
        <f t="shared" si="52"/>
        <v>0.48103443216166614</v>
      </c>
      <c r="G69" s="1"/>
      <c r="H69" s="1">
        <f>SUM(OSRRefH22_14x_0)</f>
        <v>2717.5299999999997</v>
      </c>
      <c r="I69" s="1"/>
      <c r="J69" s="5">
        <f t="shared" si="53"/>
        <v>1.9582746187711969E-2</v>
      </c>
      <c r="K69" s="1"/>
      <c r="L69" s="1">
        <f t="shared" si="54"/>
        <v>3675.2300000000005</v>
      </c>
      <c r="M69" s="1"/>
      <c r="N69" s="5">
        <f t="shared" si="55"/>
        <v>1.3524156127071276</v>
      </c>
      <c r="O69" s="14"/>
      <c r="P69" s="1">
        <f>SUM(OSRRefP22_14x_0)</f>
        <v>7486.5</v>
      </c>
      <c r="Q69" s="1"/>
      <c r="R69" s="5">
        <f t="shared" si="56"/>
        <v>0.28053825572767949</v>
      </c>
      <c r="S69" s="1"/>
      <c r="T69" s="1">
        <f>SUM(OSRRefT22_14x_0)</f>
        <v>11328.369999999999</v>
      </c>
      <c r="U69" s="1"/>
      <c r="V69" s="5">
        <f t="shared" si="57"/>
        <v>3.6328365112773306E-2</v>
      </c>
      <c r="W69" s="1"/>
      <c r="X69" s="1">
        <f t="shared" si="58"/>
        <v>-3841.869999999999</v>
      </c>
      <c r="Y69" s="1"/>
      <c r="Z69" s="5">
        <f t="shared" si="59"/>
        <v>-0.33913705149107942</v>
      </c>
    </row>
    <row r="70" spans="1:26" s="24" customFormat="1" hidden="1" outlineLevel="2" x14ac:dyDescent="0.25">
      <c r="A70" s="28"/>
      <c r="B70" s="11" t="str">
        <f>CONCATENATE("          ", "6234", " - ", "EXPENDABLE SUPPLIES &amp; EQUIPMEN")</f>
        <v xml:space="preserve">          6234 - EXPENDABLE SUPPLIES &amp; EQUIPMEN</v>
      </c>
      <c r="C70" s="11"/>
      <c r="D70" s="6">
        <v>55.13</v>
      </c>
      <c r="E70" s="2"/>
      <c r="F70" s="7">
        <f t="shared" si="52"/>
        <v>4.1483534881761016E-3</v>
      </c>
      <c r="G70" s="2"/>
      <c r="H70" s="6"/>
      <c r="I70" s="2"/>
      <c r="J70" s="7">
        <f t="shared" si="53"/>
        <v>0</v>
      </c>
      <c r="K70" s="2"/>
      <c r="L70" s="6">
        <f t="shared" si="54"/>
        <v>55.13</v>
      </c>
      <c r="M70" s="2"/>
      <c r="N70" s="7">
        <f t="shared" si="55"/>
        <v>0</v>
      </c>
      <c r="O70" s="11"/>
      <c r="P70" s="6">
        <v>310.91000000000003</v>
      </c>
      <c r="Q70" s="2"/>
      <c r="R70" s="7">
        <f t="shared" si="56"/>
        <v>1.1650590942134886E-2</v>
      </c>
      <c r="S70" s="2"/>
      <c r="T70" s="6"/>
      <c r="U70" s="2"/>
      <c r="V70" s="7">
        <f t="shared" si="57"/>
        <v>0</v>
      </c>
      <c r="W70" s="2"/>
      <c r="X70" s="6">
        <f t="shared" si="58"/>
        <v>310.91000000000003</v>
      </c>
      <c r="Y70" s="2"/>
      <c r="Z70" s="7">
        <f t="shared" si="59"/>
        <v>0</v>
      </c>
    </row>
    <row r="71" spans="1:26" s="24" customFormat="1" hidden="1" outlineLevel="2" x14ac:dyDescent="0.25">
      <c r="A71" s="28"/>
      <c r="B71" s="11" t="str">
        <f>CONCATENATE("          ", "6235", " - ", "COVID-19 EXPENSES")</f>
        <v xml:space="preserve">          6235 - COVID-19 EXPENSES</v>
      </c>
      <c r="C71" s="11"/>
      <c r="D71" s="6">
        <v>5932</v>
      </c>
      <c r="E71" s="2"/>
      <c r="F71" s="7">
        <f t="shared" si="52"/>
        <v>0.44636373828878345</v>
      </c>
      <c r="G71" s="2"/>
      <c r="H71" s="6"/>
      <c r="I71" s="2"/>
      <c r="J71" s="7">
        <f t="shared" si="53"/>
        <v>0</v>
      </c>
      <c r="K71" s="2"/>
      <c r="L71" s="6">
        <f t="shared" si="54"/>
        <v>5932</v>
      </c>
      <c r="M71" s="2"/>
      <c r="N71" s="7">
        <f t="shared" si="55"/>
        <v>0</v>
      </c>
      <c r="O71" s="11"/>
      <c r="P71" s="6">
        <v>6753.97</v>
      </c>
      <c r="Q71" s="2"/>
      <c r="R71" s="7">
        <f t="shared" si="56"/>
        <v>0.25308848768277237</v>
      </c>
      <c r="S71" s="2"/>
      <c r="T71" s="6"/>
      <c r="U71" s="2"/>
      <c r="V71" s="7">
        <f t="shared" si="57"/>
        <v>0</v>
      </c>
      <c r="W71" s="2"/>
      <c r="X71" s="6">
        <f t="shared" si="58"/>
        <v>6753.97</v>
      </c>
      <c r="Y71" s="2"/>
      <c r="Z71" s="7">
        <f t="shared" si="59"/>
        <v>0</v>
      </c>
    </row>
    <row r="72" spans="1:26" s="24" customFormat="1" hidden="1" outlineLevel="2" x14ac:dyDescent="0.25">
      <c r="A72" s="28"/>
      <c r="B72" s="11" t="str">
        <f>CONCATENATE("          ", "6237", " - ", "JANITORIAL SUPPLIES")</f>
        <v xml:space="preserve">          6237 - JANITORIAL SUPPLIES</v>
      </c>
      <c r="C72" s="11"/>
      <c r="D72" s="6">
        <v>268.05</v>
      </c>
      <c r="E72" s="2"/>
      <c r="F72" s="7">
        <f t="shared" si="52"/>
        <v>2.0169892118730347E-2</v>
      </c>
      <c r="G72" s="2"/>
      <c r="H72" s="6">
        <v>1304.79</v>
      </c>
      <c r="I72" s="2"/>
      <c r="J72" s="7">
        <f t="shared" si="53"/>
        <v>9.4024247748009052E-3</v>
      </c>
      <c r="K72" s="2"/>
      <c r="L72" s="6">
        <f t="shared" si="54"/>
        <v>-1036.74</v>
      </c>
      <c r="M72" s="2"/>
      <c r="N72" s="7">
        <f t="shared" si="55"/>
        <v>-0.79456464258616333</v>
      </c>
      <c r="O72" s="11"/>
      <c r="P72" s="6">
        <v>268.05</v>
      </c>
      <c r="Q72" s="2"/>
      <c r="R72" s="7">
        <f t="shared" si="56"/>
        <v>1.0044517391011084E-2</v>
      </c>
      <c r="S72" s="2"/>
      <c r="T72" s="6">
        <v>2807.74</v>
      </c>
      <c r="U72" s="2"/>
      <c r="V72" s="7">
        <f t="shared" si="57"/>
        <v>9.0039965027394163E-3</v>
      </c>
      <c r="W72" s="2"/>
      <c r="X72" s="6">
        <f t="shared" si="58"/>
        <v>-2539.6899999999996</v>
      </c>
      <c r="Y72" s="2"/>
      <c r="Z72" s="7">
        <f t="shared" si="59"/>
        <v>-0.90453175863862034</v>
      </c>
    </row>
    <row r="73" spans="1:26" s="24" customFormat="1" hidden="1" outlineLevel="2" x14ac:dyDescent="0.25">
      <c r="A73" s="28"/>
      <c r="B73" s="11" t="str">
        <f>CONCATENATE("          ", "6239", " - ", "KITCHEN SUPPLIES")</f>
        <v xml:space="preserve">          6239 - KITCHEN SUPPLIES</v>
      </c>
      <c r="C73" s="11"/>
      <c r="D73" s="6">
        <v>19.829999999999998</v>
      </c>
      <c r="E73" s="2"/>
      <c r="F73" s="7">
        <f t="shared" si="52"/>
        <v>1.4921431102944329E-3</v>
      </c>
      <c r="G73" s="2"/>
      <c r="H73" s="6">
        <v>43.14</v>
      </c>
      <c r="I73" s="2"/>
      <c r="J73" s="7">
        <f t="shared" si="53"/>
        <v>3.1087041193212018E-4</v>
      </c>
      <c r="K73" s="2"/>
      <c r="L73" s="6">
        <f t="shared" si="54"/>
        <v>-23.310000000000002</v>
      </c>
      <c r="M73" s="2"/>
      <c r="N73" s="7">
        <f t="shared" si="55"/>
        <v>-0.54033379694019479</v>
      </c>
      <c r="O73" s="11"/>
      <c r="P73" s="6">
        <v>19.829999999999998</v>
      </c>
      <c r="Q73" s="2"/>
      <c r="R73" s="7">
        <f t="shared" si="56"/>
        <v>7.4308069339209019E-4</v>
      </c>
      <c r="S73" s="2"/>
      <c r="T73" s="6">
        <v>191.59</v>
      </c>
      <c r="U73" s="2"/>
      <c r="V73" s="7">
        <f t="shared" si="57"/>
        <v>6.1440008332674858E-4</v>
      </c>
      <c r="W73" s="2"/>
      <c r="X73" s="6">
        <f t="shared" si="58"/>
        <v>-171.76</v>
      </c>
      <c r="Y73" s="2"/>
      <c r="Z73" s="7">
        <f t="shared" si="59"/>
        <v>-0.89649772952659323</v>
      </c>
    </row>
    <row r="74" spans="1:26" s="24" customFormat="1" hidden="1" outlineLevel="2" x14ac:dyDescent="0.25">
      <c r="A74" s="28"/>
      <c r="B74" s="11" t="str">
        <f>CONCATENATE("          ", "6241", " - ", "OFFICE EXPENSE")</f>
        <v xml:space="preserve">          6241 - OFFICE EXPENSE</v>
      </c>
      <c r="C74" s="11"/>
      <c r="D74" s="6">
        <v>117.75</v>
      </c>
      <c r="E74" s="2"/>
      <c r="F74" s="7">
        <f t="shared" si="52"/>
        <v>8.8603051556817684E-3</v>
      </c>
      <c r="G74" s="2"/>
      <c r="H74" s="6">
        <v>194.81</v>
      </c>
      <c r="I74" s="2"/>
      <c r="J74" s="7">
        <f t="shared" si="53"/>
        <v>1.4038169899975969E-3</v>
      </c>
      <c r="K74" s="2"/>
      <c r="L74" s="6">
        <f t="shared" si="54"/>
        <v>-77.06</v>
      </c>
      <c r="M74" s="2"/>
      <c r="N74" s="7">
        <f t="shared" si="55"/>
        <v>-0.39556490939890149</v>
      </c>
      <c r="O74" s="11"/>
      <c r="P74" s="6">
        <v>133.74</v>
      </c>
      <c r="Q74" s="2"/>
      <c r="R74" s="7">
        <f t="shared" si="56"/>
        <v>5.0115790183690445E-3</v>
      </c>
      <c r="S74" s="2"/>
      <c r="T74" s="6">
        <v>5261.76</v>
      </c>
      <c r="U74" s="2"/>
      <c r="V74" s="7">
        <f t="shared" si="57"/>
        <v>1.6873666592438816E-2</v>
      </c>
      <c r="W74" s="2"/>
      <c r="X74" s="6">
        <f t="shared" si="58"/>
        <v>-5128.0200000000004</v>
      </c>
      <c r="Y74" s="2"/>
      <c r="Z74" s="7">
        <f t="shared" si="59"/>
        <v>-0.97458264915161474</v>
      </c>
    </row>
    <row r="75" spans="1:26" s="24" customFormat="1" hidden="1" outlineLevel="2" x14ac:dyDescent="0.25">
      <c r="A75" s="28"/>
      <c r="B75" s="11" t="str">
        <f>CONCATENATE("          ", "6243", " - ", "PAPER SUPPLIES")</f>
        <v xml:space="preserve">          6243 - PAPER SUPPLIES</v>
      </c>
      <c r="C75" s="11"/>
      <c r="D75" s="6"/>
      <c r="E75" s="2"/>
      <c r="F75" s="7">
        <f t="shared" si="52"/>
        <v>0</v>
      </c>
      <c r="G75" s="2"/>
      <c r="H75" s="6">
        <v>1174.79</v>
      </c>
      <c r="I75" s="2"/>
      <c r="J75" s="7">
        <f t="shared" si="53"/>
        <v>8.4656340109813492E-3</v>
      </c>
      <c r="K75" s="2"/>
      <c r="L75" s="6">
        <f t="shared" si="54"/>
        <v>-1174.79</v>
      </c>
      <c r="M75" s="2"/>
      <c r="N75" s="7">
        <f t="shared" si="55"/>
        <v>-1</v>
      </c>
      <c r="O75" s="11"/>
      <c r="P75" s="6"/>
      <c r="Q75" s="2"/>
      <c r="R75" s="7">
        <f t="shared" si="56"/>
        <v>0</v>
      </c>
      <c r="S75" s="2"/>
      <c r="T75" s="6">
        <v>2656.72</v>
      </c>
      <c r="U75" s="2"/>
      <c r="V75" s="7">
        <f t="shared" si="57"/>
        <v>8.5196982586556672E-3</v>
      </c>
      <c r="W75" s="2"/>
      <c r="X75" s="6">
        <f t="shared" si="58"/>
        <v>-2656.72</v>
      </c>
      <c r="Y75" s="2"/>
      <c r="Z75" s="7">
        <f t="shared" si="59"/>
        <v>-1</v>
      </c>
    </row>
    <row r="76" spans="1:26" s="24" customFormat="1" hidden="1" outlineLevel="2" x14ac:dyDescent="0.25">
      <c r="A76" s="28"/>
      <c r="B76" s="11" t="str">
        <f>CONCATENATE("          ", "6247", " - ", "STORE SUPPLIES")</f>
        <v xml:space="preserve">          6247 - STORE SUPPLIES</v>
      </c>
      <c r="C76" s="11"/>
      <c r="D76" s="6"/>
      <c r="E76" s="2"/>
      <c r="F76" s="7">
        <f t="shared" si="52"/>
        <v>0</v>
      </c>
      <c r="G76" s="2"/>
      <c r="H76" s="6"/>
      <c r="I76" s="2"/>
      <c r="J76" s="7">
        <f t="shared" si="53"/>
        <v>0</v>
      </c>
      <c r="K76" s="2"/>
      <c r="L76" s="6">
        <f t="shared" si="54"/>
        <v>0</v>
      </c>
      <c r="M76" s="2"/>
      <c r="N76" s="7">
        <f t="shared" si="55"/>
        <v>0</v>
      </c>
      <c r="O76" s="11"/>
      <c r="P76" s="6"/>
      <c r="Q76" s="2"/>
      <c r="R76" s="7">
        <f t="shared" si="56"/>
        <v>0</v>
      </c>
      <c r="S76" s="2"/>
      <c r="T76" s="6">
        <v>410.56</v>
      </c>
      <c r="U76" s="2"/>
      <c r="V76" s="7">
        <f t="shared" si="57"/>
        <v>1.3166036756126619E-3</v>
      </c>
      <c r="W76" s="2"/>
      <c r="X76" s="6">
        <f t="shared" si="58"/>
        <v>-410.56</v>
      </c>
      <c r="Y76" s="2"/>
      <c r="Z76" s="7">
        <f t="shared" si="59"/>
        <v>-1</v>
      </c>
    </row>
    <row r="77" spans="1:26" s="29" customFormat="1" outlineLevel="1" collapsed="1" x14ac:dyDescent="0.25">
      <c r="A77" s="27"/>
      <c r="B77" s="14" t="str">
        <f>CONCATENATE("     ","Telephone/Data Lines                              ")</f>
        <v xml:space="preserve">     Telephone/Data Lines                              </v>
      </c>
      <c r="C77" s="14"/>
      <c r="D77" s="1">
        <f>SUM(OSRRefD22_15x_0)</f>
        <v>320</v>
      </c>
      <c r="E77" s="1"/>
      <c r="F77" s="5">
        <f t="shared" ref="F77:F82" si="60">IF(D$12=0,0,D77/D$12)</f>
        <v>2.4078960932638352E-2</v>
      </c>
      <c r="G77" s="1"/>
      <c r="H77" s="1">
        <f>SUM(OSRRefH22_15x_0)</f>
        <v>138.1</v>
      </c>
      <c r="I77" s="1"/>
      <c r="J77" s="5">
        <f t="shared" ref="J77:J82" si="61">IF(H$12=0,0,H77/H$12)</f>
        <v>9.951600344883123E-4</v>
      </c>
      <c r="K77" s="1"/>
      <c r="L77" s="1">
        <f t="shared" ref="L77:L82" si="62">+D77-H77</f>
        <v>181.9</v>
      </c>
      <c r="M77" s="1"/>
      <c r="N77" s="5">
        <f t="shared" ref="N77:N82" si="63">IF(H77=0,0,L77/H77)</f>
        <v>1.3171614771904419</v>
      </c>
      <c r="O77" s="14"/>
      <c r="P77" s="1">
        <f>SUM(OSRRefP22_15x_0)</f>
        <v>1134</v>
      </c>
      <c r="Q77" s="1"/>
      <c r="R77" s="5">
        <f t="shared" ref="R77:R82" si="64">IF(P$12=0,0,P77/P$12)</f>
        <v>4.2493873237853273E-2</v>
      </c>
      <c r="S77" s="1"/>
      <c r="T77" s="1">
        <f>SUM(OSRRefT22_15x_0)</f>
        <v>580.6</v>
      </c>
      <c r="U77" s="1"/>
      <c r="V77" s="5">
        <f t="shared" ref="V77:V82" si="65">IF(T$12=0,0,T77/T$12)</f>
        <v>1.8618961761026683E-3</v>
      </c>
      <c r="W77" s="1"/>
      <c r="X77" s="1">
        <f t="shared" ref="X77:X82" si="66">+P77-T77</f>
        <v>553.4</v>
      </c>
      <c r="Y77" s="1"/>
      <c r="Z77" s="5">
        <f t="shared" ref="Z77:Z82" si="67">IF(T77=0,0,X77/T77)</f>
        <v>0.9531519118153633</v>
      </c>
    </row>
    <row r="78" spans="1:26" s="24" customFormat="1" hidden="1" outlineLevel="2" x14ac:dyDescent="0.25">
      <c r="A78" s="28"/>
      <c r="B78" s="11" t="str">
        <f>CONCATENATE("          ", "6309", " - ", "TELEPHONE")</f>
        <v xml:space="preserve">          6309 - TELEPHONE</v>
      </c>
      <c r="C78" s="11"/>
      <c r="D78" s="6">
        <v>320</v>
      </c>
      <c r="E78" s="2"/>
      <c r="F78" s="7">
        <f t="shared" si="60"/>
        <v>2.4078960932638352E-2</v>
      </c>
      <c r="G78" s="2"/>
      <c r="H78" s="6">
        <v>138.1</v>
      </c>
      <c r="I78" s="2"/>
      <c r="J78" s="7">
        <f t="shared" si="61"/>
        <v>9.951600344883123E-4</v>
      </c>
      <c r="K78" s="2"/>
      <c r="L78" s="6">
        <f t="shared" si="62"/>
        <v>181.9</v>
      </c>
      <c r="M78" s="2"/>
      <c r="N78" s="7">
        <f t="shared" si="63"/>
        <v>1.3171614771904419</v>
      </c>
      <c r="O78" s="11"/>
      <c r="P78" s="6">
        <v>1134</v>
      </c>
      <c r="Q78" s="2"/>
      <c r="R78" s="7">
        <f t="shared" si="64"/>
        <v>4.2493873237853273E-2</v>
      </c>
      <c r="S78" s="2"/>
      <c r="T78" s="6">
        <v>580.6</v>
      </c>
      <c r="U78" s="2"/>
      <c r="V78" s="7">
        <f t="shared" si="65"/>
        <v>1.8618961761026683E-3</v>
      </c>
      <c r="W78" s="2"/>
      <c r="X78" s="6">
        <f t="shared" si="66"/>
        <v>553.4</v>
      </c>
      <c r="Y78" s="2"/>
      <c r="Z78" s="7">
        <f t="shared" si="67"/>
        <v>0.9531519118153633</v>
      </c>
    </row>
    <row r="79" spans="1:26" s="29" customFormat="1" outlineLevel="1" collapsed="1" x14ac:dyDescent="0.25">
      <c r="A79" s="27"/>
      <c r="B79" s="14" t="str">
        <f>CONCATENATE("     ","Training                                          ")</f>
        <v xml:space="preserve">     Training                                          </v>
      </c>
      <c r="C79" s="14"/>
      <c r="D79" s="1">
        <f>SUM(OSRRefD22_16x_0)</f>
        <v>0</v>
      </c>
      <c r="E79" s="1"/>
      <c r="F79" s="5">
        <f t="shared" si="60"/>
        <v>0</v>
      </c>
      <c r="G79" s="1"/>
      <c r="H79" s="1">
        <f>SUM(OSRRefH22_16x_0)</f>
        <v>48</v>
      </c>
      <c r="I79" s="1"/>
      <c r="J79" s="5">
        <f t="shared" si="61"/>
        <v>3.4589197433337432E-4</v>
      </c>
      <c r="K79" s="1"/>
      <c r="L79" s="1">
        <f t="shared" si="62"/>
        <v>-48</v>
      </c>
      <c r="M79" s="1"/>
      <c r="N79" s="5">
        <f t="shared" si="63"/>
        <v>-1</v>
      </c>
      <c r="O79" s="14"/>
      <c r="P79" s="1">
        <f>SUM(OSRRefP22_16x_0)</f>
        <v>0</v>
      </c>
      <c r="Q79" s="1"/>
      <c r="R79" s="5">
        <f t="shared" si="64"/>
        <v>0</v>
      </c>
      <c r="S79" s="1"/>
      <c r="T79" s="1">
        <f>SUM(OSRRefT22_16x_0)</f>
        <v>144</v>
      </c>
      <c r="U79" s="1"/>
      <c r="V79" s="5">
        <f t="shared" si="65"/>
        <v>4.6178616837544651E-4</v>
      </c>
      <c r="W79" s="1"/>
      <c r="X79" s="1">
        <f t="shared" si="66"/>
        <v>-144</v>
      </c>
      <c r="Y79" s="1"/>
      <c r="Z79" s="5">
        <f t="shared" si="67"/>
        <v>-1</v>
      </c>
    </row>
    <row r="80" spans="1:26" s="24" customFormat="1" hidden="1" outlineLevel="2" x14ac:dyDescent="0.25">
      <c r="A80" s="28"/>
      <c r="B80" s="11" t="str">
        <f>CONCATENATE("          ", "6376", " - ", "TRAINING")</f>
        <v xml:space="preserve">          6376 - TRAINING</v>
      </c>
      <c r="C80" s="11"/>
      <c r="D80" s="6"/>
      <c r="E80" s="2"/>
      <c r="F80" s="7">
        <f t="shared" si="60"/>
        <v>0</v>
      </c>
      <c r="G80" s="2"/>
      <c r="H80" s="6">
        <v>48</v>
      </c>
      <c r="I80" s="2"/>
      <c r="J80" s="7">
        <f t="shared" si="61"/>
        <v>3.4589197433337432E-4</v>
      </c>
      <c r="K80" s="2"/>
      <c r="L80" s="6">
        <f t="shared" si="62"/>
        <v>-48</v>
      </c>
      <c r="M80" s="2"/>
      <c r="N80" s="7">
        <f t="shared" si="63"/>
        <v>-1</v>
      </c>
      <c r="O80" s="11"/>
      <c r="P80" s="6"/>
      <c r="Q80" s="2"/>
      <c r="R80" s="7">
        <f t="shared" si="64"/>
        <v>0</v>
      </c>
      <c r="S80" s="2"/>
      <c r="T80" s="6">
        <v>144</v>
      </c>
      <c r="U80" s="2"/>
      <c r="V80" s="7">
        <f t="shared" si="65"/>
        <v>4.6178616837544651E-4</v>
      </c>
      <c r="W80" s="2"/>
      <c r="X80" s="6">
        <f t="shared" si="66"/>
        <v>-144</v>
      </c>
      <c r="Y80" s="2"/>
      <c r="Z80" s="7">
        <f t="shared" si="67"/>
        <v>-1</v>
      </c>
    </row>
    <row r="81" spans="1:26" s="29" customFormat="1" outlineLevel="1" collapsed="1" x14ac:dyDescent="0.25">
      <c r="A81" s="27"/>
      <c r="B81" s="14" t="str">
        <f>CONCATENATE("     ","Utilities                                         ")</f>
        <v xml:space="preserve">     Utilities                                         </v>
      </c>
      <c r="C81" s="14"/>
      <c r="D81" s="1">
        <f>SUM(OSRRefD22_17x_0)</f>
        <v>2300</v>
      </c>
      <c r="E81" s="1"/>
      <c r="F81" s="5">
        <f t="shared" si="60"/>
        <v>0.17306753170333816</v>
      </c>
      <c r="G81" s="1"/>
      <c r="H81" s="1">
        <f>SUM(OSRRefH22_17x_0)</f>
        <v>2031</v>
      </c>
      <c r="I81" s="1"/>
      <c r="J81" s="5">
        <f t="shared" si="61"/>
        <v>1.46355541639809E-2</v>
      </c>
      <c r="K81" s="1"/>
      <c r="L81" s="1">
        <f t="shared" si="62"/>
        <v>269</v>
      </c>
      <c r="M81" s="1"/>
      <c r="N81" s="5">
        <f t="shared" si="63"/>
        <v>0.13244707040866568</v>
      </c>
      <c r="O81" s="14"/>
      <c r="P81" s="1">
        <f>SUM(OSRRefP22_17x_0)</f>
        <v>9200</v>
      </c>
      <c r="Q81" s="1"/>
      <c r="R81" s="5">
        <f t="shared" si="64"/>
        <v>0.34474747247641102</v>
      </c>
      <c r="S81" s="1"/>
      <c r="T81" s="1">
        <f>SUM(OSRRefT22_17x_0)</f>
        <v>6093</v>
      </c>
      <c r="U81" s="1"/>
      <c r="V81" s="5">
        <f t="shared" si="65"/>
        <v>1.953932724938608E-2</v>
      </c>
      <c r="W81" s="1"/>
      <c r="X81" s="1">
        <f t="shared" si="66"/>
        <v>3107</v>
      </c>
      <c r="Y81" s="1"/>
      <c r="Z81" s="5">
        <f t="shared" si="67"/>
        <v>0.50992942721155421</v>
      </c>
    </row>
    <row r="82" spans="1:26" s="24" customFormat="1" hidden="1" outlineLevel="2" x14ac:dyDescent="0.25">
      <c r="A82" s="28"/>
      <c r="B82" s="11" t="str">
        <f>CONCATENATE("          ", "6274", " - ", "UTILITIES")</f>
        <v xml:space="preserve">          6274 - UTILITIES</v>
      </c>
      <c r="C82" s="11"/>
      <c r="D82" s="6">
        <v>2300</v>
      </c>
      <c r="E82" s="2"/>
      <c r="F82" s="7">
        <f t="shared" si="60"/>
        <v>0.17306753170333816</v>
      </c>
      <c r="G82" s="2"/>
      <c r="H82" s="6">
        <v>2031</v>
      </c>
      <c r="I82" s="2"/>
      <c r="J82" s="7">
        <f t="shared" si="61"/>
        <v>1.46355541639809E-2</v>
      </c>
      <c r="K82" s="2"/>
      <c r="L82" s="6">
        <f t="shared" si="62"/>
        <v>269</v>
      </c>
      <c r="M82" s="2"/>
      <c r="N82" s="7">
        <f t="shared" si="63"/>
        <v>0.13244707040866568</v>
      </c>
      <c r="O82" s="11"/>
      <c r="P82" s="6">
        <v>9200</v>
      </c>
      <c r="Q82" s="2"/>
      <c r="R82" s="7">
        <f t="shared" si="64"/>
        <v>0.34474747247641102</v>
      </c>
      <c r="S82" s="2"/>
      <c r="T82" s="6">
        <v>6093</v>
      </c>
      <c r="U82" s="2"/>
      <c r="V82" s="7">
        <f t="shared" si="65"/>
        <v>1.953932724938608E-2</v>
      </c>
      <c r="W82" s="2"/>
      <c r="X82" s="6">
        <f t="shared" si="66"/>
        <v>3107</v>
      </c>
      <c r="Y82" s="2"/>
      <c r="Z82" s="7">
        <f t="shared" si="67"/>
        <v>0.50992942721155421</v>
      </c>
    </row>
    <row r="83" spans="1:26" s="57" customFormat="1" x14ac:dyDescent="0.25">
      <c r="A83" s="37"/>
      <c r="B83" s="37"/>
      <c r="C83" s="37"/>
      <c r="D83" s="1"/>
      <c r="E83" s="1"/>
      <c r="F83" s="5"/>
      <c r="G83" s="1"/>
      <c r="H83" s="1"/>
      <c r="I83" s="1"/>
      <c r="J83" s="5"/>
      <c r="K83" s="1"/>
      <c r="L83" s="1"/>
      <c r="M83" s="1"/>
      <c r="N83" s="5"/>
      <c r="O83" s="37"/>
      <c r="P83" s="1"/>
      <c r="Q83" s="1"/>
      <c r="R83" s="5"/>
      <c r="S83" s="1"/>
      <c r="T83" s="1"/>
      <c r="U83" s="1"/>
      <c r="V83" s="5"/>
      <c r="W83" s="1"/>
      <c r="X83" s="1"/>
      <c r="Y83" s="1"/>
      <c r="Z83" s="5"/>
    </row>
    <row r="84" spans="1:26" s="23" customFormat="1" x14ac:dyDescent="0.25">
      <c r="A84" s="10"/>
      <c r="B84" s="26" t="s">
        <v>0</v>
      </c>
      <c r="C84" s="10"/>
      <c r="D84" s="4">
        <f>SUM(0)</f>
        <v>0</v>
      </c>
      <c r="E84" s="4"/>
      <c r="F84" s="12">
        <f>IF(D$12=0,0,D84/D$12)</f>
        <v>0</v>
      </c>
      <c r="G84" s="4"/>
      <c r="H84" s="4">
        <f>SUM(0)</f>
        <v>0</v>
      </c>
      <c r="I84" s="4"/>
      <c r="J84" s="12">
        <f>IF(H$12=0,0,H84/H$12)</f>
        <v>0</v>
      </c>
      <c r="K84" s="4"/>
      <c r="L84" s="4">
        <f>+D84-H84</f>
        <v>0</v>
      </c>
      <c r="M84" s="4"/>
      <c r="N84" s="12">
        <f>IF(H84=0,0,L84/H84)</f>
        <v>0</v>
      </c>
      <c r="O84" s="10"/>
      <c r="P84" s="4">
        <f>SUM(0)</f>
        <v>0</v>
      </c>
      <c r="Q84" s="4"/>
      <c r="R84" s="12">
        <f>IF(P$12=0,0,P84/P$12)</f>
        <v>0</v>
      </c>
      <c r="S84" s="4"/>
      <c r="T84" s="4">
        <f>SUM(0)</f>
        <v>0</v>
      </c>
      <c r="U84" s="4"/>
      <c r="V84" s="12">
        <f>IF(T$12=0,0,T84/T$12)</f>
        <v>0</v>
      </c>
      <c r="W84" s="4"/>
      <c r="X84" s="4">
        <f>+P84-T84</f>
        <v>0</v>
      </c>
      <c r="Y84" s="4"/>
      <c r="Z84" s="12">
        <f>IF(T84=0,0,X84/T84)</f>
        <v>0</v>
      </c>
    </row>
    <row r="85" spans="1:26" x14ac:dyDescent="0.25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25">
      <c r="A86" s="10"/>
      <c r="B86" s="25" t="s">
        <v>3</v>
      </c>
      <c r="C86" s="25"/>
      <c r="D86" s="20">
        <f>+D20-D22+D84</f>
        <v>-68375.940000000031</v>
      </c>
      <c r="E86" s="13"/>
      <c r="F86" s="21">
        <f>IF(D$12=0,0,D86/D$12)</f>
        <v>-5.1450674624763275</v>
      </c>
      <c r="G86" s="13"/>
      <c r="H86" s="20">
        <f>+H20-H22+H84</f>
        <v>11822.290000000008</v>
      </c>
      <c r="I86" s="13"/>
      <c r="J86" s="21">
        <f>IF(H$12=0,0,H86/H$12)</f>
        <v>8.5192400609202301E-2</v>
      </c>
      <c r="K86" s="15"/>
      <c r="L86" s="20">
        <f>+D86-H86</f>
        <v>-80198.23000000004</v>
      </c>
      <c r="M86" s="15"/>
      <c r="N86" s="21">
        <f>IF(H86=0,0,L86/H86)</f>
        <v>-6.7836459772176108</v>
      </c>
      <c r="O86" s="26"/>
      <c r="P86" s="20">
        <f>+P20-P22+P84</f>
        <v>-251040.17999999991</v>
      </c>
      <c r="Q86" s="13"/>
      <c r="R86" s="21">
        <f>IF(P$12=0,0,P86/P$12)</f>
        <v>-9.4071160375025258</v>
      </c>
      <c r="S86" s="13"/>
      <c r="T86" s="20">
        <f>+T20-T22+T84</f>
        <v>-73519.379999999946</v>
      </c>
      <c r="U86" s="13"/>
      <c r="V86" s="21">
        <f>IF(T$12=0,0,T86/T$12)</f>
        <v>-0.23576550549679451</v>
      </c>
      <c r="W86" s="15"/>
      <c r="X86" s="20">
        <f>+P86-T86</f>
        <v>-177520.79999999996</v>
      </c>
      <c r="Y86" s="15"/>
      <c r="Z86" s="21">
        <f>IF(T86=0,0,X86/T86)</f>
        <v>2.4146123103867319</v>
      </c>
    </row>
    <row r="87" spans="1:26" x14ac:dyDescent="0.25">
      <c r="A87" s="9"/>
      <c r="B87" s="10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x14ac:dyDescent="0.25">
      <c r="A88" s="51"/>
      <c r="B88" s="10" t="s">
        <v>13</v>
      </c>
      <c r="C88" s="10"/>
      <c r="D88" s="4">
        <v>3299.02</v>
      </c>
      <c r="E88" s="4"/>
      <c r="F88" s="12">
        <f>IF(D$12=0,0,D88/D$12)</f>
        <v>0.24824054279997682</v>
      </c>
      <c r="G88" s="4"/>
      <c r="H88" s="4">
        <v>12800.83</v>
      </c>
      <c r="I88" s="4"/>
      <c r="J88" s="12">
        <f>IF(H$12=0,0,H88/H$12)</f>
        <v>9.2243840870955995E-2</v>
      </c>
      <c r="K88" s="4"/>
      <c r="L88" s="4">
        <f>+D88-H88</f>
        <v>-9501.81</v>
      </c>
      <c r="M88" s="4"/>
      <c r="N88" s="12">
        <f>IF(H88=0,0,L88/H88)</f>
        <v>-0.74228077398106218</v>
      </c>
      <c r="O88" s="10"/>
      <c r="P88" s="4">
        <v>5780.81</v>
      </c>
      <c r="Q88" s="4"/>
      <c r="R88" s="12">
        <f>IF(P$12=0,0,P88/P$12)</f>
        <v>0.21662169960503933</v>
      </c>
      <c r="S88" s="4"/>
      <c r="T88" s="4">
        <v>31389.870000000003</v>
      </c>
      <c r="U88" s="4"/>
      <c r="V88" s="12">
        <f>IF(T$12=0,0,T88/T$12)</f>
        <v>0.10066255411877346</v>
      </c>
      <c r="W88" s="4"/>
      <c r="X88" s="4">
        <f>+P88-T88</f>
        <v>-25609.06</v>
      </c>
      <c r="Y88" s="4"/>
      <c r="Z88" s="12">
        <f>IF(T88=0,0,X88/T88)</f>
        <v>-0.81583835804353444</v>
      </c>
    </row>
    <row r="89" spans="1:26" x14ac:dyDescent="0.25">
      <c r="A89" s="9"/>
      <c r="B89" s="10"/>
      <c r="C89" s="10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0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ht="15.75" thickBot="1" x14ac:dyDescent="0.3">
      <c r="A90" s="10"/>
      <c r="B90" s="25" t="s">
        <v>4</v>
      </c>
      <c r="C90" s="25"/>
      <c r="D90" s="30">
        <f>+D86-D88</f>
        <v>-71674.960000000036</v>
      </c>
      <c r="E90" s="13"/>
      <c r="F90" s="33">
        <f>IF(D$12=0,0,D90/D$12)</f>
        <v>-5.3933080052763049</v>
      </c>
      <c r="G90" s="13"/>
      <c r="H90" s="30">
        <f>+H86-H88</f>
        <v>-978.53999999999178</v>
      </c>
      <c r="I90" s="13"/>
      <c r="J90" s="33">
        <f>IF(H$12=0,0,H90/H$12)</f>
        <v>-7.0514402617536925E-3</v>
      </c>
      <c r="K90" s="15"/>
      <c r="L90" s="30">
        <f>D90-H90</f>
        <v>-70696.420000000042</v>
      </c>
      <c r="M90" s="15"/>
      <c r="N90" s="33">
        <f>IF(H90=0,0,L90/H90)</f>
        <v>72.246837124696626</v>
      </c>
      <c r="O90" s="26"/>
      <c r="P90" s="30">
        <f>+P86-P88</f>
        <v>-256820.9899999999</v>
      </c>
      <c r="Q90" s="13"/>
      <c r="R90" s="33">
        <f>IF(P$12=0,0,P90/P$12)</f>
        <v>-9.6237377371075645</v>
      </c>
      <c r="S90" s="13"/>
      <c r="T90" s="30">
        <f>+T86-T88</f>
        <v>-104909.24999999994</v>
      </c>
      <c r="U90" s="13"/>
      <c r="V90" s="33">
        <f>IF(T$12=0,0,T90/T$12)</f>
        <v>-0.33642805961556793</v>
      </c>
      <c r="W90" s="15"/>
      <c r="X90" s="30">
        <f>P90-T90</f>
        <v>-151911.73999999996</v>
      </c>
      <c r="Y90" s="15"/>
      <c r="Z90" s="33">
        <f>IF(T90=0,0,X90/T90)</f>
        <v>1.4480299878228091</v>
      </c>
    </row>
    <row r="91" spans="1:26" ht="15.75" thickTop="1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x14ac:dyDescent="0.25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ht="15.75" thickBot="1" x14ac:dyDescent="0.3">
      <c r="A93" s="10"/>
      <c r="B93" s="25" t="s">
        <v>5</v>
      </c>
      <c r="C93" s="25"/>
      <c r="D93" s="34">
        <f>SUM(D90:D92)</f>
        <v>-71674.960000000036</v>
      </c>
      <c r="E93" s="13"/>
      <c r="F93" s="35">
        <f>IF(D$12=0,0,D93/D$12)</f>
        <v>-5.3933080052763049</v>
      </c>
      <c r="G93" s="13"/>
      <c r="H93" s="34">
        <f>SUM(H90:H92)</f>
        <v>-978.53999999999178</v>
      </c>
      <c r="I93" s="13"/>
      <c r="J93" s="35">
        <f>IF(H$12=0,0,H93/H$12)</f>
        <v>-7.0514402617536925E-3</v>
      </c>
      <c r="K93" s="15"/>
      <c r="L93" s="34">
        <f>+D93-H93</f>
        <v>-70696.420000000042</v>
      </c>
      <c r="M93" s="15"/>
      <c r="N93" s="35">
        <f>IF(H93=0,0,L93/H93)</f>
        <v>72.246837124696626</v>
      </c>
      <c r="O93" s="26"/>
      <c r="P93" s="34">
        <f>SUM(P90:P92)</f>
        <v>-256820.9899999999</v>
      </c>
      <c r="Q93" s="13"/>
      <c r="R93" s="35">
        <f>IF(P$12=0,0,P93/P$12)</f>
        <v>-9.6237377371075645</v>
      </c>
      <c r="S93" s="13"/>
      <c r="T93" s="34">
        <f>SUM(T90:T92)</f>
        <v>-104909.24999999994</v>
      </c>
      <c r="U93" s="13"/>
      <c r="V93" s="35">
        <f>IF(T$12=0,0,T93/T$12)</f>
        <v>-0.33642805961556793</v>
      </c>
      <c r="W93" s="15"/>
      <c r="X93" s="34">
        <f>+P93-T93</f>
        <v>-151911.73999999996</v>
      </c>
      <c r="Y93" s="15"/>
      <c r="Z93" s="35">
        <f>IF(T93=0,0,X93/T93)</f>
        <v>1.4480299878228091</v>
      </c>
    </row>
    <row r="94" spans="1:26" ht="15.75" thickTop="1" x14ac:dyDescent="0.25">
      <c r="A94" s="9"/>
      <c r="C94" s="9"/>
      <c r="D94" s="18"/>
      <c r="E94" s="18"/>
      <c r="G94" s="18"/>
      <c r="H94" s="18"/>
      <c r="I94" s="18"/>
      <c r="J94" s="43"/>
      <c r="K94" s="18"/>
      <c r="L94" s="18"/>
      <c r="M94" s="18"/>
      <c r="P94" s="18"/>
      <c r="Q94" s="18"/>
      <c r="R94" s="43"/>
      <c r="S94" s="18"/>
      <c r="T94" s="18"/>
      <c r="U94" s="18"/>
      <c r="V94" s="43"/>
      <c r="W94" s="18"/>
      <c r="X94" s="18"/>
    </row>
    <row r="95" spans="1:26" x14ac:dyDescent="0.25">
      <c r="A95" s="9"/>
      <c r="B95" s="56">
        <v>44151.572816122687</v>
      </c>
      <c r="D95" s="18"/>
      <c r="E95" s="18"/>
      <c r="G95" s="18"/>
      <c r="H95" s="18"/>
      <c r="I95" s="18"/>
      <c r="J95" s="43"/>
      <c r="K95" s="18"/>
      <c r="L95" s="18"/>
      <c r="M95" s="18"/>
      <c r="P95" s="18"/>
      <c r="Q95" s="18"/>
      <c r="R95" s="43"/>
      <c r="S95" s="18"/>
      <c r="T95" s="18"/>
      <c r="U95" s="18"/>
      <c r="V95" s="43"/>
      <c r="W95" s="18"/>
      <c r="X95" s="18"/>
    </row>
    <row r="96" spans="1:26" x14ac:dyDescent="0.25">
      <c r="A96" s="9"/>
      <c r="B96" s="62" t="s">
        <v>313</v>
      </c>
      <c r="D96" s="18"/>
      <c r="E96" s="18"/>
      <c r="G96" s="18"/>
      <c r="H96" s="18"/>
      <c r="I96" s="18"/>
      <c r="J96" s="43"/>
      <c r="K96" s="18"/>
      <c r="L96" s="18"/>
      <c r="M96" s="18"/>
      <c r="P96" s="18"/>
      <c r="Q96" s="18"/>
      <c r="R96" s="43"/>
      <c r="S96" s="18"/>
      <c r="T96" s="18"/>
      <c r="U96" s="18"/>
      <c r="V96" s="43"/>
      <c r="W96" s="18"/>
      <c r="X96" s="18"/>
    </row>
    <row r="97" spans="1:24" x14ac:dyDescent="0.25">
      <c r="A97" s="9"/>
      <c r="B97" s="54"/>
      <c r="D97" s="18"/>
      <c r="E97" s="18"/>
      <c r="G97" s="18"/>
      <c r="H97" s="18"/>
      <c r="I97" s="18"/>
      <c r="J97" s="43"/>
      <c r="K97" s="18"/>
      <c r="L97" s="18"/>
      <c r="M97" s="18"/>
      <c r="P97" s="18"/>
      <c r="Q97" s="18"/>
      <c r="R97" s="43"/>
      <c r="S97" s="18"/>
      <c r="T97" s="18"/>
      <c r="U97" s="18"/>
      <c r="V97" s="43"/>
      <c r="W97" s="18"/>
      <c r="X97" s="18"/>
    </row>
    <row r="98" spans="1:24" x14ac:dyDescent="0.25">
      <c r="D98" s="18"/>
      <c r="E98" s="18"/>
      <c r="G98" s="18"/>
      <c r="H98" s="18"/>
      <c r="I98" s="18"/>
      <c r="J98" s="43"/>
      <c r="K98" s="18"/>
      <c r="L98" s="18"/>
      <c r="M98" s="18"/>
      <c r="P98" s="18"/>
      <c r="Q98" s="18"/>
      <c r="R98" s="43"/>
      <c r="S98" s="18"/>
      <c r="T98" s="18"/>
      <c r="U98" s="18"/>
      <c r="V98" s="43"/>
      <c r="W98" s="18"/>
      <c r="X98" s="18"/>
    </row>
  </sheetData>
  <pageMargins left="0.25" right="0.25" top="0.75" bottom="0.75" header="0.3" footer="0.3"/>
  <pageSetup scale="55" fitToWidth="2" orientation="landscape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",RIGHT(202104,2),", ",2021)</f>
        <v>Period 04,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44135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","418", " - ", "Nugget")</f>
        <v>Department 418 - Nugget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61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50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50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2"/>
      <c r="F10" s="31" t="s">
        <v>14</v>
      </c>
      <c r="G10" s="32"/>
      <c r="H10" s="49" t="s">
        <v>306</v>
      </c>
      <c r="I10" s="32"/>
      <c r="J10" s="31" t="s">
        <v>14</v>
      </c>
      <c r="K10" s="10"/>
      <c r="L10" s="42" t="s">
        <v>11</v>
      </c>
      <c r="M10" s="10"/>
      <c r="N10" s="31" t="s">
        <v>15</v>
      </c>
      <c r="O10" s="10"/>
      <c r="P10" s="59" t="s">
        <v>10</v>
      </c>
      <c r="Q10" s="32"/>
      <c r="R10" s="31" t="s">
        <v>14</v>
      </c>
      <c r="S10" s="32"/>
      <c r="T10" s="49" t="s">
        <v>306</v>
      </c>
      <c r="U10" s="32"/>
      <c r="V10" s="31" t="s">
        <v>14</v>
      </c>
      <c r="W10" s="10"/>
      <c r="X10" s="42" t="s">
        <v>11</v>
      </c>
      <c r="Y10" s="10"/>
      <c r="Z10" s="31" t="s">
        <v>15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224348.40999999997</v>
      </c>
      <c r="I12" s="4"/>
      <c r="J12" s="12"/>
      <c r="K12" s="4"/>
      <c r="L12" s="4">
        <f t="shared" ref="L12:L14" si="0">+D12-H12</f>
        <v>-224348.40999999997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518238.63</v>
      </c>
      <c r="U12" s="4"/>
      <c r="V12" s="12"/>
      <c r="W12" s="4"/>
      <c r="X12" s="4">
        <f t="shared" ref="X12:X14" si="2">+P12-T12</f>
        <v>-518238.63</v>
      </c>
      <c r="Y12" s="4"/>
      <c r="Z12" s="12">
        <f t="shared" ref="Z12:Z14" si="3">IF(T12=0,0,X12/T12)</f>
        <v>-1</v>
      </c>
    </row>
    <row r="13" spans="1:26" s="24" customFormat="1" hidden="1" outlineLevel="1" x14ac:dyDescent="0.25">
      <c r="A13" s="44"/>
      <c r="B13" s="11" t="str">
        <f>CONCATENATE("          ", "4055", " - ", "TAXABLE SALES-FOOD")</f>
        <v xml:space="preserve">          4055 - TAXABLE SALES-FOOD</v>
      </c>
      <c r="C13" s="11"/>
      <c r="D13" s="2">
        <f t="shared" ref="D13:D14" si="4">0</f>
        <v>0</v>
      </c>
      <c r="E13" s="2"/>
      <c r="F13" s="19"/>
      <c r="G13" s="2"/>
      <c r="H13" s="2">
        <f>--75155.92</f>
        <v>75155.92</v>
      </c>
      <c r="I13" s="2"/>
      <c r="J13" s="19"/>
      <c r="K13" s="2"/>
      <c r="L13" s="2">
        <f t="shared" si="0"/>
        <v>-75155.92</v>
      </c>
      <c r="M13" s="2"/>
      <c r="N13" s="19">
        <f t="shared" si="1"/>
        <v>-1</v>
      </c>
      <c r="O13" s="11"/>
      <c r="P13" s="2">
        <f t="shared" ref="P13:P14" si="5">0</f>
        <v>0</v>
      </c>
      <c r="Q13" s="2"/>
      <c r="R13" s="19"/>
      <c r="S13" s="2"/>
      <c r="T13" s="2">
        <f>--185991.6</f>
        <v>185991.6</v>
      </c>
      <c r="U13" s="2"/>
      <c r="V13" s="19"/>
      <c r="W13" s="2"/>
      <c r="X13" s="2">
        <f t="shared" si="2"/>
        <v>-185991.6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"4155", " - ", "NON-TAXABLE SALES-FOOD")</f>
        <v xml:space="preserve">          4155 - NON-TAXABLE SALES-FOOD</v>
      </c>
      <c r="C14" s="11"/>
      <c r="D14" s="2">
        <f t="shared" si="4"/>
        <v>0</v>
      </c>
      <c r="E14" s="2"/>
      <c r="F14" s="19"/>
      <c r="G14" s="2"/>
      <c r="H14" s="2">
        <f>--149192.49</f>
        <v>149192.49</v>
      </c>
      <c r="I14" s="2"/>
      <c r="J14" s="19"/>
      <c r="K14" s="2"/>
      <c r="L14" s="2">
        <f t="shared" si="0"/>
        <v>-149192.49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f>--332247.03</f>
        <v>332247.03000000003</v>
      </c>
      <c r="U14" s="2"/>
      <c r="V14" s="19"/>
      <c r="W14" s="2"/>
      <c r="X14" s="2">
        <f t="shared" si="2"/>
        <v>-332247.03000000003</v>
      </c>
      <c r="Y14" s="2"/>
      <c r="Z14" s="19">
        <f t="shared" si="3"/>
        <v>-1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6" t="s">
        <v>8</v>
      </c>
      <c r="C16" s="10"/>
      <c r="D16" s="4">
        <f>SUM(OSRRefD16x_0)</f>
        <v>0</v>
      </c>
      <c r="E16" s="4"/>
      <c r="F16" s="12">
        <f t="shared" ref="F16:F18" si="6">IF(D$12=0,0,D16/D$12)</f>
        <v>0</v>
      </c>
      <c r="G16" s="4"/>
      <c r="H16" s="4">
        <f>SUM(OSRRefH16x_0)</f>
        <v>59637.06</v>
      </c>
      <c r="I16" s="4"/>
      <c r="J16" s="12">
        <f t="shared" ref="J16:J18" si="7">IF(H$12=0,0,H16/H$12)</f>
        <v>0.26582341278906324</v>
      </c>
      <c r="K16" s="4"/>
      <c r="L16" s="4">
        <f t="shared" ref="L16:L18" si="8">+D16-H16</f>
        <v>-59637.06</v>
      </c>
      <c r="M16" s="4"/>
      <c r="N16" s="12">
        <f t="shared" ref="N16:N18" si="9">IF(H16=0,0,L16/H16)</f>
        <v>-1</v>
      </c>
      <c r="O16" s="10"/>
      <c r="P16" s="4">
        <f>SUM(OSRRefP16x_0)</f>
        <v>0</v>
      </c>
      <c r="Q16" s="4"/>
      <c r="R16" s="12">
        <f t="shared" ref="R16:R18" si="10">IF(P$12=0,0,P16/P$12)</f>
        <v>0</v>
      </c>
      <c r="S16" s="4"/>
      <c r="T16" s="4">
        <f>SUM(OSRRefT16x_0)</f>
        <v>168122.55</v>
      </c>
      <c r="U16" s="4"/>
      <c r="V16" s="12">
        <f t="shared" ref="V16:V18" si="11">IF(T$12=0,0,T16/T$12)</f>
        <v>0.32441145886789641</v>
      </c>
      <c r="W16" s="4"/>
      <c r="X16" s="4">
        <f t="shared" ref="X16:X18" si="12">+P16-T16</f>
        <v>-168122.55</v>
      </c>
      <c r="Y16" s="4"/>
      <c r="Z16" s="12">
        <f t="shared" ref="Z16:Z18" si="13">IF(T16=0,0,X16/T16)</f>
        <v>-1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6"/>
        <v>0</v>
      </c>
      <c r="G17" s="2"/>
      <c r="H17" s="2">
        <v>70222.06</v>
      </c>
      <c r="I17" s="2"/>
      <c r="J17" s="19">
        <f t="shared" si="7"/>
        <v>0.31300449154063542</v>
      </c>
      <c r="K17" s="2"/>
      <c r="L17" s="2">
        <f t="shared" si="8"/>
        <v>-70222.06</v>
      </c>
      <c r="M17" s="2"/>
      <c r="N17" s="19">
        <f t="shared" si="9"/>
        <v>-1</v>
      </c>
      <c r="O17" s="11"/>
      <c r="P17" s="2"/>
      <c r="Q17" s="2"/>
      <c r="R17" s="19">
        <f t="shared" si="10"/>
        <v>0</v>
      </c>
      <c r="S17" s="2"/>
      <c r="T17" s="2">
        <v>179629.55</v>
      </c>
      <c r="U17" s="2"/>
      <c r="V17" s="19">
        <f t="shared" si="11"/>
        <v>0.34661551571329213</v>
      </c>
      <c r="W17" s="2"/>
      <c r="X17" s="2">
        <f t="shared" si="12"/>
        <v>-179629.55</v>
      </c>
      <c r="Y17" s="2"/>
      <c r="Z17" s="19">
        <f t="shared" si="13"/>
        <v>-1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/>
      <c r="E18" s="2"/>
      <c r="F18" s="19">
        <f t="shared" si="6"/>
        <v>0</v>
      </c>
      <c r="G18" s="2"/>
      <c r="H18" s="2">
        <v>-10585</v>
      </c>
      <c r="I18" s="2"/>
      <c r="J18" s="19">
        <f t="shared" si="7"/>
        <v>-4.7181078751572167E-2</v>
      </c>
      <c r="K18" s="2"/>
      <c r="L18" s="2">
        <f t="shared" si="8"/>
        <v>10585</v>
      </c>
      <c r="M18" s="2"/>
      <c r="N18" s="19">
        <f t="shared" si="9"/>
        <v>-1</v>
      </c>
      <c r="O18" s="11"/>
      <c r="P18" s="2"/>
      <c r="Q18" s="2"/>
      <c r="R18" s="19">
        <f t="shared" si="10"/>
        <v>0</v>
      </c>
      <c r="S18" s="2"/>
      <c r="T18" s="2">
        <v>-11507</v>
      </c>
      <c r="U18" s="2"/>
      <c r="V18" s="19">
        <f t="shared" si="11"/>
        <v>-2.2204056845395722E-2</v>
      </c>
      <c r="W18" s="2"/>
      <c r="X18" s="2">
        <f t="shared" si="12"/>
        <v>11507</v>
      </c>
      <c r="Y18" s="2"/>
      <c r="Z18" s="19">
        <f t="shared" si="13"/>
        <v>-1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5" t="s">
        <v>6</v>
      </c>
      <c r="C20" s="25"/>
      <c r="D20" s="20">
        <f>D12-D16</f>
        <v>0</v>
      </c>
      <c r="E20" s="13"/>
      <c r="F20" s="21">
        <f>IF(D$12=0,0,D20/D$12)</f>
        <v>0</v>
      </c>
      <c r="G20" s="13"/>
      <c r="H20" s="20">
        <f>H12-H16</f>
        <v>164711.34999999998</v>
      </c>
      <c r="I20" s="13"/>
      <c r="J20" s="21">
        <f>IF(H$12=0,0,H20/H$12)</f>
        <v>0.7341765872109367</v>
      </c>
      <c r="K20" s="15"/>
      <c r="L20" s="20">
        <f>+D20-H20</f>
        <v>-164711.34999999998</v>
      </c>
      <c r="M20" s="15"/>
      <c r="N20" s="21">
        <f>IF(H20=0,0,L20/H20)</f>
        <v>-1</v>
      </c>
      <c r="O20" s="26"/>
      <c r="P20" s="20">
        <f>P12-P16</f>
        <v>0</v>
      </c>
      <c r="Q20" s="13"/>
      <c r="R20" s="21">
        <f>IF(P$12=0,0,P20/P$12)</f>
        <v>0</v>
      </c>
      <c r="S20" s="13"/>
      <c r="T20" s="20">
        <f>T12-T16</f>
        <v>350116.08</v>
      </c>
      <c r="U20" s="13"/>
      <c r="V20" s="21">
        <f>IF(T$12=0,0,T20/T$12)</f>
        <v>0.67558854113210354</v>
      </c>
      <c r="W20" s="15"/>
      <c r="X20" s="20">
        <f>+P20-T20</f>
        <v>-350116.08</v>
      </c>
      <c r="Y20" s="15"/>
      <c r="Z20" s="21">
        <f>IF(T20=0,0,X20/T20)</f>
        <v>-1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6" t="s">
        <v>9</v>
      </c>
      <c r="C22" s="10"/>
      <c r="D22" s="22">
        <f>SUM(OSRRefD22x_0)</f>
        <v>6784.05</v>
      </c>
      <c r="E22" s="22"/>
      <c r="F22" s="36">
        <f t="shared" ref="F22:F31" si="14">IF(D$12=0,0,D22/D$12)</f>
        <v>0</v>
      </c>
      <c r="G22" s="22"/>
      <c r="H22" s="22">
        <f>SUM(OSRRefH22x_0)</f>
        <v>87364.64999999998</v>
      </c>
      <c r="I22" s="22"/>
      <c r="J22" s="36">
        <f t="shared" ref="J22:J31" si="15">IF(H$12=0,0,H22/H$12)</f>
        <v>0.38941506204568149</v>
      </c>
      <c r="K22" s="4"/>
      <c r="L22" s="22">
        <f t="shared" ref="L22:L31" si="16">+D22-H22</f>
        <v>-80580.599999999977</v>
      </c>
      <c r="M22" s="4"/>
      <c r="N22" s="36">
        <f t="shared" ref="N22:N31" si="17">IF(H22=0,0,L22/H22)</f>
        <v>-0.92234788326857597</v>
      </c>
      <c r="O22" s="10"/>
      <c r="P22" s="22">
        <f>SUM(OSRRefP22x_0)</f>
        <v>38590.090000000004</v>
      </c>
      <c r="Q22" s="22"/>
      <c r="R22" s="36">
        <f t="shared" ref="R22:R31" si="18">IF(P$12=0,0,P22/P$12)</f>
        <v>0</v>
      </c>
      <c r="S22" s="22"/>
      <c r="T22" s="22">
        <f>SUM(OSRRefT22x_0)</f>
        <v>241601.36999999997</v>
      </c>
      <c r="U22" s="22"/>
      <c r="V22" s="36">
        <f t="shared" ref="V22:V31" si="19">IF(T$12=0,0,T22/T$12)</f>
        <v>0.46619714551190439</v>
      </c>
      <c r="W22" s="4"/>
      <c r="X22" s="22">
        <f t="shared" ref="X22:X31" si="20">+P22-T22</f>
        <v>-203011.27999999997</v>
      </c>
      <c r="Y22" s="4"/>
      <c r="Z22" s="36">
        <f t="shared" ref="Z22:Z31" si="21">IF(T22=0,0,X22/T22)</f>
        <v>-0.84027371202406675</v>
      </c>
    </row>
    <row r="23" spans="1:26" s="29" customFormat="1" outlineLevel="1" collapsed="1" x14ac:dyDescent="0.25">
      <c r="A23" s="27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0</v>
      </c>
      <c r="E23" s="1"/>
      <c r="F23" s="5">
        <f t="shared" si="14"/>
        <v>0</v>
      </c>
      <c r="G23" s="1"/>
      <c r="H23" s="1">
        <f>SUM(OSRRefH22_0x_0)</f>
        <v>8742.5600000000013</v>
      </c>
      <c r="I23" s="1"/>
      <c r="J23" s="5">
        <f t="shared" si="15"/>
        <v>3.8968673769517702E-2</v>
      </c>
      <c r="K23" s="1"/>
      <c r="L23" s="1">
        <f t="shared" si="16"/>
        <v>-8742.5600000000013</v>
      </c>
      <c r="M23" s="1"/>
      <c r="N23" s="5">
        <f t="shared" si="17"/>
        <v>-1</v>
      </c>
      <c r="O23" s="14"/>
      <c r="P23" s="1">
        <f>SUM(OSRRefP22_0x_0)</f>
        <v>6083.9599999999991</v>
      </c>
      <c r="Q23" s="1"/>
      <c r="R23" s="5">
        <f t="shared" si="18"/>
        <v>0</v>
      </c>
      <c r="S23" s="1"/>
      <c r="T23" s="1">
        <f>SUM(OSRRefT22_0x_0)</f>
        <v>27562.9</v>
      </c>
      <c r="U23" s="1"/>
      <c r="V23" s="5">
        <f t="shared" si="19"/>
        <v>5.3185730287994934E-2</v>
      </c>
      <c r="W23" s="1"/>
      <c r="X23" s="1">
        <f t="shared" si="20"/>
        <v>-21478.940000000002</v>
      </c>
      <c r="Y23" s="1"/>
      <c r="Z23" s="5">
        <f t="shared" si="21"/>
        <v>-0.77926996070805321</v>
      </c>
    </row>
    <row r="24" spans="1:26" s="24" customFormat="1" hidden="1" outlineLevel="2" x14ac:dyDescent="0.25">
      <c r="A24" s="28"/>
      <c r="B24" s="11" t="str">
        <f>CONCATENATE("          ", "6111", " - ", "F.I.C.A.")</f>
        <v xml:space="preserve">          6111 - F.I.C.A.</v>
      </c>
      <c r="C24" s="11"/>
      <c r="D24" s="6"/>
      <c r="E24" s="2"/>
      <c r="F24" s="7">
        <f t="shared" si="14"/>
        <v>0</v>
      </c>
      <c r="G24" s="2"/>
      <c r="H24" s="6">
        <v>3265.6</v>
      </c>
      <c r="I24" s="2"/>
      <c r="J24" s="7">
        <f t="shared" si="15"/>
        <v>1.4555931107334347E-2</v>
      </c>
      <c r="K24" s="2"/>
      <c r="L24" s="6">
        <f t="shared" si="16"/>
        <v>-3265.6</v>
      </c>
      <c r="M24" s="2"/>
      <c r="N24" s="7">
        <f t="shared" si="17"/>
        <v>-1</v>
      </c>
      <c r="O24" s="11"/>
      <c r="P24" s="6">
        <v>235.15</v>
      </c>
      <c r="Q24" s="2"/>
      <c r="R24" s="7">
        <f t="shared" si="18"/>
        <v>0</v>
      </c>
      <c r="S24" s="2"/>
      <c r="T24" s="6">
        <v>7354.44</v>
      </c>
      <c r="U24" s="2"/>
      <c r="V24" s="7">
        <f t="shared" si="19"/>
        <v>1.4191223066485799E-2</v>
      </c>
      <c r="W24" s="2"/>
      <c r="X24" s="6">
        <f t="shared" si="20"/>
        <v>-7119.29</v>
      </c>
      <c r="Y24" s="2"/>
      <c r="Z24" s="7">
        <f t="shared" si="21"/>
        <v>-0.96802611755619739</v>
      </c>
    </row>
    <row r="25" spans="1:26" s="24" customFormat="1" hidden="1" outlineLevel="2" x14ac:dyDescent="0.25">
      <c r="A25" s="28"/>
      <c r="B25" s="11" t="str">
        <f>CONCATENATE("          ", "6112", " - ", "COMPENSATION INSURANCE")</f>
        <v xml:space="preserve">          6112 - COMPENSATION INSURANCE</v>
      </c>
      <c r="C25" s="11"/>
      <c r="D25" s="6"/>
      <c r="E25" s="2"/>
      <c r="F25" s="7">
        <f t="shared" si="14"/>
        <v>0</v>
      </c>
      <c r="G25" s="2"/>
      <c r="H25" s="6">
        <v>-306.86</v>
      </c>
      <c r="I25" s="2"/>
      <c r="J25" s="7">
        <f t="shared" si="15"/>
        <v>-1.3677832617579062E-3</v>
      </c>
      <c r="K25" s="2"/>
      <c r="L25" s="6">
        <f t="shared" si="16"/>
        <v>306.86</v>
      </c>
      <c r="M25" s="2"/>
      <c r="N25" s="7">
        <f t="shared" si="17"/>
        <v>-1</v>
      </c>
      <c r="O25" s="11"/>
      <c r="P25" s="6"/>
      <c r="Q25" s="2"/>
      <c r="R25" s="7">
        <f t="shared" si="18"/>
        <v>0</v>
      </c>
      <c r="S25" s="2"/>
      <c r="T25" s="6">
        <v>2360.91</v>
      </c>
      <c r="U25" s="2"/>
      <c r="V25" s="7">
        <f t="shared" si="19"/>
        <v>4.5556426389904581E-3</v>
      </c>
      <c r="W25" s="2"/>
      <c r="X25" s="6">
        <f t="shared" si="20"/>
        <v>-2360.91</v>
      </c>
      <c r="Y25" s="2"/>
      <c r="Z25" s="7">
        <f t="shared" si="21"/>
        <v>-1</v>
      </c>
    </row>
    <row r="26" spans="1:26" s="24" customFormat="1" hidden="1" outlineLevel="2" x14ac:dyDescent="0.25">
      <c r="A26" s="28"/>
      <c r="B26" s="11" t="str">
        <f>CONCATENATE("          ", "6113", " - ", "GROUP INSURANCE")</f>
        <v xml:space="preserve">          6113 - GROUP INSURANCE</v>
      </c>
      <c r="C26" s="11"/>
      <c r="D26" s="6"/>
      <c r="E26" s="2"/>
      <c r="F26" s="7">
        <f t="shared" si="14"/>
        <v>0</v>
      </c>
      <c r="G26" s="2"/>
      <c r="H26" s="6">
        <v>2595.54</v>
      </c>
      <c r="I26" s="2"/>
      <c r="J26" s="7">
        <f t="shared" si="15"/>
        <v>1.1569237330454004E-2</v>
      </c>
      <c r="K26" s="2"/>
      <c r="L26" s="6">
        <f t="shared" si="16"/>
        <v>-2595.54</v>
      </c>
      <c r="M26" s="2"/>
      <c r="N26" s="7">
        <f t="shared" si="17"/>
        <v>-1</v>
      </c>
      <c r="O26" s="11"/>
      <c r="P26" s="6">
        <v>4780.67</v>
      </c>
      <c r="Q26" s="2"/>
      <c r="R26" s="7">
        <f t="shared" si="18"/>
        <v>0</v>
      </c>
      <c r="S26" s="2"/>
      <c r="T26" s="6">
        <v>10235.620000000001</v>
      </c>
      <c r="U26" s="2"/>
      <c r="V26" s="7">
        <f t="shared" si="19"/>
        <v>1.9750785463445674E-2</v>
      </c>
      <c r="W26" s="2"/>
      <c r="X26" s="6">
        <f t="shared" si="20"/>
        <v>-5454.9500000000007</v>
      </c>
      <c r="Y26" s="2"/>
      <c r="Z26" s="7">
        <f t="shared" si="21"/>
        <v>-0.53293791680425806</v>
      </c>
    </row>
    <row r="27" spans="1:26" s="24" customFormat="1" hidden="1" outlineLevel="2" x14ac:dyDescent="0.25">
      <c r="A27" s="28"/>
      <c r="B27" s="11" t="str">
        <f>CONCATENATE("          ", "6114", " - ", "STATE UNEMPLOYMENT INSURANCE")</f>
        <v xml:space="preserve">          6114 - STATE UNEMPLOYMENT INSURANCE</v>
      </c>
      <c r="C27" s="11"/>
      <c r="D27" s="6"/>
      <c r="E27" s="2"/>
      <c r="F27" s="7">
        <f t="shared" si="14"/>
        <v>0</v>
      </c>
      <c r="G27" s="2"/>
      <c r="H27" s="6">
        <v>116.71</v>
      </c>
      <c r="I27" s="2"/>
      <c r="J27" s="7">
        <f t="shared" si="15"/>
        <v>5.2021763827075939E-4</v>
      </c>
      <c r="K27" s="2"/>
      <c r="L27" s="6">
        <f t="shared" si="16"/>
        <v>-116.71</v>
      </c>
      <c r="M27" s="2"/>
      <c r="N27" s="7">
        <f t="shared" si="17"/>
        <v>-1</v>
      </c>
      <c r="O27" s="11"/>
      <c r="P27" s="6"/>
      <c r="Q27" s="2"/>
      <c r="R27" s="7">
        <f t="shared" si="18"/>
        <v>0</v>
      </c>
      <c r="S27" s="2"/>
      <c r="T27" s="6">
        <v>295.47000000000003</v>
      </c>
      <c r="U27" s="2"/>
      <c r="V27" s="7">
        <f t="shared" si="19"/>
        <v>5.7014275450674142E-4</v>
      </c>
      <c r="W27" s="2"/>
      <c r="X27" s="6">
        <f t="shared" si="20"/>
        <v>-295.47000000000003</v>
      </c>
      <c r="Y27" s="2"/>
      <c r="Z27" s="7">
        <f t="shared" si="21"/>
        <v>-1</v>
      </c>
    </row>
    <row r="28" spans="1:26" s="24" customFormat="1" hidden="1" outlineLevel="2" x14ac:dyDescent="0.25">
      <c r="A28" s="28"/>
      <c r="B28" s="11" t="str">
        <f>CONCATENATE("          ", "6115", " - ", "P.E.R.S.")</f>
        <v xml:space="preserve">          6115 - P.E.R.S.</v>
      </c>
      <c r="C28" s="11"/>
      <c r="D28" s="6"/>
      <c r="E28" s="2"/>
      <c r="F28" s="7">
        <f t="shared" si="14"/>
        <v>0</v>
      </c>
      <c r="G28" s="2"/>
      <c r="H28" s="6">
        <v>617.47</v>
      </c>
      <c r="I28" s="2"/>
      <c r="J28" s="7">
        <f t="shared" si="15"/>
        <v>2.7522815962903418E-3</v>
      </c>
      <c r="K28" s="2"/>
      <c r="L28" s="6">
        <f t="shared" si="16"/>
        <v>-617.47</v>
      </c>
      <c r="M28" s="2"/>
      <c r="N28" s="7">
        <f t="shared" si="17"/>
        <v>-1</v>
      </c>
      <c r="O28" s="11"/>
      <c r="P28" s="6">
        <v>678.15</v>
      </c>
      <c r="Q28" s="2"/>
      <c r="R28" s="7">
        <f t="shared" si="18"/>
        <v>0</v>
      </c>
      <c r="S28" s="2"/>
      <c r="T28" s="6">
        <v>1666.61</v>
      </c>
      <c r="U28" s="2"/>
      <c r="V28" s="7">
        <f t="shared" si="19"/>
        <v>3.2159123298083738E-3</v>
      </c>
      <c r="W28" s="2"/>
      <c r="X28" s="6">
        <f t="shared" si="20"/>
        <v>-988.45999999999992</v>
      </c>
      <c r="Y28" s="2"/>
      <c r="Z28" s="7">
        <f t="shared" si="21"/>
        <v>-0.59309616526961917</v>
      </c>
    </row>
    <row r="29" spans="1:26" s="24" customFormat="1" hidden="1" outlineLevel="2" x14ac:dyDescent="0.25">
      <c r="A29" s="28"/>
      <c r="B29" s="11" t="str">
        <f>CONCATENATE("          ", "6118", " - ", "VACATION")</f>
        <v xml:space="preserve">          6118 - VACATION</v>
      </c>
      <c r="C29" s="11"/>
      <c r="D29" s="6"/>
      <c r="E29" s="2"/>
      <c r="F29" s="7">
        <f t="shared" si="14"/>
        <v>0</v>
      </c>
      <c r="G29" s="2"/>
      <c r="H29" s="6">
        <v>943.98</v>
      </c>
      <c r="I29" s="2"/>
      <c r="J29" s="7">
        <f t="shared" si="15"/>
        <v>4.2076518393867829E-3</v>
      </c>
      <c r="K29" s="2"/>
      <c r="L29" s="6">
        <f t="shared" si="16"/>
        <v>-943.98</v>
      </c>
      <c r="M29" s="2"/>
      <c r="N29" s="7">
        <f t="shared" si="17"/>
        <v>-1</v>
      </c>
      <c r="O29" s="11"/>
      <c r="P29" s="6">
        <v>248.21</v>
      </c>
      <c r="Q29" s="2"/>
      <c r="R29" s="7">
        <f t="shared" si="18"/>
        <v>0</v>
      </c>
      <c r="S29" s="2"/>
      <c r="T29" s="6">
        <v>2162.27</v>
      </c>
      <c r="U29" s="2"/>
      <c r="V29" s="7">
        <f t="shared" si="19"/>
        <v>4.1723443117314511E-3</v>
      </c>
      <c r="W29" s="2"/>
      <c r="X29" s="6">
        <f t="shared" si="20"/>
        <v>-1914.06</v>
      </c>
      <c r="Y29" s="2"/>
      <c r="Z29" s="7">
        <f t="shared" si="21"/>
        <v>-0.88520860022106396</v>
      </c>
    </row>
    <row r="30" spans="1:26" s="24" customFormat="1" hidden="1" outlineLevel="2" x14ac:dyDescent="0.25">
      <c r="A30" s="28"/>
      <c r="B30" s="11" t="str">
        <f>CONCATENATE("          ", "6119", " - ", "SICK LEAVE")</f>
        <v xml:space="preserve">          6119 - SICK LEAVE</v>
      </c>
      <c r="C30" s="11"/>
      <c r="D30" s="6"/>
      <c r="E30" s="2"/>
      <c r="F30" s="7">
        <f t="shared" si="14"/>
        <v>0</v>
      </c>
      <c r="G30" s="2"/>
      <c r="H30" s="6">
        <v>998.94</v>
      </c>
      <c r="I30" s="2"/>
      <c r="J30" s="7">
        <f t="shared" si="15"/>
        <v>4.4526279459702889E-3</v>
      </c>
      <c r="K30" s="2"/>
      <c r="L30" s="6">
        <f t="shared" si="16"/>
        <v>-998.94</v>
      </c>
      <c r="M30" s="2"/>
      <c r="N30" s="7">
        <f t="shared" si="17"/>
        <v>-1</v>
      </c>
      <c r="O30" s="11"/>
      <c r="P30" s="6">
        <v>141.78</v>
      </c>
      <c r="Q30" s="2"/>
      <c r="R30" s="7">
        <f t="shared" si="18"/>
        <v>0</v>
      </c>
      <c r="S30" s="2"/>
      <c r="T30" s="6">
        <v>2167.98</v>
      </c>
      <c r="U30" s="2"/>
      <c r="V30" s="7">
        <f t="shared" si="19"/>
        <v>4.1833624019884429E-3</v>
      </c>
      <c r="W30" s="2"/>
      <c r="X30" s="6">
        <f t="shared" si="20"/>
        <v>-2026.2</v>
      </c>
      <c r="Y30" s="2"/>
      <c r="Z30" s="7">
        <f t="shared" si="21"/>
        <v>-0.93460271773724846</v>
      </c>
    </row>
    <row r="31" spans="1:26" s="24" customFormat="1" hidden="1" outlineLevel="2" x14ac:dyDescent="0.25">
      <c r="A31" s="28"/>
      <c r="B31" s="11" t="str">
        <f>CONCATENATE("          ", "6156", " - ", "EMPLOYEE MEALS")</f>
        <v xml:space="preserve">          6156 - EMPLOYEE MEALS</v>
      </c>
      <c r="C31" s="11"/>
      <c r="D31" s="6"/>
      <c r="E31" s="2"/>
      <c r="F31" s="7">
        <f t="shared" si="14"/>
        <v>0</v>
      </c>
      <c r="G31" s="2"/>
      <c r="H31" s="6">
        <v>511.18</v>
      </c>
      <c r="I31" s="2"/>
      <c r="J31" s="7">
        <f t="shared" si="15"/>
        <v>2.2785095735690752E-3</v>
      </c>
      <c r="K31" s="2"/>
      <c r="L31" s="6">
        <f t="shared" si="16"/>
        <v>-511.18</v>
      </c>
      <c r="M31" s="2"/>
      <c r="N31" s="7">
        <f t="shared" si="17"/>
        <v>-1</v>
      </c>
      <c r="O31" s="11"/>
      <c r="P31" s="6"/>
      <c r="Q31" s="2"/>
      <c r="R31" s="7">
        <f t="shared" si="18"/>
        <v>0</v>
      </c>
      <c r="S31" s="2"/>
      <c r="T31" s="6">
        <v>1319.6</v>
      </c>
      <c r="U31" s="2"/>
      <c r="V31" s="7">
        <f t="shared" si="19"/>
        <v>2.5463173210379933E-3</v>
      </c>
      <c r="W31" s="2"/>
      <c r="X31" s="6">
        <f t="shared" si="20"/>
        <v>-1319.6</v>
      </c>
      <c r="Y31" s="2"/>
      <c r="Z31" s="7">
        <f t="shared" si="21"/>
        <v>-1</v>
      </c>
    </row>
    <row r="32" spans="1:26" s="29" customFormat="1" outlineLevel="1" collapsed="1" x14ac:dyDescent="0.25">
      <c r="A32" s="27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0</v>
      </c>
      <c r="E32" s="1"/>
      <c r="F32" s="5">
        <f t="shared" ref="F32:F38" si="22">IF(D$12=0,0,D32/D$12)</f>
        <v>0</v>
      </c>
      <c r="G32" s="1"/>
      <c r="H32" s="1">
        <f>SUM(OSRRefH22_1x_0)</f>
        <v>52716.800000000003</v>
      </c>
      <c r="I32" s="1"/>
      <c r="J32" s="5">
        <f t="shared" ref="J32:J38" si="23">IF(H$12=0,0,H32/H$12)</f>
        <v>0.23497737291741896</v>
      </c>
      <c r="K32" s="1"/>
      <c r="L32" s="1">
        <f t="shared" ref="L32:L38" si="24">+D32-H32</f>
        <v>-52716.800000000003</v>
      </c>
      <c r="M32" s="1"/>
      <c r="N32" s="5">
        <f t="shared" ref="N32:N38" si="25">IF(H32=0,0,L32/H32)</f>
        <v>-1</v>
      </c>
      <c r="O32" s="14"/>
      <c r="P32" s="1">
        <f>SUM(OSRRefP22_1x_0)</f>
        <v>2151.69</v>
      </c>
      <c r="Q32" s="1"/>
      <c r="R32" s="5">
        <f t="shared" ref="R32:R38" si="26">IF(P$12=0,0,P32/P$12)</f>
        <v>0</v>
      </c>
      <c r="S32" s="1"/>
      <c r="T32" s="1">
        <f>SUM(OSRRefT22_1x_0)</f>
        <v>131281.18</v>
      </c>
      <c r="U32" s="1"/>
      <c r="V32" s="5">
        <f t="shared" ref="V32:V38" si="27">IF(T$12=0,0,T32/T$12)</f>
        <v>0.25332187220393043</v>
      </c>
      <c r="W32" s="1"/>
      <c r="X32" s="1">
        <f t="shared" ref="X32:X38" si="28">+P32-T32</f>
        <v>-129129.48999999999</v>
      </c>
      <c r="Y32" s="1"/>
      <c r="Z32" s="5">
        <f t="shared" ref="Z32:Z38" si="29">IF(T32=0,0,X32/T32)</f>
        <v>-0.9836100650527364</v>
      </c>
    </row>
    <row r="33" spans="1:26" s="24" customFormat="1" hidden="1" outlineLevel="2" x14ac:dyDescent="0.25">
      <c r="A33" s="28"/>
      <c r="B33" s="11" t="str">
        <f>CONCATENATE("          ", "6002", " - ", "STAFF SALARIES")</f>
        <v xml:space="preserve">          6002 - STAFF SALARIES</v>
      </c>
      <c r="C33" s="11"/>
      <c r="D33" s="6"/>
      <c r="E33" s="2"/>
      <c r="F33" s="7">
        <f t="shared" si="22"/>
        <v>0</v>
      </c>
      <c r="G33" s="2"/>
      <c r="H33" s="6">
        <v>11050</v>
      </c>
      <c r="I33" s="2"/>
      <c r="J33" s="7">
        <f t="shared" si="23"/>
        <v>4.9253747775613838E-2</v>
      </c>
      <c r="K33" s="2"/>
      <c r="L33" s="6">
        <f t="shared" si="24"/>
        <v>-11050</v>
      </c>
      <c r="M33" s="2"/>
      <c r="N33" s="7">
        <f t="shared" si="25"/>
        <v>-1</v>
      </c>
      <c r="O33" s="11"/>
      <c r="P33" s="6">
        <v>2151.69</v>
      </c>
      <c r="Q33" s="2"/>
      <c r="R33" s="7">
        <f t="shared" si="26"/>
        <v>0</v>
      </c>
      <c r="S33" s="2"/>
      <c r="T33" s="6">
        <v>27128</v>
      </c>
      <c r="U33" s="2"/>
      <c r="V33" s="7">
        <f t="shared" si="27"/>
        <v>5.2346541592239081E-2</v>
      </c>
      <c r="W33" s="2"/>
      <c r="X33" s="6">
        <f t="shared" si="28"/>
        <v>-24976.31</v>
      </c>
      <c r="Y33" s="2"/>
      <c r="Z33" s="7">
        <f t="shared" si="29"/>
        <v>-0.92068379534060751</v>
      </c>
    </row>
    <row r="34" spans="1:26" s="24" customFormat="1" hidden="1" outlineLevel="2" x14ac:dyDescent="0.25">
      <c r="A34" s="28"/>
      <c r="B34" s="11" t="str">
        <f>CONCATENATE("          ", "6004", " - ", "STAFF HOURLY")</f>
        <v xml:space="preserve">          6004 - STAFF HOURLY</v>
      </c>
      <c r="C34" s="11"/>
      <c r="D34" s="6"/>
      <c r="E34" s="2"/>
      <c r="F34" s="7">
        <f t="shared" si="22"/>
        <v>0</v>
      </c>
      <c r="G34" s="2"/>
      <c r="H34" s="6">
        <v>6967.79</v>
      </c>
      <c r="I34" s="2"/>
      <c r="J34" s="7">
        <f t="shared" si="23"/>
        <v>3.1057897847370529E-2</v>
      </c>
      <c r="K34" s="2"/>
      <c r="L34" s="6">
        <f t="shared" si="24"/>
        <v>-6967.79</v>
      </c>
      <c r="M34" s="2"/>
      <c r="N34" s="7">
        <f t="shared" si="25"/>
        <v>-1</v>
      </c>
      <c r="O34" s="11"/>
      <c r="P34" s="6"/>
      <c r="Q34" s="2"/>
      <c r="R34" s="7">
        <f t="shared" si="26"/>
        <v>0</v>
      </c>
      <c r="S34" s="2"/>
      <c r="T34" s="6">
        <v>11621.08</v>
      </c>
      <c r="U34" s="2"/>
      <c r="V34" s="7">
        <f t="shared" si="27"/>
        <v>2.2424187096974999E-2</v>
      </c>
      <c r="W34" s="2"/>
      <c r="X34" s="6">
        <f t="shared" si="28"/>
        <v>-11621.08</v>
      </c>
      <c r="Y34" s="2"/>
      <c r="Z34" s="7">
        <f t="shared" si="29"/>
        <v>-1</v>
      </c>
    </row>
    <row r="35" spans="1:26" s="24" customFormat="1" hidden="1" outlineLevel="2" x14ac:dyDescent="0.25">
      <c r="A35" s="28"/>
      <c r="B35" s="11" t="str">
        <f>CONCATENATE("          ", "6005", " - ", "TEMPORARY WAGES-HOURLY")</f>
        <v xml:space="preserve">          6005 - TEMPORARY WAGES-HOURLY</v>
      </c>
      <c r="C35" s="11"/>
      <c r="D35" s="6"/>
      <c r="E35" s="2"/>
      <c r="F35" s="7">
        <f t="shared" si="22"/>
        <v>0</v>
      </c>
      <c r="G35" s="2"/>
      <c r="H35" s="6">
        <v>16601.060000000001</v>
      </c>
      <c r="I35" s="2"/>
      <c r="J35" s="7">
        <f t="shared" si="23"/>
        <v>7.3996780275821891E-2</v>
      </c>
      <c r="K35" s="2"/>
      <c r="L35" s="6">
        <f t="shared" si="24"/>
        <v>-16601.060000000001</v>
      </c>
      <c r="M35" s="2"/>
      <c r="N35" s="7">
        <f t="shared" si="25"/>
        <v>-1</v>
      </c>
      <c r="O35" s="11"/>
      <c r="P35" s="6"/>
      <c r="Q35" s="2"/>
      <c r="R35" s="7">
        <f t="shared" si="26"/>
        <v>0</v>
      </c>
      <c r="S35" s="2"/>
      <c r="T35" s="6">
        <v>39664.85</v>
      </c>
      <c r="U35" s="2"/>
      <c r="V35" s="7">
        <f t="shared" si="27"/>
        <v>7.6537810390553088E-2</v>
      </c>
      <c r="W35" s="2"/>
      <c r="X35" s="6">
        <f t="shared" si="28"/>
        <v>-39664.85</v>
      </c>
      <c r="Y35" s="2"/>
      <c r="Z35" s="7">
        <f t="shared" si="29"/>
        <v>-1</v>
      </c>
    </row>
    <row r="36" spans="1:26" s="24" customFormat="1" hidden="1" outlineLevel="2" x14ac:dyDescent="0.25">
      <c r="A36" s="28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22"/>
        <v>0</v>
      </c>
      <c r="G36" s="2"/>
      <c r="H36" s="6">
        <v>2572.38</v>
      </c>
      <c r="I36" s="2"/>
      <c r="J36" s="7">
        <f t="shared" si="23"/>
        <v>1.146600504099851E-2</v>
      </c>
      <c r="K36" s="2"/>
      <c r="L36" s="6">
        <f t="shared" si="24"/>
        <v>-2572.38</v>
      </c>
      <c r="M36" s="2"/>
      <c r="N36" s="7">
        <f t="shared" si="25"/>
        <v>-1</v>
      </c>
      <c r="O36" s="11"/>
      <c r="P36" s="6"/>
      <c r="Q36" s="2"/>
      <c r="R36" s="7">
        <f t="shared" si="26"/>
        <v>0</v>
      </c>
      <c r="S36" s="2"/>
      <c r="T36" s="6">
        <v>6035.26</v>
      </c>
      <c r="U36" s="2"/>
      <c r="V36" s="7">
        <f t="shared" si="27"/>
        <v>1.1645716182909792E-2</v>
      </c>
      <c r="W36" s="2"/>
      <c r="X36" s="6">
        <f t="shared" si="28"/>
        <v>-6035.26</v>
      </c>
      <c r="Y36" s="2"/>
      <c r="Z36" s="7">
        <f t="shared" si="29"/>
        <v>-1</v>
      </c>
    </row>
    <row r="37" spans="1:26" s="24" customFormat="1" hidden="1" outlineLevel="2" x14ac:dyDescent="0.25">
      <c r="A37" s="28"/>
      <c r="B37" s="11" t="str">
        <f>CONCATENATE("          ", "6007", " - ", "STUDENT HOURLY")</f>
        <v xml:space="preserve">          6007 - STUDENT HOURLY</v>
      </c>
      <c r="C37" s="11"/>
      <c r="D37" s="6"/>
      <c r="E37" s="2"/>
      <c r="F37" s="7">
        <f t="shared" si="22"/>
        <v>0</v>
      </c>
      <c r="G37" s="2"/>
      <c r="H37" s="6">
        <v>14475.57</v>
      </c>
      <c r="I37" s="2"/>
      <c r="J37" s="7">
        <f t="shared" si="23"/>
        <v>6.4522721600745916E-2</v>
      </c>
      <c r="K37" s="2"/>
      <c r="L37" s="6">
        <f t="shared" si="24"/>
        <v>-14475.57</v>
      </c>
      <c r="M37" s="2"/>
      <c r="N37" s="7">
        <f t="shared" si="25"/>
        <v>-1</v>
      </c>
      <c r="O37" s="11"/>
      <c r="P37" s="6"/>
      <c r="Q37" s="2"/>
      <c r="R37" s="7">
        <f t="shared" si="26"/>
        <v>0</v>
      </c>
      <c r="S37" s="2"/>
      <c r="T37" s="6">
        <v>45001.990000000005</v>
      </c>
      <c r="U37" s="2"/>
      <c r="V37" s="7">
        <f t="shared" si="27"/>
        <v>8.6836425142602758E-2</v>
      </c>
      <c r="W37" s="2"/>
      <c r="X37" s="6">
        <f t="shared" si="28"/>
        <v>-45001.990000000005</v>
      </c>
      <c r="Y37" s="2"/>
      <c r="Z37" s="7">
        <f t="shared" si="29"/>
        <v>-1</v>
      </c>
    </row>
    <row r="38" spans="1:26" s="24" customFormat="1" hidden="1" outlineLevel="2" x14ac:dyDescent="0.25">
      <c r="A38" s="28"/>
      <c r="B38" s="11" t="str">
        <f>CONCATENATE("          ", "6008", " - ", "STUDENT HOURLY-FICA EXEMPT")</f>
        <v xml:space="preserve">          6008 - STUDENT HOURLY-FICA EXEMPT</v>
      </c>
      <c r="C38" s="11"/>
      <c r="D38" s="6"/>
      <c r="E38" s="2"/>
      <c r="F38" s="7">
        <f t="shared" si="22"/>
        <v>0</v>
      </c>
      <c r="G38" s="2"/>
      <c r="H38" s="6">
        <v>1050</v>
      </c>
      <c r="I38" s="2"/>
      <c r="J38" s="7">
        <f t="shared" si="23"/>
        <v>4.6802203768682828E-3</v>
      </c>
      <c r="K38" s="2"/>
      <c r="L38" s="6">
        <f t="shared" si="24"/>
        <v>-1050</v>
      </c>
      <c r="M38" s="2"/>
      <c r="N38" s="7">
        <f t="shared" si="25"/>
        <v>-1</v>
      </c>
      <c r="O38" s="11"/>
      <c r="P38" s="6"/>
      <c r="Q38" s="2"/>
      <c r="R38" s="7">
        <f t="shared" si="26"/>
        <v>0</v>
      </c>
      <c r="S38" s="2"/>
      <c r="T38" s="6">
        <v>1830</v>
      </c>
      <c r="U38" s="2"/>
      <c r="V38" s="7">
        <f t="shared" si="27"/>
        <v>3.5311917986507488E-3</v>
      </c>
      <c r="W38" s="2"/>
      <c r="X38" s="6">
        <f t="shared" si="28"/>
        <v>-1830</v>
      </c>
      <c r="Y38" s="2"/>
      <c r="Z38" s="7">
        <f t="shared" si="29"/>
        <v>-1</v>
      </c>
    </row>
    <row r="39" spans="1:26" s="29" customFormat="1" outlineLevel="1" collapsed="1" x14ac:dyDescent="0.25">
      <c r="A39" s="27"/>
      <c r="B39" s="14" t="str">
        <f>CONCATENATE("     ","Advertising/Promo                                 ")</f>
        <v xml:space="preserve">     Advertising/Promo                                 </v>
      </c>
      <c r="C39" s="14"/>
      <c r="D39" s="1">
        <f>SUM(OSRRefD22_2x_0)</f>
        <v>0</v>
      </c>
      <c r="E39" s="1"/>
      <c r="F39" s="5">
        <f t="shared" ref="F39:F47" si="30">IF(D$12=0,0,D39/D$12)</f>
        <v>0</v>
      </c>
      <c r="G39" s="1"/>
      <c r="H39" s="1">
        <f>SUM(OSRRefH22_2x_0)</f>
        <v>937</v>
      </c>
      <c r="I39" s="1"/>
      <c r="J39" s="5">
        <f t="shared" ref="J39:J47" si="31">IF(H$12=0,0,H39/H$12)</f>
        <v>4.1765395172624585E-3</v>
      </c>
      <c r="K39" s="1"/>
      <c r="L39" s="1">
        <f t="shared" ref="L39:L47" si="32">+D39-H39</f>
        <v>-937</v>
      </c>
      <c r="M39" s="1"/>
      <c r="N39" s="5">
        <f t="shared" ref="N39:N47" si="33">IF(H39=0,0,L39/H39)</f>
        <v>-1</v>
      </c>
      <c r="O39" s="14"/>
      <c r="P39" s="1">
        <f>SUM(OSRRefP22_2x_0)</f>
        <v>0</v>
      </c>
      <c r="Q39" s="1"/>
      <c r="R39" s="5">
        <f t="shared" ref="R39:R47" si="34">IF(P$12=0,0,P39/P$12)</f>
        <v>0</v>
      </c>
      <c r="S39" s="1"/>
      <c r="T39" s="1">
        <f>SUM(OSRRefT22_2x_0)</f>
        <v>2440.9299999999998</v>
      </c>
      <c r="U39" s="1"/>
      <c r="V39" s="5">
        <f t="shared" ref="V39:V47" si="35">IF(T$12=0,0,T39/T$12)</f>
        <v>4.7100502716287277E-3</v>
      </c>
      <c r="W39" s="1"/>
      <c r="X39" s="1">
        <f t="shared" ref="X39:X47" si="36">+P39-T39</f>
        <v>-2440.9299999999998</v>
      </c>
      <c r="Y39" s="1"/>
      <c r="Z39" s="5">
        <f t="shared" ref="Z39:Z47" si="37">IF(T39=0,0,X39/T39)</f>
        <v>-1</v>
      </c>
    </row>
    <row r="40" spans="1:26" s="24" customFormat="1" hidden="1" outlineLevel="2" x14ac:dyDescent="0.25">
      <c r="A40" s="28"/>
      <c r="B40" s="11" t="str">
        <f>CONCATENATE("          ", "6362", " - ", "ADVERTISING EXPENSE")</f>
        <v xml:space="preserve">          6362 - ADVERTISING EXPENSE</v>
      </c>
      <c r="C40" s="11"/>
      <c r="D40" s="6"/>
      <c r="E40" s="2"/>
      <c r="F40" s="7">
        <f t="shared" si="30"/>
        <v>0</v>
      </c>
      <c r="G40" s="2"/>
      <c r="H40" s="6">
        <v>937</v>
      </c>
      <c r="I40" s="2"/>
      <c r="J40" s="7">
        <f t="shared" si="31"/>
        <v>4.1765395172624585E-3</v>
      </c>
      <c r="K40" s="2"/>
      <c r="L40" s="6">
        <f t="shared" si="32"/>
        <v>-937</v>
      </c>
      <c r="M40" s="2"/>
      <c r="N40" s="7">
        <f t="shared" si="33"/>
        <v>-1</v>
      </c>
      <c r="O40" s="11"/>
      <c r="P40" s="6"/>
      <c r="Q40" s="2"/>
      <c r="R40" s="7">
        <f t="shared" si="34"/>
        <v>0</v>
      </c>
      <c r="S40" s="2"/>
      <c r="T40" s="6">
        <v>2440.9299999999998</v>
      </c>
      <c r="U40" s="2"/>
      <c r="V40" s="7">
        <f t="shared" si="35"/>
        <v>4.7100502716287277E-3</v>
      </c>
      <c r="W40" s="2"/>
      <c r="X40" s="6">
        <f t="shared" si="36"/>
        <v>-2440.9299999999998</v>
      </c>
      <c r="Y40" s="2"/>
      <c r="Z40" s="7">
        <f t="shared" si="37"/>
        <v>-1</v>
      </c>
    </row>
    <row r="41" spans="1:26" s="29" customFormat="1" outlineLevel="1" collapsed="1" x14ac:dyDescent="0.25">
      <c r="A41" s="27"/>
      <c r="B41" s="14" t="str">
        <f>CONCATENATE("     ","Bad Debts/Over/Short                              ")</f>
        <v xml:space="preserve">     Bad Debts/Over/Short                              </v>
      </c>
      <c r="C41" s="14"/>
      <c r="D41" s="1">
        <f>SUM(OSRRefD22_3x_0)</f>
        <v>0</v>
      </c>
      <c r="E41" s="1"/>
      <c r="F41" s="5">
        <f t="shared" si="30"/>
        <v>0</v>
      </c>
      <c r="G41" s="1"/>
      <c r="H41" s="1">
        <f>SUM(OSRRefH22_3x_0)</f>
        <v>-15.29</v>
      </c>
      <c r="I41" s="1"/>
      <c r="J41" s="5">
        <f t="shared" si="31"/>
        <v>-6.8152923392681946E-5</v>
      </c>
      <c r="K41" s="1"/>
      <c r="L41" s="1">
        <f t="shared" si="32"/>
        <v>15.29</v>
      </c>
      <c r="M41" s="1"/>
      <c r="N41" s="5">
        <f t="shared" si="33"/>
        <v>-1</v>
      </c>
      <c r="O41" s="14"/>
      <c r="P41" s="1">
        <f>SUM(OSRRefP22_3x_0)</f>
        <v>0</v>
      </c>
      <c r="Q41" s="1"/>
      <c r="R41" s="5">
        <f t="shared" si="34"/>
        <v>0</v>
      </c>
      <c r="S41" s="1"/>
      <c r="T41" s="1">
        <f>SUM(OSRRefT22_3x_0)</f>
        <v>4.16</v>
      </c>
      <c r="U41" s="1"/>
      <c r="V41" s="5">
        <f t="shared" si="35"/>
        <v>8.0271900996650909E-6</v>
      </c>
      <c r="W41" s="1"/>
      <c r="X41" s="1">
        <f t="shared" si="36"/>
        <v>-4.16</v>
      </c>
      <c r="Y41" s="1"/>
      <c r="Z41" s="5">
        <f t="shared" si="37"/>
        <v>-1</v>
      </c>
    </row>
    <row r="42" spans="1:26" s="24" customFormat="1" hidden="1" outlineLevel="2" x14ac:dyDescent="0.25">
      <c r="A42" s="28"/>
      <c r="B42" s="11" t="str">
        <f>CONCATENATE("          ", "6272", " - ", "CASH (OVER/SHORT)")</f>
        <v xml:space="preserve">          6272 - CASH (OVER/SHORT)</v>
      </c>
      <c r="C42" s="11"/>
      <c r="D42" s="6"/>
      <c r="E42" s="2"/>
      <c r="F42" s="7">
        <f t="shared" si="30"/>
        <v>0</v>
      </c>
      <c r="G42" s="2"/>
      <c r="H42" s="6">
        <v>-15.29</v>
      </c>
      <c r="I42" s="2"/>
      <c r="J42" s="7">
        <f t="shared" si="31"/>
        <v>-6.8152923392681946E-5</v>
      </c>
      <c r="K42" s="2"/>
      <c r="L42" s="6">
        <f t="shared" si="32"/>
        <v>15.29</v>
      </c>
      <c r="M42" s="2"/>
      <c r="N42" s="7">
        <f t="shared" si="33"/>
        <v>-1</v>
      </c>
      <c r="O42" s="11"/>
      <c r="P42" s="6"/>
      <c r="Q42" s="2"/>
      <c r="R42" s="7">
        <f t="shared" si="34"/>
        <v>0</v>
      </c>
      <c r="S42" s="2"/>
      <c r="T42" s="6">
        <v>4.16</v>
      </c>
      <c r="U42" s="2"/>
      <c r="V42" s="7">
        <f t="shared" si="35"/>
        <v>8.0271900996650909E-6</v>
      </c>
      <c r="W42" s="2"/>
      <c r="X42" s="6">
        <f t="shared" si="36"/>
        <v>-4.16</v>
      </c>
      <c r="Y42" s="2"/>
      <c r="Z42" s="7">
        <f t="shared" si="37"/>
        <v>-1</v>
      </c>
    </row>
    <row r="43" spans="1:26" s="29" customFormat="1" outlineLevel="1" collapsed="1" x14ac:dyDescent="0.25">
      <c r="A43" s="27"/>
      <c r="B43" s="14" t="str">
        <f>CONCATENATE("     ","Bank/card Fees                                    ")</f>
        <v xml:space="preserve">     Bank/card Fees                                    </v>
      </c>
      <c r="C43" s="14"/>
      <c r="D43" s="1">
        <f>SUM(OSRRefD22_4x_0)</f>
        <v>0</v>
      </c>
      <c r="E43" s="1"/>
      <c r="F43" s="5">
        <f t="shared" si="30"/>
        <v>0</v>
      </c>
      <c r="G43" s="1"/>
      <c r="H43" s="1">
        <f>SUM(OSRRefH22_4x_0)</f>
        <v>8778.2199999999993</v>
      </c>
      <c r="I43" s="1"/>
      <c r="J43" s="5">
        <f t="shared" si="31"/>
        <v>3.9127622968221615E-2</v>
      </c>
      <c r="K43" s="1"/>
      <c r="L43" s="1">
        <f t="shared" si="32"/>
        <v>-8778.2199999999993</v>
      </c>
      <c r="M43" s="1"/>
      <c r="N43" s="5">
        <f t="shared" si="33"/>
        <v>-1</v>
      </c>
      <c r="O43" s="14"/>
      <c r="P43" s="1">
        <f>SUM(OSRRefP22_4x_0)</f>
        <v>0</v>
      </c>
      <c r="Q43" s="1"/>
      <c r="R43" s="5">
        <f t="shared" si="34"/>
        <v>0</v>
      </c>
      <c r="S43" s="1"/>
      <c r="T43" s="1">
        <f>SUM(OSRRefT22_4x_0)</f>
        <v>18883.59</v>
      </c>
      <c r="U43" s="1"/>
      <c r="V43" s="5">
        <f t="shared" si="35"/>
        <v>3.6438020839936226E-2</v>
      </c>
      <c r="W43" s="1"/>
      <c r="X43" s="1">
        <f t="shared" si="36"/>
        <v>-18883.59</v>
      </c>
      <c r="Y43" s="1"/>
      <c r="Z43" s="5">
        <f t="shared" si="37"/>
        <v>-1</v>
      </c>
    </row>
    <row r="44" spans="1:26" s="24" customFormat="1" hidden="1" outlineLevel="2" x14ac:dyDescent="0.25">
      <c r="A44" s="28"/>
      <c r="B44" s="11" t="str">
        <f>CONCATENATE("          ", "6381", " - ", "BANK/CREDIT CARD FEES")</f>
        <v xml:space="preserve">          6381 - BANK/CREDIT CARD FEES</v>
      </c>
      <c r="C44" s="11"/>
      <c r="D44" s="6"/>
      <c r="E44" s="2"/>
      <c r="F44" s="7">
        <f t="shared" si="30"/>
        <v>0</v>
      </c>
      <c r="G44" s="2"/>
      <c r="H44" s="6">
        <v>8778.2199999999993</v>
      </c>
      <c r="I44" s="2"/>
      <c r="J44" s="7">
        <f t="shared" si="31"/>
        <v>3.9127622968221615E-2</v>
      </c>
      <c r="K44" s="2"/>
      <c r="L44" s="6">
        <f t="shared" si="32"/>
        <v>-8778.2199999999993</v>
      </c>
      <c r="M44" s="2"/>
      <c r="N44" s="7">
        <f t="shared" si="33"/>
        <v>-1</v>
      </c>
      <c r="O44" s="11"/>
      <c r="P44" s="6"/>
      <c r="Q44" s="2"/>
      <c r="R44" s="7">
        <f t="shared" si="34"/>
        <v>0</v>
      </c>
      <c r="S44" s="2"/>
      <c r="T44" s="6">
        <v>18883.59</v>
      </c>
      <c r="U44" s="2"/>
      <c r="V44" s="7">
        <f t="shared" si="35"/>
        <v>3.6438020839936226E-2</v>
      </c>
      <c r="W44" s="2"/>
      <c r="X44" s="6">
        <f t="shared" si="36"/>
        <v>-18883.59</v>
      </c>
      <c r="Y44" s="2"/>
      <c r="Z44" s="7">
        <f t="shared" si="37"/>
        <v>-1</v>
      </c>
    </row>
    <row r="45" spans="1:26" s="29" customFormat="1" outlineLevel="1" collapsed="1" x14ac:dyDescent="0.25">
      <c r="A45" s="27"/>
      <c r="B45" s="14" t="str">
        <f>CONCATENATE("     ","Depreciation                                      ")</f>
        <v xml:space="preserve">     Depreciation                                      </v>
      </c>
      <c r="C45" s="14"/>
      <c r="D45" s="1">
        <f>SUM(OSRRefD22_5x_0)</f>
        <v>6745.18</v>
      </c>
      <c r="E45" s="1"/>
      <c r="F45" s="5">
        <f t="shared" si="30"/>
        <v>0</v>
      </c>
      <c r="G45" s="1"/>
      <c r="H45" s="1">
        <f>SUM(OSRRefH22_5x_0)</f>
        <v>8263.4700000000012</v>
      </c>
      <c r="I45" s="1"/>
      <c r="J45" s="5">
        <f t="shared" si="31"/>
        <v>3.6833200645371197E-2</v>
      </c>
      <c r="K45" s="1"/>
      <c r="L45" s="1">
        <f t="shared" si="32"/>
        <v>-1518.2900000000009</v>
      </c>
      <c r="M45" s="1"/>
      <c r="N45" s="5">
        <f t="shared" si="33"/>
        <v>-0.18373516210502375</v>
      </c>
      <c r="O45" s="14"/>
      <c r="P45" s="1">
        <f>SUM(OSRRefP22_5x_0)</f>
        <v>28277.83</v>
      </c>
      <c r="Q45" s="1"/>
      <c r="R45" s="5">
        <f t="shared" si="34"/>
        <v>0</v>
      </c>
      <c r="S45" s="1"/>
      <c r="T45" s="1">
        <f>SUM(OSRRefT22_5x_0)</f>
        <v>33053.880000000005</v>
      </c>
      <c r="U45" s="1"/>
      <c r="V45" s="5">
        <f t="shared" si="35"/>
        <v>6.3781196704691817E-2</v>
      </c>
      <c r="W45" s="1"/>
      <c r="X45" s="1">
        <f t="shared" si="36"/>
        <v>-4776.0500000000029</v>
      </c>
      <c r="Y45" s="1"/>
      <c r="Z45" s="5">
        <f t="shared" si="37"/>
        <v>-0.14449287042852466</v>
      </c>
    </row>
    <row r="46" spans="1:26" s="24" customFormat="1" hidden="1" outlineLevel="2" x14ac:dyDescent="0.25">
      <c r="A46" s="28"/>
      <c r="B46" s="11" t="str">
        <f>CONCATENATE("          ", "6321", " - ", "BUILDING DEPRECIATION")</f>
        <v xml:space="preserve">          6321 - BUILDING DEPRECIATION</v>
      </c>
      <c r="C46" s="11"/>
      <c r="D46" s="6">
        <v>6537.05</v>
      </c>
      <c r="E46" s="2"/>
      <c r="F46" s="7">
        <f t="shared" si="30"/>
        <v>0</v>
      </c>
      <c r="G46" s="2"/>
      <c r="H46" s="6">
        <v>6537.05</v>
      </c>
      <c r="I46" s="2"/>
      <c r="J46" s="7">
        <f t="shared" si="31"/>
        <v>2.9137937728196964E-2</v>
      </c>
      <c r="K46" s="2"/>
      <c r="L46" s="6">
        <f t="shared" si="32"/>
        <v>0</v>
      </c>
      <c r="M46" s="2"/>
      <c r="N46" s="7">
        <f t="shared" si="33"/>
        <v>0</v>
      </c>
      <c r="O46" s="11"/>
      <c r="P46" s="6">
        <v>26148.2</v>
      </c>
      <c r="Q46" s="2"/>
      <c r="R46" s="7">
        <f t="shared" si="34"/>
        <v>0</v>
      </c>
      <c r="S46" s="2"/>
      <c r="T46" s="6">
        <v>26148.2</v>
      </c>
      <c r="U46" s="2"/>
      <c r="V46" s="7">
        <f t="shared" si="35"/>
        <v>5.0455906770207386E-2</v>
      </c>
      <c r="W46" s="2"/>
      <c r="X46" s="6">
        <f t="shared" si="36"/>
        <v>0</v>
      </c>
      <c r="Y46" s="2"/>
      <c r="Z46" s="7">
        <f t="shared" si="37"/>
        <v>0</v>
      </c>
    </row>
    <row r="47" spans="1:26" s="24" customFormat="1" hidden="1" outlineLevel="2" x14ac:dyDescent="0.25">
      <c r="A47" s="28"/>
      <c r="B47" s="11" t="str">
        <f>CONCATENATE("          ", "6322", " - ", "EQUIPMENT DEPRECIATION EXPENSE")</f>
        <v xml:space="preserve">          6322 - EQUIPMENT DEPRECIATION EXPENSE</v>
      </c>
      <c r="C47" s="11"/>
      <c r="D47" s="6">
        <v>208.13</v>
      </c>
      <c r="E47" s="2"/>
      <c r="F47" s="7">
        <f t="shared" si="30"/>
        <v>0</v>
      </c>
      <c r="G47" s="2"/>
      <c r="H47" s="6">
        <v>1726.42</v>
      </c>
      <c r="I47" s="2"/>
      <c r="J47" s="7">
        <f t="shared" si="31"/>
        <v>7.6952629171742302E-3</v>
      </c>
      <c r="K47" s="2"/>
      <c r="L47" s="6">
        <f t="shared" si="32"/>
        <v>-1518.29</v>
      </c>
      <c r="M47" s="2"/>
      <c r="N47" s="7">
        <f t="shared" si="33"/>
        <v>-0.87944416769963274</v>
      </c>
      <c r="O47" s="11"/>
      <c r="P47" s="6">
        <v>2129.63</v>
      </c>
      <c r="Q47" s="2"/>
      <c r="R47" s="7">
        <f t="shared" si="34"/>
        <v>0</v>
      </c>
      <c r="S47" s="2"/>
      <c r="T47" s="6">
        <v>6905.68</v>
      </c>
      <c r="U47" s="2"/>
      <c r="V47" s="7">
        <f t="shared" si="35"/>
        <v>1.332528993448443E-2</v>
      </c>
      <c r="W47" s="2"/>
      <c r="X47" s="6">
        <f t="shared" si="36"/>
        <v>-4776.05</v>
      </c>
      <c r="Y47" s="2"/>
      <c r="Z47" s="7">
        <f t="shared" si="37"/>
        <v>-0.6916118325783992</v>
      </c>
    </row>
    <row r="48" spans="1:26" s="29" customFormat="1" outlineLevel="1" collapsed="1" x14ac:dyDescent="0.25">
      <c r="A48" s="27"/>
      <c r="B48" s="14" t="str">
        <f>CONCATENATE("     ","Employees' Appreciation                           ")</f>
        <v xml:space="preserve">     Employees' Appreciation                           </v>
      </c>
      <c r="C48" s="14"/>
      <c r="D48" s="1">
        <f>SUM(OSRRefD22_6x_0)</f>
        <v>0</v>
      </c>
      <c r="E48" s="1"/>
      <c r="F48" s="5">
        <f t="shared" ref="F48:F54" si="38">IF(D$12=0,0,D48/D$12)</f>
        <v>0</v>
      </c>
      <c r="G48" s="1"/>
      <c r="H48" s="1">
        <f>SUM(OSRRefH22_6x_0)</f>
        <v>0</v>
      </c>
      <c r="I48" s="1"/>
      <c r="J48" s="5">
        <f t="shared" ref="J48:J54" si="39">IF(H$12=0,0,H48/H$12)</f>
        <v>0</v>
      </c>
      <c r="K48" s="1"/>
      <c r="L48" s="1">
        <f t="shared" ref="L48:L54" si="40">+D48-H48</f>
        <v>0</v>
      </c>
      <c r="M48" s="1"/>
      <c r="N48" s="5">
        <f t="shared" ref="N48:N54" si="41">IF(H48=0,0,L48/H48)</f>
        <v>0</v>
      </c>
      <c r="O48" s="14"/>
      <c r="P48" s="1">
        <f>SUM(OSRRefP22_6x_0)</f>
        <v>0</v>
      </c>
      <c r="Q48" s="1"/>
      <c r="R48" s="5">
        <f t="shared" ref="R48:R54" si="42">IF(P$12=0,0,P48/P$12)</f>
        <v>0</v>
      </c>
      <c r="S48" s="1"/>
      <c r="T48" s="1">
        <f>SUM(OSRRefT22_6x_0)</f>
        <v>8.25</v>
      </c>
      <c r="U48" s="1"/>
      <c r="V48" s="5">
        <f t="shared" ref="V48:V54" si="43">IF(T$12=0,0,T48/T$12)</f>
        <v>1.5919307288999277E-5</v>
      </c>
      <c r="W48" s="1"/>
      <c r="X48" s="1">
        <f t="shared" ref="X48:X54" si="44">+P48-T48</f>
        <v>-8.25</v>
      </c>
      <c r="Y48" s="1"/>
      <c r="Z48" s="5">
        <f t="shared" ref="Z48:Z54" si="45">IF(T48=0,0,X48/T48)</f>
        <v>-1</v>
      </c>
    </row>
    <row r="49" spans="1:26" s="24" customFormat="1" hidden="1" outlineLevel="2" x14ac:dyDescent="0.25">
      <c r="A49" s="28"/>
      <c r="B49" s="11" t="str">
        <f>CONCATENATE("          ", "6277", " - ", "EMPLOYEE APPRECIATION")</f>
        <v xml:space="preserve">          6277 - EMPLOYEE APPRECIATION</v>
      </c>
      <c r="C49" s="11"/>
      <c r="D49" s="6"/>
      <c r="E49" s="2"/>
      <c r="F49" s="7">
        <f t="shared" si="38"/>
        <v>0</v>
      </c>
      <c r="G49" s="2"/>
      <c r="H49" s="6"/>
      <c r="I49" s="2"/>
      <c r="J49" s="7">
        <f t="shared" si="39"/>
        <v>0</v>
      </c>
      <c r="K49" s="2"/>
      <c r="L49" s="6">
        <f t="shared" si="40"/>
        <v>0</v>
      </c>
      <c r="M49" s="2"/>
      <c r="N49" s="7">
        <f t="shared" si="41"/>
        <v>0</v>
      </c>
      <c r="O49" s="11"/>
      <c r="P49" s="6"/>
      <c r="Q49" s="2"/>
      <c r="R49" s="7">
        <f t="shared" si="42"/>
        <v>0</v>
      </c>
      <c r="S49" s="2"/>
      <c r="T49" s="6">
        <v>8.25</v>
      </c>
      <c r="U49" s="2"/>
      <c r="V49" s="7">
        <f t="shared" si="43"/>
        <v>1.5919307288999277E-5</v>
      </c>
      <c r="W49" s="2"/>
      <c r="X49" s="6">
        <f t="shared" si="44"/>
        <v>-8.25</v>
      </c>
      <c r="Y49" s="2"/>
      <c r="Z49" s="7">
        <f t="shared" si="45"/>
        <v>-1</v>
      </c>
    </row>
    <row r="50" spans="1:26" s="29" customFormat="1" outlineLevel="1" collapsed="1" x14ac:dyDescent="0.25">
      <c r="A50" s="27"/>
      <c r="B50" s="14" t="str">
        <f>CONCATENATE("     ","Equipment Rental                                  ")</f>
        <v xml:space="preserve">     Equipment Rental                                  </v>
      </c>
      <c r="C50" s="14"/>
      <c r="D50" s="1">
        <f>SUM(OSRRefD22_7x_0)</f>
        <v>0</v>
      </c>
      <c r="E50" s="1"/>
      <c r="F50" s="5">
        <f t="shared" si="38"/>
        <v>0</v>
      </c>
      <c r="G50" s="1"/>
      <c r="H50" s="1">
        <f>SUM(OSRRefH22_7x_0)</f>
        <v>1042.31</v>
      </c>
      <c r="I50" s="1"/>
      <c r="J50" s="5">
        <f t="shared" si="39"/>
        <v>4.6459433342986474E-3</v>
      </c>
      <c r="K50" s="1"/>
      <c r="L50" s="1">
        <f t="shared" si="40"/>
        <v>-1042.31</v>
      </c>
      <c r="M50" s="1"/>
      <c r="N50" s="5">
        <f t="shared" si="41"/>
        <v>-1</v>
      </c>
      <c r="O50" s="14"/>
      <c r="P50" s="1">
        <f>SUM(OSRRefP22_7x_0)</f>
        <v>263.72000000000003</v>
      </c>
      <c r="Q50" s="1"/>
      <c r="R50" s="5">
        <f t="shared" si="42"/>
        <v>0</v>
      </c>
      <c r="S50" s="1"/>
      <c r="T50" s="1">
        <f>SUM(OSRRefT22_7x_0)</f>
        <v>1961.24</v>
      </c>
      <c r="U50" s="1"/>
      <c r="V50" s="5">
        <f t="shared" si="43"/>
        <v>3.7844342093911448E-3</v>
      </c>
      <c r="W50" s="1"/>
      <c r="X50" s="1">
        <f t="shared" si="44"/>
        <v>-1697.52</v>
      </c>
      <c r="Y50" s="1"/>
      <c r="Z50" s="5">
        <f t="shared" si="45"/>
        <v>-0.86553404988680627</v>
      </c>
    </row>
    <row r="51" spans="1:26" s="24" customFormat="1" hidden="1" outlineLevel="2" x14ac:dyDescent="0.25">
      <c r="A51" s="28"/>
      <c r="B51" s="11" t="str">
        <f>CONCATENATE("          ", "6351", " - ", "EQUIPMENT RENTAL")</f>
        <v xml:space="preserve">          6351 - EQUIPMENT RENTAL</v>
      </c>
      <c r="C51" s="11"/>
      <c r="D51" s="6"/>
      <c r="E51" s="2"/>
      <c r="F51" s="7">
        <f t="shared" si="38"/>
        <v>0</v>
      </c>
      <c r="G51" s="2"/>
      <c r="H51" s="6">
        <v>1042.31</v>
      </c>
      <c r="I51" s="2"/>
      <c r="J51" s="7">
        <f t="shared" si="39"/>
        <v>4.6459433342986474E-3</v>
      </c>
      <c r="K51" s="2"/>
      <c r="L51" s="6">
        <f t="shared" si="40"/>
        <v>-1042.31</v>
      </c>
      <c r="M51" s="2"/>
      <c r="N51" s="7">
        <f t="shared" si="41"/>
        <v>-1</v>
      </c>
      <c r="O51" s="11"/>
      <c r="P51" s="6">
        <v>263.72000000000003</v>
      </c>
      <c r="Q51" s="2"/>
      <c r="R51" s="7">
        <f t="shared" si="42"/>
        <v>0</v>
      </c>
      <c r="S51" s="2"/>
      <c r="T51" s="6">
        <v>1961.24</v>
      </c>
      <c r="U51" s="2"/>
      <c r="V51" s="7">
        <f t="shared" si="43"/>
        <v>3.7844342093911448E-3</v>
      </c>
      <c r="W51" s="2"/>
      <c r="X51" s="6">
        <f t="shared" si="44"/>
        <v>-1697.52</v>
      </c>
      <c r="Y51" s="2"/>
      <c r="Z51" s="7">
        <f t="shared" si="45"/>
        <v>-0.86553404988680627</v>
      </c>
    </row>
    <row r="52" spans="1:26" s="29" customFormat="1" outlineLevel="1" collapsed="1" x14ac:dyDescent="0.25">
      <c r="A52" s="27"/>
      <c r="B52" s="14" t="str">
        <f>CONCATENATE("     ","General                                           ")</f>
        <v xml:space="preserve">     General                                           </v>
      </c>
      <c r="C52" s="14"/>
      <c r="D52" s="1">
        <f>SUM(OSRRefD22_8x_0)</f>
        <v>0</v>
      </c>
      <c r="E52" s="1"/>
      <c r="F52" s="5">
        <f t="shared" si="38"/>
        <v>0</v>
      </c>
      <c r="G52" s="1"/>
      <c r="H52" s="1">
        <f>SUM(OSRRefH22_8x_0)</f>
        <v>1870.5</v>
      </c>
      <c r="I52" s="1"/>
      <c r="J52" s="5">
        <f t="shared" si="39"/>
        <v>8.3374782999353567E-3</v>
      </c>
      <c r="K52" s="1"/>
      <c r="L52" s="1">
        <f t="shared" si="40"/>
        <v>-1870.5</v>
      </c>
      <c r="M52" s="1"/>
      <c r="N52" s="5">
        <f t="shared" si="41"/>
        <v>-1</v>
      </c>
      <c r="O52" s="14"/>
      <c r="P52" s="1">
        <f>SUM(OSRRefP22_8x_0)</f>
        <v>1284.55</v>
      </c>
      <c r="Q52" s="1"/>
      <c r="R52" s="5">
        <f t="shared" si="42"/>
        <v>0</v>
      </c>
      <c r="S52" s="1"/>
      <c r="T52" s="1">
        <f>SUM(OSRRefT22_8x_0)</f>
        <v>6760.05</v>
      </c>
      <c r="U52" s="1"/>
      <c r="V52" s="5">
        <f t="shared" si="43"/>
        <v>1.3044280392606009E-2</v>
      </c>
      <c r="W52" s="1"/>
      <c r="X52" s="1">
        <f t="shared" si="44"/>
        <v>-5475.5</v>
      </c>
      <c r="Y52" s="1"/>
      <c r="Z52" s="5">
        <f t="shared" si="45"/>
        <v>-0.80997921613005819</v>
      </c>
    </row>
    <row r="53" spans="1:26" s="24" customFormat="1" hidden="1" outlineLevel="2" x14ac:dyDescent="0.25">
      <c r="A53" s="28"/>
      <c r="B53" s="11" t="str">
        <f>CONCATENATE("          ", "6269", " - ", "ENTERTAINMENT")</f>
        <v xml:space="preserve">          6269 - ENTERTAINMENT</v>
      </c>
      <c r="C53" s="11"/>
      <c r="D53" s="6"/>
      <c r="E53" s="2"/>
      <c r="F53" s="7">
        <f t="shared" si="38"/>
        <v>0</v>
      </c>
      <c r="G53" s="2"/>
      <c r="H53" s="6">
        <v>1850</v>
      </c>
      <c r="I53" s="2"/>
      <c r="J53" s="7">
        <f t="shared" si="39"/>
        <v>8.2461025687679268E-3</v>
      </c>
      <c r="K53" s="2"/>
      <c r="L53" s="6">
        <f t="shared" si="40"/>
        <v>-1850</v>
      </c>
      <c r="M53" s="2"/>
      <c r="N53" s="7">
        <f t="shared" si="41"/>
        <v>-1</v>
      </c>
      <c r="O53" s="11"/>
      <c r="P53" s="6"/>
      <c r="Q53" s="2"/>
      <c r="R53" s="7">
        <f t="shared" si="42"/>
        <v>0</v>
      </c>
      <c r="S53" s="2"/>
      <c r="T53" s="6">
        <v>5500</v>
      </c>
      <c r="U53" s="2"/>
      <c r="V53" s="7">
        <f t="shared" si="43"/>
        <v>1.0612871525999519E-2</v>
      </c>
      <c r="W53" s="2"/>
      <c r="X53" s="6">
        <f t="shared" si="44"/>
        <v>-5500</v>
      </c>
      <c r="Y53" s="2"/>
      <c r="Z53" s="7">
        <f t="shared" si="45"/>
        <v>-1</v>
      </c>
    </row>
    <row r="54" spans="1:26" s="24" customFormat="1" hidden="1" outlineLevel="2" x14ac:dyDescent="0.25">
      <c r="A54" s="28"/>
      <c r="B54" s="11" t="str">
        <f>CONCATENATE("          ", "6279", " - ", "GENERAL EXPENSE")</f>
        <v xml:space="preserve">          6279 - GENERAL EXPENSE</v>
      </c>
      <c r="C54" s="11"/>
      <c r="D54" s="6"/>
      <c r="E54" s="2"/>
      <c r="F54" s="7">
        <f t="shared" si="38"/>
        <v>0</v>
      </c>
      <c r="G54" s="2"/>
      <c r="H54" s="6">
        <v>20.5</v>
      </c>
      <c r="I54" s="2"/>
      <c r="J54" s="7">
        <f t="shared" si="39"/>
        <v>9.1375731167428386E-5</v>
      </c>
      <c r="K54" s="2"/>
      <c r="L54" s="6">
        <f t="shared" si="40"/>
        <v>-20.5</v>
      </c>
      <c r="M54" s="2"/>
      <c r="N54" s="7">
        <f t="shared" si="41"/>
        <v>-1</v>
      </c>
      <c r="O54" s="11"/>
      <c r="P54" s="6">
        <v>1284.55</v>
      </c>
      <c r="Q54" s="2"/>
      <c r="R54" s="7">
        <f t="shared" si="42"/>
        <v>0</v>
      </c>
      <c r="S54" s="2"/>
      <c r="T54" s="6">
        <v>1260.05</v>
      </c>
      <c r="U54" s="2"/>
      <c r="V54" s="7">
        <f t="shared" si="43"/>
        <v>2.4314088666064896E-3</v>
      </c>
      <c r="W54" s="2"/>
      <c r="X54" s="6">
        <f t="shared" si="44"/>
        <v>24.5</v>
      </c>
      <c r="Y54" s="2"/>
      <c r="Z54" s="7">
        <f t="shared" si="45"/>
        <v>1.9443672870124201E-2</v>
      </c>
    </row>
    <row r="55" spans="1:26" s="29" customFormat="1" outlineLevel="1" collapsed="1" x14ac:dyDescent="0.25">
      <c r="A55" s="27"/>
      <c r="B55" s="14" t="str">
        <f>CONCATENATE("     ","Repair and Maintenance                            ")</f>
        <v xml:space="preserve">     Repair and Maintenance                            </v>
      </c>
      <c r="C55" s="14"/>
      <c r="D55" s="1">
        <f>SUM(OSRRefD22_9x_0)</f>
        <v>0</v>
      </c>
      <c r="E55" s="1"/>
      <c r="F55" s="5">
        <f t="shared" ref="F55:F58" si="46">IF(D$12=0,0,D55/D$12)</f>
        <v>0</v>
      </c>
      <c r="G55" s="1"/>
      <c r="H55" s="1">
        <f>SUM(OSRRefH22_9x_0)</f>
        <v>3825.22</v>
      </c>
      <c r="I55" s="1"/>
      <c r="J55" s="5">
        <f t="shared" ref="J55:J58" si="47">IF(H$12=0,0,H55/H$12)</f>
        <v>1.7050354847622948E-2</v>
      </c>
      <c r="K55" s="1"/>
      <c r="L55" s="1">
        <f t="shared" ref="L55:L58" si="48">+D55-H55</f>
        <v>-3825.22</v>
      </c>
      <c r="M55" s="1"/>
      <c r="N55" s="5">
        <f t="shared" ref="N55:N58" si="49">IF(H55=0,0,L55/H55)</f>
        <v>-1</v>
      </c>
      <c r="O55" s="14"/>
      <c r="P55" s="1">
        <f>SUM(OSRRefP22_9x_0)</f>
        <v>277.47000000000003</v>
      </c>
      <c r="Q55" s="1"/>
      <c r="R55" s="5">
        <f t="shared" ref="R55:R58" si="50">IF(P$12=0,0,P55/P$12)</f>
        <v>0</v>
      </c>
      <c r="S55" s="1"/>
      <c r="T55" s="1">
        <f>SUM(OSRRefT22_9x_0)</f>
        <v>11849.689999999999</v>
      </c>
      <c r="U55" s="1"/>
      <c r="V55" s="5">
        <f t="shared" ref="V55:V58" si="51">IF(T$12=0,0,T55/T$12)</f>
        <v>2.2865315925985678E-2</v>
      </c>
      <c r="W55" s="1"/>
      <c r="X55" s="1">
        <f t="shared" ref="X55:X58" si="52">+P55-T55</f>
        <v>-11572.22</v>
      </c>
      <c r="Y55" s="1"/>
      <c r="Z55" s="5">
        <f t="shared" ref="Z55:Z58" si="53">IF(T55=0,0,X55/T55)</f>
        <v>-0.97658419756128645</v>
      </c>
    </row>
    <row r="56" spans="1:26" s="24" customFormat="1" hidden="1" outlineLevel="2" x14ac:dyDescent="0.25">
      <c r="A56" s="28"/>
      <c r="B56" s="11" t="str">
        <f>CONCATENATE("          ", "6371", " - ", "COMPUTER SOFTWARE MAINTENANCE")</f>
        <v xml:space="preserve">          6371 - COMPUTER SOFTWARE MAINTENANCE</v>
      </c>
      <c r="C56" s="11"/>
      <c r="D56" s="6"/>
      <c r="E56" s="2"/>
      <c r="F56" s="7">
        <f t="shared" si="46"/>
        <v>0</v>
      </c>
      <c r="G56" s="2"/>
      <c r="H56" s="6"/>
      <c r="I56" s="2"/>
      <c r="J56" s="7">
        <f t="shared" si="47"/>
        <v>0</v>
      </c>
      <c r="K56" s="2"/>
      <c r="L56" s="6">
        <f t="shared" si="48"/>
        <v>0</v>
      </c>
      <c r="M56" s="2"/>
      <c r="N56" s="7">
        <f t="shared" si="49"/>
        <v>0</v>
      </c>
      <c r="O56" s="11"/>
      <c r="P56" s="6"/>
      <c r="Q56" s="2"/>
      <c r="R56" s="7">
        <f t="shared" si="50"/>
        <v>0</v>
      </c>
      <c r="S56" s="2"/>
      <c r="T56" s="6">
        <v>2623.85</v>
      </c>
      <c r="U56" s="2"/>
      <c r="V56" s="7">
        <f t="shared" si="51"/>
        <v>5.0630150824534249E-3</v>
      </c>
      <c r="W56" s="2"/>
      <c r="X56" s="6">
        <f t="shared" si="52"/>
        <v>-2623.85</v>
      </c>
      <c r="Y56" s="2"/>
      <c r="Z56" s="7">
        <f t="shared" si="53"/>
        <v>-1</v>
      </c>
    </row>
    <row r="57" spans="1:26" s="24" customFormat="1" hidden="1" outlineLevel="2" x14ac:dyDescent="0.25">
      <c r="A57" s="28"/>
      <c r="B57" s="11" t="str">
        <f>CONCATENATE("          ", "6373", " - ", "MAINTENANCE CONTRACTS")</f>
        <v xml:space="preserve">          6373 - MAINTENANCE CONTRACTS</v>
      </c>
      <c r="C57" s="11"/>
      <c r="D57" s="6"/>
      <c r="E57" s="2"/>
      <c r="F57" s="7">
        <f t="shared" si="46"/>
        <v>0</v>
      </c>
      <c r="G57" s="2"/>
      <c r="H57" s="6">
        <v>189.04</v>
      </c>
      <c r="I57" s="2"/>
      <c r="J57" s="7">
        <f t="shared" si="47"/>
        <v>8.4261796194588594E-4</v>
      </c>
      <c r="K57" s="2"/>
      <c r="L57" s="6">
        <f t="shared" si="48"/>
        <v>-189.04</v>
      </c>
      <c r="M57" s="2"/>
      <c r="N57" s="7">
        <f t="shared" si="49"/>
        <v>-1</v>
      </c>
      <c r="O57" s="11"/>
      <c r="P57" s="6">
        <v>277.47000000000003</v>
      </c>
      <c r="Q57" s="2"/>
      <c r="R57" s="7">
        <f t="shared" si="50"/>
        <v>0</v>
      </c>
      <c r="S57" s="2"/>
      <c r="T57" s="6">
        <v>189.04</v>
      </c>
      <c r="U57" s="2"/>
      <c r="V57" s="7">
        <f t="shared" si="51"/>
        <v>3.6477404241362708E-4</v>
      </c>
      <c r="W57" s="2"/>
      <c r="X57" s="6">
        <f t="shared" si="52"/>
        <v>88.430000000000035</v>
      </c>
      <c r="Y57" s="2"/>
      <c r="Z57" s="7">
        <f t="shared" si="53"/>
        <v>0.4677845958527298</v>
      </c>
    </row>
    <row r="58" spans="1:26" s="24" customFormat="1" hidden="1" outlineLevel="2" x14ac:dyDescent="0.25">
      <c r="A58" s="28"/>
      <c r="B58" s="11" t="str">
        <f>CONCATENATE("          ", "6375", " - ", "OUTSIDE REPAIRS &amp; MAINTENANCE")</f>
        <v xml:space="preserve">          6375 - OUTSIDE REPAIRS &amp; MAINTENANCE</v>
      </c>
      <c r="C58" s="11"/>
      <c r="D58" s="6"/>
      <c r="E58" s="2"/>
      <c r="F58" s="7">
        <f t="shared" si="46"/>
        <v>0</v>
      </c>
      <c r="G58" s="2"/>
      <c r="H58" s="6">
        <v>3636.18</v>
      </c>
      <c r="I58" s="2"/>
      <c r="J58" s="7">
        <f t="shared" si="47"/>
        <v>1.620773688567706E-2</v>
      </c>
      <c r="K58" s="2"/>
      <c r="L58" s="6">
        <f t="shared" si="48"/>
        <v>-3636.18</v>
      </c>
      <c r="M58" s="2"/>
      <c r="N58" s="7">
        <f t="shared" si="49"/>
        <v>-1</v>
      </c>
      <c r="O58" s="11"/>
      <c r="P58" s="6"/>
      <c r="Q58" s="2"/>
      <c r="R58" s="7">
        <f t="shared" si="50"/>
        <v>0</v>
      </c>
      <c r="S58" s="2"/>
      <c r="T58" s="6">
        <v>9036.7999999999993</v>
      </c>
      <c r="U58" s="2"/>
      <c r="V58" s="7">
        <f t="shared" si="51"/>
        <v>1.7437526801118625E-2</v>
      </c>
      <c r="W58" s="2"/>
      <c r="X58" s="6">
        <f t="shared" si="52"/>
        <v>-9036.7999999999993</v>
      </c>
      <c r="Y58" s="2"/>
      <c r="Z58" s="7">
        <f t="shared" si="53"/>
        <v>-1</v>
      </c>
    </row>
    <row r="59" spans="1:26" s="29" customFormat="1" outlineLevel="1" collapsed="1" x14ac:dyDescent="0.25">
      <c r="A59" s="27"/>
      <c r="B59" s="14" t="str">
        <f>CONCATENATE("     ","Services                                          ")</f>
        <v xml:space="preserve">     Services                                          </v>
      </c>
      <c r="C59" s="14"/>
      <c r="D59" s="1">
        <f>SUM(OSRRefD22_10x_0)</f>
        <v>0</v>
      </c>
      <c r="E59" s="1"/>
      <c r="F59" s="5">
        <f t="shared" ref="F59:F62" si="54">IF(D$12=0,0,D59/D$12)</f>
        <v>0</v>
      </c>
      <c r="G59" s="1"/>
      <c r="H59" s="1">
        <f>SUM(OSRRefH22_10x_0)</f>
        <v>443.25</v>
      </c>
      <c r="I59" s="1"/>
      <c r="J59" s="5">
        <f t="shared" ref="J59:J62" si="55">IF(H$12=0,0,H59/H$12)</f>
        <v>1.9757216019493967E-3</v>
      </c>
      <c r="K59" s="1"/>
      <c r="L59" s="1">
        <f t="shared" ref="L59:L62" si="56">+D59-H59</f>
        <v>-443.25</v>
      </c>
      <c r="M59" s="1"/>
      <c r="N59" s="5">
        <f t="shared" ref="N59:N62" si="57">IF(H59=0,0,L59/H59)</f>
        <v>-1</v>
      </c>
      <c r="O59" s="14"/>
      <c r="P59" s="1">
        <f>SUM(OSRRefP22_10x_0)</f>
        <v>0</v>
      </c>
      <c r="Q59" s="1"/>
      <c r="R59" s="5">
        <f t="shared" ref="R59:R62" si="58">IF(P$12=0,0,P59/P$12)</f>
        <v>0</v>
      </c>
      <c r="S59" s="1"/>
      <c r="T59" s="1">
        <f>SUM(OSRRefT22_10x_0)</f>
        <v>1306</v>
      </c>
      <c r="U59" s="1"/>
      <c r="V59" s="5">
        <f t="shared" ref="V59:V62" si="59">IF(T$12=0,0,T59/T$12)</f>
        <v>2.520074584173704E-3</v>
      </c>
      <c r="W59" s="1"/>
      <c r="X59" s="1">
        <f t="shared" ref="X59:X62" si="60">+P59-T59</f>
        <v>-1306</v>
      </c>
      <c r="Y59" s="1"/>
      <c r="Z59" s="5">
        <f t="shared" ref="Z59:Z62" si="61">IF(T59=0,0,X59/T59)</f>
        <v>-1</v>
      </c>
    </row>
    <row r="60" spans="1:26" s="24" customFormat="1" hidden="1" outlineLevel="2" x14ac:dyDescent="0.25">
      <c r="A60" s="28"/>
      <c r="B60" s="11" t="str">
        <f>CONCATENATE("          ", "6283", " - ", "PLANT SERVICE")</f>
        <v xml:space="preserve">          6283 - PLANT SERVICE</v>
      </c>
      <c r="C60" s="11"/>
      <c r="D60" s="6"/>
      <c r="E60" s="2"/>
      <c r="F60" s="7">
        <f t="shared" si="54"/>
        <v>0</v>
      </c>
      <c r="G60" s="2"/>
      <c r="H60" s="6"/>
      <c r="I60" s="2"/>
      <c r="J60" s="7">
        <f t="shared" si="55"/>
        <v>0</v>
      </c>
      <c r="K60" s="2"/>
      <c r="L60" s="6">
        <f t="shared" si="56"/>
        <v>0</v>
      </c>
      <c r="M60" s="2"/>
      <c r="N60" s="7">
        <f t="shared" si="57"/>
        <v>0</v>
      </c>
      <c r="O60" s="11"/>
      <c r="P60" s="6"/>
      <c r="Q60" s="2"/>
      <c r="R60" s="7">
        <f t="shared" si="58"/>
        <v>0</v>
      </c>
      <c r="S60" s="2"/>
      <c r="T60" s="6">
        <v>119.25</v>
      </c>
      <c r="U60" s="2"/>
      <c r="V60" s="7">
        <f t="shared" si="59"/>
        <v>2.3010635081371683E-4</v>
      </c>
      <c r="W60" s="2"/>
      <c r="X60" s="6">
        <f t="shared" si="60"/>
        <v>-119.25</v>
      </c>
      <c r="Y60" s="2"/>
      <c r="Z60" s="7">
        <f t="shared" si="61"/>
        <v>-1</v>
      </c>
    </row>
    <row r="61" spans="1:26" s="24" customFormat="1" hidden="1" outlineLevel="2" x14ac:dyDescent="0.25">
      <c r="A61" s="28"/>
      <c r="B61" s="11" t="str">
        <f>CONCATENATE("          ", "6285", " - ", "JANITORIAL SERVICES")</f>
        <v xml:space="preserve">          6285 - JANITORIAL SERVICES</v>
      </c>
      <c r="C61" s="11"/>
      <c r="D61" s="6"/>
      <c r="E61" s="2"/>
      <c r="F61" s="7">
        <f t="shared" si="54"/>
        <v>0</v>
      </c>
      <c r="G61" s="2"/>
      <c r="H61" s="6"/>
      <c r="I61" s="2"/>
      <c r="J61" s="7">
        <f t="shared" si="55"/>
        <v>0</v>
      </c>
      <c r="K61" s="2"/>
      <c r="L61" s="6">
        <f t="shared" si="56"/>
        <v>0</v>
      </c>
      <c r="M61" s="2"/>
      <c r="N61" s="7">
        <f t="shared" si="57"/>
        <v>0</v>
      </c>
      <c r="O61" s="11"/>
      <c r="P61" s="6"/>
      <c r="Q61" s="2"/>
      <c r="R61" s="7">
        <f t="shared" si="58"/>
        <v>0</v>
      </c>
      <c r="S61" s="2"/>
      <c r="T61" s="6">
        <v>350</v>
      </c>
      <c r="U61" s="2"/>
      <c r="V61" s="7">
        <f t="shared" si="59"/>
        <v>6.7536455165451484E-4</v>
      </c>
      <c r="W61" s="2"/>
      <c r="X61" s="6">
        <f t="shared" si="60"/>
        <v>-350</v>
      </c>
      <c r="Y61" s="2"/>
      <c r="Z61" s="7">
        <f t="shared" si="61"/>
        <v>-1</v>
      </c>
    </row>
    <row r="62" spans="1:26" s="24" customFormat="1" hidden="1" outlineLevel="2" x14ac:dyDescent="0.25">
      <c r="A62" s="28"/>
      <c r="B62" s="11" t="str">
        <f>CONCATENATE("          ", "6286", " - ", "LAUNDRY EXPENSE")</f>
        <v xml:space="preserve">          6286 - LAUNDRY EXPENSE</v>
      </c>
      <c r="C62" s="11"/>
      <c r="D62" s="6"/>
      <c r="E62" s="2"/>
      <c r="F62" s="7">
        <f t="shared" si="54"/>
        <v>0</v>
      </c>
      <c r="G62" s="2"/>
      <c r="H62" s="6">
        <v>443.25</v>
      </c>
      <c r="I62" s="2"/>
      <c r="J62" s="7">
        <f t="shared" si="55"/>
        <v>1.9757216019493967E-3</v>
      </c>
      <c r="K62" s="2"/>
      <c r="L62" s="6">
        <f t="shared" si="56"/>
        <v>-443.25</v>
      </c>
      <c r="M62" s="2"/>
      <c r="N62" s="7">
        <f t="shared" si="57"/>
        <v>-1</v>
      </c>
      <c r="O62" s="11"/>
      <c r="P62" s="6"/>
      <c r="Q62" s="2"/>
      <c r="R62" s="7">
        <f t="shared" si="58"/>
        <v>0</v>
      </c>
      <c r="S62" s="2"/>
      <c r="T62" s="6">
        <v>836.75</v>
      </c>
      <c r="U62" s="2"/>
      <c r="V62" s="7">
        <f t="shared" si="59"/>
        <v>1.6146036817054723E-3</v>
      </c>
      <c r="W62" s="2"/>
      <c r="X62" s="6">
        <f t="shared" si="60"/>
        <v>-836.75</v>
      </c>
      <c r="Y62" s="2"/>
      <c r="Z62" s="7">
        <f t="shared" si="61"/>
        <v>-1</v>
      </c>
    </row>
    <row r="63" spans="1:26" s="29" customFormat="1" outlineLevel="1" collapsed="1" x14ac:dyDescent="0.25">
      <c r="A63" s="27"/>
      <c r="B63" s="14" t="str">
        <f>CONCATENATE("     ","Subscriptions &amp; Dues                              ")</f>
        <v xml:space="preserve">     Subscriptions &amp; Dues                              </v>
      </c>
      <c r="C63" s="14"/>
      <c r="D63" s="1">
        <f>SUM(OSRRefD22_11x_0)</f>
        <v>0</v>
      </c>
      <c r="E63" s="1"/>
      <c r="F63" s="5">
        <f t="shared" ref="F63:F71" si="62">IF(D$12=0,0,D63/D$12)</f>
        <v>0</v>
      </c>
      <c r="G63" s="1"/>
      <c r="H63" s="1">
        <f>SUM(OSRRefH22_11x_0)</f>
        <v>196.71</v>
      </c>
      <c r="I63" s="1"/>
      <c r="J63" s="5">
        <f t="shared" ref="J63:J71" si="63">IF(H$12=0,0,H63/H$12)</f>
        <v>8.7680585746072388E-4</v>
      </c>
      <c r="K63" s="1"/>
      <c r="L63" s="1">
        <f t="shared" ref="L63:L71" si="64">+D63-H63</f>
        <v>-196.71</v>
      </c>
      <c r="M63" s="1"/>
      <c r="N63" s="5">
        <f t="shared" ref="N63:N71" si="65">IF(H63=0,0,L63/H63)</f>
        <v>-1</v>
      </c>
      <c r="O63" s="14"/>
      <c r="P63" s="1">
        <f>SUM(OSRRefP22_11x_0)</f>
        <v>0</v>
      </c>
      <c r="Q63" s="1"/>
      <c r="R63" s="5">
        <f t="shared" ref="R63:R71" si="66">IF(P$12=0,0,P63/P$12)</f>
        <v>0</v>
      </c>
      <c r="S63" s="1"/>
      <c r="T63" s="1">
        <f>SUM(OSRRefT22_11x_0)</f>
        <v>786.84</v>
      </c>
      <c r="U63" s="1"/>
      <c r="V63" s="5">
        <f t="shared" ref="V63:V71" si="67">IF(T$12=0,0,T63/T$12)</f>
        <v>1.5182966966395385E-3</v>
      </c>
      <c r="W63" s="1"/>
      <c r="X63" s="1">
        <f t="shared" ref="X63:X71" si="68">+P63-T63</f>
        <v>-786.84</v>
      </c>
      <c r="Y63" s="1"/>
      <c r="Z63" s="5">
        <f t="shared" ref="Z63:Z71" si="69">IF(T63=0,0,X63/T63)</f>
        <v>-1</v>
      </c>
    </row>
    <row r="64" spans="1:26" s="24" customFormat="1" hidden="1" outlineLevel="2" x14ac:dyDescent="0.25">
      <c r="A64" s="28"/>
      <c r="B64" s="11" t="str">
        <f>CONCATENATE("          ", "6275", " - ", "SUBSCRIPTIONS")</f>
        <v xml:space="preserve">          6275 - SUBSCRIPTIONS</v>
      </c>
      <c r="C64" s="11"/>
      <c r="D64" s="6"/>
      <c r="E64" s="2"/>
      <c r="F64" s="7">
        <f t="shared" si="62"/>
        <v>0</v>
      </c>
      <c r="G64" s="2"/>
      <c r="H64" s="6">
        <v>196.71</v>
      </c>
      <c r="I64" s="2"/>
      <c r="J64" s="7">
        <f t="shared" si="63"/>
        <v>8.7680585746072388E-4</v>
      </c>
      <c r="K64" s="2"/>
      <c r="L64" s="6">
        <f t="shared" si="64"/>
        <v>-196.71</v>
      </c>
      <c r="M64" s="2"/>
      <c r="N64" s="7">
        <f t="shared" si="65"/>
        <v>-1</v>
      </c>
      <c r="O64" s="11"/>
      <c r="P64" s="6"/>
      <c r="Q64" s="2"/>
      <c r="R64" s="7">
        <f t="shared" si="66"/>
        <v>0</v>
      </c>
      <c r="S64" s="2"/>
      <c r="T64" s="6">
        <v>786.84</v>
      </c>
      <c r="U64" s="2"/>
      <c r="V64" s="7">
        <f t="shared" si="67"/>
        <v>1.5182966966395385E-3</v>
      </c>
      <c r="W64" s="2"/>
      <c r="X64" s="6">
        <f t="shared" si="68"/>
        <v>-786.84</v>
      </c>
      <c r="Y64" s="2"/>
      <c r="Z64" s="7">
        <f t="shared" si="69"/>
        <v>-1</v>
      </c>
    </row>
    <row r="65" spans="1:26" s="29" customFormat="1" outlineLevel="1" collapsed="1" x14ac:dyDescent="0.25">
      <c r="A65" s="27"/>
      <c r="B65" s="14" t="str">
        <f>CONCATENATE("     ","Supplies                                          ")</f>
        <v xml:space="preserve">     Supplies                                          </v>
      </c>
      <c r="C65" s="14"/>
      <c r="D65" s="1">
        <f>SUM(OSRRefD22_12x_0)</f>
        <v>0</v>
      </c>
      <c r="E65" s="1"/>
      <c r="F65" s="5">
        <f t="shared" si="62"/>
        <v>0</v>
      </c>
      <c r="G65" s="1"/>
      <c r="H65" s="1">
        <f>SUM(OSRRefH22_12x_0)</f>
        <v>350.4</v>
      </c>
      <c r="I65" s="1"/>
      <c r="J65" s="5">
        <f t="shared" si="63"/>
        <v>1.5618564000520441E-3</v>
      </c>
      <c r="K65" s="1"/>
      <c r="L65" s="1">
        <f t="shared" si="64"/>
        <v>-350.4</v>
      </c>
      <c r="M65" s="1"/>
      <c r="N65" s="5">
        <f t="shared" si="65"/>
        <v>-1</v>
      </c>
      <c r="O65" s="14"/>
      <c r="P65" s="1">
        <f>SUM(OSRRefP22_12x_0)</f>
        <v>0</v>
      </c>
      <c r="Q65" s="1"/>
      <c r="R65" s="5">
        <f t="shared" si="66"/>
        <v>0</v>
      </c>
      <c r="S65" s="1"/>
      <c r="T65" s="1">
        <f>SUM(OSRRefT22_12x_0)</f>
        <v>5022.26</v>
      </c>
      <c r="U65" s="1"/>
      <c r="V65" s="5">
        <f t="shared" si="67"/>
        <v>9.6910182091211536E-3</v>
      </c>
      <c r="W65" s="1"/>
      <c r="X65" s="1">
        <f t="shared" si="68"/>
        <v>-5022.26</v>
      </c>
      <c r="Y65" s="1"/>
      <c r="Z65" s="5">
        <f t="shared" si="69"/>
        <v>-1</v>
      </c>
    </row>
    <row r="66" spans="1:26" s="24" customFormat="1" hidden="1" outlineLevel="2" x14ac:dyDescent="0.25">
      <c r="A66" s="28"/>
      <c r="B66" s="11" t="str">
        <f>CONCATENATE("          ", "6239", " - ", "KITCHEN SUPPLIES")</f>
        <v xml:space="preserve">          6239 - KITCHEN SUPPLIES</v>
      </c>
      <c r="C66" s="11"/>
      <c r="D66" s="6"/>
      <c r="E66" s="2"/>
      <c r="F66" s="7">
        <f t="shared" si="62"/>
        <v>0</v>
      </c>
      <c r="G66" s="2"/>
      <c r="H66" s="6"/>
      <c r="I66" s="2"/>
      <c r="J66" s="7">
        <f t="shared" si="63"/>
        <v>0</v>
      </c>
      <c r="K66" s="2"/>
      <c r="L66" s="6">
        <f t="shared" si="64"/>
        <v>0</v>
      </c>
      <c r="M66" s="2"/>
      <c r="N66" s="7">
        <f t="shared" si="65"/>
        <v>0</v>
      </c>
      <c r="O66" s="11"/>
      <c r="P66" s="6"/>
      <c r="Q66" s="2"/>
      <c r="R66" s="7">
        <f t="shared" si="66"/>
        <v>0</v>
      </c>
      <c r="S66" s="2"/>
      <c r="T66" s="6">
        <v>363.54</v>
      </c>
      <c r="U66" s="2"/>
      <c r="V66" s="7">
        <f t="shared" si="67"/>
        <v>7.0149151173852097E-4</v>
      </c>
      <c r="W66" s="2"/>
      <c r="X66" s="6">
        <f t="shared" si="68"/>
        <v>-363.54</v>
      </c>
      <c r="Y66" s="2"/>
      <c r="Z66" s="7">
        <f t="shared" si="69"/>
        <v>-1</v>
      </c>
    </row>
    <row r="67" spans="1:26" s="24" customFormat="1" hidden="1" outlineLevel="2" x14ac:dyDescent="0.25">
      <c r="A67" s="28"/>
      <c r="B67" s="11" t="str">
        <f>CONCATENATE("          ", "6241", " - ", "OFFICE EXPENSE")</f>
        <v xml:space="preserve">          6241 - OFFICE EXPENSE</v>
      </c>
      <c r="C67" s="11"/>
      <c r="D67" s="6"/>
      <c r="E67" s="2"/>
      <c r="F67" s="7">
        <f t="shared" si="62"/>
        <v>0</v>
      </c>
      <c r="G67" s="2"/>
      <c r="H67" s="6"/>
      <c r="I67" s="2"/>
      <c r="J67" s="7">
        <f t="shared" si="63"/>
        <v>0</v>
      </c>
      <c r="K67" s="2"/>
      <c r="L67" s="6">
        <f t="shared" si="64"/>
        <v>0</v>
      </c>
      <c r="M67" s="2"/>
      <c r="N67" s="7">
        <f t="shared" si="65"/>
        <v>0</v>
      </c>
      <c r="O67" s="11"/>
      <c r="P67" s="6"/>
      <c r="Q67" s="2"/>
      <c r="R67" s="7">
        <f t="shared" si="66"/>
        <v>0</v>
      </c>
      <c r="S67" s="2"/>
      <c r="T67" s="6">
        <v>1468.9</v>
      </c>
      <c r="U67" s="2"/>
      <c r="V67" s="7">
        <f t="shared" si="67"/>
        <v>2.8344085426437625E-3</v>
      </c>
      <c r="W67" s="2"/>
      <c r="X67" s="6">
        <f t="shared" si="68"/>
        <v>-1468.9</v>
      </c>
      <c r="Y67" s="2"/>
      <c r="Z67" s="7">
        <f t="shared" si="69"/>
        <v>-1</v>
      </c>
    </row>
    <row r="68" spans="1:26" s="24" customFormat="1" hidden="1" outlineLevel="2" x14ac:dyDescent="0.25">
      <c r="A68" s="28"/>
      <c r="B68" s="11" t="str">
        <f>CONCATENATE("          ", "6243", " - ", "PAPER SUPPLIES")</f>
        <v xml:space="preserve">          6243 - PAPER SUPPLIES</v>
      </c>
      <c r="C68" s="11"/>
      <c r="D68" s="6"/>
      <c r="E68" s="2"/>
      <c r="F68" s="7">
        <f t="shared" si="62"/>
        <v>0</v>
      </c>
      <c r="G68" s="2"/>
      <c r="H68" s="6">
        <v>350.4</v>
      </c>
      <c r="I68" s="2"/>
      <c r="J68" s="7">
        <f t="shared" si="63"/>
        <v>1.5618564000520441E-3</v>
      </c>
      <c r="K68" s="2"/>
      <c r="L68" s="6">
        <f t="shared" si="64"/>
        <v>-350.4</v>
      </c>
      <c r="M68" s="2"/>
      <c r="N68" s="7">
        <f t="shared" si="65"/>
        <v>-1</v>
      </c>
      <c r="O68" s="11"/>
      <c r="P68" s="6"/>
      <c r="Q68" s="2"/>
      <c r="R68" s="7">
        <f t="shared" si="66"/>
        <v>0</v>
      </c>
      <c r="S68" s="2"/>
      <c r="T68" s="6">
        <v>1874.33</v>
      </c>
      <c r="U68" s="2"/>
      <c r="V68" s="7">
        <f t="shared" si="67"/>
        <v>3.6167315431503049E-3</v>
      </c>
      <c r="W68" s="2"/>
      <c r="X68" s="6">
        <f t="shared" si="68"/>
        <v>-1874.33</v>
      </c>
      <c r="Y68" s="2"/>
      <c r="Z68" s="7">
        <f t="shared" si="69"/>
        <v>-1</v>
      </c>
    </row>
    <row r="69" spans="1:26" s="24" customFormat="1" hidden="1" outlineLevel="2" x14ac:dyDescent="0.25">
      <c r="A69" s="28"/>
      <c r="B69" s="11" t="str">
        <f>CONCATENATE("          ", "6245", " - ", "PRINTING")</f>
        <v xml:space="preserve">          6245 - PRINTING</v>
      </c>
      <c r="C69" s="11"/>
      <c r="D69" s="6"/>
      <c r="E69" s="2"/>
      <c r="F69" s="7">
        <f t="shared" si="62"/>
        <v>0</v>
      </c>
      <c r="G69" s="2"/>
      <c r="H69" s="6"/>
      <c r="I69" s="2"/>
      <c r="J69" s="7">
        <f t="shared" si="63"/>
        <v>0</v>
      </c>
      <c r="K69" s="2"/>
      <c r="L69" s="6">
        <f t="shared" si="64"/>
        <v>0</v>
      </c>
      <c r="M69" s="2"/>
      <c r="N69" s="7">
        <f t="shared" si="65"/>
        <v>0</v>
      </c>
      <c r="O69" s="11"/>
      <c r="P69" s="6"/>
      <c r="Q69" s="2"/>
      <c r="R69" s="7">
        <f t="shared" si="66"/>
        <v>0</v>
      </c>
      <c r="S69" s="2"/>
      <c r="T69" s="6">
        <v>22.05</v>
      </c>
      <c r="U69" s="2"/>
      <c r="V69" s="7">
        <f t="shared" si="67"/>
        <v>4.2547966754234437E-5</v>
      </c>
      <c r="W69" s="2"/>
      <c r="X69" s="6">
        <f t="shared" si="68"/>
        <v>-22.05</v>
      </c>
      <c r="Y69" s="2"/>
      <c r="Z69" s="7">
        <f t="shared" si="69"/>
        <v>-1</v>
      </c>
    </row>
    <row r="70" spans="1:26" s="24" customFormat="1" hidden="1" outlineLevel="2" x14ac:dyDescent="0.25">
      <c r="A70" s="28"/>
      <c r="B70" s="11" t="str">
        <f>CONCATENATE("          ", "6247", " - ", "STORE SUPPLIES")</f>
        <v xml:space="preserve">          6247 - STORE SUPPLIES</v>
      </c>
      <c r="C70" s="11"/>
      <c r="D70" s="6"/>
      <c r="E70" s="2"/>
      <c r="F70" s="7">
        <f t="shared" si="62"/>
        <v>0</v>
      </c>
      <c r="G70" s="2"/>
      <c r="H70" s="6"/>
      <c r="I70" s="2"/>
      <c r="J70" s="7">
        <f t="shared" si="63"/>
        <v>0</v>
      </c>
      <c r="K70" s="2"/>
      <c r="L70" s="6">
        <f t="shared" si="64"/>
        <v>0</v>
      </c>
      <c r="M70" s="2"/>
      <c r="N70" s="7">
        <f t="shared" si="65"/>
        <v>0</v>
      </c>
      <c r="O70" s="11"/>
      <c r="P70" s="6"/>
      <c r="Q70" s="2"/>
      <c r="R70" s="7">
        <f t="shared" si="66"/>
        <v>0</v>
      </c>
      <c r="S70" s="2"/>
      <c r="T70" s="6">
        <v>513.20000000000005</v>
      </c>
      <c r="U70" s="2"/>
      <c r="V70" s="7">
        <f t="shared" si="67"/>
        <v>9.9027739402599165E-4</v>
      </c>
      <c r="W70" s="2"/>
      <c r="X70" s="6">
        <f t="shared" si="68"/>
        <v>-513.20000000000005</v>
      </c>
      <c r="Y70" s="2"/>
      <c r="Z70" s="7">
        <f t="shared" si="69"/>
        <v>-1</v>
      </c>
    </row>
    <row r="71" spans="1:26" s="24" customFormat="1" hidden="1" outlineLevel="2" x14ac:dyDescent="0.25">
      <c r="A71" s="28"/>
      <c r="B71" s="11" t="str">
        <f>CONCATENATE("          ", "6248", " - ", "UNIFORMS")</f>
        <v xml:space="preserve">          6248 - UNIFORMS</v>
      </c>
      <c r="C71" s="11"/>
      <c r="D71" s="6"/>
      <c r="E71" s="2"/>
      <c r="F71" s="7">
        <f t="shared" si="62"/>
        <v>0</v>
      </c>
      <c r="G71" s="2"/>
      <c r="H71" s="6"/>
      <c r="I71" s="2"/>
      <c r="J71" s="7">
        <f t="shared" si="63"/>
        <v>0</v>
      </c>
      <c r="K71" s="2"/>
      <c r="L71" s="6">
        <f t="shared" si="64"/>
        <v>0</v>
      </c>
      <c r="M71" s="2"/>
      <c r="N71" s="7">
        <f t="shared" si="65"/>
        <v>0</v>
      </c>
      <c r="O71" s="11"/>
      <c r="P71" s="6"/>
      <c r="Q71" s="2"/>
      <c r="R71" s="7">
        <f t="shared" si="66"/>
        <v>0</v>
      </c>
      <c r="S71" s="2"/>
      <c r="T71" s="6">
        <v>780.24</v>
      </c>
      <c r="U71" s="2"/>
      <c r="V71" s="7">
        <f t="shared" si="67"/>
        <v>1.505561250808339E-3</v>
      </c>
      <c r="W71" s="2"/>
      <c r="X71" s="6">
        <f t="shared" si="68"/>
        <v>-780.24</v>
      </c>
      <c r="Y71" s="2"/>
      <c r="Z71" s="7">
        <f t="shared" si="69"/>
        <v>-1</v>
      </c>
    </row>
    <row r="72" spans="1:26" s="29" customFormat="1" outlineLevel="1" collapsed="1" x14ac:dyDescent="0.25">
      <c r="A72" s="27"/>
      <c r="B72" s="14" t="str">
        <f>CONCATENATE("     ","Telephone/Data Lines                              ")</f>
        <v xml:space="preserve">     Telephone/Data Lines                              </v>
      </c>
      <c r="C72" s="14"/>
      <c r="D72" s="1">
        <f>SUM(OSRRefD22_13x_0)</f>
        <v>38.869999999999997</v>
      </c>
      <c r="E72" s="1"/>
      <c r="F72" s="5">
        <f t="shared" ref="F72:F75" si="70">IF(D$12=0,0,D72/D$12)</f>
        <v>0</v>
      </c>
      <c r="G72" s="1"/>
      <c r="H72" s="1">
        <f>SUM(OSRRefH22_13x_0)</f>
        <v>157.55000000000001</v>
      </c>
      <c r="I72" s="1"/>
      <c r="J72" s="5">
        <f t="shared" ref="J72:J75" si="71">IF(H$12=0,0,H72/H$12)</f>
        <v>7.0225592416723627E-4</v>
      </c>
      <c r="K72" s="1"/>
      <c r="L72" s="1">
        <f t="shared" ref="L72:L75" si="72">+D72-H72</f>
        <v>-118.68</v>
      </c>
      <c r="M72" s="1"/>
      <c r="N72" s="5">
        <f t="shared" ref="N72:N75" si="73">IF(H72=0,0,L72/H72)</f>
        <v>-0.75328467153284673</v>
      </c>
      <c r="O72" s="14"/>
      <c r="P72" s="1">
        <f>SUM(OSRRefP22_13x_0)</f>
        <v>250.87</v>
      </c>
      <c r="Q72" s="1"/>
      <c r="R72" s="5">
        <f t="shared" ref="R72:R75" si="74">IF(P$12=0,0,P72/P$12)</f>
        <v>0</v>
      </c>
      <c r="S72" s="1"/>
      <c r="T72" s="1">
        <f>SUM(OSRRefT22_13x_0)</f>
        <v>539.45000000000005</v>
      </c>
      <c r="U72" s="1"/>
      <c r="V72" s="5">
        <f t="shared" ref="V72:V75" si="75">IF(T$12=0,0,T72/T$12)</f>
        <v>1.0409297354000801E-3</v>
      </c>
      <c r="W72" s="1"/>
      <c r="X72" s="1">
        <f t="shared" ref="X72:X75" si="76">+P72-T72</f>
        <v>-288.58000000000004</v>
      </c>
      <c r="Y72" s="1"/>
      <c r="Z72" s="5">
        <f t="shared" ref="Z72:Z75" si="77">IF(T72=0,0,X72/T72)</f>
        <v>-0.53495226619705261</v>
      </c>
    </row>
    <row r="73" spans="1:26" s="24" customFormat="1" hidden="1" outlineLevel="2" x14ac:dyDescent="0.25">
      <c r="A73" s="28"/>
      <c r="B73" s="11" t="str">
        <f>CONCATENATE("          ", "6309", " - ", "TELEPHONE")</f>
        <v xml:space="preserve">          6309 - TELEPHONE</v>
      </c>
      <c r="C73" s="11"/>
      <c r="D73" s="6">
        <v>38.869999999999997</v>
      </c>
      <c r="E73" s="2"/>
      <c r="F73" s="7">
        <f t="shared" si="70"/>
        <v>0</v>
      </c>
      <c r="G73" s="2"/>
      <c r="H73" s="6">
        <v>157.55000000000001</v>
      </c>
      <c r="I73" s="2"/>
      <c r="J73" s="7">
        <f t="shared" si="71"/>
        <v>7.0225592416723627E-4</v>
      </c>
      <c r="K73" s="2"/>
      <c r="L73" s="6">
        <f t="shared" si="72"/>
        <v>-118.68</v>
      </c>
      <c r="M73" s="2"/>
      <c r="N73" s="7">
        <f t="shared" si="73"/>
        <v>-0.75328467153284673</v>
      </c>
      <c r="O73" s="11"/>
      <c r="P73" s="6">
        <v>250.87</v>
      </c>
      <c r="Q73" s="2"/>
      <c r="R73" s="7">
        <f t="shared" si="74"/>
        <v>0</v>
      </c>
      <c r="S73" s="2"/>
      <c r="T73" s="6">
        <v>539.45000000000005</v>
      </c>
      <c r="U73" s="2"/>
      <c r="V73" s="7">
        <f t="shared" si="75"/>
        <v>1.0409297354000801E-3</v>
      </c>
      <c r="W73" s="2"/>
      <c r="X73" s="6">
        <f t="shared" si="76"/>
        <v>-288.58000000000004</v>
      </c>
      <c r="Y73" s="2"/>
      <c r="Z73" s="7">
        <f t="shared" si="77"/>
        <v>-0.53495226619705261</v>
      </c>
    </row>
    <row r="74" spans="1:26" s="29" customFormat="1" outlineLevel="1" collapsed="1" x14ac:dyDescent="0.25">
      <c r="A74" s="27"/>
      <c r="B74" s="14" t="str">
        <f>CONCATENATE("     ","Training                                          ")</f>
        <v xml:space="preserve">     Training                                          </v>
      </c>
      <c r="C74" s="14"/>
      <c r="D74" s="1">
        <f>SUM(OSRRefD22_14x_0)</f>
        <v>0</v>
      </c>
      <c r="E74" s="1"/>
      <c r="F74" s="5">
        <f t="shared" si="70"/>
        <v>0</v>
      </c>
      <c r="G74" s="1"/>
      <c r="H74" s="1">
        <f>SUM(OSRRefH22_14x_0)</f>
        <v>55.95</v>
      </c>
      <c r="I74" s="1"/>
      <c r="J74" s="5">
        <f t="shared" si="71"/>
        <v>2.493888857959814E-4</v>
      </c>
      <c r="K74" s="1"/>
      <c r="L74" s="1">
        <f t="shared" si="72"/>
        <v>-55.95</v>
      </c>
      <c r="M74" s="1"/>
      <c r="N74" s="5">
        <f t="shared" si="73"/>
        <v>-1</v>
      </c>
      <c r="O74" s="14"/>
      <c r="P74" s="1">
        <f>SUM(OSRRefP22_14x_0)</f>
        <v>0</v>
      </c>
      <c r="Q74" s="1"/>
      <c r="R74" s="5">
        <f t="shared" si="74"/>
        <v>0</v>
      </c>
      <c r="S74" s="1"/>
      <c r="T74" s="1">
        <f>SUM(OSRRefT22_14x_0)</f>
        <v>140.94999999999999</v>
      </c>
      <c r="U74" s="1"/>
      <c r="V74" s="5">
        <f t="shared" si="75"/>
        <v>2.7197895301629671E-4</v>
      </c>
      <c r="W74" s="1"/>
      <c r="X74" s="1">
        <f t="shared" si="76"/>
        <v>-140.94999999999999</v>
      </c>
      <c r="Y74" s="1"/>
      <c r="Z74" s="5">
        <f t="shared" si="77"/>
        <v>-1</v>
      </c>
    </row>
    <row r="75" spans="1:26" s="24" customFormat="1" hidden="1" outlineLevel="2" x14ac:dyDescent="0.25">
      <c r="A75" s="28"/>
      <c r="B75" s="11" t="str">
        <f>CONCATENATE("          ", "6376", " - ", "TRAINING")</f>
        <v xml:space="preserve">          6376 - TRAINING</v>
      </c>
      <c r="C75" s="11"/>
      <c r="D75" s="6"/>
      <c r="E75" s="2"/>
      <c r="F75" s="7">
        <f t="shared" si="70"/>
        <v>0</v>
      </c>
      <c r="G75" s="2"/>
      <c r="H75" s="6">
        <v>55.95</v>
      </c>
      <c r="I75" s="2"/>
      <c r="J75" s="7">
        <f t="shared" si="71"/>
        <v>2.493888857959814E-4</v>
      </c>
      <c r="K75" s="2"/>
      <c r="L75" s="6">
        <f t="shared" si="72"/>
        <v>-55.95</v>
      </c>
      <c r="M75" s="2"/>
      <c r="N75" s="7">
        <f t="shared" si="73"/>
        <v>-1</v>
      </c>
      <c r="O75" s="11"/>
      <c r="P75" s="6"/>
      <c r="Q75" s="2"/>
      <c r="R75" s="7">
        <f t="shared" si="74"/>
        <v>0</v>
      </c>
      <c r="S75" s="2"/>
      <c r="T75" s="6">
        <v>140.94999999999999</v>
      </c>
      <c r="U75" s="2"/>
      <c r="V75" s="7">
        <f t="shared" si="75"/>
        <v>2.7197895301629671E-4</v>
      </c>
      <c r="W75" s="2"/>
      <c r="X75" s="6">
        <f t="shared" si="76"/>
        <v>-140.94999999999999</v>
      </c>
      <c r="Y75" s="2"/>
      <c r="Z75" s="7">
        <f t="shared" si="77"/>
        <v>-1</v>
      </c>
    </row>
    <row r="76" spans="1:26" s="57" customFormat="1" x14ac:dyDescent="0.25">
      <c r="A76" s="37"/>
      <c r="B76" s="37"/>
      <c r="C76" s="37"/>
      <c r="D76" s="1"/>
      <c r="E76" s="1"/>
      <c r="F76" s="5"/>
      <c r="G76" s="1"/>
      <c r="H76" s="1"/>
      <c r="I76" s="1"/>
      <c r="J76" s="5"/>
      <c r="K76" s="1"/>
      <c r="L76" s="1"/>
      <c r="M76" s="1"/>
      <c r="N76" s="5"/>
      <c r="O76" s="37"/>
      <c r="P76" s="1"/>
      <c r="Q76" s="1"/>
      <c r="R76" s="5"/>
      <c r="S76" s="1"/>
      <c r="T76" s="1"/>
      <c r="U76" s="1"/>
      <c r="V76" s="5"/>
      <c r="W76" s="1"/>
      <c r="X76" s="1"/>
      <c r="Y76" s="1"/>
      <c r="Z76" s="5"/>
    </row>
    <row r="77" spans="1:26" s="23" customFormat="1" collapsed="1" x14ac:dyDescent="0.25">
      <c r="A77" s="10"/>
      <c r="B77" s="26" t="s">
        <v>0</v>
      </c>
      <c r="C77" s="10"/>
      <c r="D77" s="4">
        <f>SUM(OSRRefD25x_0)</f>
        <v>0</v>
      </c>
      <c r="E77" s="4"/>
      <c r="F77" s="12">
        <f t="shared" ref="F77:F78" si="78">IF(D$12=0,0,D77/D$12)</f>
        <v>0</v>
      </c>
      <c r="G77" s="4"/>
      <c r="H77" s="4">
        <f>SUM(OSRRefH25x_0)</f>
        <v>0</v>
      </c>
      <c r="I77" s="4"/>
      <c r="J77" s="12">
        <f t="shared" ref="J77:J78" si="79">IF(H$12=0,0,H77/H$12)</f>
        <v>0</v>
      </c>
      <c r="K77" s="4"/>
      <c r="L77" s="4">
        <f t="shared" ref="L77:L78" si="80">+D77-H77</f>
        <v>0</v>
      </c>
      <c r="M77" s="4"/>
      <c r="N77" s="12">
        <f t="shared" ref="N77:N78" si="81">IF(H77=0,0,L77/H77)</f>
        <v>0</v>
      </c>
      <c r="O77" s="10"/>
      <c r="P77" s="4">
        <f>SUM(OSRRefP25x_0)</f>
        <v>111.42</v>
      </c>
      <c r="Q77" s="4"/>
      <c r="R77" s="12">
        <f t="shared" ref="R77:R78" si="82">IF(P$12=0,0,P77/P$12)</f>
        <v>0</v>
      </c>
      <c r="S77" s="4"/>
      <c r="T77" s="4">
        <f>SUM(OSRRefT25x_0)</f>
        <v>0</v>
      </c>
      <c r="U77" s="4"/>
      <c r="V77" s="12">
        <f t="shared" ref="V77:V78" si="83">IF(T$12=0,0,T77/T$12)</f>
        <v>0</v>
      </c>
      <c r="W77" s="4"/>
      <c r="X77" s="4">
        <f t="shared" ref="X77:X78" si="84">+P77-T77</f>
        <v>111.42</v>
      </c>
      <c r="Y77" s="4"/>
      <c r="Z77" s="12">
        <f t="shared" ref="Z77:Z78" si="85">IF(T77=0,0,X77/T77)</f>
        <v>0</v>
      </c>
    </row>
    <row r="78" spans="1:26" s="24" customFormat="1" hidden="1" outlineLevel="1" x14ac:dyDescent="0.25">
      <c r="A78" s="44"/>
      <c r="B78" s="11" t="str">
        <f>CONCATENATE("          ", "9150", " - ", "MISC. INCOME")</f>
        <v xml:space="preserve">          9150 - MISC. INCOME</v>
      </c>
      <c r="C78" s="11"/>
      <c r="D78" s="2">
        <f>0</f>
        <v>0</v>
      </c>
      <c r="E78" s="2"/>
      <c r="F78" s="19">
        <f t="shared" si="78"/>
        <v>0</v>
      </c>
      <c r="G78" s="2"/>
      <c r="H78" s="2">
        <f>0</f>
        <v>0</v>
      </c>
      <c r="I78" s="2"/>
      <c r="J78" s="19">
        <f t="shared" si="79"/>
        <v>0</v>
      </c>
      <c r="K78" s="2"/>
      <c r="L78" s="2">
        <f t="shared" si="80"/>
        <v>0</v>
      </c>
      <c r="M78" s="2"/>
      <c r="N78" s="19">
        <f t="shared" si="81"/>
        <v>0</v>
      </c>
      <c r="O78" s="11"/>
      <c r="P78" s="2">
        <f>--111.42</f>
        <v>111.42</v>
      </c>
      <c r="Q78" s="2"/>
      <c r="R78" s="19">
        <f t="shared" si="82"/>
        <v>0</v>
      </c>
      <c r="S78" s="2"/>
      <c r="T78" s="2">
        <f>0</f>
        <v>0</v>
      </c>
      <c r="U78" s="2"/>
      <c r="V78" s="19">
        <f t="shared" si="83"/>
        <v>0</v>
      </c>
      <c r="W78" s="2"/>
      <c r="X78" s="2">
        <f t="shared" si="84"/>
        <v>111.42</v>
      </c>
      <c r="Y78" s="2"/>
      <c r="Z78" s="19">
        <f t="shared" si="85"/>
        <v>0</v>
      </c>
    </row>
    <row r="79" spans="1:26" x14ac:dyDescent="0.2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25">
      <c r="A80" s="10"/>
      <c r="B80" s="25" t="s">
        <v>3</v>
      </c>
      <c r="C80" s="25"/>
      <c r="D80" s="20">
        <f>+D20-D22+D77</f>
        <v>-6784.05</v>
      </c>
      <c r="E80" s="13"/>
      <c r="F80" s="21">
        <f>IF(D$12=0,0,D80/D$12)</f>
        <v>0</v>
      </c>
      <c r="G80" s="13"/>
      <c r="H80" s="20">
        <f>+H20-H22+H77</f>
        <v>77346.7</v>
      </c>
      <c r="I80" s="13"/>
      <c r="J80" s="21">
        <f>IF(H$12=0,0,H80/H$12)</f>
        <v>0.34476152516525527</v>
      </c>
      <c r="K80" s="15"/>
      <c r="L80" s="20">
        <f>+D80-H80</f>
        <v>-84130.75</v>
      </c>
      <c r="M80" s="15"/>
      <c r="N80" s="21">
        <f>IF(H80=0,0,L80/H80)</f>
        <v>-1.0877096243278641</v>
      </c>
      <c r="O80" s="26"/>
      <c r="P80" s="20">
        <f>+P20-P22+P77</f>
        <v>-38478.670000000006</v>
      </c>
      <c r="Q80" s="13"/>
      <c r="R80" s="21">
        <f>IF(P$12=0,0,P80/P$12)</f>
        <v>0</v>
      </c>
      <c r="S80" s="13"/>
      <c r="T80" s="20">
        <f>+T20-T22+T77</f>
        <v>108514.71000000005</v>
      </c>
      <c r="U80" s="13"/>
      <c r="V80" s="21">
        <f>IF(T$12=0,0,T80/T$12)</f>
        <v>0.20939139562019923</v>
      </c>
      <c r="W80" s="15"/>
      <c r="X80" s="20">
        <f>+P80-T80</f>
        <v>-146993.38000000006</v>
      </c>
      <c r="Y80" s="15"/>
      <c r="Z80" s="21">
        <f>IF(T80=0,0,X80/T80)</f>
        <v>-1.3545940453603018</v>
      </c>
    </row>
    <row r="81" spans="1:26" x14ac:dyDescent="0.25">
      <c r="A81" s="9"/>
      <c r="B81" s="10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25">
      <c r="A82" s="51"/>
      <c r="B82" s="10" t="s">
        <v>13</v>
      </c>
      <c r="C82" s="10"/>
      <c r="D82" s="4"/>
      <c r="E82" s="4"/>
      <c r="F82" s="12">
        <f>IF(D$12=0,0,D82/D$12)</f>
        <v>0</v>
      </c>
      <c r="G82" s="4"/>
      <c r="H82" s="4">
        <v>20599.52</v>
      </c>
      <c r="I82" s="4"/>
      <c r="J82" s="12">
        <f>IF(H$12=0,0,H82/H$12)</f>
        <v>9.1819326912100707E-2</v>
      </c>
      <c r="K82" s="4"/>
      <c r="L82" s="4">
        <f>+D82-H82</f>
        <v>-20599.52</v>
      </c>
      <c r="M82" s="4"/>
      <c r="N82" s="12">
        <f>IF(H82=0,0,L82/H82)</f>
        <v>-1</v>
      </c>
      <c r="O82" s="10"/>
      <c r="P82" s="4"/>
      <c r="Q82" s="4"/>
      <c r="R82" s="12">
        <f>IF(P$12=0,0,P82/P$12)</f>
        <v>0</v>
      </c>
      <c r="S82" s="4"/>
      <c r="T82" s="4">
        <v>52167.219999999994</v>
      </c>
      <c r="U82" s="4"/>
      <c r="V82" s="12">
        <f>IF(T$12=0,0,T82/T$12)</f>
        <v>0.1006625461324641</v>
      </c>
      <c r="W82" s="4"/>
      <c r="X82" s="4">
        <f>+P82-T82</f>
        <v>-52167.219999999994</v>
      </c>
      <c r="Y82" s="4"/>
      <c r="Z82" s="12">
        <f>IF(T82=0,0,X82/T82)</f>
        <v>-1</v>
      </c>
    </row>
    <row r="83" spans="1:26" x14ac:dyDescent="0.25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ht="15.75" thickBot="1" x14ac:dyDescent="0.3">
      <c r="A84" s="10"/>
      <c r="B84" s="25" t="s">
        <v>4</v>
      </c>
      <c r="C84" s="25"/>
      <c r="D84" s="30">
        <f>+D80-D82</f>
        <v>-6784.05</v>
      </c>
      <c r="E84" s="13"/>
      <c r="F84" s="33">
        <f>IF(D$12=0,0,D84/D$12)</f>
        <v>0</v>
      </c>
      <c r="G84" s="13"/>
      <c r="H84" s="30">
        <f>+H80-H82</f>
        <v>56747.179999999993</v>
      </c>
      <c r="I84" s="13"/>
      <c r="J84" s="33">
        <f>IF(H$12=0,0,H84/H$12)</f>
        <v>0.25294219825315456</v>
      </c>
      <c r="K84" s="15"/>
      <c r="L84" s="30">
        <f>D84-H84</f>
        <v>-63531.229999999996</v>
      </c>
      <c r="M84" s="15"/>
      <c r="N84" s="33">
        <f>IF(H84=0,0,L84/H84)</f>
        <v>-1.1195486718458962</v>
      </c>
      <c r="O84" s="26"/>
      <c r="P84" s="30">
        <f>+P80-P82</f>
        <v>-38478.670000000006</v>
      </c>
      <c r="Q84" s="13"/>
      <c r="R84" s="33">
        <f>IF(P$12=0,0,P84/P$12)</f>
        <v>0</v>
      </c>
      <c r="S84" s="13"/>
      <c r="T84" s="30">
        <f>+T80-T82</f>
        <v>56347.490000000056</v>
      </c>
      <c r="U84" s="13"/>
      <c r="V84" s="33">
        <f>IF(T$12=0,0,T84/T$12)</f>
        <v>0.10872884948773513</v>
      </c>
      <c r="W84" s="15"/>
      <c r="X84" s="30">
        <f>P84-T84</f>
        <v>-94826.160000000062</v>
      </c>
      <c r="Y84" s="15"/>
      <c r="Z84" s="33">
        <f>IF(T84=0,0,X84/T84)</f>
        <v>-1.6828817042249791</v>
      </c>
    </row>
    <row r="85" spans="1:26" ht="15.75" thickTop="1" x14ac:dyDescent="0.25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x14ac:dyDescent="0.25">
      <c r="A86" s="9"/>
      <c r="B86" s="9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ht="15.75" thickBot="1" x14ac:dyDescent="0.3">
      <c r="A87" s="10"/>
      <c r="B87" s="25" t="s">
        <v>5</v>
      </c>
      <c r="C87" s="25"/>
      <c r="D87" s="34">
        <f>SUM(D84:D86)</f>
        <v>-6784.05</v>
      </c>
      <c r="E87" s="13"/>
      <c r="F87" s="35">
        <f>IF(D$12=0,0,D87/D$12)</f>
        <v>0</v>
      </c>
      <c r="G87" s="13"/>
      <c r="H87" s="34">
        <f>SUM(H84:H86)</f>
        <v>56747.179999999993</v>
      </c>
      <c r="I87" s="13"/>
      <c r="J87" s="35">
        <f>IF(H$12=0,0,H87/H$12)</f>
        <v>0.25294219825315456</v>
      </c>
      <c r="K87" s="15"/>
      <c r="L87" s="34">
        <f>+D87-H87</f>
        <v>-63531.229999999996</v>
      </c>
      <c r="M87" s="15"/>
      <c r="N87" s="35">
        <f>IF(H87=0,0,L87/H87)</f>
        <v>-1.1195486718458962</v>
      </c>
      <c r="O87" s="26"/>
      <c r="P87" s="34">
        <f>SUM(P84:P86)</f>
        <v>-38478.670000000006</v>
      </c>
      <c r="Q87" s="13"/>
      <c r="R87" s="35">
        <f>IF(P$12=0,0,P87/P$12)</f>
        <v>0</v>
      </c>
      <c r="S87" s="13"/>
      <c r="T87" s="34">
        <f>SUM(T84:T86)</f>
        <v>56347.490000000056</v>
      </c>
      <c r="U87" s="13"/>
      <c r="V87" s="35">
        <f>IF(T$12=0,0,T87/T$12)</f>
        <v>0.10872884948773513</v>
      </c>
      <c r="W87" s="15"/>
      <c r="X87" s="34">
        <f>+P87-T87</f>
        <v>-94826.160000000062</v>
      </c>
      <c r="Y87" s="15"/>
      <c r="Z87" s="35">
        <f>IF(T87=0,0,X87/T87)</f>
        <v>-1.6828817042249791</v>
      </c>
    </row>
    <row r="88" spans="1:26" ht="15.75" thickTop="1" x14ac:dyDescent="0.25">
      <c r="A88" s="9"/>
      <c r="C88" s="9"/>
      <c r="D88" s="18"/>
      <c r="E88" s="18"/>
      <c r="G88" s="18"/>
      <c r="H88" s="18"/>
      <c r="I88" s="18"/>
      <c r="J88" s="43"/>
      <c r="K88" s="18"/>
      <c r="L88" s="18"/>
      <c r="M88" s="18"/>
      <c r="P88" s="18"/>
      <c r="Q88" s="18"/>
      <c r="R88" s="43"/>
      <c r="S88" s="18"/>
      <c r="T88" s="18"/>
      <c r="U88" s="18"/>
      <c r="V88" s="43"/>
      <c r="W88" s="18"/>
      <c r="X88" s="18"/>
    </row>
    <row r="89" spans="1:26" x14ac:dyDescent="0.25">
      <c r="A89" s="9"/>
      <c r="B89" s="56">
        <v>44151.572850891207</v>
      </c>
      <c r="D89" s="18"/>
      <c r="E89" s="18"/>
      <c r="G89" s="18"/>
      <c r="H89" s="18"/>
      <c r="I89" s="18"/>
      <c r="J89" s="43"/>
      <c r="K89" s="18"/>
      <c r="L89" s="18"/>
      <c r="M89" s="18"/>
      <c r="P89" s="18"/>
      <c r="Q89" s="18"/>
      <c r="R89" s="43"/>
      <c r="S89" s="18"/>
      <c r="T89" s="18"/>
      <c r="U89" s="18"/>
      <c r="V89" s="43"/>
      <c r="W89" s="18"/>
      <c r="X89" s="18"/>
    </row>
    <row r="90" spans="1:26" x14ac:dyDescent="0.25">
      <c r="A90" s="9"/>
      <c r="B90" s="62" t="s">
        <v>313</v>
      </c>
      <c r="D90" s="18"/>
      <c r="E90" s="18"/>
      <c r="G90" s="18"/>
      <c r="H90" s="18"/>
      <c r="I90" s="18"/>
      <c r="J90" s="43"/>
      <c r="K90" s="18"/>
      <c r="L90" s="18"/>
      <c r="M90" s="18"/>
      <c r="P90" s="18"/>
      <c r="Q90" s="18"/>
      <c r="R90" s="43"/>
      <c r="S90" s="18"/>
      <c r="T90" s="18"/>
      <c r="U90" s="18"/>
      <c r="V90" s="43"/>
      <c r="W90" s="18"/>
      <c r="X90" s="18"/>
    </row>
    <row r="91" spans="1:26" x14ac:dyDescent="0.25">
      <c r="A91" s="9"/>
      <c r="B91" s="54"/>
      <c r="D91" s="18"/>
      <c r="E91" s="18"/>
      <c r="G91" s="18"/>
      <c r="H91" s="18"/>
      <c r="I91" s="18"/>
      <c r="J91" s="43"/>
      <c r="K91" s="18"/>
      <c r="L91" s="18"/>
      <c r="M91" s="18"/>
      <c r="P91" s="18"/>
      <c r="Q91" s="18"/>
      <c r="R91" s="43"/>
      <c r="S91" s="18"/>
      <c r="T91" s="18"/>
      <c r="U91" s="18"/>
      <c r="V91" s="43"/>
      <c r="W91" s="18"/>
      <c r="X91" s="18"/>
    </row>
    <row r="92" spans="1:26" x14ac:dyDescent="0.25">
      <c r="D92" s="18"/>
      <c r="E92" s="18"/>
      <c r="G92" s="18"/>
      <c r="H92" s="18"/>
      <c r="I92" s="18"/>
      <c r="J92" s="43"/>
      <c r="K92" s="18"/>
      <c r="L92" s="18"/>
      <c r="M92" s="18"/>
      <c r="P92" s="18"/>
      <c r="Q92" s="18"/>
      <c r="R92" s="43"/>
      <c r="S92" s="18"/>
      <c r="T92" s="18"/>
      <c r="U92" s="18"/>
      <c r="V92" s="43"/>
      <c r="W92" s="18"/>
      <c r="X92" s="18"/>
    </row>
  </sheetData>
  <pageMargins left="0.25" right="0.25" top="0.75" bottom="0.75" header="0.3" footer="0.3"/>
  <pageSetup scale="55" fitToWidth="2" orientation="landscape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5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",RIGHT(202104,2),", ",2021)</f>
        <v>Period 04,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44135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","420", " - ", "Catering")</f>
        <v>Department 420 - Catering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61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50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50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2"/>
      <c r="F10" s="31" t="s">
        <v>14</v>
      </c>
      <c r="G10" s="32"/>
      <c r="H10" s="49" t="s">
        <v>306</v>
      </c>
      <c r="I10" s="32"/>
      <c r="J10" s="31" t="s">
        <v>14</v>
      </c>
      <c r="K10" s="10"/>
      <c r="L10" s="42" t="s">
        <v>11</v>
      </c>
      <c r="M10" s="10"/>
      <c r="N10" s="31" t="s">
        <v>15</v>
      </c>
      <c r="O10" s="10"/>
      <c r="P10" s="59" t="s">
        <v>10</v>
      </c>
      <c r="Q10" s="32"/>
      <c r="R10" s="31" t="s">
        <v>14</v>
      </c>
      <c r="S10" s="32"/>
      <c r="T10" s="49" t="s">
        <v>306</v>
      </c>
      <c r="U10" s="32"/>
      <c r="V10" s="31" t="s">
        <v>14</v>
      </c>
      <c r="W10" s="10"/>
      <c r="X10" s="42" t="s">
        <v>11</v>
      </c>
      <c r="Y10" s="10"/>
      <c r="Z10" s="31" t="s">
        <v>15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30231.29</v>
      </c>
      <c r="E12" s="4"/>
      <c r="F12" s="12"/>
      <c r="G12" s="4"/>
      <c r="H12" s="4">
        <f>SUM(OSRRefH13x_0)</f>
        <v>10070.48</v>
      </c>
      <c r="I12" s="4"/>
      <c r="J12" s="12"/>
      <c r="K12" s="4"/>
      <c r="L12" s="4">
        <f t="shared" ref="L12:L14" si="0">+D12-H12</f>
        <v>20160.810000000001</v>
      </c>
      <c r="M12" s="4"/>
      <c r="N12" s="12">
        <f t="shared" ref="N12:N14" si="1">IF(H12=0,0,L12/H12)</f>
        <v>2.0019711076334001</v>
      </c>
      <c r="O12" s="10"/>
      <c r="P12" s="4">
        <f>SUM(OSRRefP13x_0)</f>
        <v>30231.29</v>
      </c>
      <c r="Q12" s="4"/>
      <c r="R12" s="12"/>
      <c r="S12" s="4"/>
      <c r="T12" s="4">
        <f>SUM(OSRRefT13x_0)</f>
        <v>10070.48</v>
      </c>
      <c r="U12" s="4"/>
      <c r="V12" s="12"/>
      <c r="W12" s="4"/>
      <c r="X12" s="4">
        <f t="shared" ref="X12:X14" si="2">+P12-T12</f>
        <v>20160.810000000001</v>
      </c>
      <c r="Y12" s="4"/>
      <c r="Z12" s="12">
        <f t="shared" ref="Z12:Z14" si="3">IF(T12=0,0,X12/T12)</f>
        <v>2.0019711076334001</v>
      </c>
    </row>
    <row r="13" spans="1:26" s="24" customFormat="1" hidden="1" outlineLevel="1" x14ac:dyDescent="0.25">
      <c r="A13" s="44"/>
      <c r="B13" s="11" t="str">
        <f>CONCATENATE("          ", "4052", " - ", "TAXABLE SALES-FOOD")</f>
        <v xml:space="preserve">          4052 - TAXABLE SALES-FOOD</v>
      </c>
      <c r="C13" s="11"/>
      <c r="D13" s="2">
        <f>--30231.29</f>
        <v>30231.29</v>
      </c>
      <c r="E13" s="2"/>
      <c r="F13" s="19"/>
      <c r="G13" s="2"/>
      <c r="H13" s="2">
        <f>--10070.73</f>
        <v>10070.73</v>
      </c>
      <c r="I13" s="2"/>
      <c r="J13" s="19"/>
      <c r="K13" s="2"/>
      <c r="L13" s="2">
        <f t="shared" si="0"/>
        <v>20160.560000000001</v>
      </c>
      <c r="M13" s="2"/>
      <c r="N13" s="19">
        <f t="shared" si="1"/>
        <v>2.0018965854511044</v>
      </c>
      <c r="O13" s="11"/>
      <c r="P13" s="2">
        <f>--30231.29</f>
        <v>30231.29</v>
      </c>
      <c r="Q13" s="2"/>
      <c r="R13" s="19"/>
      <c r="S13" s="2"/>
      <c r="T13" s="2">
        <f>--10070.73</f>
        <v>10070.73</v>
      </c>
      <c r="U13" s="2"/>
      <c r="V13" s="19"/>
      <c r="W13" s="2"/>
      <c r="X13" s="2">
        <f t="shared" si="2"/>
        <v>20160.560000000001</v>
      </c>
      <c r="Y13" s="2"/>
      <c r="Z13" s="19">
        <f t="shared" si="3"/>
        <v>2.0018965854511044</v>
      </c>
    </row>
    <row r="14" spans="1:26" s="24" customFormat="1" hidden="1" outlineLevel="1" x14ac:dyDescent="0.25">
      <c r="A14" s="44"/>
      <c r="B14" s="11" t="str">
        <f>CONCATENATE("          ", "4152", " - ", "NON-TAXABLE SALES-FOOD")</f>
        <v xml:space="preserve">          4152 - NON-TAXABLE SALES-FOOD</v>
      </c>
      <c r="C14" s="11"/>
      <c r="D14" s="2">
        <f>0</f>
        <v>0</v>
      </c>
      <c r="E14" s="2"/>
      <c r="F14" s="19"/>
      <c r="G14" s="2"/>
      <c r="H14" s="2">
        <f>-0.25</f>
        <v>-0.25</v>
      </c>
      <c r="I14" s="2"/>
      <c r="J14" s="19"/>
      <c r="K14" s="2"/>
      <c r="L14" s="2">
        <f t="shared" si="0"/>
        <v>0.25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f>-0.25</f>
        <v>-0.25</v>
      </c>
      <c r="U14" s="2"/>
      <c r="V14" s="19"/>
      <c r="W14" s="2"/>
      <c r="X14" s="2">
        <f t="shared" si="2"/>
        <v>0.25</v>
      </c>
      <c r="Y14" s="2"/>
      <c r="Z14" s="19">
        <f t="shared" si="3"/>
        <v>-1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8</v>
      </c>
      <c r="C16" s="10"/>
      <c r="D16" s="4">
        <f>SUM(0)</f>
        <v>0</v>
      </c>
      <c r="E16" s="4"/>
      <c r="F16" s="12">
        <f>IF(D$12=0,0,D16/D$12)</f>
        <v>0</v>
      </c>
      <c r="G16" s="4"/>
      <c r="H16" s="4">
        <f>SUM(0)</f>
        <v>0</v>
      </c>
      <c r="I16" s="4"/>
      <c r="J16" s="12">
        <f>IF(H$12=0,0,H16/H$12)</f>
        <v>0</v>
      </c>
      <c r="K16" s="4"/>
      <c r="L16" s="4">
        <f>+D16-H16</f>
        <v>0</v>
      </c>
      <c r="M16" s="4"/>
      <c r="N16" s="12">
        <f>IF(H16=0,0,L16/H16)</f>
        <v>0</v>
      </c>
      <c r="O16" s="10"/>
      <c r="P16" s="4">
        <f>SUM(0)</f>
        <v>0</v>
      </c>
      <c r="Q16" s="4"/>
      <c r="R16" s="12">
        <f>IF(P$12=0,0,P16/P$12)</f>
        <v>0</v>
      </c>
      <c r="S16" s="4"/>
      <c r="T16" s="4">
        <f>SUM(0)</f>
        <v>0</v>
      </c>
      <c r="U16" s="4"/>
      <c r="V16" s="12">
        <f>IF(T$12=0,0,T16/T$12)</f>
        <v>0</v>
      </c>
      <c r="W16" s="4"/>
      <c r="X16" s="4">
        <f>+P16-T16</f>
        <v>0</v>
      </c>
      <c r="Y16" s="4"/>
      <c r="Z16" s="12">
        <f>IF(T16=0,0,X16/T16)</f>
        <v>0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0">
        <f>D12-D16</f>
        <v>30231.29</v>
      </c>
      <c r="E18" s="13"/>
      <c r="F18" s="21">
        <f>IF(D$12=0,0,D18/D$12)</f>
        <v>1</v>
      </c>
      <c r="G18" s="13"/>
      <c r="H18" s="20">
        <f>H12-H16</f>
        <v>10070.48</v>
      </c>
      <c r="I18" s="13"/>
      <c r="J18" s="21">
        <f>IF(H$12=0,0,H18/H$12)</f>
        <v>1</v>
      </c>
      <c r="K18" s="15"/>
      <c r="L18" s="20">
        <f>+D18-H18</f>
        <v>20160.810000000001</v>
      </c>
      <c r="M18" s="15"/>
      <c r="N18" s="21">
        <f>IF(H18=0,0,L18/H18)</f>
        <v>2.0019711076334001</v>
      </c>
      <c r="O18" s="26"/>
      <c r="P18" s="20">
        <f>P12-P16</f>
        <v>30231.29</v>
      </c>
      <c r="Q18" s="13"/>
      <c r="R18" s="21">
        <f>IF(P$12=0,0,P18/P$12)</f>
        <v>1</v>
      </c>
      <c r="S18" s="13"/>
      <c r="T18" s="20">
        <f>T12-T16</f>
        <v>10070.48</v>
      </c>
      <c r="U18" s="13"/>
      <c r="V18" s="21">
        <f>IF(T$12=0,0,T18/T$12)</f>
        <v>1</v>
      </c>
      <c r="W18" s="15"/>
      <c r="X18" s="20">
        <f>+P18-T18</f>
        <v>20160.810000000001</v>
      </c>
      <c r="Y18" s="15"/>
      <c r="Z18" s="21">
        <f>IF(T18=0,0,X18/T18)</f>
        <v>2.0019711076334001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2">
        <f>SUM(OSRRefD22x_0)</f>
        <v>0</v>
      </c>
      <c r="E20" s="22"/>
      <c r="F20" s="36">
        <f t="shared" ref="F20:F28" si="4">IF(D$12=0,0,D20/D$12)</f>
        <v>0</v>
      </c>
      <c r="G20" s="22"/>
      <c r="H20" s="22">
        <f>SUM(OSRRefH22x_0)</f>
        <v>41555.51</v>
      </c>
      <c r="I20" s="22"/>
      <c r="J20" s="36">
        <f t="shared" ref="J20:J28" si="5">IF(H$12=0,0,H20/H$12)</f>
        <v>4.1264676559607887</v>
      </c>
      <c r="K20" s="4"/>
      <c r="L20" s="22">
        <f t="shared" ref="L20:L28" si="6">+D20-H20</f>
        <v>-41555.51</v>
      </c>
      <c r="M20" s="4"/>
      <c r="N20" s="36">
        <f t="shared" ref="N20:N28" si="7">IF(H20=0,0,L20/H20)</f>
        <v>-1</v>
      </c>
      <c r="O20" s="10"/>
      <c r="P20" s="22">
        <f>SUM(OSRRefP22x_0)</f>
        <v>0</v>
      </c>
      <c r="Q20" s="22"/>
      <c r="R20" s="36">
        <f t="shared" ref="R20:R28" si="8">IF(P$12=0,0,P20/P$12)</f>
        <v>0</v>
      </c>
      <c r="S20" s="22"/>
      <c r="T20" s="22">
        <f>SUM(OSRRefT22x_0)</f>
        <v>49602.720000000001</v>
      </c>
      <c r="U20" s="22"/>
      <c r="V20" s="36">
        <f t="shared" ref="V20:V28" si="9">IF(T$12=0,0,T20/T$12)</f>
        <v>4.92555667654372</v>
      </c>
      <c r="W20" s="4"/>
      <c r="X20" s="22">
        <f t="shared" ref="X20:X28" si="10">+P20-T20</f>
        <v>-49602.720000000001</v>
      </c>
      <c r="Y20" s="4"/>
      <c r="Z20" s="36">
        <f t="shared" ref="Z20:Z28" si="11">IF(T20=0,0,X20/T20)</f>
        <v>-1</v>
      </c>
    </row>
    <row r="21" spans="1:26" s="29" customFormat="1" outlineLevel="1" collapsed="1" x14ac:dyDescent="0.25">
      <c r="A21" s="27"/>
      <c r="B21" s="14" t="str">
        <f>CONCATENATE("     ","*Benefits                                         ")</f>
        <v xml:space="preserve">     *Benefits                                         </v>
      </c>
      <c r="C21" s="14"/>
      <c r="D21" s="1">
        <f>SUM(OSRRefD22_0x_0)</f>
        <v>0</v>
      </c>
      <c r="E21" s="1"/>
      <c r="F21" s="5">
        <f t="shared" si="4"/>
        <v>0</v>
      </c>
      <c r="G21" s="1"/>
      <c r="H21" s="1">
        <f>SUM(OSRRefH22_0x_0)</f>
        <v>8769.9600000000009</v>
      </c>
      <c r="I21" s="1"/>
      <c r="J21" s="5">
        <f t="shared" si="5"/>
        <v>0.87085819146654397</v>
      </c>
      <c r="K21" s="1"/>
      <c r="L21" s="1">
        <f t="shared" si="6"/>
        <v>-8769.9600000000009</v>
      </c>
      <c r="M21" s="1"/>
      <c r="N21" s="5">
        <f t="shared" si="7"/>
        <v>-1</v>
      </c>
      <c r="O21" s="14"/>
      <c r="P21" s="1">
        <f>SUM(OSRRefP22_0x_0)</f>
        <v>0</v>
      </c>
      <c r="Q21" s="1"/>
      <c r="R21" s="5">
        <f t="shared" si="8"/>
        <v>0</v>
      </c>
      <c r="S21" s="1"/>
      <c r="T21" s="1">
        <f>SUM(OSRRefT22_0x_0)</f>
        <v>8769.9600000000009</v>
      </c>
      <c r="U21" s="1"/>
      <c r="V21" s="5">
        <f t="shared" si="9"/>
        <v>0.87085819146654397</v>
      </c>
      <c r="W21" s="1"/>
      <c r="X21" s="1">
        <f t="shared" si="10"/>
        <v>-8769.9600000000009</v>
      </c>
      <c r="Y21" s="1"/>
      <c r="Z21" s="5">
        <f t="shared" si="11"/>
        <v>-1</v>
      </c>
    </row>
    <row r="22" spans="1:26" s="24" customFormat="1" hidden="1" outlineLevel="2" x14ac:dyDescent="0.25">
      <c r="A22" s="28"/>
      <c r="B22" s="11" t="str">
        <f>CONCATENATE("          ", "6111", " - ", "F.I.C.A.")</f>
        <v xml:space="preserve">          6111 - F.I.C.A.</v>
      </c>
      <c r="C22" s="11"/>
      <c r="D22" s="6"/>
      <c r="E22" s="2"/>
      <c r="F22" s="7">
        <f t="shared" si="4"/>
        <v>0</v>
      </c>
      <c r="G22" s="2"/>
      <c r="H22" s="6">
        <v>3338.85</v>
      </c>
      <c r="I22" s="2"/>
      <c r="J22" s="7">
        <f t="shared" si="5"/>
        <v>0.33154824794845927</v>
      </c>
      <c r="K22" s="2"/>
      <c r="L22" s="6">
        <f t="shared" si="6"/>
        <v>-3338.85</v>
      </c>
      <c r="M22" s="2"/>
      <c r="N22" s="7">
        <f t="shared" si="7"/>
        <v>-1</v>
      </c>
      <c r="O22" s="11"/>
      <c r="P22" s="6"/>
      <c r="Q22" s="2"/>
      <c r="R22" s="7">
        <f t="shared" si="8"/>
        <v>0</v>
      </c>
      <c r="S22" s="2"/>
      <c r="T22" s="6">
        <v>3338.85</v>
      </c>
      <c r="U22" s="2"/>
      <c r="V22" s="7">
        <f t="shared" si="9"/>
        <v>0.33154824794845927</v>
      </c>
      <c r="W22" s="2"/>
      <c r="X22" s="6">
        <f t="shared" si="10"/>
        <v>-3338.85</v>
      </c>
      <c r="Y22" s="2"/>
      <c r="Z22" s="7">
        <f t="shared" si="11"/>
        <v>-1</v>
      </c>
    </row>
    <row r="23" spans="1:26" s="24" customFormat="1" hidden="1" outlineLevel="2" x14ac:dyDescent="0.25">
      <c r="A23" s="28"/>
      <c r="B23" s="11" t="str">
        <f>CONCATENATE("          ", "6112", " - ", "COMPENSATION INSURANCE")</f>
        <v xml:space="preserve">          6112 - COMPENSATION INSURANCE</v>
      </c>
      <c r="C23" s="11"/>
      <c r="D23" s="6"/>
      <c r="E23" s="2"/>
      <c r="F23" s="7">
        <f t="shared" si="4"/>
        <v>0</v>
      </c>
      <c r="G23" s="2"/>
      <c r="H23" s="6">
        <v>1542.85</v>
      </c>
      <c r="I23" s="2"/>
      <c r="J23" s="7">
        <f t="shared" si="5"/>
        <v>0.15320520968216014</v>
      </c>
      <c r="K23" s="2"/>
      <c r="L23" s="6">
        <f t="shared" si="6"/>
        <v>-1542.85</v>
      </c>
      <c r="M23" s="2"/>
      <c r="N23" s="7">
        <f t="shared" si="7"/>
        <v>-1</v>
      </c>
      <c r="O23" s="11"/>
      <c r="P23" s="6"/>
      <c r="Q23" s="2"/>
      <c r="R23" s="7">
        <f t="shared" si="8"/>
        <v>0</v>
      </c>
      <c r="S23" s="2"/>
      <c r="T23" s="6">
        <v>1542.85</v>
      </c>
      <c r="U23" s="2"/>
      <c r="V23" s="7">
        <f t="shared" si="9"/>
        <v>0.15320520968216014</v>
      </c>
      <c r="W23" s="2"/>
      <c r="X23" s="6">
        <f t="shared" si="10"/>
        <v>-1542.85</v>
      </c>
      <c r="Y23" s="2"/>
      <c r="Z23" s="7">
        <f t="shared" si="11"/>
        <v>-1</v>
      </c>
    </row>
    <row r="24" spans="1:26" s="24" customFormat="1" hidden="1" outlineLevel="2" x14ac:dyDescent="0.25">
      <c r="A24" s="28"/>
      <c r="B24" s="11" t="str">
        <f>CONCATENATE("          ", "6113", " - ", "GROUP INSURANCE")</f>
        <v xml:space="preserve">          6113 - GROUP INSURANCE</v>
      </c>
      <c r="C24" s="11"/>
      <c r="D24" s="6"/>
      <c r="E24" s="2"/>
      <c r="F24" s="7">
        <f t="shared" si="4"/>
        <v>0</v>
      </c>
      <c r="G24" s="2"/>
      <c r="H24" s="6">
        <v>134.30000000000001</v>
      </c>
      <c r="I24" s="2"/>
      <c r="J24" s="7">
        <f t="shared" si="5"/>
        <v>1.3336007816906446E-2</v>
      </c>
      <c r="K24" s="2"/>
      <c r="L24" s="6">
        <f t="shared" si="6"/>
        <v>-134.30000000000001</v>
      </c>
      <c r="M24" s="2"/>
      <c r="N24" s="7">
        <f t="shared" si="7"/>
        <v>-1</v>
      </c>
      <c r="O24" s="11"/>
      <c r="P24" s="6"/>
      <c r="Q24" s="2"/>
      <c r="R24" s="7">
        <f t="shared" si="8"/>
        <v>0</v>
      </c>
      <c r="S24" s="2"/>
      <c r="T24" s="6">
        <v>134.30000000000001</v>
      </c>
      <c r="U24" s="2"/>
      <c r="V24" s="7">
        <f t="shared" si="9"/>
        <v>1.3336007816906446E-2</v>
      </c>
      <c r="W24" s="2"/>
      <c r="X24" s="6">
        <f t="shared" si="10"/>
        <v>-134.30000000000001</v>
      </c>
      <c r="Y24" s="2"/>
      <c r="Z24" s="7">
        <f t="shared" si="11"/>
        <v>-1</v>
      </c>
    </row>
    <row r="25" spans="1:26" s="24" customFormat="1" hidden="1" outlineLevel="2" x14ac:dyDescent="0.25">
      <c r="A25" s="28"/>
      <c r="B25" s="11" t="str">
        <f>CONCATENATE("          ", "6114", " - ", "STATE UNEMPLOYMENT INSURANCE")</f>
        <v xml:space="preserve">          6114 - STATE UNEMPLOYMENT INSURANCE</v>
      </c>
      <c r="C25" s="11"/>
      <c r="D25" s="6"/>
      <c r="E25" s="2"/>
      <c r="F25" s="7">
        <f t="shared" si="4"/>
        <v>0</v>
      </c>
      <c r="G25" s="2"/>
      <c r="H25" s="6">
        <v>103.39</v>
      </c>
      <c r="I25" s="2"/>
      <c r="J25" s="7">
        <f t="shared" si="5"/>
        <v>1.0266640716231998E-2</v>
      </c>
      <c r="K25" s="2"/>
      <c r="L25" s="6">
        <f t="shared" si="6"/>
        <v>-103.39</v>
      </c>
      <c r="M25" s="2"/>
      <c r="N25" s="7">
        <f t="shared" si="7"/>
        <v>-1</v>
      </c>
      <c r="O25" s="11"/>
      <c r="P25" s="6"/>
      <c r="Q25" s="2"/>
      <c r="R25" s="7">
        <f t="shared" si="8"/>
        <v>0</v>
      </c>
      <c r="S25" s="2"/>
      <c r="T25" s="6">
        <v>103.39</v>
      </c>
      <c r="U25" s="2"/>
      <c r="V25" s="7">
        <f t="shared" si="9"/>
        <v>1.0266640716231998E-2</v>
      </c>
      <c r="W25" s="2"/>
      <c r="X25" s="6">
        <f t="shared" si="10"/>
        <v>-103.39</v>
      </c>
      <c r="Y25" s="2"/>
      <c r="Z25" s="7">
        <f t="shared" si="11"/>
        <v>-1</v>
      </c>
    </row>
    <row r="26" spans="1:26" s="24" customFormat="1" hidden="1" outlineLevel="2" x14ac:dyDescent="0.25">
      <c r="A26" s="28"/>
      <c r="B26" s="11" t="str">
        <f>CONCATENATE("          ", "6115", " - ", "P.E.R.S.")</f>
        <v xml:space="preserve">          6115 - P.E.R.S.</v>
      </c>
      <c r="C26" s="11"/>
      <c r="D26" s="6"/>
      <c r="E26" s="2"/>
      <c r="F26" s="7">
        <f t="shared" si="4"/>
        <v>0</v>
      </c>
      <c r="G26" s="2"/>
      <c r="H26" s="6">
        <v>862.43</v>
      </c>
      <c r="I26" s="2"/>
      <c r="J26" s="7">
        <f t="shared" si="5"/>
        <v>8.5639413414256321E-2</v>
      </c>
      <c r="K26" s="2"/>
      <c r="L26" s="6">
        <f t="shared" si="6"/>
        <v>-862.43</v>
      </c>
      <c r="M26" s="2"/>
      <c r="N26" s="7">
        <f t="shared" si="7"/>
        <v>-1</v>
      </c>
      <c r="O26" s="11"/>
      <c r="P26" s="6"/>
      <c r="Q26" s="2"/>
      <c r="R26" s="7">
        <f t="shared" si="8"/>
        <v>0</v>
      </c>
      <c r="S26" s="2"/>
      <c r="T26" s="6">
        <v>862.43</v>
      </c>
      <c r="U26" s="2"/>
      <c r="V26" s="7">
        <f t="shared" si="9"/>
        <v>8.5639413414256321E-2</v>
      </c>
      <c r="W26" s="2"/>
      <c r="X26" s="6">
        <f t="shared" si="10"/>
        <v>-862.43</v>
      </c>
      <c r="Y26" s="2"/>
      <c r="Z26" s="7">
        <f t="shared" si="11"/>
        <v>-1</v>
      </c>
    </row>
    <row r="27" spans="1:26" s="24" customFormat="1" hidden="1" outlineLevel="2" x14ac:dyDescent="0.25">
      <c r="A27" s="28"/>
      <c r="B27" s="11" t="str">
        <f>CONCATENATE("          ", "6118", " - ", "VACATION")</f>
        <v xml:space="preserve">          6118 - VACATION</v>
      </c>
      <c r="C27" s="11"/>
      <c r="D27" s="6"/>
      <c r="E27" s="2"/>
      <c r="F27" s="7">
        <f t="shared" si="4"/>
        <v>0</v>
      </c>
      <c r="G27" s="2"/>
      <c r="H27" s="6">
        <v>1508.13</v>
      </c>
      <c r="I27" s="2"/>
      <c r="J27" s="7">
        <f t="shared" si="5"/>
        <v>0.14975750907603214</v>
      </c>
      <c r="K27" s="2"/>
      <c r="L27" s="6">
        <f t="shared" si="6"/>
        <v>-1508.13</v>
      </c>
      <c r="M27" s="2"/>
      <c r="N27" s="7">
        <f t="shared" si="7"/>
        <v>-1</v>
      </c>
      <c r="O27" s="11"/>
      <c r="P27" s="6"/>
      <c r="Q27" s="2"/>
      <c r="R27" s="7">
        <f t="shared" si="8"/>
        <v>0</v>
      </c>
      <c r="S27" s="2"/>
      <c r="T27" s="6">
        <v>1508.13</v>
      </c>
      <c r="U27" s="2"/>
      <c r="V27" s="7">
        <f t="shared" si="9"/>
        <v>0.14975750907603214</v>
      </c>
      <c r="W27" s="2"/>
      <c r="X27" s="6">
        <f t="shared" si="10"/>
        <v>-1508.13</v>
      </c>
      <c r="Y27" s="2"/>
      <c r="Z27" s="7">
        <f t="shared" si="11"/>
        <v>-1</v>
      </c>
    </row>
    <row r="28" spans="1:26" s="24" customFormat="1" hidden="1" outlineLevel="2" x14ac:dyDescent="0.25">
      <c r="A28" s="28"/>
      <c r="B28" s="11" t="str">
        <f>CONCATENATE("          ", "6119", " - ", "SICK LEAVE")</f>
        <v xml:space="preserve">          6119 - SICK LEAVE</v>
      </c>
      <c r="C28" s="11"/>
      <c r="D28" s="6"/>
      <c r="E28" s="2"/>
      <c r="F28" s="7">
        <f t="shared" si="4"/>
        <v>0</v>
      </c>
      <c r="G28" s="2"/>
      <c r="H28" s="6">
        <v>1280.01</v>
      </c>
      <c r="I28" s="2"/>
      <c r="J28" s="7">
        <f t="shared" si="5"/>
        <v>0.12710516281249754</v>
      </c>
      <c r="K28" s="2"/>
      <c r="L28" s="6">
        <f t="shared" si="6"/>
        <v>-1280.01</v>
      </c>
      <c r="M28" s="2"/>
      <c r="N28" s="7">
        <f t="shared" si="7"/>
        <v>-1</v>
      </c>
      <c r="O28" s="11"/>
      <c r="P28" s="6"/>
      <c r="Q28" s="2"/>
      <c r="R28" s="7">
        <f t="shared" si="8"/>
        <v>0</v>
      </c>
      <c r="S28" s="2"/>
      <c r="T28" s="6">
        <v>1280.01</v>
      </c>
      <c r="U28" s="2"/>
      <c r="V28" s="7">
        <f t="shared" si="9"/>
        <v>0.12710516281249754</v>
      </c>
      <c r="W28" s="2"/>
      <c r="X28" s="6">
        <f t="shared" si="10"/>
        <v>-1280.01</v>
      </c>
      <c r="Y28" s="2"/>
      <c r="Z28" s="7">
        <f t="shared" si="11"/>
        <v>-1</v>
      </c>
    </row>
    <row r="29" spans="1:26" s="29" customFormat="1" outlineLevel="1" collapsed="1" x14ac:dyDescent="0.25">
      <c r="A29" s="27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0</v>
      </c>
      <c r="E29" s="1"/>
      <c r="F29" s="5">
        <f t="shared" ref="F29:F33" si="12">IF(D$12=0,0,D29/D$12)</f>
        <v>0</v>
      </c>
      <c r="G29" s="1"/>
      <c r="H29" s="1">
        <f>SUM(OSRRefH22_1x_0)</f>
        <v>32205.57</v>
      </c>
      <c r="I29" s="1"/>
      <c r="J29" s="5">
        <f t="shared" ref="J29:J33" si="13">IF(H$12=0,0,H29/H$12)</f>
        <v>3.198017373551211</v>
      </c>
      <c r="K29" s="1"/>
      <c r="L29" s="1">
        <f t="shared" ref="L29:L33" si="14">+D29-H29</f>
        <v>-32205.57</v>
      </c>
      <c r="M29" s="1"/>
      <c r="N29" s="5">
        <f t="shared" ref="N29:N33" si="15">IF(H29=0,0,L29/H29)</f>
        <v>-1</v>
      </c>
      <c r="O29" s="14"/>
      <c r="P29" s="1">
        <f>SUM(OSRRefP22_1x_0)</f>
        <v>0</v>
      </c>
      <c r="Q29" s="1"/>
      <c r="R29" s="5">
        <f t="shared" ref="R29:R33" si="16">IF(P$12=0,0,P29/P$12)</f>
        <v>0</v>
      </c>
      <c r="S29" s="1"/>
      <c r="T29" s="1">
        <f>SUM(OSRRefT22_1x_0)</f>
        <v>39101.57</v>
      </c>
      <c r="U29" s="1"/>
      <c r="V29" s="5">
        <f t="shared" ref="V29:V33" si="17">IF(T$12=0,0,T29/T$12)</f>
        <v>3.8827910884088941</v>
      </c>
      <c r="W29" s="1"/>
      <c r="X29" s="1">
        <f t="shared" ref="X29:X33" si="18">+P29-T29</f>
        <v>-39101.57</v>
      </c>
      <c r="Y29" s="1"/>
      <c r="Z29" s="5">
        <f t="shared" ref="Z29:Z33" si="19">IF(T29=0,0,X29/T29)</f>
        <v>-1</v>
      </c>
    </row>
    <row r="30" spans="1:26" s="24" customFormat="1" hidden="1" outlineLevel="2" x14ac:dyDescent="0.25">
      <c r="A30" s="28"/>
      <c r="B30" s="11" t="str">
        <f>CONCATENATE("          ", "6002", " - ", "STAFF SALARIES")</f>
        <v xml:space="preserve">          6002 - STAFF SALARIES</v>
      </c>
      <c r="C30" s="11"/>
      <c r="D30" s="6"/>
      <c r="E30" s="2"/>
      <c r="F30" s="7">
        <f t="shared" si="12"/>
        <v>0</v>
      </c>
      <c r="G30" s="2"/>
      <c r="H30" s="6">
        <v>21707.64</v>
      </c>
      <c r="I30" s="2"/>
      <c r="J30" s="7">
        <f t="shared" si="13"/>
        <v>2.1555715318435666</v>
      </c>
      <c r="K30" s="2"/>
      <c r="L30" s="6">
        <f t="shared" si="14"/>
        <v>-21707.64</v>
      </c>
      <c r="M30" s="2"/>
      <c r="N30" s="7">
        <f t="shared" si="15"/>
        <v>-1</v>
      </c>
      <c r="O30" s="11"/>
      <c r="P30" s="6"/>
      <c r="Q30" s="2"/>
      <c r="R30" s="7">
        <f t="shared" si="16"/>
        <v>0</v>
      </c>
      <c r="S30" s="2"/>
      <c r="T30" s="6">
        <v>26332.639999999999</v>
      </c>
      <c r="U30" s="2"/>
      <c r="V30" s="7">
        <f t="shared" si="17"/>
        <v>2.6148346454190863</v>
      </c>
      <c r="W30" s="2"/>
      <c r="X30" s="6">
        <f t="shared" si="18"/>
        <v>-26332.639999999999</v>
      </c>
      <c r="Y30" s="2"/>
      <c r="Z30" s="7">
        <f t="shared" si="19"/>
        <v>-1</v>
      </c>
    </row>
    <row r="31" spans="1:26" s="24" customFormat="1" hidden="1" outlineLevel="2" x14ac:dyDescent="0.25">
      <c r="A31" s="28"/>
      <c r="B31" s="11" t="str">
        <f>CONCATENATE("          ", "6005", " - ", "TEMPORARY WAGES-HOURLY")</f>
        <v xml:space="preserve">          6005 - TEMPORARY WAGES-HOURLY</v>
      </c>
      <c r="C31" s="11"/>
      <c r="D31" s="6"/>
      <c r="E31" s="2"/>
      <c r="F31" s="7">
        <f t="shared" si="12"/>
        <v>0</v>
      </c>
      <c r="G31" s="2"/>
      <c r="H31" s="6">
        <v>3401.59</v>
      </c>
      <c r="I31" s="2"/>
      <c r="J31" s="7">
        <f t="shared" si="13"/>
        <v>0.33777833827185993</v>
      </c>
      <c r="K31" s="2"/>
      <c r="L31" s="6">
        <f t="shared" si="14"/>
        <v>-3401.59</v>
      </c>
      <c r="M31" s="2"/>
      <c r="N31" s="7">
        <f t="shared" si="15"/>
        <v>-1</v>
      </c>
      <c r="O31" s="11"/>
      <c r="P31" s="6"/>
      <c r="Q31" s="2"/>
      <c r="R31" s="7">
        <f t="shared" si="16"/>
        <v>0</v>
      </c>
      <c r="S31" s="2"/>
      <c r="T31" s="6">
        <v>3401.59</v>
      </c>
      <c r="U31" s="2"/>
      <c r="V31" s="7">
        <f t="shared" si="17"/>
        <v>0.33777833827185993</v>
      </c>
      <c r="W31" s="2"/>
      <c r="X31" s="6">
        <f t="shared" si="18"/>
        <v>-3401.59</v>
      </c>
      <c r="Y31" s="2"/>
      <c r="Z31" s="7">
        <f t="shared" si="19"/>
        <v>-1</v>
      </c>
    </row>
    <row r="32" spans="1:26" s="24" customFormat="1" hidden="1" outlineLevel="2" x14ac:dyDescent="0.25">
      <c r="A32" s="28"/>
      <c r="B32" s="11" t="str">
        <f>CONCATENATE("          ", "6007", " - ", "STUDENT HOURLY")</f>
        <v xml:space="preserve">          6007 - STUDENT HOURLY</v>
      </c>
      <c r="C32" s="11"/>
      <c r="D32" s="6"/>
      <c r="E32" s="2"/>
      <c r="F32" s="7">
        <f t="shared" si="12"/>
        <v>0</v>
      </c>
      <c r="G32" s="2"/>
      <c r="H32" s="6">
        <v>5292.59</v>
      </c>
      <c r="I32" s="2"/>
      <c r="J32" s="7">
        <f t="shared" si="13"/>
        <v>0.52555488914133197</v>
      </c>
      <c r="K32" s="2"/>
      <c r="L32" s="6">
        <f t="shared" si="14"/>
        <v>-5292.59</v>
      </c>
      <c r="M32" s="2"/>
      <c r="N32" s="7">
        <f t="shared" si="15"/>
        <v>-1</v>
      </c>
      <c r="O32" s="11"/>
      <c r="P32" s="6"/>
      <c r="Q32" s="2"/>
      <c r="R32" s="7">
        <f t="shared" si="16"/>
        <v>0</v>
      </c>
      <c r="S32" s="2"/>
      <c r="T32" s="6">
        <v>7563.59</v>
      </c>
      <c r="U32" s="2"/>
      <c r="V32" s="7">
        <f t="shared" si="17"/>
        <v>0.75106549042349524</v>
      </c>
      <c r="W32" s="2"/>
      <c r="X32" s="6">
        <f t="shared" si="18"/>
        <v>-7563.59</v>
      </c>
      <c r="Y32" s="2"/>
      <c r="Z32" s="7">
        <f t="shared" si="19"/>
        <v>-1</v>
      </c>
    </row>
    <row r="33" spans="1:26" s="24" customFormat="1" hidden="1" outlineLevel="2" x14ac:dyDescent="0.25">
      <c r="A33" s="28"/>
      <c r="B33" s="11" t="str">
        <f>CONCATENATE("          ", "6008", " - ", "STUDENT HOURLY-FICA EXEMPT")</f>
        <v xml:space="preserve">          6008 - STUDENT HOURLY-FICA EXEMPT</v>
      </c>
      <c r="C33" s="11"/>
      <c r="D33" s="6"/>
      <c r="E33" s="2"/>
      <c r="F33" s="7">
        <f t="shared" si="12"/>
        <v>0</v>
      </c>
      <c r="G33" s="2"/>
      <c r="H33" s="6">
        <v>1803.75</v>
      </c>
      <c r="I33" s="2"/>
      <c r="J33" s="7">
        <f t="shared" si="13"/>
        <v>0.17911261429445272</v>
      </c>
      <c r="K33" s="2"/>
      <c r="L33" s="6">
        <f t="shared" si="14"/>
        <v>-1803.75</v>
      </c>
      <c r="M33" s="2"/>
      <c r="N33" s="7">
        <f t="shared" si="15"/>
        <v>-1</v>
      </c>
      <c r="O33" s="11"/>
      <c r="P33" s="6"/>
      <c r="Q33" s="2"/>
      <c r="R33" s="7">
        <f t="shared" si="16"/>
        <v>0</v>
      </c>
      <c r="S33" s="2"/>
      <c r="T33" s="6">
        <v>1803.75</v>
      </c>
      <c r="U33" s="2"/>
      <c r="V33" s="7">
        <f t="shared" si="17"/>
        <v>0.17911261429445272</v>
      </c>
      <c r="W33" s="2"/>
      <c r="X33" s="6">
        <f t="shared" si="18"/>
        <v>-1803.75</v>
      </c>
      <c r="Y33" s="2"/>
      <c r="Z33" s="7">
        <f t="shared" si="19"/>
        <v>-1</v>
      </c>
    </row>
    <row r="34" spans="1:26" s="29" customFormat="1" outlineLevel="1" collapsed="1" x14ac:dyDescent="0.25">
      <c r="A34" s="27"/>
      <c r="B34" s="14" t="str">
        <f>CONCATENATE("     ","Repair and Maintenance                            ")</f>
        <v xml:space="preserve">     Repair and Maintenance                            </v>
      </c>
      <c r="C34" s="14"/>
      <c r="D34" s="1">
        <f>SUM(OSRRefD22_2x_0)</f>
        <v>0</v>
      </c>
      <c r="E34" s="1"/>
      <c r="F34" s="5">
        <f t="shared" ref="F34:F37" si="20">IF(D$12=0,0,D34/D$12)</f>
        <v>0</v>
      </c>
      <c r="G34" s="1"/>
      <c r="H34" s="1">
        <f>SUM(OSRRefH22_2x_0)</f>
        <v>0</v>
      </c>
      <c r="I34" s="1"/>
      <c r="J34" s="5">
        <f t="shared" ref="J34:J37" si="21">IF(H$12=0,0,H34/H$12)</f>
        <v>0</v>
      </c>
      <c r="K34" s="1"/>
      <c r="L34" s="1">
        <f t="shared" ref="L34:L37" si="22">+D34-H34</f>
        <v>0</v>
      </c>
      <c r="M34" s="1"/>
      <c r="N34" s="5">
        <f t="shared" ref="N34:N37" si="23">IF(H34=0,0,L34/H34)</f>
        <v>0</v>
      </c>
      <c r="O34" s="14"/>
      <c r="P34" s="1">
        <f>SUM(OSRRefP22_2x_0)</f>
        <v>0</v>
      </c>
      <c r="Q34" s="1"/>
      <c r="R34" s="5">
        <f t="shared" ref="R34:R37" si="24">IF(P$12=0,0,P34/P$12)</f>
        <v>0</v>
      </c>
      <c r="S34" s="1"/>
      <c r="T34" s="1">
        <f>SUM(OSRRefT22_2x_0)</f>
        <v>1151.21</v>
      </c>
      <c r="U34" s="1"/>
      <c r="V34" s="5">
        <f t="shared" ref="V34:V37" si="25">IF(T$12=0,0,T34/T$12)</f>
        <v>0.11431530572524845</v>
      </c>
      <c r="W34" s="1"/>
      <c r="X34" s="1">
        <f t="shared" ref="X34:X37" si="26">+P34-T34</f>
        <v>-1151.21</v>
      </c>
      <c r="Y34" s="1"/>
      <c r="Z34" s="5">
        <f t="shared" ref="Z34:Z37" si="27">IF(T34=0,0,X34/T34)</f>
        <v>-1</v>
      </c>
    </row>
    <row r="35" spans="1:26" s="24" customFormat="1" hidden="1" outlineLevel="2" x14ac:dyDescent="0.25">
      <c r="A35" s="28"/>
      <c r="B35" s="11" t="str">
        <f>CONCATENATE("          ", "6375", " - ", "OUTSIDE REPAIRS &amp; MAINTENANCE")</f>
        <v xml:space="preserve">          6375 - OUTSIDE REPAIRS &amp; MAINTENANCE</v>
      </c>
      <c r="C35" s="11"/>
      <c r="D35" s="6"/>
      <c r="E35" s="2"/>
      <c r="F35" s="7">
        <f t="shared" si="20"/>
        <v>0</v>
      </c>
      <c r="G35" s="2"/>
      <c r="H35" s="6"/>
      <c r="I35" s="2"/>
      <c r="J35" s="7">
        <f t="shared" si="21"/>
        <v>0</v>
      </c>
      <c r="K35" s="2"/>
      <c r="L35" s="6">
        <f t="shared" si="22"/>
        <v>0</v>
      </c>
      <c r="M35" s="2"/>
      <c r="N35" s="7">
        <f t="shared" si="23"/>
        <v>0</v>
      </c>
      <c r="O35" s="11"/>
      <c r="P35" s="6"/>
      <c r="Q35" s="2"/>
      <c r="R35" s="7">
        <f t="shared" si="24"/>
        <v>0</v>
      </c>
      <c r="S35" s="2"/>
      <c r="T35" s="6">
        <v>1151.21</v>
      </c>
      <c r="U35" s="2"/>
      <c r="V35" s="7">
        <f t="shared" si="25"/>
        <v>0.11431530572524845</v>
      </c>
      <c r="W35" s="2"/>
      <c r="X35" s="6">
        <f t="shared" si="26"/>
        <v>-1151.21</v>
      </c>
      <c r="Y35" s="2"/>
      <c r="Z35" s="7">
        <f t="shared" si="27"/>
        <v>-1</v>
      </c>
    </row>
    <row r="36" spans="1:26" s="29" customFormat="1" outlineLevel="1" collapsed="1" x14ac:dyDescent="0.25">
      <c r="A36" s="27"/>
      <c r="B36" s="14" t="str">
        <f>CONCATENATE("     ","Supplies                                          ")</f>
        <v xml:space="preserve">     Supplies                                          </v>
      </c>
      <c r="C36" s="14"/>
      <c r="D36" s="1">
        <f>SUM(OSRRefD22_3x_0)</f>
        <v>0</v>
      </c>
      <c r="E36" s="1"/>
      <c r="F36" s="5">
        <f t="shared" si="20"/>
        <v>0</v>
      </c>
      <c r="G36" s="1"/>
      <c r="H36" s="1">
        <f>SUM(OSRRefH22_3x_0)</f>
        <v>579.98</v>
      </c>
      <c r="I36" s="1"/>
      <c r="J36" s="5">
        <f t="shared" si="21"/>
        <v>5.7592090943033504E-2</v>
      </c>
      <c r="K36" s="1"/>
      <c r="L36" s="1">
        <f t="shared" si="22"/>
        <v>-579.98</v>
      </c>
      <c r="M36" s="1"/>
      <c r="N36" s="5">
        <f t="shared" si="23"/>
        <v>-1</v>
      </c>
      <c r="O36" s="14"/>
      <c r="P36" s="1">
        <f>SUM(OSRRefP22_3x_0)</f>
        <v>0</v>
      </c>
      <c r="Q36" s="1"/>
      <c r="R36" s="5">
        <f t="shared" si="24"/>
        <v>0</v>
      </c>
      <c r="S36" s="1"/>
      <c r="T36" s="1">
        <f>SUM(OSRRefT22_3x_0)</f>
        <v>579.98</v>
      </c>
      <c r="U36" s="1"/>
      <c r="V36" s="5">
        <f t="shared" si="25"/>
        <v>5.7592090943033504E-2</v>
      </c>
      <c r="W36" s="1"/>
      <c r="X36" s="1">
        <f t="shared" si="26"/>
        <v>-579.98</v>
      </c>
      <c r="Y36" s="1"/>
      <c r="Z36" s="5">
        <f t="shared" si="27"/>
        <v>-1</v>
      </c>
    </row>
    <row r="37" spans="1:26" s="24" customFormat="1" hidden="1" outlineLevel="2" x14ac:dyDescent="0.25">
      <c r="A37" s="28"/>
      <c r="B37" s="11" t="str">
        <f>CONCATENATE("          ", "6241", " - ", "OFFICE EXPENSE")</f>
        <v xml:space="preserve">          6241 - OFFICE EXPENSE</v>
      </c>
      <c r="C37" s="11"/>
      <c r="D37" s="6"/>
      <c r="E37" s="2"/>
      <c r="F37" s="7">
        <f t="shared" si="20"/>
        <v>0</v>
      </c>
      <c r="G37" s="2"/>
      <c r="H37" s="6">
        <v>579.98</v>
      </c>
      <c r="I37" s="2"/>
      <c r="J37" s="7">
        <f t="shared" si="21"/>
        <v>5.7592090943033504E-2</v>
      </c>
      <c r="K37" s="2"/>
      <c r="L37" s="6">
        <f t="shared" si="22"/>
        <v>-579.98</v>
      </c>
      <c r="M37" s="2"/>
      <c r="N37" s="7">
        <f t="shared" si="23"/>
        <v>-1</v>
      </c>
      <c r="O37" s="11"/>
      <c r="P37" s="6"/>
      <c r="Q37" s="2"/>
      <c r="R37" s="7">
        <f t="shared" si="24"/>
        <v>0</v>
      </c>
      <c r="S37" s="2"/>
      <c r="T37" s="6">
        <v>579.98</v>
      </c>
      <c r="U37" s="2"/>
      <c r="V37" s="7">
        <f t="shared" si="25"/>
        <v>5.7592090943033504E-2</v>
      </c>
      <c r="W37" s="2"/>
      <c r="X37" s="6">
        <f t="shared" si="26"/>
        <v>-579.98</v>
      </c>
      <c r="Y37" s="2"/>
      <c r="Z37" s="7">
        <f t="shared" si="27"/>
        <v>-1</v>
      </c>
    </row>
    <row r="38" spans="1:26" s="57" customFormat="1" x14ac:dyDescent="0.25">
      <c r="A38" s="37"/>
      <c r="B38" s="37"/>
      <c r="C38" s="37"/>
      <c r="D38" s="1"/>
      <c r="E38" s="1"/>
      <c r="F38" s="5"/>
      <c r="G38" s="1"/>
      <c r="H38" s="1"/>
      <c r="I38" s="1"/>
      <c r="J38" s="5"/>
      <c r="K38" s="1"/>
      <c r="L38" s="1"/>
      <c r="M38" s="1"/>
      <c r="N38" s="5"/>
      <c r="O38" s="37"/>
      <c r="P38" s="1"/>
      <c r="Q38" s="1"/>
      <c r="R38" s="5"/>
      <c r="S38" s="1"/>
      <c r="T38" s="1"/>
      <c r="U38" s="1"/>
      <c r="V38" s="5"/>
      <c r="W38" s="1"/>
      <c r="X38" s="1"/>
      <c r="Y38" s="1"/>
      <c r="Z38" s="5"/>
    </row>
    <row r="39" spans="1:26" s="23" customFormat="1" x14ac:dyDescent="0.25">
      <c r="A39" s="10"/>
      <c r="B39" s="26" t="s">
        <v>0</v>
      </c>
      <c r="C39" s="10"/>
      <c r="D39" s="4">
        <f>SUM(0)</f>
        <v>0</v>
      </c>
      <c r="E39" s="4"/>
      <c r="F39" s="12">
        <f>IF(D$12=0,0,D39/D$12)</f>
        <v>0</v>
      </c>
      <c r="G39" s="4"/>
      <c r="H39" s="4">
        <f>SUM(0)</f>
        <v>0</v>
      </c>
      <c r="I39" s="4"/>
      <c r="J39" s="12">
        <f>IF(H$12=0,0,H39/H$12)</f>
        <v>0</v>
      </c>
      <c r="K39" s="4"/>
      <c r="L39" s="4">
        <f>+D39-H39</f>
        <v>0</v>
      </c>
      <c r="M39" s="4"/>
      <c r="N39" s="12">
        <f>IF(H39=0,0,L39/H39)</f>
        <v>0</v>
      </c>
      <c r="O39" s="10"/>
      <c r="P39" s="4">
        <f>SUM(0)</f>
        <v>0</v>
      </c>
      <c r="Q39" s="4"/>
      <c r="R39" s="12">
        <f>IF(P$12=0,0,P39/P$12)</f>
        <v>0</v>
      </c>
      <c r="S39" s="4"/>
      <c r="T39" s="4">
        <f>SUM(0)</f>
        <v>0</v>
      </c>
      <c r="U39" s="4"/>
      <c r="V39" s="12">
        <f>IF(T$12=0,0,T39/T$12)</f>
        <v>0</v>
      </c>
      <c r="W39" s="4"/>
      <c r="X39" s="4">
        <f>+P39-T39</f>
        <v>0</v>
      </c>
      <c r="Y39" s="4"/>
      <c r="Z39" s="12">
        <f>IF(T39=0,0,X39/T39)</f>
        <v>0</v>
      </c>
    </row>
    <row r="40" spans="1:26" x14ac:dyDescent="0.25">
      <c r="A40" s="9"/>
      <c r="B40" s="10"/>
      <c r="C40" s="10"/>
      <c r="D40" s="3"/>
      <c r="E40" s="3"/>
      <c r="F40" s="8"/>
      <c r="G40" s="3"/>
      <c r="H40" s="3"/>
      <c r="I40" s="3"/>
      <c r="J40" s="8"/>
      <c r="K40" s="3"/>
      <c r="L40" s="3"/>
      <c r="M40" s="3"/>
      <c r="N40" s="8"/>
      <c r="O40" s="10"/>
      <c r="P40" s="3"/>
      <c r="Q40" s="3"/>
      <c r="R40" s="8"/>
      <c r="S40" s="3"/>
      <c r="T40" s="3"/>
      <c r="U40" s="3"/>
      <c r="V40" s="8"/>
      <c r="W40" s="3"/>
      <c r="X40" s="3"/>
      <c r="Y40" s="3"/>
      <c r="Z40" s="8"/>
    </row>
    <row r="41" spans="1:26" s="23" customFormat="1" x14ac:dyDescent="0.25">
      <c r="A41" s="10"/>
      <c r="B41" s="25" t="s">
        <v>3</v>
      </c>
      <c r="C41" s="25"/>
      <c r="D41" s="20">
        <f>+D18-D20+D39</f>
        <v>30231.29</v>
      </c>
      <c r="E41" s="13"/>
      <c r="F41" s="21">
        <f>IF(D$12=0,0,D41/D$12)</f>
        <v>1</v>
      </c>
      <c r="G41" s="13"/>
      <c r="H41" s="20">
        <f>+H18-H20+H39</f>
        <v>-31485.030000000002</v>
      </c>
      <c r="I41" s="13"/>
      <c r="J41" s="21">
        <f>IF(H$12=0,0,H41/H$12)</f>
        <v>-3.1264676559607887</v>
      </c>
      <c r="K41" s="15"/>
      <c r="L41" s="20">
        <f>+D41-H41</f>
        <v>61716.320000000007</v>
      </c>
      <c r="M41" s="15"/>
      <c r="N41" s="21">
        <f>IF(H41=0,0,L41/H41)</f>
        <v>-1.9601798060856224</v>
      </c>
      <c r="O41" s="26"/>
      <c r="P41" s="20">
        <f>+P18-P20+P39</f>
        <v>30231.29</v>
      </c>
      <c r="Q41" s="13"/>
      <c r="R41" s="21">
        <f>IF(P$12=0,0,P41/P$12)</f>
        <v>1</v>
      </c>
      <c r="S41" s="13"/>
      <c r="T41" s="20">
        <f>+T18-T20+T39</f>
        <v>-39532.240000000005</v>
      </c>
      <c r="U41" s="13"/>
      <c r="V41" s="21">
        <f>IF(T$12=0,0,T41/T$12)</f>
        <v>-3.9255566765437204</v>
      </c>
      <c r="W41" s="15"/>
      <c r="X41" s="20">
        <f>+P41-T41</f>
        <v>69763.53</v>
      </c>
      <c r="Y41" s="15"/>
      <c r="Z41" s="21">
        <f>IF(T41=0,0,X41/T41)</f>
        <v>-1.7647249434891621</v>
      </c>
    </row>
    <row r="42" spans="1:26" x14ac:dyDescent="0.25">
      <c r="A42" s="9"/>
      <c r="B42" s="10"/>
      <c r="C42" s="9"/>
      <c r="D42" s="3"/>
      <c r="E42" s="3"/>
      <c r="F42" s="8"/>
      <c r="G42" s="3"/>
      <c r="H42" s="3"/>
      <c r="I42" s="3"/>
      <c r="J42" s="8"/>
      <c r="K42" s="3"/>
      <c r="L42" s="3"/>
      <c r="M42" s="3"/>
      <c r="N42" s="8"/>
      <c r="P42" s="3"/>
      <c r="Q42" s="3"/>
      <c r="R42" s="8"/>
      <c r="S42" s="3"/>
      <c r="T42" s="3"/>
      <c r="U42" s="3"/>
      <c r="V42" s="8"/>
      <c r="W42" s="3"/>
      <c r="X42" s="3"/>
      <c r="Y42" s="3"/>
      <c r="Z42" s="8"/>
    </row>
    <row r="43" spans="1:26" s="23" customFormat="1" x14ac:dyDescent="0.25">
      <c r="A43" s="51"/>
      <c r="B43" s="10" t="s">
        <v>13</v>
      </c>
      <c r="C43" s="10"/>
      <c r="D43" s="4">
        <v>6548.75</v>
      </c>
      <c r="E43" s="4"/>
      <c r="F43" s="12">
        <f>IF(D$12=0,0,D43/D$12)</f>
        <v>0.2166215864423913</v>
      </c>
      <c r="G43" s="4"/>
      <c r="H43" s="4">
        <v>1013.72</v>
      </c>
      <c r="I43" s="4"/>
      <c r="J43" s="12">
        <f>IF(H$12=0,0,H43/H$12)</f>
        <v>0.10066253048514073</v>
      </c>
      <c r="K43" s="4"/>
      <c r="L43" s="4">
        <f>+D43-H43</f>
        <v>5535.03</v>
      </c>
      <c r="M43" s="4"/>
      <c r="N43" s="12">
        <f>IF(H43=0,0,L43/H43)</f>
        <v>5.4601171921240574</v>
      </c>
      <c r="O43" s="10"/>
      <c r="P43" s="4">
        <v>6548.75</v>
      </c>
      <c r="Q43" s="4"/>
      <c r="R43" s="12">
        <f>IF(P$12=0,0,P43/P$12)</f>
        <v>0.2166215864423913</v>
      </c>
      <c r="S43" s="4"/>
      <c r="T43" s="4">
        <v>1013.72</v>
      </c>
      <c r="U43" s="4"/>
      <c r="V43" s="12">
        <f>IF(T$12=0,0,T43/T$12)</f>
        <v>0.10066253048514073</v>
      </c>
      <c r="W43" s="4"/>
      <c r="X43" s="4">
        <f>+P43-T43</f>
        <v>5535.03</v>
      </c>
      <c r="Y43" s="4"/>
      <c r="Z43" s="12">
        <f>IF(T43=0,0,X43/T43)</f>
        <v>5.4601171921240574</v>
      </c>
    </row>
    <row r="44" spans="1:26" x14ac:dyDescent="0.25">
      <c r="A44" s="9"/>
      <c r="B44" s="10"/>
      <c r="C44" s="10"/>
      <c r="D44" s="3"/>
      <c r="E44" s="3"/>
      <c r="F44" s="8"/>
      <c r="G44" s="3"/>
      <c r="H44" s="3"/>
      <c r="I44" s="3"/>
      <c r="J44" s="8"/>
      <c r="K44" s="3"/>
      <c r="L44" s="3"/>
      <c r="M44" s="3"/>
      <c r="N44" s="8"/>
      <c r="O44" s="10"/>
      <c r="P44" s="3"/>
      <c r="Q44" s="3"/>
      <c r="R44" s="8"/>
      <c r="S44" s="3"/>
      <c r="T44" s="3"/>
      <c r="U44" s="3"/>
      <c r="V44" s="8"/>
      <c r="W44" s="3"/>
      <c r="X44" s="3"/>
      <c r="Y44" s="3"/>
      <c r="Z44" s="8"/>
    </row>
    <row r="45" spans="1:26" s="23" customFormat="1" ht="15.75" thickBot="1" x14ac:dyDescent="0.3">
      <c r="A45" s="10"/>
      <c r="B45" s="25" t="s">
        <v>4</v>
      </c>
      <c r="C45" s="25"/>
      <c r="D45" s="30">
        <f>+D41-D43</f>
        <v>23682.54</v>
      </c>
      <c r="E45" s="13"/>
      <c r="F45" s="33">
        <f>IF(D$12=0,0,D45/D$12)</f>
        <v>0.78337841355760873</v>
      </c>
      <c r="G45" s="13"/>
      <c r="H45" s="30">
        <f>+H41-H43</f>
        <v>-32498.750000000004</v>
      </c>
      <c r="I45" s="13"/>
      <c r="J45" s="33">
        <f>IF(H$12=0,0,H45/H$12)</f>
        <v>-3.2271301864459296</v>
      </c>
      <c r="K45" s="15"/>
      <c r="L45" s="30">
        <f>D45-H45</f>
        <v>56181.290000000008</v>
      </c>
      <c r="M45" s="15"/>
      <c r="N45" s="33">
        <f>IF(H45=0,0,L45/H45)</f>
        <v>-1.7287215662140851</v>
      </c>
      <c r="O45" s="26"/>
      <c r="P45" s="30">
        <f>+P41-P43</f>
        <v>23682.54</v>
      </c>
      <c r="Q45" s="13"/>
      <c r="R45" s="33">
        <f>IF(P$12=0,0,P45/P$12)</f>
        <v>0.78337841355760873</v>
      </c>
      <c r="S45" s="13"/>
      <c r="T45" s="30">
        <f>+T41-T43</f>
        <v>-40545.960000000006</v>
      </c>
      <c r="U45" s="13"/>
      <c r="V45" s="33">
        <f>IF(T$12=0,0,T45/T$12)</f>
        <v>-4.0262192070288618</v>
      </c>
      <c r="W45" s="15"/>
      <c r="X45" s="30">
        <f>P45-T45</f>
        <v>64228.500000000007</v>
      </c>
      <c r="Y45" s="15"/>
      <c r="Z45" s="33">
        <f>IF(T45=0,0,X45/T45)</f>
        <v>-1.5840912386832127</v>
      </c>
    </row>
    <row r="46" spans="1:26" ht="15.75" thickTop="1" x14ac:dyDescent="0.25">
      <c r="A46" s="9"/>
      <c r="B46" s="9"/>
      <c r="C46" s="9"/>
      <c r="D46" s="3"/>
      <c r="E46" s="3"/>
      <c r="F46" s="8"/>
      <c r="G46" s="3"/>
      <c r="H46" s="3"/>
      <c r="I46" s="3"/>
      <c r="J46" s="8"/>
      <c r="K46" s="3"/>
      <c r="L46" s="3"/>
      <c r="M46" s="3"/>
      <c r="N46" s="8"/>
      <c r="P46" s="3"/>
      <c r="Q46" s="3"/>
      <c r="R46" s="8"/>
      <c r="S46" s="3"/>
      <c r="T46" s="3"/>
      <c r="U46" s="3"/>
      <c r="V46" s="8"/>
      <c r="W46" s="3"/>
      <c r="X46" s="3"/>
      <c r="Y46" s="3"/>
      <c r="Z46" s="8"/>
    </row>
    <row r="47" spans="1:26" x14ac:dyDescent="0.25">
      <c r="A47" s="9"/>
      <c r="B47" s="9"/>
      <c r="C47" s="9"/>
      <c r="D47" s="3"/>
      <c r="E47" s="3"/>
      <c r="F47" s="8"/>
      <c r="G47" s="3"/>
      <c r="H47" s="3"/>
      <c r="I47" s="3"/>
      <c r="J47" s="8"/>
      <c r="K47" s="3"/>
      <c r="L47" s="3"/>
      <c r="M47" s="3"/>
      <c r="N47" s="8"/>
      <c r="P47" s="3"/>
      <c r="Q47" s="3"/>
      <c r="R47" s="8"/>
      <c r="S47" s="3"/>
      <c r="T47" s="3"/>
      <c r="U47" s="3"/>
      <c r="V47" s="8"/>
      <c r="W47" s="3"/>
      <c r="X47" s="3"/>
      <c r="Y47" s="3"/>
      <c r="Z47" s="8"/>
    </row>
    <row r="48" spans="1:26" s="23" customFormat="1" ht="15.75" thickBot="1" x14ac:dyDescent="0.3">
      <c r="A48" s="10"/>
      <c r="B48" s="25" t="s">
        <v>5</v>
      </c>
      <c r="C48" s="25"/>
      <c r="D48" s="34">
        <f>SUM(D45:D47)</f>
        <v>23682.54</v>
      </c>
      <c r="E48" s="13"/>
      <c r="F48" s="35">
        <f>IF(D$12=0,0,D48/D$12)</f>
        <v>0.78337841355760873</v>
      </c>
      <c r="G48" s="13"/>
      <c r="H48" s="34">
        <f>SUM(H45:H47)</f>
        <v>-32498.750000000004</v>
      </c>
      <c r="I48" s="13"/>
      <c r="J48" s="35">
        <f>IF(H$12=0,0,H48/H$12)</f>
        <v>-3.2271301864459296</v>
      </c>
      <c r="K48" s="15"/>
      <c r="L48" s="34">
        <f>+D48-H48</f>
        <v>56181.290000000008</v>
      </c>
      <c r="M48" s="15"/>
      <c r="N48" s="35">
        <f>IF(H48=0,0,L48/H48)</f>
        <v>-1.7287215662140851</v>
      </c>
      <c r="O48" s="26"/>
      <c r="P48" s="34">
        <f>SUM(P45:P47)</f>
        <v>23682.54</v>
      </c>
      <c r="Q48" s="13"/>
      <c r="R48" s="35">
        <f>IF(P$12=0,0,P48/P$12)</f>
        <v>0.78337841355760873</v>
      </c>
      <c r="S48" s="13"/>
      <c r="T48" s="34">
        <f>SUM(T45:T47)</f>
        <v>-40545.960000000006</v>
      </c>
      <c r="U48" s="13"/>
      <c r="V48" s="35">
        <f>IF(T$12=0,0,T48/T$12)</f>
        <v>-4.0262192070288618</v>
      </c>
      <c r="W48" s="15"/>
      <c r="X48" s="34">
        <f>+P48-T48</f>
        <v>64228.500000000007</v>
      </c>
      <c r="Y48" s="15"/>
      <c r="Z48" s="35">
        <f>IF(T48=0,0,X48/T48)</f>
        <v>-1.5840912386832127</v>
      </c>
    </row>
    <row r="49" spans="1:24" ht="15.75" thickTop="1" x14ac:dyDescent="0.25">
      <c r="A49" s="9"/>
      <c r="C49" s="9"/>
      <c r="D49" s="18"/>
      <c r="E49" s="18"/>
      <c r="G49" s="18"/>
      <c r="H49" s="18"/>
      <c r="I49" s="18"/>
      <c r="J49" s="43"/>
      <c r="K49" s="18"/>
      <c r="L49" s="18"/>
      <c r="M49" s="18"/>
      <c r="P49" s="18"/>
      <c r="Q49" s="18"/>
      <c r="R49" s="43"/>
      <c r="S49" s="18"/>
      <c r="T49" s="18"/>
      <c r="U49" s="18"/>
      <c r="V49" s="43"/>
      <c r="W49" s="18"/>
      <c r="X49" s="18"/>
    </row>
    <row r="50" spans="1:24" x14ac:dyDescent="0.25">
      <c r="A50" s="9"/>
      <c r="B50" s="56">
        <v>44151.572867627314</v>
      </c>
      <c r="D50" s="18"/>
      <c r="E50" s="18"/>
      <c r="G50" s="18"/>
      <c r="H50" s="18"/>
      <c r="I50" s="18"/>
      <c r="J50" s="43"/>
      <c r="K50" s="18"/>
      <c r="L50" s="18"/>
      <c r="M50" s="18"/>
      <c r="P50" s="18"/>
      <c r="Q50" s="18"/>
      <c r="R50" s="43"/>
      <c r="S50" s="18"/>
      <c r="T50" s="18"/>
      <c r="U50" s="18"/>
      <c r="V50" s="43"/>
      <c r="W50" s="18"/>
      <c r="X50" s="18"/>
    </row>
    <row r="51" spans="1:24" x14ac:dyDescent="0.25">
      <c r="A51" s="9"/>
      <c r="B51" s="62" t="s">
        <v>313</v>
      </c>
      <c r="D51" s="18"/>
      <c r="E51" s="18"/>
      <c r="G51" s="18"/>
      <c r="H51" s="18"/>
      <c r="I51" s="18"/>
      <c r="J51" s="43"/>
      <c r="K51" s="18"/>
      <c r="L51" s="18"/>
      <c r="M51" s="18"/>
      <c r="P51" s="18"/>
      <c r="Q51" s="18"/>
      <c r="R51" s="43"/>
      <c r="S51" s="18"/>
      <c r="T51" s="18"/>
      <c r="U51" s="18"/>
      <c r="V51" s="43"/>
      <c r="W51" s="18"/>
      <c r="X51" s="18"/>
    </row>
    <row r="52" spans="1:24" x14ac:dyDescent="0.25">
      <c r="A52" s="9"/>
      <c r="B52" s="54"/>
      <c r="D52" s="18"/>
      <c r="E52" s="18"/>
      <c r="G52" s="18"/>
      <c r="H52" s="18"/>
      <c r="I52" s="18"/>
      <c r="J52" s="43"/>
      <c r="K52" s="18"/>
      <c r="L52" s="18"/>
      <c r="M52" s="18"/>
      <c r="P52" s="18"/>
      <c r="Q52" s="18"/>
      <c r="R52" s="43"/>
      <c r="S52" s="18"/>
      <c r="T52" s="18"/>
      <c r="U52" s="18"/>
      <c r="V52" s="43"/>
      <c r="W52" s="18"/>
      <c r="X52" s="18"/>
    </row>
    <row r="53" spans="1:24" x14ac:dyDescent="0.25">
      <c r="D53" s="18"/>
      <c r="E53" s="18"/>
      <c r="G53" s="18"/>
      <c r="H53" s="18"/>
      <c r="I53" s="18"/>
      <c r="J53" s="43"/>
      <c r="K53" s="18"/>
      <c r="L53" s="18"/>
      <c r="M53" s="18"/>
      <c r="P53" s="18"/>
      <c r="Q53" s="18"/>
      <c r="R53" s="43"/>
      <c r="S53" s="18"/>
      <c r="T53" s="18"/>
      <c r="U53" s="18"/>
      <c r="V53" s="43"/>
      <c r="W53" s="18"/>
      <c r="X53" s="18"/>
    </row>
  </sheetData>
  <pageMargins left="0.25" right="0.25" top="0.75" bottom="0.75" header="0.3" footer="0.3"/>
  <pageSetup scale="55" fitToWidth="2" orientation="landscape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5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",RIGHT(202104,2),", ",2021)</f>
        <v>Period 04,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44135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","423", " - ", "Contract Revenue")</f>
        <v>Department 423 - Contract Revenue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61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50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50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2"/>
      <c r="F10" s="31" t="s">
        <v>14</v>
      </c>
      <c r="G10" s="32"/>
      <c r="H10" s="49" t="s">
        <v>306</v>
      </c>
      <c r="I10" s="32"/>
      <c r="J10" s="31" t="s">
        <v>14</v>
      </c>
      <c r="K10" s="10"/>
      <c r="L10" s="42" t="s">
        <v>11</v>
      </c>
      <c r="M10" s="10"/>
      <c r="N10" s="31" t="s">
        <v>15</v>
      </c>
      <c r="O10" s="10"/>
      <c r="P10" s="59" t="s">
        <v>10</v>
      </c>
      <c r="Q10" s="32"/>
      <c r="R10" s="31" t="s">
        <v>14</v>
      </c>
      <c r="S10" s="32"/>
      <c r="T10" s="49" t="s">
        <v>306</v>
      </c>
      <c r="U10" s="32"/>
      <c r="V10" s="31" t="s">
        <v>14</v>
      </c>
      <c r="W10" s="10"/>
      <c r="X10" s="42" t="s">
        <v>11</v>
      </c>
      <c r="Y10" s="10"/>
      <c r="Z10" s="31" t="s">
        <v>15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collapsed="1" x14ac:dyDescent="0.25">
      <c r="A14" s="10"/>
      <c r="B14" s="26" t="s">
        <v>8</v>
      </c>
      <c r="C14" s="10"/>
      <c r="D14" s="4">
        <f>SUM(OSRRefD16x_0)</f>
        <v>0</v>
      </c>
      <c r="E14" s="4"/>
      <c r="F14" s="12">
        <f t="shared" ref="F14:F15" si="0">IF(D$12=0,0,D14/D$12)</f>
        <v>0</v>
      </c>
      <c r="G14" s="4"/>
      <c r="H14" s="4">
        <f>SUM(OSRRefH16x_0)</f>
        <v>0</v>
      </c>
      <c r="I14" s="4"/>
      <c r="J14" s="12">
        <f t="shared" ref="J14:J15" si="1">IF(H$12=0,0,H14/H$12)</f>
        <v>0</v>
      </c>
      <c r="K14" s="4"/>
      <c r="L14" s="4">
        <f t="shared" ref="L14:L15" si="2">+D14-H14</f>
        <v>0</v>
      </c>
      <c r="M14" s="4"/>
      <c r="N14" s="12">
        <f t="shared" ref="N14:N15" si="3">IF(H14=0,0,L14/H14)</f>
        <v>0</v>
      </c>
      <c r="O14" s="10"/>
      <c r="P14" s="4">
        <f>SUM(OSRRefP16x_0)</f>
        <v>0</v>
      </c>
      <c r="Q14" s="4"/>
      <c r="R14" s="12">
        <f t="shared" ref="R14:R15" si="4">IF(P$12=0,0,P14/P$12)</f>
        <v>0</v>
      </c>
      <c r="S14" s="4"/>
      <c r="T14" s="4">
        <f>SUM(OSRRefT16x_0)</f>
        <v>-805.48</v>
      </c>
      <c r="U14" s="4"/>
      <c r="V14" s="12">
        <f t="shared" ref="V14:V15" si="5">IF(T$12=0,0,T14/T$12)</f>
        <v>0</v>
      </c>
      <c r="W14" s="4"/>
      <c r="X14" s="4">
        <f t="shared" ref="X14:X15" si="6">+P14-T14</f>
        <v>805.48</v>
      </c>
      <c r="Y14" s="4"/>
      <c r="Z14" s="12">
        <f t="shared" ref="Z14:Z15" si="7">IF(T14=0,0,X14/T14)</f>
        <v>-1</v>
      </c>
    </row>
    <row r="15" spans="1:26" s="24" customFormat="1" hidden="1" outlineLevel="1" x14ac:dyDescent="0.25">
      <c r="A15" s="44"/>
      <c r="B15" s="11" t="str">
        <f>CONCATENATE("          ", "5053", " - ", "PURCHASES @ COST-FOOD")</f>
        <v xml:space="preserve">          5053 - PURCHASES @ COST-FOOD</v>
      </c>
      <c r="C15" s="11"/>
      <c r="D15" s="2"/>
      <c r="E15" s="2"/>
      <c r="F15" s="19">
        <f t="shared" si="0"/>
        <v>0</v>
      </c>
      <c r="G15" s="2"/>
      <c r="H15" s="2"/>
      <c r="I15" s="2"/>
      <c r="J15" s="19">
        <f t="shared" si="1"/>
        <v>0</v>
      </c>
      <c r="K15" s="2"/>
      <c r="L15" s="2">
        <f t="shared" si="2"/>
        <v>0</v>
      </c>
      <c r="M15" s="2"/>
      <c r="N15" s="19">
        <f t="shared" si="3"/>
        <v>0</v>
      </c>
      <c r="O15" s="11"/>
      <c r="P15" s="2"/>
      <c r="Q15" s="2"/>
      <c r="R15" s="19">
        <f t="shared" si="4"/>
        <v>0</v>
      </c>
      <c r="S15" s="2"/>
      <c r="T15" s="2">
        <v>-805.48</v>
      </c>
      <c r="U15" s="2"/>
      <c r="V15" s="19">
        <f t="shared" si="5"/>
        <v>0</v>
      </c>
      <c r="W15" s="2"/>
      <c r="X15" s="2">
        <f t="shared" si="6"/>
        <v>805.48</v>
      </c>
      <c r="Y15" s="2"/>
      <c r="Z15" s="19">
        <f t="shared" si="7"/>
        <v>-1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5" t="s">
        <v>6</v>
      </c>
      <c r="C17" s="25"/>
      <c r="D17" s="20">
        <f>D12-D14</f>
        <v>0</v>
      </c>
      <c r="E17" s="13"/>
      <c r="F17" s="21">
        <f>IF(D$12=0,0,D17/D$12)</f>
        <v>0</v>
      </c>
      <c r="G17" s="13"/>
      <c r="H17" s="20">
        <f>H12-H14</f>
        <v>0</v>
      </c>
      <c r="I17" s="13"/>
      <c r="J17" s="21">
        <f>IF(H$12=0,0,H17/H$12)</f>
        <v>0</v>
      </c>
      <c r="K17" s="15"/>
      <c r="L17" s="20">
        <f>+D17-H17</f>
        <v>0</v>
      </c>
      <c r="M17" s="15"/>
      <c r="N17" s="21">
        <f>IF(H17=0,0,L17/H17)</f>
        <v>0</v>
      </c>
      <c r="O17" s="26"/>
      <c r="P17" s="20">
        <f>P12-P14</f>
        <v>0</v>
      </c>
      <c r="Q17" s="13"/>
      <c r="R17" s="21">
        <f>IF(P$12=0,0,P17/P$12)</f>
        <v>0</v>
      </c>
      <c r="S17" s="13"/>
      <c r="T17" s="20">
        <f>T12-T14</f>
        <v>805.48</v>
      </c>
      <c r="U17" s="13"/>
      <c r="V17" s="21">
        <f>IF(T$12=0,0,T17/T$12)</f>
        <v>0</v>
      </c>
      <c r="W17" s="15"/>
      <c r="X17" s="20">
        <f>+P17-T17</f>
        <v>-805.48</v>
      </c>
      <c r="Y17" s="15"/>
      <c r="Z17" s="21">
        <f>IF(T17=0,0,X17/T17)</f>
        <v>-1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6" t="s">
        <v>9</v>
      </c>
      <c r="C19" s="10"/>
      <c r="D19" s="22">
        <f>SUM(OSRRefD22x_0)</f>
        <v>-114</v>
      </c>
      <c r="E19" s="22"/>
      <c r="F19" s="36">
        <f t="shared" ref="F19:F28" si="8">IF(D$12=0,0,D19/D$12)</f>
        <v>0</v>
      </c>
      <c r="G19" s="22"/>
      <c r="H19" s="22">
        <f>SUM(OSRRefH22x_0)</f>
        <v>14525.01</v>
      </c>
      <c r="I19" s="22"/>
      <c r="J19" s="36">
        <f t="shared" ref="J19:J28" si="9">IF(H$12=0,0,H19/H$12)</f>
        <v>0</v>
      </c>
      <c r="K19" s="4"/>
      <c r="L19" s="22">
        <f t="shared" ref="L19:L28" si="10">+D19-H19</f>
        <v>-14639.01</v>
      </c>
      <c r="M19" s="4"/>
      <c r="N19" s="36">
        <f t="shared" ref="N19:N28" si="11">IF(H19=0,0,L19/H19)</f>
        <v>-1.0078485316016994</v>
      </c>
      <c r="O19" s="10"/>
      <c r="P19" s="22">
        <f>SUM(OSRRefP22x_0)</f>
        <v>2580.4299999999998</v>
      </c>
      <c r="Q19" s="22"/>
      <c r="R19" s="36">
        <f t="shared" ref="R19:R28" si="12">IF(P$12=0,0,P19/P$12)</f>
        <v>0</v>
      </c>
      <c r="S19" s="22"/>
      <c r="T19" s="22">
        <f>SUM(OSRRefT22x_0)</f>
        <v>54447.63</v>
      </c>
      <c r="U19" s="22"/>
      <c r="V19" s="36">
        <f t="shared" ref="V19:V28" si="13">IF(T$12=0,0,T19/T$12)</f>
        <v>0</v>
      </c>
      <c r="W19" s="4"/>
      <c r="X19" s="22">
        <f t="shared" ref="X19:X28" si="14">+P19-T19</f>
        <v>-51867.199999999997</v>
      </c>
      <c r="Y19" s="4"/>
      <c r="Z19" s="36">
        <f t="shared" ref="Z19:Z28" si="15">IF(T19=0,0,X19/T19)</f>
        <v>-0.95260711990586178</v>
      </c>
    </row>
    <row r="20" spans="1:26" s="29" customFormat="1" outlineLevel="1" collapsed="1" x14ac:dyDescent="0.25">
      <c r="A20" s="27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0</v>
      </c>
      <c r="E20" s="1"/>
      <c r="F20" s="5">
        <f t="shared" si="8"/>
        <v>0</v>
      </c>
      <c r="G20" s="1"/>
      <c r="H20" s="1">
        <f>SUM(OSRRefH22_0x_0)</f>
        <v>5573.4299999999994</v>
      </c>
      <c r="I20" s="1"/>
      <c r="J20" s="5">
        <f t="shared" si="9"/>
        <v>0</v>
      </c>
      <c r="K20" s="1"/>
      <c r="L20" s="1">
        <f t="shared" si="10"/>
        <v>-5573.4299999999994</v>
      </c>
      <c r="M20" s="1"/>
      <c r="N20" s="5">
        <f t="shared" si="11"/>
        <v>-1</v>
      </c>
      <c r="O20" s="14"/>
      <c r="P20" s="1">
        <f>SUM(OSRRefP22_0x_0)</f>
        <v>2478.73</v>
      </c>
      <c r="Q20" s="1"/>
      <c r="R20" s="5">
        <f t="shared" si="12"/>
        <v>0</v>
      </c>
      <c r="S20" s="1"/>
      <c r="T20" s="1">
        <f>SUM(OSRRefT22_0x_0)</f>
        <v>22046.57</v>
      </c>
      <c r="U20" s="1"/>
      <c r="V20" s="5">
        <f t="shared" si="13"/>
        <v>0</v>
      </c>
      <c r="W20" s="1"/>
      <c r="X20" s="1">
        <f t="shared" si="14"/>
        <v>-19567.84</v>
      </c>
      <c r="Y20" s="1"/>
      <c r="Z20" s="5">
        <f t="shared" si="15"/>
        <v>-0.88756845169112475</v>
      </c>
    </row>
    <row r="21" spans="1:26" s="24" customFormat="1" hidden="1" outlineLevel="2" x14ac:dyDescent="0.25">
      <c r="A21" s="28"/>
      <c r="B21" s="11" t="str">
        <f>CONCATENATE("          ", "6111", " - ", "F.I.C.A.")</f>
        <v xml:space="preserve">          6111 - F.I.C.A.</v>
      </c>
      <c r="C21" s="11"/>
      <c r="D21" s="6"/>
      <c r="E21" s="2"/>
      <c r="F21" s="7">
        <f t="shared" si="8"/>
        <v>0</v>
      </c>
      <c r="G21" s="2"/>
      <c r="H21" s="6">
        <v>2078.52</v>
      </c>
      <c r="I21" s="2"/>
      <c r="J21" s="7">
        <f t="shared" si="9"/>
        <v>0</v>
      </c>
      <c r="K21" s="2"/>
      <c r="L21" s="6">
        <f t="shared" si="10"/>
        <v>-2078.52</v>
      </c>
      <c r="M21" s="2"/>
      <c r="N21" s="7">
        <f t="shared" si="11"/>
        <v>-1</v>
      </c>
      <c r="O21" s="11"/>
      <c r="P21" s="6"/>
      <c r="Q21" s="2"/>
      <c r="R21" s="7">
        <f t="shared" si="12"/>
        <v>0</v>
      </c>
      <c r="S21" s="2"/>
      <c r="T21" s="6">
        <v>3163.28</v>
      </c>
      <c r="U21" s="2"/>
      <c r="V21" s="7">
        <f t="shared" si="13"/>
        <v>0</v>
      </c>
      <c r="W21" s="2"/>
      <c r="X21" s="6">
        <f t="shared" si="14"/>
        <v>-3163.28</v>
      </c>
      <c r="Y21" s="2"/>
      <c r="Z21" s="7">
        <f t="shared" si="15"/>
        <v>-1</v>
      </c>
    </row>
    <row r="22" spans="1:26" s="24" customFormat="1" hidden="1" outlineLevel="2" x14ac:dyDescent="0.25">
      <c r="A22" s="28"/>
      <c r="B22" s="11" t="str">
        <f>CONCATENATE("          ", "6112", " - ", "COMPENSATION INSURANCE")</f>
        <v xml:space="preserve">          6112 - COMPENSATION INSURANCE</v>
      </c>
      <c r="C22" s="11"/>
      <c r="D22" s="6"/>
      <c r="E22" s="2"/>
      <c r="F22" s="7">
        <f t="shared" si="8"/>
        <v>0</v>
      </c>
      <c r="G22" s="2"/>
      <c r="H22" s="6">
        <v>-289.72000000000003</v>
      </c>
      <c r="I22" s="2"/>
      <c r="J22" s="7">
        <f t="shared" si="9"/>
        <v>0</v>
      </c>
      <c r="K22" s="2"/>
      <c r="L22" s="6">
        <f t="shared" si="10"/>
        <v>289.72000000000003</v>
      </c>
      <c r="M22" s="2"/>
      <c r="N22" s="7">
        <f t="shared" si="11"/>
        <v>-1</v>
      </c>
      <c r="O22" s="11"/>
      <c r="P22" s="6"/>
      <c r="Q22" s="2"/>
      <c r="R22" s="7">
        <f t="shared" si="12"/>
        <v>0</v>
      </c>
      <c r="S22" s="2"/>
      <c r="T22" s="6">
        <v>82.33</v>
      </c>
      <c r="U22" s="2"/>
      <c r="V22" s="7">
        <f t="shared" si="13"/>
        <v>0</v>
      </c>
      <c r="W22" s="2"/>
      <c r="X22" s="6">
        <f t="shared" si="14"/>
        <v>-82.33</v>
      </c>
      <c r="Y22" s="2"/>
      <c r="Z22" s="7">
        <f t="shared" si="15"/>
        <v>-1</v>
      </c>
    </row>
    <row r="23" spans="1:26" s="24" customFormat="1" hidden="1" outlineLevel="2" x14ac:dyDescent="0.25">
      <c r="A23" s="28"/>
      <c r="B23" s="11" t="str">
        <f>CONCATENATE("          ", "6113", " - ", "GROUP INSURANCE")</f>
        <v xml:space="preserve">          6113 - GROUP INSURANCE</v>
      </c>
      <c r="C23" s="11"/>
      <c r="D23" s="6"/>
      <c r="E23" s="2"/>
      <c r="F23" s="7">
        <f t="shared" si="8"/>
        <v>0</v>
      </c>
      <c r="G23" s="2"/>
      <c r="H23" s="6">
        <v>1011.43</v>
      </c>
      <c r="I23" s="2"/>
      <c r="J23" s="7">
        <f t="shared" si="9"/>
        <v>0</v>
      </c>
      <c r="K23" s="2"/>
      <c r="L23" s="6">
        <f t="shared" si="10"/>
        <v>-1011.43</v>
      </c>
      <c r="M23" s="2"/>
      <c r="N23" s="7">
        <f t="shared" si="11"/>
        <v>-1</v>
      </c>
      <c r="O23" s="11"/>
      <c r="P23" s="6">
        <v>1868.2</v>
      </c>
      <c r="Q23" s="2"/>
      <c r="R23" s="7">
        <f t="shared" si="12"/>
        <v>0</v>
      </c>
      <c r="S23" s="2"/>
      <c r="T23" s="6">
        <v>4045.72</v>
      </c>
      <c r="U23" s="2"/>
      <c r="V23" s="7">
        <f t="shared" si="13"/>
        <v>0</v>
      </c>
      <c r="W23" s="2"/>
      <c r="X23" s="6">
        <f t="shared" si="14"/>
        <v>-2177.5199999999995</v>
      </c>
      <c r="Y23" s="2"/>
      <c r="Z23" s="7">
        <f t="shared" si="15"/>
        <v>-0.53822805335020707</v>
      </c>
    </row>
    <row r="24" spans="1:26" s="24" customFormat="1" hidden="1" outlineLevel="2" x14ac:dyDescent="0.25">
      <c r="A24" s="28"/>
      <c r="B24" s="11" t="str">
        <f>CONCATENATE("          ", "6114", " - ", "STATE UNEMPLOYMENT INSURANCE")</f>
        <v xml:space="preserve">          6114 - STATE UNEMPLOYMENT INSURANCE</v>
      </c>
      <c r="C24" s="11"/>
      <c r="D24" s="6"/>
      <c r="E24" s="2"/>
      <c r="F24" s="7">
        <f t="shared" si="8"/>
        <v>0</v>
      </c>
      <c r="G24" s="2"/>
      <c r="H24" s="6">
        <v>38.590000000000003</v>
      </c>
      <c r="I24" s="2"/>
      <c r="J24" s="7">
        <f t="shared" si="9"/>
        <v>0</v>
      </c>
      <c r="K24" s="2"/>
      <c r="L24" s="6">
        <f t="shared" si="10"/>
        <v>-38.590000000000003</v>
      </c>
      <c r="M24" s="2"/>
      <c r="N24" s="7">
        <f t="shared" si="11"/>
        <v>-1</v>
      </c>
      <c r="O24" s="11"/>
      <c r="P24" s="6"/>
      <c r="Q24" s="2"/>
      <c r="R24" s="7">
        <f t="shared" si="12"/>
        <v>0</v>
      </c>
      <c r="S24" s="2"/>
      <c r="T24" s="6">
        <v>75.45</v>
      </c>
      <c r="U24" s="2"/>
      <c r="V24" s="7">
        <f t="shared" si="13"/>
        <v>0</v>
      </c>
      <c r="W24" s="2"/>
      <c r="X24" s="6">
        <f t="shared" si="14"/>
        <v>-75.45</v>
      </c>
      <c r="Y24" s="2"/>
      <c r="Z24" s="7">
        <f t="shared" si="15"/>
        <v>-1</v>
      </c>
    </row>
    <row r="25" spans="1:26" s="24" customFormat="1" hidden="1" outlineLevel="2" x14ac:dyDescent="0.25">
      <c r="A25" s="28"/>
      <c r="B25" s="11" t="str">
        <f>CONCATENATE("          ", "6115", " - ", "P.E.R.S.")</f>
        <v xml:space="preserve">          6115 - P.E.R.S.</v>
      </c>
      <c r="C25" s="11"/>
      <c r="D25" s="6"/>
      <c r="E25" s="2"/>
      <c r="F25" s="7">
        <f t="shared" si="8"/>
        <v>0</v>
      </c>
      <c r="G25" s="2"/>
      <c r="H25" s="6">
        <v>1517.09</v>
      </c>
      <c r="I25" s="2"/>
      <c r="J25" s="7">
        <f t="shared" si="9"/>
        <v>0</v>
      </c>
      <c r="K25" s="2"/>
      <c r="L25" s="6">
        <f t="shared" si="10"/>
        <v>-1517.09</v>
      </c>
      <c r="M25" s="2"/>
      <c r="N25" s="7">
        <f t="shared" si="11"/>
        <v>-1</v>
      </c>
      <c r="O25" s="11"/>
      <c r="P25" s="6">
        <v>610.53</v>
      </c>
      <c r="Q25" s="2"/>
      <c r="R25" s="7">
        <f t="shared" si="12"/>
        <v>0</v>
      </c>
      <c r="S25" s="2"/>
      <c r="T25" s="6">
        <v>2966.4</v>
      </c>
      <c r="U25" s="2"/>
      <c r="V25" s="7">
        <f t="shared" si="13"/>
        <v>0</v>
      </c>
      <c r="W25" s="2"/>
      <c r="X25" s="6">
        <f t="shared" si="14"/>
        <v>-2355.87</v>
      </c>
      <c r="Y25" s="2"/>
      <c r="Z25" s="7">
        <f t="shared" si="15"/>
        <v>-0.79418487055016174</v>
      </c>
    </row>
    <row r="26" spans="1:26" s="24" customFormat="1" hidden="1" outlineLevel="2" x14ac:dyDescent="0.25">
      <c r="A26" s="28"/>
      <c r="B26" s="11" t="str">
        <f>CONCATENATE("          ", "6118", " - ", "VACATION")</f>
        <v xml:space="preserve">          6118 - VACATION</v>
      </c>
      <c r="C26" s="11"/>
      <c r="D26" s="6"/>
      <c r="E26" s="2"/>
      <c r="F26" s="7">
        <f t="shared" si="8"/>
        <v>0</v>
      </c>
      <c r="G26" s="2"/>
      <c r="H26" s="6">
        <v>697.17</v>
      </c>
      <c r="I26" s="2"/>
      <c r="J26" s="7">
        <f t="shared" si="9"/>
        <v>0</v>
      </c>
      <c r="K26" s="2"/>
      <c r="L26" s="6">
        <f t="shared" si="10"/>
        <v>-697.17</v>
      </c>
      <c r="M26" s="2"/>
      <c r="N26" s="7">
        <f t="shared" si="11"/>
        <v>-1</v>
      </c>
      <c r="O26" s="11"/>
      <c r="P26" s="6"/>
      <c r="Q26" s="2"/>
      <c r="R26" s="7">
        <f t="shared" si="12"/>
        <v>0</v>
      </c>
      <c r="S26" s="2"/>
      <c r="T26" s="6">
        <v>3454.25</v>
      </c>
      <c r="U26" s="2"/>
      <c r="V26" s="7">
        <f t="shared" si="13"/>
        <v>0</v>
      </c>
      <c r="W26" s="2"/>
      <c r="X26" s="6">
        <f t="shared" si="14"/>
        <v>-3454.25</v>
      </c>
      <c r="Y26" s="2"/>
      <c r="Z26" s="7">
        <f t="shared" si="15"/>
        <v>-1</v>
      </c>
    </row>
    <row r="27" spans="1:26" s="24" customFormat="1" hidden="1" outlineLevel="2" x14ac:dyDescent="0.25">
      <c r="A27" s="28"/>
      <c r="B27" s="11" t="str">
        <f>CONCATENATE("          ", "6119", " - ", "SICK LEAVE")</f>
        <v xml:space="preserve">          6119 - SICK LEAVE</v>
      </c>
      <c r="C27" s="11"/>
      <c r="D27" s="6"/>
      <c r="E27" s="2"/>
      <c r="F27" s="7">
        <f t="shared" si="8"/>
        <v>0</v>
      </c>
      <c r="G27" s="2"/>
      <c r="H27" s="6">
        <v>348.12</v>
      </c>
      <c r="I27" s="2"/>
      <c r="J27" s="7">
        <f t="shared" si="9"/>
        <v>0</v>
      </c>
      <c r="K27" s="2"/>
      <c r="L27" s="6">
        <f t="shared" si="10"/>
        <v>-348.12</v>
      </c>
      <c r="M27" s="2"/>
      <c r="N27" s="7">
        <f t="shared" si="11"/>
        <v>-1</v>
      </c>
      <c r="O27" s="11"/>
      <c r="P27" s="6"/>
      <c r="Q27" s="2"/>
      <c r="R27" s="7">
        <f t="shared" si="12"/>
        <v>0</v>
      </c>
      <c r="S27" s="2"/>
      <c r="T27" s="6">
        <v>7655.8</v>
      </c>
      <c r="U27" s="2"/>
      <c r="V27" s="7">
        <f t="shared" si="13"/>
        <v>0</v>
      </c>
      <c r="W27" s="2"/>
      <c r="X27" s="6">
        <f t="shared" si="14"/>
        <v>-7655.8</v>
      </c>
      <c r="Y27" s="2"/>
      <c r="Z27" s="7">
        <f t="shared" si="15"/>
        <v>-1</v>
      </c>
    </row>
    <row r="28" spans="1:26" s="24" customFormat="1" hidden="1" outlineLevel="2" x14ac:dyDescent="0.25">
      <c r="A28" s="28"/>
      <c r="B28" s="11" t="str">
        <f>CONCATENATE("          ", "6156", " - ", "EMPLOYEE MEALS")</f>
        <v xml:space="preserve">          6156 - EMPLOYEE MEALS</v>
      </c>
      <c r="C28" s="11"/>
      <c r="D28" s="6"/>
      <c r="E28" s="2"/>
      <c r="F28" s="7">
        <f t="shared" si="8"/>
        <v>0</v>
      </c>
      <c r="G28" s="2"/>
      <c r="H28" s="6">
        <v>172.23</v>
      </c>
      <c r="I28" s="2"/>
      <c r="J28" s="7">
        <f t="shared" si="9"/>
        <v>0</v>
      </c>
      <c r="K28" s="2"/>
      <c r="L28" s="6">
        <f t="shared" si="10"/>
        <v>-172.23</v>
      </c>
      <c r="M28" s="2"/>
      <c r="N28" s="7">
        <f t="shared" si="11"/>
        <v>-1</v>
      </c>
      <c r="O28" s="11"/>
      <c r="P28" s="6"/>
      <c r="Q28" s="2"/>
      <c r="R28" s="7">
        <f t="shared" si="12"/>
        <v>0</v>
      </c>
      <c r="S28" s="2"/>
      <c r="T28" s="6">
        <v>603.34</v>
      </c>
      <c r="U28" s="2"/>
      <c r="V28" s="7">
        <f t="shared" si="13"/>
        <v>0</v>
      </c>
      <c r="W28" s="2"/>
      <c r="X28" s="6">
        <f t="shared" si="14"/>
        <v>-603.34</v>
      </c>
      <c r="Y28" s="2"/>
      <c r="Z28" s="7">
        <f t="shared" si="15"/>
        <v>-1</v>
      </c>
    </row>
    <row r="29" spans="1:26" s="29" customFormat="1" outlineLevel="1" collapsed="1" x14ac:dyDescent="0.25">
      <c r="A29" s="27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0</v>
      </c>
      <c r="E29" s="1"/>
      <c r="F29" s="5">
        <f t="shared" ref="F29:F38" si="16">IF(D$12=0,0,D29/D$12)</f>
        <v>0</v>
      </c>
      <c r="G29" s="1"/>
      <c r="H29" s="1">
        <f>SUM(OSRRefH22_1x_0)</f>
        <v>5534.52</v>
      </c>
      <c r="I29" s="1"/>
      <c r="J29" s="5">
        <f t="shared" ref="J29:J38" si="17">IF(H$12=0,0,H29/H$12)</f>
        <v>0</v>
      </c>
      <c r="K29" s="1"/>
      <c r="L29" s="1">
        <f t="shared" ref="L29:L38" si="18">+D29-H29</f>
        <v>-5534.52</v>
      </c>
      <c r="M29" s="1"/>
      <c r="N29" s="5">
        <f t="shared" ref="N29:N38" si="19">IF(H29=0,0,L29/H29)</f>
        <v>-1</v>
      </c>
      <c r="O29" s="14"/>
      <c r="P29" s="1">
        <f>SUM(OSRRefP22_1x_0)</f>
        <v>0</v>
      </c>
      <c r="Q29" s="1"/>
      <c r="R29" s="5">
        <f t="shared" ref="R29:R38" si="20">IF(P$12=0,0,P29/P$12)</f>
        <v>0</v>
      </c>
      <c r="S29" s="1"/>
      <c r="T29" s="1">
        <f>SUM(OSRRefT22_1x_0)</f>
        <v>18822.400000000001</v>
      </c>
      <c r="U29" s="1"/>
      <c r="V29" s="5">
        <f t="shared" ref="V29:V38" si="21">IF(T$12=0,0,T29/T$12)</f>
        <v>0</v>
      </c>
      <c r="W29" s="1"/>
      <c r="X29" s="1">
        <f t="shared" ref="X29:X38" si="22">+P29-T29</f>
        <v>-18822.400000000001</v>
      </c>
      <c r="Y29" s="1"/>
      <c r="Z29" s="5">
        <f t="shared" ref="Z29:Z38" si="23">IF(T29=0,0,X29/T29)</f>
        <v>-1</v>
      </c>
    </row>
    <row r="30" spans="1:26" s="24" customFormat="1" hidden="1" outlineLevel="2" x14ac:dyDescent="0.25">
      <c r="A30" s="28"/>
      <c r="B30" s="11" t="str">
        <f>CONCATENATE("          ", "6001", " - ", "ADMINISTRATIVE SALARIES")</f>
        <v xml:space="preserve">          6001 - ADMINISTRATIVE SALARIES</v>
      </c>
      <c r="C30" s="11"/>
      <c r="D30" s="6"/>
      <c r="E30" s="2"/>
      <c r="F30" s="7">
        <f t="shared" si="16"/>
        <v>0</v>
      </c>
      <c r="G30" s="2"/>
      <c r="H30" s="6">
        <v>5534.52</v>
      </c>
      <c r="I30" s="2"/>
      <c r="J30" s="7">
        <f t="shared" si="17"/>
        <v>0</v>
      </c>
      <c r="K30" s="2"/>
      <c r="L30" s="6">
        <f t="shared" si="18"/>
        <v>-5534.52</v>
      </c>
      <c r="M30" s="2"/>
      <c r="N30" s="7">
        <f t="shared" si="19"/>
        <v>-1</v>
      </c>
      <c r="O30" s="11"/>
      <c r="P30" s="6"/>
      <c r="Q30" s="2"/>
      <c r="R30" s="7">
        <f t="shared" si="20"/>
        <v>0</v>
      </c>
      <c r="S30" s="2"/>
      <c r="T30" s="6">
        <v>18822.400000000001</v>
      </c>
      <c r="U30" s="2"/>
      <c r="V30" s="7">
        <f t="shared" si="21"/>
        <v>0</v>
      </c>
      <c r="W30" s="2"/>
      <c r="X30" s="6">
        <f t="shared" si="22"/>
        <v>-18822.400000000001</v>
      </c>
      <c r="Y30" s="2"/>
      <c r="Z30" s="7">
        <f t="shared" si="23"/>
        <v>-1</v>
      </c>
    </row>
    <row r="31" spans="1:26" s="29" customFormat="1" outlineLevel="1" collapsed="1" x14ac:dyDescent="0.25">
      <c r="A31" s="27"/>
      <c r="B31" s="14" t="str">
        <f>CONCATENATE("     ","General                                           ")</f>
        <v xml:space="preserve">     General                                           </v>
      </c>
      <c r="C31" s="14"/>
      <c r="D31" s="1">
        <f>SUM(OSRRefD22_2x_0)</f>
        <v>0</v>
      </c>
      <c r="E31" s="1"/>
      <c r="F31" s="5">
        <f t="shared" si="16"/>
        <v>0</v>
      </c>
      <c r="G31" s="1"/>
      <c r="H31" s="1">
        <f>SUM(OSRRefH22_2x_0)</f>
        <v>0</v>
      </c>
      <c r="I31" s="1"/>
      <c r="J31" s="5">
        <f t="shared" si="17"/>
        <v>0</v>
      </c>
      <c r="K31" s="1"/>
      <c r="L31" s="1">
        <f t="shared" si="18"/>
        <v>0</v>
      </c>
      <c r="M31" s="1"/>
      <c r="N31" s="5">
        <f t="shared" si="19"/>
        <v>0</v>
      </c>
      <c r="O31" s="14"/>
      <c r="P31" s="1">
        <f>SUM(OSRRefP22_2x_0)</f>
        <v>0</v>
      </c>
      <c r="Q31" s="1"/>
      <c r="R31" s="5">
        <f t="shared" si="20"/>
        <v>0</v>
      </c>
      <c r="S31" s="1"/>
      <c r="T31" s="1">
        <f>SUM(OSRRefT22_2x_0)</f>
        <v>2443.65</v>
      </c>
      <c r="U31" s="1"/>
      <c r="V31" s="5">
        <f t="shared" si="21"/>
        <v>0</v>
      </c>
      <c r="W31" s="1"/>
      <c r="X31" s="1">
        <f t="shared" si="22"/>
        <v>-2443.65</v>
      </c>
      <c r="Y31" s="1"/>
      <c r="Z31" s="5">
        <f t="shared" si="23"/>
        <v>-1</v>
      </c>
    </row>
    <row r="32" spans="1:26" s="24" customFormat="1" hidden="1" outlineLevel="2" x14ac:dyDescent="0.25">
      <c r="A32" s="28"/>
      <c r="B32" s="11" t="str">
        <f>CONCATENATE("          ", "6279", " - ", "GENERAL EXPENSE")</f>
        <v xml:space="preserve">          6279 - GENERAL EXPENSE</v>
      </c>
      <c r="C32" s="11"/>
      <c r="D32" s="6"/>
      <c r="E32" s="2"/>
      <c r="F32" s="7">
        <f t="shared" si="16"/>
        <v>0</v>
      </c>
      <c r="G32" s="2"/>
      <c r="H32" s="6"/>
      <c r="I32" s="2"/>
      <c r="J32" s="7">
        <f t="shared" si="17"/>
        <v>0</v>
      </c>
      <c r="K32" s="2"/>
      <c r="L32" s="6">
        <f t="shared" si="18"/>
        <v>0</v>
      </c>
      <c r="M32" s="2"/>
      <c r="N32" s="7">
        <f t="shared" si="19"/>
        <v>0</v>
      </c>
      <c r="O32" s="11"/>
      <c r="P32" s="6"/>
      <c r="Q32" s="2"/>
      <c r="R32" s="7">
        <f t="shared" si="20"/>
        <v>0</v>
      </c>
      <c r="S32" s="2"/>
      <c r="T32" s="6">
        <v>2443.65</v>
      </c>
      <c r="U32" s="2"/>
      <c r="V32" s="7">
        <f t="shared" si="21"/>
        <v>0</v>
      </c>
      <c r="W32" s="2"/>
      <c r="X32" s="6">
        <f t="shared" si="22"/>
        <v>-2443.65</v>
      </c>
      <c r="Y32" s="2"/>
      <c r="Z32" s="7">
        <f t="shared" si="23"/>
        <v>-1</v>
      </c>
    </row>
    <row r="33" spans="1:26" s="29" customFormat="1" outlineLevel="1" collapsed="1" x14ac:dyDescent="0.25">
      <c r="A33" s="27"/>
      <c r="B33" s="14" t="str">
        <f>CONCATENATE("     ","Royalty &amp; Commissions                             ")</f>
        <v xml:space="preserve">     Royalty &amp; Commissions                             </v>
      </c>
      <c r="C33" s="14"/>
      <c r="D33" s="1">
        <f>SUM(OSRRefD22_3x_0)</f>
        <v>0</v>
      </c>
      <c r="E33" s="1"/>
      <c r="F33" s="5">
        <f t="shared" si="16"/>
        <v>0</v>
      </c>
      <c r="G33" s="1"/>
      <c r="H33" s="1">
        <f>SUM(OSRRefH22_3x_0)</f>
        <v>3048.41</v>
      </c>
      <c r="I33" s="1"/>
      <c r="J33" s="5">
        <f t="shared" si="17"/>
        <v>0</v>
      </c>
      <c r="K33" s="1"/>
      <c r="L33" s="1">
        <f t="shared" si="18"/>
        <v>-3048.41</v>
      </c>
      <c r="M33" s="1"/>
      <c r="N33" s="5">
        <f t="shared" si="19"/>
        <v>-1</v>
      </c>
      <c r="O33" s="14"/>
      <c r="P33" s="1">
        <f>SUM(OSRRefP22_3x_0)</f>
        <v>0</v>
      </c>
      <c r="Q33" s="1"/>
      <c r="R33" s="5">
        <f t="shared" si="20"/>
        <v>0</v>
      </c>
      <c r="S33" s="1"/>
      <c r="T33" s="1">
        <f>SUM(OSRRefT22_3x_0)</f>
        <v>10393.31</v>
      </c>
      <c r="U33" s="1"/>
      <c r="V33" s="5">
        <f t="shared" si="21"/>
        <v>0</v>
      </c>
      <c r="W33" s="1"/>
      <c r="X33" s="1">
        <f t="shared" si="22"/>
        <v>-10393.31</v>
      </c>
      <c r="Y33" s="1"/>
      <c r="Z33" s="5">
        <f t="shared" si="23"/>
        <v>-1</v>
      </c>
    </row>
    <row r="34" spans="1:26" s="24" customFormat="1" hidden="1" outlineLevel="2" x14ac:dyDescent="0.25">
      <c r="A34" s="28"/>
      <c r="B34" s="11" t="str">
        <f>CONCATENATE("          ", "6254", " - ", "ROYALTY &amp; COMMISSIONS")</f>
        <v xml:space="preserve">          6254 - ROYALTY &amp; COMMISSIONS</v>
      </c>
      <c r="C34" s="11"/>
      <c r="D34" s="6"/>
      <c r="E34" s="2"/>
      <c r="F34" s="7">
        <f t="shared" si="16"/>
        <v>0</v>
      </c>
      <c r="G34" s="2"/>
      <c r="H34" s="6">
        <v>3048.41</v>
      </c>
      <c r="I34" s="2"/>
      <c r="J34" s="7">
        <f t="shared" si="17"/>
        <v>0</v>
      </c>
      <c r="K34" s="2"/>
      <c r="L34" s="6">
        <f t="shared" si="18"/>
        <v>-3048.41</v>
      </c>
      <c r="M34" s="2"/>
      <c r="N34" s="7">
        <f t="shared" si="19"/>
        <v>-1</v>
      </c>
      <c r="O34" s="11"/>
      <c r="P34" s="6"/>
      <c r="Q34" s="2"/>
      <c r="R34" s="7">
        <f t="shared" si="20"/>
        <v>0</v>
      </c>
      <c r="S34" s="2"/>
      <c r="T34" s="6">
        <v>10393.31</v>
      </c>
      <c r="U34" s="2"/>
      <c r="V34" s="7">
        <f t="shared" si="21"/>
        <v>0</v>
      </c>
      <c r="W34" s="2"/>
      <c r="X34" s="6">
        <f t="shared" si="22"/>
        <v>-10393.31</v>
      </c>
      <c r="Y34" s="2"/>
      <c r="Z34" s="7">
        <f t="shared" si="23"/>
        <v>-1</v>
      </c>
    </row>
    <row r="35" spans="1:26" s="29" customFormat="1" outlineLevel="1" collapsed="1" x14ac:dyDescent="0.25">
      <c r="A35" s="27"/>
      <c r="B35" s="14" t="str">
        <f>CONCATENATE("     ","Supplies                                          ")</f>
        <v xml:space="preserve">     Supplies                                          </v>
      </c>
      <c r="C35" s="14"/>
      <c r="D35" s="1">
        <f>SUM(OSRRefD22_4x_0)</f>
        <v>0</v>
      </c>
      <c r="E35" s="1"/>
      <c r="F35" s="5">
        <f t="shared" si="16"/>
        <v>0</v>
      </c>
      <c r="G35" s="1"/>
      <c r="H35" s="1">
        <f>SUM(OSRRefH22_4x_0)</f>
        <v>0</v>
      </c>
      <c r="I35" s="1"/>
      <c r="J35" s="5">
        <f t="shared" si="17"/>
        <v>0</v>
      </c>
      <c r="K35" s="1"/>
      <c r="L35" s="1">
        <f t="shared" si="18"/>
        <v>0</v>
      </c>
      <c r="M35" s="1"/>
      <c r="N35" s="5">
        <f t="shared" si="19"/>
        <v>0</v>
      </c>
      <c r="O35" s="14"/>
      <c r="P35" s="1">
        <f>SUM(OSRRefP22_4x_0)</f>
        <v>-56.3</v>
      </c>
      <c r="Q35" s="1"/>
      <c r="R35" s="5">
        <f t="shared" si="20"/>
        <v>0</v>
      </c>
      <c r="S35" s="1"/>
      <c r="T35" s="1">
        <f>SUM(OSRRefT22_4x_0)</f>
        <v>31.75</v>
      </c>
      <c r="U35" s="1"/>
      <c r="V35" s="5">
        <f t="shared" si="21"/>
        <v>0</v>
      </c>
      <c r="W35" s="1"/>
      <c r="X35" s="1">
        <f t="shared" si="22"/>
        <v>-88.05</v>
      </c>
      <c r="Y35" s="1"/>
      <c r="Z35" s="5">
        <f t="shared" si="23"/>
        <v>-2.7732283464566927</v>
      </c>
    </row>
    <row r="36" spans="1:26" s="24" customFormat="1" hidden="1" outlineLevel="2" x14ac:dyDescent="0.25">
      <c r="A36" s="28"/>
      <c r="B36" s="11" t="str">
        <f>CONCATENATE("          ", "6241", " - ", "OFFICE EXPENSE")</f>
        <v xml:space="preserve">          6241 - OFFICE EXPENSE</v>
      </c>
      <c r="C36" s="11"/>
      <c r="D36" s="6"/>
      <c r="E36" s="2"/>
      <c r="F36" s="7">
        <f t="shared" si="16"/>
        <v>0</v>
      </c>
      <c r="G36" s="2"/>
      <c r="H36" s="6"/>
      <c r="I36" s="2"/>
      <c r="J36" s="7">
        <f t="shared" si="17"/>
        <v>0</v>
      </c>
      <c r="K36" s="2"/>
      <c r="L36" s="6">
        <f t="shared" si="18"/>
        <v>0</v>
      </c>
      <c r="M36" s="2"/>
      <c r="N36" s="7">
        <f t="shared" si="19"/>
        <v>0</v>
      </c>
      <c r="O36" s="11"/>
      <c r="P36" s="6">
        <v>-56.3</v>
      </c>
      <c r="Q36" s="2"/>
      <c r="R36" s="7">
        <f t="shared" si="20"/>
        <v>0</v>
      </c>
      <c r="S36" s="2"/>
      <c r="T36" s="6">
        <v>31.75</v>
      </c>
      <c r="U36" s="2"/>
      <c r="V36" s="7">
        <f t="shared" si="21"/>
        <v>0</v>
      </c>
      <c r="W36" s="2"/>
      <c r="X36" s="6">
        <f t="shared" si="22"/>
        <v>-88.05</v>
      </c>
      <c r="Y36" s="2"/>
      <c r="Z36" s="7">
        <f t="shared" si="23"/>
        <v>-2.7732283464566927</v>
      </c>
    </row>
    <row r="37" spans="1:26" s="29" customFormat="1" outlineLevel="1" collapsed="1" x14ac:dyDescent="0.25">
      <c r="A37" s="27"/>
      <c r="B37" s="14" t="str">
        <f>CONCATENATE("     ","Telephone/Data Lines                              ")</f>
        <v xml:space="preserve">     Telephone/Data Lines                              </v>
      </c>
      <c r="C37" s="14"/>
      <c r="D37" s="1">
        <f>SUM(OSRRefD22_5x_0)</f>
        <v>-114</v>
      </c>
      <c r="E37" s="1"/>
      <c r="F37" s="5">
        <f t="shared" si="16"/>
        <v>0</v>
      </c>
      <c r="G37" s="1"/>
      <c r="H37" s="1">
        <f>SUM(OSRRefH22_5x_0)</f>
        <v>368.65</v>
      </c>
      <c r="I37" s="1"/>
      <c r="J37" s="5">
        <f t="shared" si="17"/>
        <v>0</v>
      </c>
      <c r="K37" s="1"/>
      <c r="L37" s="1">
        <f t="shared" si="18"/>
        <v>-482.65</v>
      </c>
      <c r="M37" s="1"/>
      <c r="N37" s="5">
        <f t="shared" si="19"/>
        <v>-1.309236403092364</v>
      </c>
      <c r="O37" s="14"/>
      <c r="P37" s="1">
        <f>SUM(OSRRefP22_5x_0)</f>
        <v>158</v>
      </c>
      <c r="Q37" s="1"/>
      <c r="R37" s="5">
        <f t="shared" si="20"/>
        <v>0</v>
      </c>
      <c r="S37" s="1"/>
      <c r="T37" s="1">
        <f>SUM(OSRRefT22_5x_0)</f>
        <v>709.95</v>
      </c>
      <c r="U37" s="1"/>
      <c r="V37" s="5">
        <f t="shared" si="21"/>
        <v>0</v>
      </c>
      <c r="W37" s="1"/>
      <c r="X37" s="1">
        <f t="shared" si="22"/>
        <v>-551.95000000000005</v>
      </c>
      <c r="Y37" s="1"/>
      <c r="Z37" s="5">
        <f t="shared" si="23"/>
        <v>-0.77744911613493906</v>
      </c>
    </row>
    <row r="38" spans="1:26" s="24" customFormat="1" hidden="1" outlineLevel="2" x14ac:dyDescent="0.25">
      <c r="A38" s="28"/>
      <c r="B38" s="11" t="str">
        <f>CONCATENATE("          ", "6309", " - ", "TELEPHONE")</f>
        <v xml:space="preserve">          6309 - TELEPHONE</v>
      </c>
      <c r="C38" s="11"/>
      <c r="D38" s="6">
        <v>-114</v>
      </c>
      <c r="E38" s="2"/>
      <c r="F38" s="7">
        <f t="shared" si="16"/>
        <v>0</v>
      </c>
      <c r="G38" s="2"/>
      <c r="H38" s="6">
        <v>368.65</v>
      </c>
      <c r="I38" s="2"/>
      <c r="J38" s="7">
        <f t="shared" si="17"/>
        <v>0</v>
      </c>
      <c r="K38" s="2"/>
      <c r="L38" s="6">
        <f t="shared" si="18"/>
        <v>-482.65</v>
      </c>
      <c r="M38" s="2"/>
      <c r="N38" s="7">
        <f t="shared" si="19"/>
        <v>-1.309236403092364</v>
      </c>
      <c r="O38" s="11"/>
      <c r="P38" s="6">
        <v>158</v>
      </c>
      <c r="Q38" s="2"/>
      <c r="R38" s="7">
        <f t="shared" si="20"/>
        <v>0</v>
      </c>
      <c r="S38" s="2"/>
      <c r="T38" s="6">
        <v>709.95</v>
      </c>
      <c r="U38" s="2"/>
      <c r="V38" s="7">
        <f t="shared" si="21"/>
        <v>0</v>
      </c>
      <c r="W38" s="2"/>
      <c r="X38" s="6">
        <f t="shared" si="22"/>
        <v>-551.95000000000005</v>
      </c>
      <c r="Y38" s="2"/>
      <c r="Z38" s="7">
        <f t="shared" si="23"/>
        <v>-0.77744911613493906</v>
      </c>
    </row>
    <row r="39" spans="1:26" s="57" customFormat="1" x14ac:dyDescent="0.25">
      <c r="A39" s="37"/>
      <c r="B39" s="37"/>
      <c r="C39" s="37"/>
      <c r="D39" s="1"/>
      <c r="E39" s="1"/>
      <c r="F39" s="5"/>
      <c r="G39" s="1"/>
      <c r="H39" s="1"/>
      <c r="I39" s="1"/>
      <c r="J39" s="5"/>
      <c r="K39" s="1"/>
      <c r="L39" s="1"/>
      <c r="M39" s="1"/>
      <c r="N39" s="5"/>
      <c r="O39" s="37"/>
      <c r="P39" s="1"/>
      <c r="Q39" s="1"/>
      <c r="R39" s="5"/>
      <c r="S39" s="1"/>
      <c r="T39" s="1"/>
      <c r="U39" s="1"/>
      <c r="V39" s="5"/>
      <c r="W39" s="1"/>
      <c r="X39" s="1"/>
      <c r="Y39" s="1"/>
      <c r="Z39" s="5"/>
    </row>
    <row r="40" spans="1:26" s="23" customFormat="1" collapsed="1" x14ac:dyDescent="0.25">
      <c r="A40" s="10"/>
      <c r="B40" s="26" t="s">
        <v>0</v>
      </c>
      <c r="C40" s="10"/>
      <c r="D40" s="4">
        <f>SUM(OSRRefD25x_0)</f>
        <v>0</v>
      </c>
      <c r="E40" s="4"/>
      <c r="F40" s="12">
        <f t="shared" ref="F40:F41" si="24">IF(D$12=0,0,D40/D$12)</f>
        <v>0</v>
      </c>
      <c r="G40" s="4"/>
      <c r="H40" s="4">
        <f>SUM(OSRRefH25x_0)</f>
        <v>34219.26</v>
      </c>
      <c r="I40" s="4"/>
      <c r="J40" s="12">
        <f t="shared" ref="J40:J41" si="25">IF(H$12=0,0,H40/H$12)</f>
        <v>0</v>
      </c>
      <c r="K40" s="4"/>
      <c r="L40" s="4">
        <f t="shared" ref="L40:L41" si="26">+D40-H40</f>
        <v>-34219.26</v>
      </c>
      <c r="M40" s="4"/>
      <c r="N40" s="12">
        <f t="shared" ref="N40:N41" si="27">IF(H40=0,0,L40/H40)</f>
        <v>-1</v>
      </c>
      <c r="O40" s="10"/>
      <c r="P40" s="4">
        <f>SUM(OSRRefP25x_0)</f>
        <v>0</v>
      </c>
      <c r="Q40" s="4"/>
      <c r="R40" s="12">
        <f t="shared" ref="R40:R41" si="28">IF(P$12=0,0,P40/P$12)</f>
        <v>0</v>
      </c>
      <c r="S40" s="4"/>
      <c r="T40" s="4">
        <f>SUM(OSRRefT25x_0)</f>
        <v>58429.43</v>
      </c>
      <c r="U40" s="4"/>
      <c r="V40" s="12">
        <f t="shared" ref="V40:V41" si="29">IF(T$12=0,0,T40/T$12)</f>
        <v>0</v>
      </c>
      <c r="W40" s="4"/>
      <c r="X40" s="4">
        <f t="shared" ref="X40:X41" si="30">+P40-T40</f>
        <v>-58429.43</v>
      </c>
      <c r="Y40" s="4"/>
      <c r="Z40" s="12">
        <f t="shared" ref="Z40:Z41" si="31">IF(T40=0,0,X40/T40)</f>
        <v>-1</v>
      </c>
    </row>
    <row r="41" spans="1:26" s="24" customFormat="1" hidden="1" outlineLevel="1" x14ac:dyDescent="0.25">
      <c r="A41" s="44"/>
      <c r="B41" s="11" t="str">
        <f>CONCATENATE("          ", "9150", " - ", "MISC. INCOME")</f>
        <v xml:space="preserve">          9150 - MISC. INCOME</v>
      </c>
      <c r="C41" s="11"/>
      <c r="D41" s="2">
        <f>0</f>
        <v>0</v>
      </c>
      <c r="E41" s="2"/>
      <c r="F41" s="19">
        <f t="shared" si="24"/>
        <v>0</v>
      </c>
      <c r="G41" s="2"/>
      <c r="H41" s="2">
        <f>--34219.26</f>
        <v>34219.26</v>
      </c>
      <c r="I41" s="2"/>
      <c r="J41" s="19">
        <f t="shared" si="25"/>
        <v>0</v>
      </c>
      <c r="K41" s="2"/>
      <c r="L41" s="2">
        <f t="shared" si="26"/>
        <v>-34219.26</v>
      </c>
      <c r="M41" s="2"/>
      <c r="N41" s="19">
        <f t="shared" si="27"/>
        <v>-1</v>
      </c>
      <c r="O41" s="11"/>
      <c r="P41" s="2">
        <f>0</f>
        <v>0</v>
      </c>
      <c r="Q41" s="2"/>
      <c r="R41" s="19">
        <f t="shared" si="28"/>
        <v>0</v>
      </c>
      <c r="S41" s="2"/>
      <c r="T41" s="2">
        <f>--58429.43</f>
        <v>58429.43</v>
      </c>
      <c r="U41" s="2"/>
      <c r="V41" s="19">
        <f t="shared" si="29"/>
        <v>0</v>
      </c>
      <c r="W41" s="2"/>
      <c r="X41" s="2">
        <f t="shared" si="30"/>
        <v>-58429.43</v>
      </c>
      <c r="Y41" s="2"/>
      <c r="Z41" s="19">
        <f t="shared" si="31"/>
        <v>-1</v>
      </c>
    </row>
    <row r="42" spans="1:26" x14ac:dyDescent="0.25">
      <c r="A42" s="9"/>
      <c r="B42" s="10"/>
      <c r="C42" s="10"/>
      <c r="D42" s="3"/>
      <c r="E42" s="3"/>
      <c r="F42" s="8"/>
      <c r="G42" s="3"/>
      <c r="H42" s="3"/>
      <c r="I42" s="3"/>
      <c r="J42" s="8"/>
      <c r="K42" s="3"/>
      <c r="L42" s="3"/>
      <c r="M42" s="3"/>
      <c r="N42" s="8"/>
      <c r="O42" s="10"/>
      <c r="P42" s="3"/>
      <c r="Q42" s="3"/>
      <c r="R42" s="8"/>
      <c r="S42" s="3"/>
      <c r="T42" s="3"/>
      <c r="U42" s="3"/>
      <c r="V42" s="8"/>
      <c r="W42" s="3"/>
      <c r="X42" s="3"/>
      <c r="Y42" s="3"/>
      <c r="Z42" s="8"/>
    </row>
    <row r="43" spans="1:26" s="23" customFormat="1" x14ac:dyDescent="0.25">
      <c r="A43" s="10"/>
      <c r="B43" s="25" t="s">
        <v>3</v>
      </c>
      <c r="C43" s="25"/>
      <c r="D43" s="20">
        <f>+D17-D19+D40</f>
        <v>114</v>
      </c>
      <c r="E43" s="13"/>
      <c r="F43" s="21">
        <f>IF(D$12=0,0,D43/D$12)</f>
        <v>0</v>
      </c>
      <c r="G43" s="13"/>
      <c r="H43" s="20">
        <f>+H17-H19+H40</f>
        <v>19694.25</v>
      </c>
      <c r="I43" s="13"/>
      <c r="J43" s="21">
        <f>IF(H$12=0,0,H43/H$12)</f>
        <v>0</v>
      </c>
      <c r="K43" s="15"/>
      <c r="L43" s="20">
        <f>+D43-H43</f>
        <v>-19580.25</v>
      </c>
      <c r="M43" s="15"/>
      <c r="N43" s="21">
        <f>IF(H43=0,0,L43/H43)</f>
        <v>-0.99421150843520312</v>
      </c>
      <c r="O43" s="26"/>
      <c r="P43" s="20">
        <f>+P17-P19+P40</f>
        <v>-2580.4299999999998</v>
      </c>
      <c r="Q43" s="13"/>
      <c r="R43" s="21">
        <f>IF(P$12=0,0,P43/P$12)</f>
        <v>0</v>
      </c>
      <c r="S43" s="13"/>
      <c r="T43" s="20">
        <f>+T17-T19+T40</f>
        <v>4787.2800000000061</v>
      </c>
      <c r="U43" s="13"/>
      <c r="V43" s="21">
        <f>IF(T$12=0,0,T43/T$12)</f>
        <v>0</v>
      </c>
      <c r="W43" s="15"/>
      <c r="X43" s="20">
        <f>+P43-T43</f>
        <v>-7367.7100000000064</v>
      </c>
      <c r="Y43" s="15"/>
      <c r="Z43" s="21">
        <f>IF(T43=0,0,X43/T43)</f>
        <v>-1.5390179809829374</v>
      </c>
    </row>
    <row r="44" spans="1:26" x14ac:dyDescent="0.25">
      <c r="A44" s="9"/>
      <c r="B44" s="10"/>
      <c r="C44" s="9"/>
      <c r="D44" s="3"/>
      <c r="E44" s="3"/>
      <c r="F44" s="8"/>
      <c r="G44" s="3"/>
      <c r="H44" s="3"/>
      <c r="I44" s="3"/>
      <c r="J44" s="8"/>
      <c r="K44" s="3"/>
      <c r="L44" s="3"/>
      <c r="M44" s="3"/>
      <c r="N44" s="8"/>
      <c r="P44" s="3"/>
      <c r="Q44" s="3"/>
      <c r="R44" s="8"/>
      <c r="S44" s="3"/>
      <c r="T44" s="3"/>
      <c r="U44" s="3"/>
      <c r="V44" s="8"/>
      <c r="W44" s="3"/>
      <c r="X44" s="3"/>
      <c r="Y44" s="3"/>
      <c r="Z44" s="8"/>
    </row>
    <row r="45" spans="1:26" s="23" customFormat="1" x14ac:dyDescent="0.25">
      <c r="A45" s="51"/>
      <c r="B45" s="10" t="s">
        <v>13</v>
      </c>
      <c r="C45" s="10"/>
      <c r="D45" s="4"/>
      <c r="E45" s="4"/>
      <c r="F45" s="12">
        <f>IF(D$12=0,0,D45/D$12)</f>
        <v>0</v>
      </c>
      <c r="G45" s="4"/>
      <c r="H45" s="4"/>
      <c r="I45" s="4"/>
      <c r="J45" s="12">
        <f>IF(H$12=0,0,H45/H$12)</f>
        <v>0</v>
      </c>
      <c r="K45" s="4"/>
      <c r="L45" s="4">
        <f>+D45-H45</f>
        <v>0</v>
      </c>
      <c r="M45" s="4"/>
      <c r="N45" s="12">
        <f>IF(H45=0,0,L45/H45)</f>
        <v>0</v>
      </c>
      <c r="O45" s="10"/>
      <c r="P45" s="4"/>
      <c r="Q45" s="4"/>
      <c r="R45" s="12">
        <f>IF(P$12=0,0,P45/P$12)</f>
        <v>0</v>
      </c>
      <c r="S45" s="4"/>
      <c r="T45" s="4"/>
      <c r="U45" s="4"/>
      <c r="V45" s="12">
        <f>IF(T$12=0,0,T45/T$12)</f>
        <v>0</v>
      </c>
      <c r="W45" s="4"/>
      <c r="X45" s="4">
        <f>+P45-T45</f>
        <v>0</v>
      </c>
      <c r="Y45" s="4"/>
      <c r="Z45" s="12">
        <f>IF(T45=0,0,X45/T45)</f>
        <v>0</v>
      </c>
    </row>
    <row r="46" spans="1:26" x14ac:dyDescent="0.25">
      <c r="A46" s="9"/>
      <c r="B46" s="10"/>
      <c r="C46" s="10"/>
      <c r="D46" s="3"/>
      <c r="E46" s="3"/>
      <c r="F46" s="8"/>
      <c r="G46" s="3"/>
      <c r="H46" s="3"/>
      <c r="I46" s="3"/>
      <c r="J46" s="8"/>
      <c r="K46" s="3"/>
      <c r="L46" s="3"/>
      <c r="M46" s="3"/>
      <c r="N46" s="8"/>
      <c r="O46" s="10"/>
      <c r="P46" s="3"/>
      <c r="Q46" s="3"/>
      <c r="R46" s="8"/>
      <c r="S46" s="3"/>
      <c r="T46" s="3"/>
      <c r="U46" s="3"/>
      <c r="V46" s="8"/>
      <c r="W46" s="3"/>
      <c r="X46" s="3"/>
      <c r="Y46" s="3"/>
      <c r="Z46" s="8"/>
    </row>
    <row r="47" spans="1:26" s="23" customFormat="1" ht="15.75" thickBot="1" x14ac:dyDescent="0.3">
      <c r="A47" s="10"/>
      <c r="B47" s="25" t="s">
        <v>4</v>
      </c>
      <c r="C47" s="25"/>
      <c r="D47" s="30">
        <f>+D43-D45</f>
        <v>114</v>
      </c>
      <c r="E47" s="13"/>
      <c r="F47" s="33">
        <f>IF(D$12=0,0,D47/D$12)</f>
        <v>0</v>
      </c>
      <c r="G47" s="13"/>
      <c r="H47" s="30">
        <f>+H43-H45</f>
        <v>19694.25</v>
      </c>
      <c r="I47" s="13"/>
      <c r="J47" s="33">
        <f>IF(H$12=0,0,H47/H$12)</f>
        <v>0</v>
      </c>
      <c r="K47" s="15"/>
      <c r="L47" s="30">
        <f>D47-H47</f>
        <v>-19580.25</v>
      </c>
      <c r="M47" s="15"/>
      <c r="N47" s="33">
        <f>IF(H47=0,0,L47/H47)</f>
        <v>-0.99421150843520312</v>
      </c>
      <c r="O47" s="26"/>
      <c r="P47" s="30">
        <f>+P43-P45</f>
        <v>-2580.4299999999998</v>
      </c>
      <c r="Q47" s="13"/>
      <c r="R47" s="33">
        <f>IF(P$12=0,0,P47/P$12)</f>
        <v>0</v>
      </c>
      <c r="S47" s="13"/>
      <c r="T47" s="30">
        <f>+T43-T45</f>
        <v>4787.2800000000061</v>
      </c>
      <c r="U47" s="13"/>
      <c r="V47" s="33">
        <f>IF(T$12=0,0,T47/T$12)</f>
        <v>0</v>
      </c>
      <c r="W47" s="15"/>
      <c r="X47" s="30">
        <f>P47-T47</f>
        <v>-7367.7100000000064</v>
      </c>
      <c r="Y47" s="15"/>
      <c r="Z47" s="33">
        <f>IF(T47=0,0,X47/T47)</f>
        <v>-1.5390179809829374</v>
      </c>
    </row>
    <row r="48" spans="1:26" ht="15.75" thickTop="1" x14ac:dyDescent="0.25">
      <c r="A48" s="9"/>
      <c r="B48" s="9"/>
      <c r="C48" s="9"/>
      <c r="D48" s="3"/>
      <c r="E48" s="3"/>
      <c r="F48" s="8"/>
      <c r="G48" s="3"/>
      <c r="H48" s="3"/>
      <c r="I48" s="3"/>
      <c r="J48" s="8"/>
      <c r="K48" s="3"/>
      <c r="L48" s="3"/>
      <c r="M48" s="3"/>
      <c r="N48" s="8"/>
      <c r="P48" s="3"/>
      <c r="Q48" s="3"/>
      <c r="R48" s="8"/>
      <c r="S48" s="3"/>
      <c r="T48" s="3"/>
      <c r="U48" s="3"/>
      <c r="V48" s="8"/>
      <c r="W48" s="3"/>
      <c r="X48" s="3"/>
      <c r="Y48" s="3"/>
      <c r="Z48" s="8"/>
    </row>
    <row r="49" spans="1:26" x14ac:dyDescent="0.25">
      <c r="A49" s="9"/>
      <c r="B49" s="9"/>
      <c r="C49" s="9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ht="15.75" thickBot="1" x14ac:dyDescent="0.3">
      <c r="A50" s="10"/>
      <c r="B50" s="25" t="s">
        <v>5</v>
      </c>
      <c r="C50" s="25"/>
      <c r="D50" s="34">
        <f>SUM(D47:D49)</f>
        <v>114</v>
      </c>
      <c r="E50" s="13"/>
      <c r="F50" s="35">
        <f>IF(D$12=0,0,D50/D$12)</f>
        <v>0</v>
      </c>
      <c r="G50" s="13"/>
      <c r="H50" s="34">
        <f>SUM(H47:H49)</f>
        <v>19694.25</v>
      </c>
      <c r="I50" s="13"/>
      <c r="J50" s="35">
        <f>IF(H$12=0,0,H50/H$12)</f>
        <v>0</v>
      </c>
      <c r="K50" s="15"/>
      <c r="L50" s="34">
        <f>+D50-H50</f>
        <v>-19580.25</v>
      </c>
      <c r="M50" s="15"/>
      <c r="N50" s="35">
        <f>IF(H50=0,0,L50/H50)</f>
        <v>-0.99421150843520312</v>
      </c>
      <c r="O50" s="26"/>
      <c r="P50" s="34">
        <f>SUM(P47:P49)</f>
        <v>-2580.4299999999998</v>
      </c>
      <c r="Q50" s="13"/>
      <c r="R50" s="35">
        <f>IF(P$12=0,0,P50/P$12)</f>
        <v>0</v>
      </c>
      <c r="S50" s="13"/>
      <c r="T50" s="34">
        <f>SUM(T47:T49)</f>
        <v>4787.2800000000061</v>
      </c>
      <c r="U50" s="13"/>
      <c r="V50" s="35">
        <f>IF(T$12=0,0,T50/T$12)</f>
        <v>0</v>
      </c>
      <c r="W50" s="15"/>
      <c r="X50" s="34">
        <f>+P50-T50</f>
        <v>-7367.7100000000064</v>
      </c>
      <c r="Y50" s="15"/>
      <c r="Z50" s="35">
        <f>IF(T50=0,0,X50/T50)</f>
        <v>-1.5390179809829374</v>
      </c>
    </row>
    <row r="51" spans="1:26" ht="15.75" thickTop="1" x14ac:dyDescent="0.25">
      <c r="A51" s="9"/>
      <c r="C51" s="9"/>
      <c r="D51" s="18"/>
      <c r="E51" s="18"/>
      <c r="G51" s="18"/>
      <c r="H51" s="18"/>
      <c r="I51" s="18"/>
      <c r="J51" s="43"/>
      <c r="K51" s="18"/>
      <c r="L51" s="18"/>
      <c r="M51" s="18"/>
      <c r="P51" s="18"/>
      <c r="Q51" s="18"/>
      <c r="R51" s="43"/>
      <c r="S51" s="18"/>
      <c r="T51" s="18"/>
      <c r="U51" s="18"/>
      <c r="V51" s="43"/>
      <c r="W51" s="18"/>
      <c r="X51" s="18"/>
    </row>
    <row r="52" spans="1:26" x14ac:dyDescent="0.25">
      <c r="A52" s="9"/>
      <c r="B52" s="56">
        <v>44151.57288310185</v>
      </c>
      <c r="D52" s="18"/>
      <c r="E52" s="18"/>
      <c r="G52" s="18"/>
      <c r="H52" s="18"/>
      <c r="I52" s="18"/>
      <c r="J52" s="43"/>
      <c r="K52" s="18"/>
      <c r="L52" s="18"/>
      <c r="M52" s="18"/>
      <c r="P52" s="18"/>
      <c r="Q52" s="18"/>
      <c r="R52" s="43"/>
      <c r="S52" s="18"/>
      <c r="T52" s="18"/>
      <c r="U52" s="18"/>
      <c r="V52" s="43"/>
      <c r="W52" s="18"/>
      <c r="X52" s="18"/>
    </row>
    <row r="53" spans="1:26" x14ac:dyDescent="0.25">
      <c r="A53" s="9"/>
      <c r="B53" s="62" t="s">
        <v>313</v>
      </c>
      <c r="D53" s="18"/>
      <c r="E53" s="18"/>
      <c r="G53" s="18"/>
      <c r="H53" s="18"/>
      <c r="I53" s="18"/>
      <c r="J53" s="43"/>
      <c r="K53" s="18"/>
      <c r="L53" s="18"/>
      <c r="M53" s="18"/>
      <c r="P53" s="18"/>
      <c r="Q53" s="18"/>
      <c r="R53" s="43"/>
      <c r="S53" s="18"/>
      <c r="T53" s="18"/>
      <c r="U53" s="18"/>
      <c r="V53" s="43"/>
      <c r="W53" s="18"/>
      <c r="X53" s="18"/>
    </row>
    <row r="54" spans="1:26" x14ac:dyDescent="0.25">
      <c r="A54" s="9"/>
      <c r="B54" s="54"/>
      <c r="D54" s="18"/>
      <c r="E54" s="18"/>
      <c r="G54" s="18"/>
      <c r="H54" s="18"/>
      <c r="I54" s="18"/>
      <c r="J54" s="43"/>
      <c r="K54" s="18"/>
      <c r="L54" s="18"/>
      <c r="M54" s="18"/>
      <c r="P54" s="18"/>
      <c r="Q54" s="18"/>
      <c r="R54" s="43"/>
      <c r="S54" s="18"/>
      <c r="T54" s="18"/>
      <c r="U54" s="18"/>
      <c r="V54" s="43"/>
      <c r="W54" s="18"/>
      <c r="X54" s="18"/>
    </row>
    <row r="55" spans="1:26" x14ac:dyDescent="0.25">
      <c r="D55" s="18"/>
      <c r="E55" s="18"/>
      <c r="G55" s="18"/>
      <c r="H55" s="18"/>
      <c r="I55" s="18"/>
      <c r="J55" s="43"/>
      <c r="K55" s="18"/>
      <c r="L55" s="18"/>
      <c r="M55" s="18"/>
      <c r="P55" s="18"/>
      <c r="Q55" s="18"/>
      <c r="R55" s="43"/>
      <c r="S55" s="18"/>
      <c r="T55" s="18"/>
      <c r="U55" s="18"/>
      <c r="V55" s="43"/>
      <c r="W55" s="18"/>
      <c r="X55" s="18"/>
    </row>
  </sheetData>
  <pageMargins left="0.25" right="0.25" top="0.75" bottom="0.75" header="0.3" footer="0.3"/>
  <pageSetup scale="55" fitToWidth="2" orientation="landscape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",RIGHT(202104,2),", ",2021)</f>
        <v>Period 04,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44135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","424", " - ", "Blair Field")</f>
        <v>Department 424 - Blair Field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61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50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50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2"/>
      <c r="F10" s="31" t="s">
        <v>14</v>
      </c>
      <c r="G10" s="32"/>
      <c r="H10" s="49" t="s">
        <v>306</v>
      </c>
      <c r="I10" s="32"/>
      <c r="J10" s="31" t="s">
        <v>14</v>
      </c>
      <c r="K10" s="10"/>
      <c r="L10" s="42" t="s">
        <v>11</v>
      </c>
      <c r="M10" s="10"/>
      <c r="N10" s="31" t="s">
        <v>15</v>
      </c>
      <c r="O10" s="10"/>
      <c r="P10" s="59" t="s">
        <v>10</v>
      </c>
      <c r="Q10" s="32"/>
      <c r="R10" s="31" t="s">
        <v>14</v>
      </c>
      <c r="S10" s="32"/>
      <c r="T10" s="49" t="s">
        <v>306</v>
      </c>
      <c r="U10" s="32"/>
      <c r="V10" s="31" t="s">
        <v>14</v>
      </c>
      <c r="W10" s="10"/>
      <c r="X10" s="42" t="s">
        <v>11</v>
      </c>
      <c r="Y10" s="10"/>
      <c r="Z10" s="31" t="s">
        <v>15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19851.87</v>
      </c>
      <c r="U12" s="4"/>
      <c r="V12" s="12"/>
      <c r="W12" s="4"/>
      <c r="X12" s="4">
        <f t="shared" ref="X12:X13" si="2">+P12-T12</f>
        <v>-19851.87</v>
      </c>
      <c r="Y12" s="4"/>
      <c r="Z12" s="12">
        <f t="shared" ref="Z12:Z13" si="3">IF(T12=0,0,X12/T12)</f>
        <v>-1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0</f>
        <v>0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f>--19851.87</f>
        <v>19851.87</v>
      </c>
      <c r="U13" s="2"/>
      <c r="V13" s="19"/>
      <c r="W13" s="2"/>
      <c r="X13" s="2">
        <f t="shared" si="2"/>
        <v>-19851.87</v>
      </c>
      <c r="Y13" s="2"/>
      <c r="Z13" s="19">
        <f t="shared" si="3"/>
        <v>-1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>
        <f>SUM(OSRRefD16x_0)</f>
        <v>0</v>
      </c>
      <c r="E15" s="4"/>
      <c r="F15" s="12">
        <f t="shared" ref="F15:F17" si="4">IF(D$12=0,0,D15/D$12)</f>
        <v>0</v>
      </c>
      <c r="G15" s="4"/>
      <c r="H15" s="4">
        <f>SUM(OSRRefH16x_0)</f>
        <v>0</v>
      </c>
      <c r="I15" s="4"/>
      <c r="J15" s="12">
        <f t="shared" ref="J15:J17" si="5">IF(H$12=0,0,H15/H$12)</f>
        <v>0</v>
      </c>
      <c r="K15" s="4"/>
      <c r="L15" s="4">
        <f t="shared" ref="L15:L17" si="6">+D15-H15</f>
        <v>0</v>
      </c>
      <c r="M15" s="4"/>
      <c r="N15" s="12">
        <f t="shared" ref="N15:N17" si="7">IF(H15=0,0,L15/H15)</f>
        <v>0</v>
      </c>
      <c r="O15" s="10"/>
      <c r="P15" s="4">
        <f>SUM(OSRRefP16x_0)</f>
        <v>0</v>
      </c>
      <c r="Q15" s="4"/>
      <c r="R15" s="12">
        <f t="shared" ref="R15:R17" si="8">IF(P$12=0,0,P15/P$12)</f>
        <v>0</v>
      </c>
      <c r="S15" s="4"/>
      <c r="T15" s="4">
        <f>SUM(OSRRefT16x_0)</f>
        <v>4810.79</v>
      </c>
      <c r="U15" s="4"/>
      <c r="V15" s="12">
        <f t="shared" ref="V15:V17" si="9">IF(T$12=0,0,T15/T$12)</f>
        <v>0.24233434935852391</v>
      </c>
      <c r="W15" s="4"/>
      <c r="X15" s="4">
        <f t="shared" ref="X15:X17" si="10">+P15-T15</f>
        <v>-4810.79</v>
      </c>
      <c r="Y15" s="4"/>
      <c r="Z15" s="12">
        <f t="shared" ref="Z15:Z17" si="11">IF(T15=0,0,X15/T15)</f>
        <v>-1</v>
      </c>
    </row>
    <row r="16" spans="1:26" s="24" customFormat="1" hidden="1" outlineLevel="1" x14ac:dyDescent="0.25">
      <c r="A16" s="44"/>
      <c r="B16" s="11" t="str">
        <f>CONCATENATE("          ", "5053", " - ", "PURCHASES @ COST-FOOD")</f>
        <v xml:space="preserve">          5053 - PURCHASES @ COST-FOOD</v>
      </c>
      <c r="C16" s="11"/>
      <c r="D16" s="2"/>
      <c r="E16" s="2"/>
      <c r="F16" s="19">
        <f t="shared" si="4"/>
        <v>0</v>
      </c>
      <c r="G16" s="2"/>
      <c r="H16" s="2"/>
      <c r="I16" s="2"/>
      <c r="J16" s="19">
        <f t="shared" si="5"/>
        <v>0</v>
      </c>
      <c r="K16" s="2"/>
      <c r="L16" s="2">
        <f t="shared" si="6"/>
        <v>0</v>
      </c>
      <c r="M16" s="2"/>
      <c r="N16" s="19">
        <f t="shared" si="7"/>
        <v>0</v>
      </c>
      <c r="O16" s="11"/>
      <c r="P16" s="2"/>
      <c r="Q16" s="2"/>
      <c r="R16" s="19">
        <f t="shared" si="8"/>
        <v>0</v>
      </c>
      <c r="S16" s="2"/>
      <c r="T16" s="2">
        <v>6367.79</v>
      </c>
      <c r="U16" s="2"/>
      <c r="V16" s="19">
        <f t="shared" si="9"/>
        <v>0.32076524780788912</v>
      </c>
      <c r="W16" s="2"/>
      <c r="X16" s="2">
        <f t="shared" si="10"/>
        <v>-6367.79</v>
      </c>
      <c r="Y16" s="2"/>
      <c r="Z16" s="19">
        <f t="shared" si="11"/>
        <v>-1</v>
      </c>
    </row>
    <row r="17" spans="1:26" s="24" customFormat="1" hidden="1" outlineLevel="1" x14ac:dyDescent="0.25">
      <c r="A17" s="44"/>
      <c r="B17" s="11" t="str">
        <f>CONCATENATE("          ", "5059", " - ", "PURCHASES @ COST-FOOD")</f>
        <v xml:space="preserve">          5059 - PURCHASES @ COST-FOOD</v>
      </c>
      <c r="C17" s="11"/>
      <c r="D17" s="2"/>
      <c r="E17" s="2"/>
      <c r="F17" s="19">
        <f t="shared" si="4"/>
        <v>0</v>
      </c>
      <c r="G17" s="2"/>
      <c r="H17" s="2"/>
      <c r="I17" s="2"/>
      <c r="J17" s="19">
        <f t="shared" si="5"/>
        <v>0</v>
      </c>
      <c r="K17" s="2"/>
      <c r="L17" s="2">
        <f t="shared" si="6"/>
        <v>0</v>
      </c>
      <c r="M17" s="2"/>
      <c r="N17" s="19">
        <f t="shared" si="7"/>
        <v>0</v>
      </c>
      <c r="O17" s="11"/>
      <c r="P17" s="2"/>
      <c r="Q17" s="2"/>
      <c r="R17" s="19">
        <f t="shared" si="8"/>
        <v>0</v>
      </c>
      <c r="S17" s="2"/>
      <c r="T17" s="2">
        <v>-1557</v>
      </c>
      <c r="U17" s="2"/>
      <c r="V17" s="19">
        <f t="shared" si="9"/>
        <v>-7.8430898449365224E-2</v>
      </c>
      <c r="W17" s="2"/>
      <c r="X17" s="2">
        <f t="shared" si="10"/>
        <v>1557</v>
      </c>
      <c r="Y17" s="2"/>
      <c r="Z17" s="19">
        <f t="shared" si="11"/>
        <v>-1</v>
      </c>
    </row>
    <row r="18" spans="1:26" x14ac:dyDescent="0.25">
      <c r="A18" s="9"/>
      <c r="B18" s="10"/>
      <c r="C18" s="10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O18" s="10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x14ac:dyDescent="0.25">
      <c r="A19" s="10"/>
      <c r="B19" s="25" t="s">
        <v>6</v>
      </c>
      <c r="C19" s="25"/>
      <c r="D19" s="20">
        <f>D12-D15</f>
        <v>0</v>
      </c>
      <c r="E19" s="13"/>
      <c r="F19" s="21">
        <f>IF(D$12=0,0,D19/D$12)</f>
        <v>0</v>
      </c>
      <c r="G19" s="13"/>
      <c r="H19" s="20">
        <f>H12-H15</f>
        <v>0</v>
      </c>
      <c r="I19" s="13"/>
      <c r="J19" s="21">
        <f>IF(H$12=0,0,H19/H$12)</f>
        <v>0</v>
      </c>
      <c r="K19" s="15"/>
      <c r="L19" s="20">
        <f>+D19-H19</f>
        <v>0</v>
      </c>
      <c r="M19" s="15"/>
      <c r="N19" s="21">
        <f>IF(H19=0,0,L19/H19)</f>
        <v>0</v>
      </c>
      <c r="O19" s="26"/>
      <c r="P19" s="20">
        <f>P12-P15</f>
        <v>0</v>
      </c>
      <c r="Q19" s="13"/>
      <c r="R19" s="21">
        <f>IF(P$12=0,0,P19/P$12)</f>
        <v>0</v>
      </c>
      <c r="S19" s="13"/>
      <c r="T19" s="20">
        <f>T12-T15</f>
        <v>15041.079999999998</v>
      </c>
      <c r="U19" s="13"/>
      <c r="V19" s="21">
        <f>IF(T$12=0,0,T19/T$12)</f>
        <v>0.75766565064147606</v>
      </c>
      <c r="W19" s="15"/>
      <c r="X19" s="20">
        <f>+P19-T19</f>
        <v>-15041.079999999998</v>
      </c>
      <c r="Y19" s="15"/>
      <c r="Z19" s="21">
        <f>IF(T19=0,0,X19/T19)</f>
        <v>-1</v>
      </c>
    </row>
    <row r="20" spans="1:26" x14ac:dyDescent="0.25">
      <c r="A20" s="9"/>
      <c r="B20" s="10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7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3" customFormat="1" x14ac:dyDescent="0.25">
      <c r="A21" s="10"/>
      <c r="B21" s="26" t="s">
        <v>9</v>
      </c>
      <c r="C21" s="10"/>
      <c r="D21" s="22">
        <f>SUM(OSRRefD22x_0)</f>
        <v>278.25</v>
      </c>
      <c r="E21" s="22"/>
      <c r="F21" s="36">
        <f t="shared" ref="F21:F24" si="12">IF(D$12=0,0,D21/D$12)</f>
        <v>0</v>
      </c>
      <c r="G21" s="22"/>
      <c r="H21" s="22">
        <f>SUM(OSRRefH22x_0)</f>
        <v>2393.87</v>
      </c>
      <c r="I21" s="22"/>
      <c r="J21" s="36">
        <f t="shared" ref="J21:J24" si="13">IF(H$12=0,0,H21/H$12)</f>
        <v>0</v>
      </c>
      <c r="K21" s="4"/>
      <c r="L21" s="22">
        <f t="shared" ref="L21:L24" si="14">+D21-H21</f>
        <v>-2115.62</v>
      </c>
      <c r="M21" s="4"/>
      <c r="N21" s="36">
        <f t="shared" ref="N21:N24" si="15">IF(H21=0,0,L21/H21)</f>
        <v>-0.88376561801601594</v>
      </c>
      <c r="O21" s="10"/>
      <c r="P21" s="22">
        <f>SUM(OSRRefP22x_0)</f>
        <v>2818.0099999999998</v>
      </c>
      <c r="Q21" s="22"/>
      <c r="R21" s="36">
        <f t="shared" ref="R21:R24" si="16">IF(P$12=0,0,P21/P$12)</f>
        <v>0</v>
      </c>
      <c r="S21" s="22"/>
      <c r="T21" s="22">
        <f>SUM(OSRRefT22x_0)</f>
        <v>18036.760000000002</v>
      </c>
      <c r="U21" s="22"/>
      <c r="V21" s="36">
        <f t="shared" ref="V21:V24" si="17">IF(T$12=0,0,T21/T$12)</f>
        <v>0.9085673037351143</v>
      </c>
      <c r="W21" s="4"/>
      <c r="X21" s="22">
        <f t="shared" ref="X21:X24" si="18">+P21-T21</f>
        <v>-15218.750000000002</v>
      </c>
      <c r="Y21" s="4"/>
      <c r="Z21" s="36">
        <f t="shared" ref="Z21:Z24" si="19">IF(T21=0,0,X21/T21)</f>
        <v>-0.84376295964463688</v>
      </c>
    </row>
    <row r="22" spans="1:26" s="29" customFormat="1" outlineLevel="1" collapsed="1" x14ac:dyDescent="0.25">
      <c r="A22" s="27"/>
      <c r="B22" s="14" t="str">
        <f>CONCATENATE("     ","*Benefits                                         ")</f>
        <v xml:space="preserve">     *Benefits                                         </v>
      </c>
      <c r="C22" s="14"/>
      <c r="D22" s="1">
        <f>SUM(OSRRefD22_0x_0)</f>
        <v>0</v>
      </c>
      <c r="E22" s="1"/>
      <c r="F22" s="5">
        <f t="shared" si="12"/>
        <v>0</v>
      </c>
      <c r="G22" s="1"/>
      <c r="H22" s="1">
        <f>SUM(OSRRefH22_0x_0)</f>
        <v>32.230000000000004</v>
      </c>
      <c r="I22" s="1"/>
      <c r="J22" s="5">
        <f t="shared" si="13"/>
        <v>0</v>
      </c>
      <c r="K22" s="1"/>
      <c r="L22" s="1">
        <f t="shared" si="14"/>
        <v>-32.230000000000004</v>
      </c>
      <c r="M22" s="1"/>
      <c r="N22" s="5">
        <f t="shared" si="15"/>
        <v>-1</v>
      </c>
      <c r="O22" s="14"/>
      <c r="P22" s="1">
        <f>SUM(OSRRefP22_0x_0)</f>
        <v>0</v>
      </c>
      <c r="Q22" s="1"/>
      <c r="R22" s="5">
        <f t="shared" si="16"/>
        <v>0</v>
      </c>
      <c r="S22" s="1"/>
      <c r="T22" s="1">
        <f>SUM(OSRRefT22_0x_0)</f>
        <v>355.92</v>
      </c>
      <c r="U22" s="1"/>
      <c r="V22" s="5">
        <f t="shared" si="17"/>
        <v>1.7928789580024453E-2</v>
      </c>
      <c r="W22" s="1"/>
      <c r="X22" s="1">
        <f t="shared" si="18"/>
        <v>-355.92</v>
      </c>
      <c r="Y22" s="1"/>
      <c r="Z22" s="5">
        <f t="shared" si="19"/>
        <v>-1</v>
      </c>
    </row>
    <row r="23" spans="1:26" s="24" customFormat="1" hidden="1" outlineLevel="2" x14ac:dyDescent="0.25">
      <c r="A23" s="28"/>
      <c r="B23" s="11" t="str">
        <f>CONCATENATE("          ", "6111", " - ", "F.I.C.A.")</f>
        <v xml:space="preserve">          6111 - F.I.C.A.</v>
      </c>
      <c r="C23" s="11"/>
      <c r="D23" s="6"/>
      <c r="E23" s="2"/>
      <c r="F23" s="7">
        <f t="shared" si="12"/>
        <v>0</v>
      </c>
      <c r="G23" s="2"/>
      <c r="H23" s="6">
        <v>42.63</v>
      </c>
      <c r="I23" s="2"/>
      <c r="J23" s="7">
        <f t="shared" si="13"/>
        <v>0</v>
      </c>
      <c r="K23" s="2"/>
      <c r="L23" s="6">
        <f t="shared" si="14"/>
        <v>-42.63</v>
      </c>
      <c r="M23" s="2"/>
      <c r="N23" s="7">
        <f t="shared" si="15"/>
        <v>-1</v>
      </c>
      <c r="O23" s="11"/>
      <c r="P23" s="6"/>
      <c r="Q23" s="2"/>
      <c r="R23" s="7">
        <f t="shared" si="16"/>
        <v>0</v>
      </c>
      <c r="S23" s="2"/>
      <c r="T23" s="6">
        <v>366.32</v>
      </c>
      <c r="U23" s="2"/>
      <c r="V23" s="7">
        <f t="shared" si="17"/>
        <v>1.8452669698119119E-2</v>
      </c>
      <c r="W23" s="2"/>
      <c r="X23" s="6">
        <f t="shared" si="18"/>
        <v>-366.32</v>
      </c>
      <c r="Y23" s="2"/>
      <c r="Z23" s="7">
        <f t="shared" si="19"/>
        <v>-1</v>
      </c>
    </row>
    <row r="24" spans="1:26" s="24" customFormat="1" hidden="1" outlineLevel="2" x14ac:dyDescent="0.25">
      <c r="A24" s="28"/>
      <c r="B24" s="11" t="str">
        <f>CONCATENATE("          ", "6112", " - ", "COMPENSATION INSURANCE")</f>
        <v xml:space="preserve">          6112 - COMPENSATION INSURANCE</v>
      </c>
      <c r="C24" s="11"/>
      <c r="D24" s="6"/>
      <c r="E24" s="2"/>
      <c r="F24" s="7">
        <f t="shared" si="12"/>
        <v>0</v>
      </c>
      <c r="G24" s="2"/>
      <c r="H24" s="6">
        <v>-10.4</v>
      </c>
      <c r="I24" s="2"/>
      <c r="J24" s="7">
        <f t="shared" si="13"/>
        <v>0</v>
      </c>
      <c r="K24" s="2"/>
      <c r="L24" s="6">
        <f t="shared" si="14"/>
        <v>10.4</v>
      </c>
      <c r="M24" s="2"/>
      <c r="N24" s="7">
        <f t="shared" si="15"/>
        <v>-1</v>
      </c>
      <c r="O24" s="11"/>
      <c r="P24" s="6"/>
      <c r="Q24" s="2"/>
      <c r="R24" s="7">
        <f t="shared" si="16"/>
        <v>0</v>
      </c>
      <c r="S24" s="2"/>
      <c r="T24" s="6">
        <v>-10.4</v>
      </c>
      <c r="U24" s="2"/>
      <c r="V24" s="7">
        <f t="shared" si="17"/>
        <v>-5.2388011809466816E-4</v>
      </c>
      <c r="W24" s="2"/>
      <c r="X24" s="6">
        <f t="shared" si="18"/>
        <v>10.4</v>
      </c>
      <c r="Y24" s="2"/>
      <c r="Z24" s="7">
        <f t="shared" si="19"/>
        <v>-1</v>
      </c>
    </row>
    <row r="25" spans="1:26" s="29" customFormat="1" outlineLevel="1" collapsed="1" x14ac:dyDescent="0.25">
      <c r="A25" s="27"/>
      <c r="B25" s="14" t="str">
        <f>CONCATENATE("     ","*Payroll                                          ")</f>
        <v xml:space="preserve">     *Payroll                                          </v>
      </c>
      <c r="C25" s="14"/>
      <c r="D25" s="1">
        <f>SUM(OSRRefD22_1x_0)</f>
        <v>0</v>
      </c>
      <c r="E25" s="1"/>
      <c r="F25" s="5">
        <f t="shared" ref="F25:F29" si="20">IF(D$12=0,0,D25/D$12)</f>
        <v>0</v>
      </c>
      <c r="G25" s="1"/>
      <c r="H25" s="1">
        <f>SUM(OSRRefH22_1x_0)</f>
        <v>662.35</v>
      </c>
      <c r="I25" s="1"/>
      <c r="J25" s="5">
        <f t="shared" ref="J25:J29" si="21">IF(H$12=0,0,H25/H$12)</f>
        <v>0</v>
      </c>
      <c r="K25" s="1"/>
      <c r="L25" s="1">
        <f t="shared" ref="L25:L29" si="22">+D25-H25</f>
        <v>-662.35</v>
      </c>
      <c r="M25" s="1"/>
      <c r="N25" s="5">
        <f t="shared" ref="N25:N29" si="23">IF(H25=0,0,L25/H25)</f>
        <v>-1</v>
      </c>
      <c r="O25" s="14"/>
      <c r="P25" s="1">
        <f>SUM(OSRRefP22_1x_0)</f>
        <v>0</v>
      </c>
      <c r="Q25" s="1"/>
      <c r="R25" s="5">
        <f t="shared" ref="R25:R29" si="24">IF(P$12=0,0,P25/P$12)</f>
        <v>0</v>
      </c>
      <c r="S25" s="1"/>
      <c r="T25" s="1">
        <f>SUM(OSRRefT22_1x_0)</f>
        <v>5526.5300000000007</v>
      </c>
      <c r="U25" s="1"/>
      <c r="V25" s="5">
        <f t="shared" ref="V25:V29" si="25">IF(T$12=0,0,T25/T$12)</f>
        <v>0.27838838356285833</v>
      </c>
      <c r="W25" s="1"/>
      <c r="X25" s="1">
        <f t="shared" ref="X25:X29" si="26">+P25-T25</f>
        <v>-5526.5300000000007</v>
      </c>
      <c r="Y25" s="1"/>
      <c r="Z25" s="5">
        <f t="shared" ref="Z25:Z29" si="27">IF(T25=0,0,X25/T25)</f>
        <v>-1</v>
      </c>
    </row>
    <row r="26" spans="1:26" s="24" customFormat="1" hidden="1" outlineLevel="2" x14ac:dyDescent="0.25">
      <c r="A26" s="28"/>
      <c r="B26" s="11" t="str">
        <f>CONCATENATE("          ", "6005", " - ", "TEMPORARY WAGES-HOURLY")</f>
        <v xml:space="preserve">          6005 - TEMPORARY WAGES-HOURLY</v>
      </c>
      <c r="C26" s="11"/>
      <c r="D26" s="6"/>
      <c r="E26" s="2"/>
      <c r="F26" s="7">
        <f t="shared" si="20"/>
        <v>0</v>
      </c>
      <c r="G26" s="2"/>
      <c r="H26" s="6">
        <v>592.35</v>
      </c>
      <c r="I26" s="2"/>
      <c r="J26" s="7">
        <f t="shared" si="21"/>
        <v>0</v>
      </c>
      <c r="K26" s="2"/>
      <c r="L26" s="6">
        <f t="shared" si="22"/>
        <v>-592.35</v>
      </c>
      <c r="M26" s="2"/>
      <c r="N26" s="7">
        <f t="shared" si="23"/>
        <v>-1</v>
      </c>
      <c r="O26" s="11"/>
      <c r="P26" s="6"/>
      <c r="Q26" s="2"/>
      <c r="R26" s="7">
        <f t="shared" si="24"/>
        <v>0</v>
      </c>
      <c r="S26" s="2"/>
      <c r="T26" s="6">
        <v>2489.34</v>
      </c>
      <c r="U26" s="2"/>
      <c r="V26" s="7">
        <f t="shared" si="25"/>
        <v>0.12539574357478667</v>
      </c>
      <c r="W26" s="2"/>
      <c r="X26" s="6">
        <f t="shared" si="26"/>
        <v>-2489.34</v>
      </c>
      <c r="Y26" s="2"/>
      <c r="Z26" s="7">
        <f t="shared" si="27"/>
        <v>-1</v>
      </c>
    </row>
    <row r="27" spans="1:26" s="24" customFormat="1" hidden="1" outlineLevel="2" x14ac:dyDescent="0.25">
      <c r="A27" s="28"/>
      <c r="B27" s="11" t="str">
        <f>CONCATENATE("          ", "6006", " - ", "TEMPORARY PART TIME")</f>
        <v xml:space="preserve">          6006 - TEMPORARY PART TIME</v>
      </c>
      <c r="C27" s="11"/>
      <c r="D27" s="6"/>
      <c r="E27" s="2"/>
      <c r="F27" s="7">
        <f t="shared" si="20"/>
        <v>0</v>
      </c>
      <c r="G27" s="2"/>
      <c r="H27" s="6"/>
      <c r="I27" s="2"/>
      <c r="J27" s="7">
        <f t="shared" si="21"/>
        <v>0</v>
      </c>
      <c r="K27" s="2"/>
      <c r="L27" s="6">
        <f t="shared" si="22"/>
        <v>0</v>
      </c>
      <c r="M27" s="2"/>
      <c r="N27" s="7">
        <f t="shared" si="23"/>
        <v>0</v>
      </c>
      <c r="O27" s="11"/>
      <c r="P27" s="6"/>
      <c r="Q27" s="2"/>
      <c r="R27" s="7">
        <f t="shared" si="24"/>
        <v>0</v>
      </c>
      <c r="S27" s="2"/>
      <c r="T27" s="6">
        <v>247.5</v>
      </c>
      <c r="U27" s="2"/>
      <c r="V27" s="7">
        <f t="shared" si="25"/>
        <v>1.2467339348887536E-2</v>
      </c>
      <c r="W27" s="2"/>
      <c r="X27" s="6">
        <f t="shared" si="26"/>
        <v>-247.5</v>
      </c>
      <c r="Y27" s="2"/>
      <c r="Z27" s="7">
        <f t="shared" si="27"/>
        <v>-1</v>
      </c>
    </row>
    <row r="28" spans="1:26" s="24" customFormat="1" hidden="1" outlineLevel="2" x14ac:dyDescent="0.25">
      <c r="A28" s="28"/>
      <c r="B28" s="11" t="str">
        <f>CONCATENATE("          ", "6007", " - ", "STUDENT HOURLY")</f>
        <v xml:space="preserve">          6007 - STUDENT HOURLY</v>
      </c>
      <c r="C28" s="11"/>
      <c r="D28" s="6"/>
      <c r="E28" s="2"/>
      <c r="F28" s="7">
        <f t="shared" si="20"/>
        <v>0</v>
      </c>
      <c r="G28" s="2"/>
      <c r="H28" s="6">
        <v>70</v>
      </c>
      <c r="I28" s="2"/>
      <c r="J28" s="7">
        <f t="shared" si="21"/>
        <v>0</v>
      </c>
      <c r="K28" s="2"/>
      <c r="L28" s="6">
        <f t="shared" si="22"/>
        <v>-70</v>
      </c>
      <c r="M28" s="2"/>
      <c r="N28" s="7">
        <f t="shared" si="23"/>
        <v>-1</v>
      </c>
      <c r="O28" s="11"/>
      <c r="P28" s="6"/>
      <c r="Q28" s="2"/>
      <c r="R28" s="7">
        <f t="shared" si="24"/>
        <v>0</v>
      </c>
      <c r="S28" s="2"/>
      <c r="T28" s="6">
        <v>2156.69</v>
      </c>
      <c r="U28" s="2"/>
      <c r="V28" s="7">
        <f t="shared" si="25"/>
        <v>0.10863913575899903</v>
      </c>
      <c r="W28" s="2"/>
      <c r="X28" s="6">
        <f t="shared" si="26"/>
        <v>-2156.69</v>
      </c>
      <c r="Y28" s="2"/>
      <c r="Z28" s="7">
        <f t="shared" si="27"/>
        <v>-1</v>
      </c>
    </row>
    <row r="29" spans="1:26" s="24" customFormat="1" hidden="1" outlineLevel="2" x14ac:dyDescent="0.25">
      <c r="A29" s="28"/>
      <c r="B29" s="11" t="str">
        <f>CONCATENATE("          ", "6008", " - ", "STUDENT HOURLY-FICA EXEMPT")</f>
        <v xml:space="preserve">          6008 - STUDENT HOURLY-FICA EXEMPT</v>
      </c>
      <c r="C29" s="11"/>
      <c r="D29" s="6"/>
      <c r="E29" s="2"/>
      <c r="F29" s="7">
        <f t="shared" si="20"/>
        <v>0</v>
      </c>
      <c r="G29" s="2"/>
      <c r="H29" s="6"/>
      <c r="I29" s="2"/>
      <c r="J29" s="7">
        <f t="shared" si="21"/>
        <v>0</v>
      </c>
      <c r="K29" s="2"/>
      <c r="L29" s="6">
        <f t="shared" si="22"/>
        <v>0</v>
      </c>
      <c r="M29" s="2"/>
      <c r="N29" s="7">
        <f t="shared" si="23"/>
        <v>0</v>
      </c>
      <c r="O29" s="11"/>
      <c r="P29" s="6"/>
      <c r="Q29" s="2"/>
      <c r="R29" s="7">
        <f t="shared" si="24"/>
        <v>0</v>
      </c>
      <c r="S29" s="2"/>
      <c r="T29" s="6">
        <v>633</v>
      </c>
      <c r="U29" s="2"/>
      <c r="V29" s="7">
        <f t="shared" si="25"/>
        <v>3.1886164880185093E-2</v>
      </c>
      <c r="W29" s="2"/>
      <c r="X29" s="6">
        <f t="shared" si="26"/>
        <v>-633</v>
      </c>
      <c r="Y29" s="2"/>
      <c r="Z29" s="7">
        <f t="shared" si="27"/>
        <v>-1</v>
      </c>
    </row>
    <row r="30" spans="1:26" s="29" customFormat="1" outlineLevel="1" collapsed="1" x14ac:dyDescent="0.25">
      <c r="A30" s="27"/>
      <c r="B30" s="14" t="str">
        <f>CONCATENATE("     ","Advertising/Promo                                 ")</f>
        <v xml:space="preserve">     Advertising/Promo                                 </v>
      </c>
      <c r="C30" s="14"/>
      <c r="D30" s="1">
        <f>SUM(OSRRefD22_2x_0)</f>
        <v>0</v>
      </c>
      <c r="E30" s="1"/>
      <c r="F30" s="5">
        <f t="shared" ref="F30:F44" si="28">IF(D$12=0,0,D30/D$12)</f>
        <v>0</v>
      </c>
      <c r="G30" s="1"/>
      <c r="H30" s="1">
        <f>SUM(OSRRefH22_2x_0)</f>
        <v>404.43</v>
      </c>
      <c r="I30" s="1"/>
      <c r="J30" s="5">
        <f t="shared" ref="J30:J44" si="29">IF(H$12=0,0,H30/H$12)</f>
        <v>0</v>
      </c>
      <c r="K30" s="1"/>
      <c r="L30" s="1">
        <f t="shared" ref="L30:L44" si="30">+D30-H30</f>
        <v>-404.43</v>
      </c>
      <c r="M30" s="1"/>
      <c r="N30" s="5">
        <f t="shared" ref="N30:N44" si="31">IF(H30=0,0,L30/H30)</f>
        <v>-1</v>
      </c>
      <c r="O30" s="14"/>
      <c r="P30" s="1">
        <f>SUM(OSRRefP22_2x_0)</f>
        <v>0</v>
      </c>
      <c r="Q30" s="1"/>
      <c r="R30" s="5">
        <f t="shared" ref="R30:R44" si="32">IF(P$12=0,0,P30/P$12)</f>
        <v>0</v>
      </c>
      <c r="S30" s="1"/>
      <c r="T30" s="1">
        <f>SUM(OSRRefT22_2x_0)</f>
        <v>508.38</v>
      </c>
      <c r="U30" s="1"/>
      <c r="V30" s="5">
        <f t="shared" ref="V30:V44" si="33">IF(T$12=0,0,T30/T$12)</f>
        <v>2.5608670618939174E-2</v>
      </c>
      <c r="W30" s="1"/>
      <c r="X30" s="1">
        <f t="shared" ref="X30:X44" si="34">+P30-T30</f>
        <v>-508.38</v>
      </c>
      <c r="Y30" s="1"/>
      <c r="Z30" s="5">
        <f t="shared" ref="Z30:Z44" si="35">IF(T30=0,0,X30/T30)</f>
        <v>-1</v>
      </c>
    </row>
    <row r="31" spans="1:26" s="24" customFormat="1" hidden="1" outlineLevel="2" x14ac:dyDescent="0.25">
      <c r="A31" s="28"/>
      <c r="B31" s="11" t="str">
        <f>CONCATENATE("          ", "6362", " - ", "ADVERTISING EXPENSE")</f>
        <v xml:space="preserve">          6362 - ADVERTISING EXPENSE</v>
      </c>
      <c r="C31" s="11"/>
      <c r="D31" s="6"/>
      <c r="E31" s="2"/>
      <c r="F31" s="7">
        <f t="shared" si="28"/>
        <v>0</v>
      </c>
      <c r="G31" s="2"/>
      <c r="H31" s="6">
        <v>404.43</v>
      </c>
      <c r="I31" s="2"/>
      <c r="J31" s="7">
        <f t="shared" si="29"/>
        <v>0</v>
      </c>
      <c r="K31" s="2"/>
      <c r="L31" s="6">
        <f t="shared" si="30"/>
        <v>-404.43</v>
      </c>
      <c r="M31" s="2"/>
      <c r="N31" s="7">
        <f t="shared" si="31"/>
        <v>-1</v>
      </c>
      <c r="O31" s="11"/>
      <c r="P31" s="6"/>
      <c r="Q31" s="2"/>
      <c r="R31" s="7">
        <f t="shared" si="32"/>
        <v>0</v>
      </c>
      <c r="S31" s="2"/>
      <c r="T31" s="6">
        <v>508.38</v>
      </c>
      <c r="U31" s="2"/>
      <c r="V31" s="7">
        <f t="shared" si="33"/>
        <v>2.5608670618939174E-2</v>
      </c>
      <c r="W31" s="2"/>
      <c r="X31" s="6">
        <f t="shared" si="34"/>
        <v>-508.38</v>
      </c>
      <c r="Y31" s="2"/>
      <c r="Z31" s="7">
        <f t="shared" si="35"/>
        <v>-1</v>
      </c>
    </row>
    <row r="32" spans="1:26" s="29" customFormat="1" outlineLevel="1" collapsed="1" x14ac:dyDescent="0.25">
      <c r="A32" s="27"/>
      <c r="B32" s="14" t="str">
        <f>CONCATENATE("     ","Bad Debts/Over/Short                              ")</f>
        <v xml:space="preserve">     Bad Debts/Over/Short                              </v>
      </c>
      <c r="C32" s="14"/>
      <c r="D32" s="1">
        <f>SUM(OSRRefD22_3x_0)</f>
        <v>0</v>
      </c>
      <c r="E32" s="1"/>
      <c r="F32" s="5">
        <f t="shared" si="28"/>
        <v>0</v>
      </c>
      <c r="G32" s="1"/>
      <c r="H32" s="1">
        <f>SUM(OSRRefH22_3x_0)</f>
        <v>0</v>
      </c>
      <c r="I32" s="1"/>
      <c r="J32" s="5">
        <f t="shared" si="29"/>
        <v>0</v>
      </c>
      <c r="K32" s="1"/>
      <c r="L32" s="1">
        <f t="shared" si="30"/>
        <v>0</v>
      </c>
      <c r="M32" s="1"/>
      <c r="N32" s="5">
        <f t="shared" si="31"/>
        <v>0</v>
      </c>
      <c r="O32" s="14"/>
      <c r="P32" s="1">
        <f>SUM(OSRRefP22_3x_0)</f>
        <v>0</v>
      </c>
      <c r="Q32" s="1"/>
      <c r="R32" s="5">
        <f t="shared" si="32"/>
        <v>0</v>
      </c>
      <c r="S32" s="1"/>
      <c r="T32" s="1">
        <f>SUM(OSRRefT22_3x_0)</f>
        <v>1.85</v>
      </c>
      <c r="U32" s="1"/>
      <c r="V32" s="5">
        <f t="shared" si="33"/>
        <v>9.3190213314916939E-5</v>
      </c>
      <c r="W32" s="1"/>
      <c r="X32" s="1">
        <f t="shared" si="34"/>
        <v>-1.85</v>
      </c>
      <c r="Y32" s="1"/>
      <c r="Z32" s="5">
        <f t="shared" si="35"/>
        <v>-1</v>
      </c>
    </row>
    <row r="33" spans="1:26" s="24" customFormat="1" hidden="1" outlineLevel="2" x14ac:dyDescent="0.25">
      <c r="A33" s="28"/>
      <c r="B33" s="11" t="str">
        <f>CONCATENATE("          ", "6272", " - ", "CASH (OVER/SHORT)")</f>
        <v xml:space="preserve">          6272 - CASH (OVER/SHORT)</v>
      </c>
      <c r="C33" s="11"/>
      <c r="D33" s="6"/>
      <c r="E33" s="2"/>
      <c r="F33" s="7">
        <f t="shared" si="28"/>
        <v>0</v>
      </c>
      <c r="G33" s="2"/>
      <c r="H33" s="6"/>
      <c r="I33" s="2"/>
      <c r="J33" s="7">
        <f t="shared" si="29"/>
        <v>0</v>
      </c>
      <c r="K33" s="2"/>
      <c r="L33" s="6">
        <f t="shared" si="30"/>
        <v>0</v>
      </c>
      <c r="M33" s="2"/>
      <c r="N33" s="7">
        <f t="shared" si="31"/>
        <v>0</v>
      </c>
      <c r="O33" s="11"/>
      <c r="P33" s="6"/>
      <c r="Q33" s="2"/>
      <c r="R33" s="7">
        <f t="shared" si="32"/>
        <v>0</v>
      </c>
      <c r="S33" s="2"/>
      <c r="T33" s="6">
        <v>1.85</v>
      </c>
      <c r="U33" s="2"/>
      <c r="V33" s="7">
        <f t="shared" si="33"/>
        <v>9.3190213314916939E-5</v>
      </c>
      <c r="W33" s="2"/>
      <c r="X33" s="6">
        <f t="shared" si="34"/>
        <v>-1.85</v>
      </c>
      <c r="Y33" s="2"/>
      <c r="Z33" s="7">
        <f t="shared" si="35"/>
        <v>-1</v>
      </c>
    </row>
    <row r="34" spans="1:26" s="29" customFormat="1" outlineLevel="1" collapsed="1" x14ac:dyDescent="0.25">
      <c r="A34" s="27"/>
      <c r="B34" s="14" t="str">
        <f>CONCATENATE("     ","Bank/card Fees                                    ")</f>
        <v xml:space="preserve">     Bank/card Fees                                    </v>
      </c>
      <c r="C34" s="14"/>
      <c r="D34" s="1">
        <f>SUM(OSRRefD22_4x_0)</f>
        <v>0</v>
      </c>
      <c r="E34" s="1"/>
      <c r="F34" s="5">
        <f t="shared" si="28"/>
        <v>0</v>
      </c>
      <c r="G34" s="1"/>
      <c r="H34" s="1">
        <f>SUM(OSRRefH22_4x_0)</f>
        <v>15.08</v>
      </c>
      <c r="I34" s="1"/>
      <c r="J34" s="5">
        <f t="shared" si="29"/>
        <v>0</v>
      </c>
      <c r="K34" s="1"/>
      <c r="L34" s="1">
        <f t="shared" si="30"/>
        <v>-15.08</v>
      </c>
      <c r="M34" s="1"/>
      <c r="N34" s="5">
        <f t="shared" si="31"/>
        <v>-1</v>
      </c>
      <c r="O34" s="14"/>
      <c r="P34" s="1">
        <f>SUM(OSRRefP22_4x_0)</f>
        <v>0</v>
      </c>
      <c r="Q34" s="1"/>
      <c r="R34" s="5">
        <f t="shared" si="32"/>
        <v>0</v>
      </c>
      <c r="S34" s="1"/>
      <c r="T34" s="1">
        <f>SUM(OSRRefT22_4x_0)</f>
        <v>348.55</v>
      </c>
      <c r="U34" s="1"/>
      <c r="V34" s="5">
        <f t="shared" si="33"/>
        <v>1.7557539919413136E-2</v>
      </c>
      <c r="W34" s="1"/>
      <c r="X34" s="1">
        <f t="shared" si="34"/>
        <v>-348.55</v>
      </c>
      <c r="Y34" s="1"/>
      <c r="Z34" s="5">
        <f t="shared" si="35"/>
        <v>-1</v>
      </c>
    </row>
    <row r="35" spans="1:26" s="24" customFormat="1" hidden="1" outlineLevel="2" x14ac:dyDescent="0.25">
      <c r="A35" s="28"/>
      <c r="B35" s="11" t="str">
        <f>CONCATENATE("          ", "6381", " - ", "BANK/CREDIT CARD FEES")</f>
        <v xml:space="preserve">          6381 - BANK/CREDIT CARD FEES</v>
      </c>
      <c r="C35" s="11"/>
      <c r="D35" s="6"/>
      <c r="E35" s="2"/>
      <c r="F35" s="7">
        <f t="shared" si="28"/>
        <v>0</v>
      </c>
      <c r="G35" s="2"/>
      <c r="H35" s="6">
        <v>15.08</v>
      </c>
      <c r="I35" s="2"/>
      <c r="J35" s="7">
        <f t="shared" si="29"/>
        <v>0</v>
      </c>
      <c r="K35" s="2"/>
      <c r="L35" s="6">
        <f t="shared" si="30"/>
        <v>-15.08</v>
      </c>
      <c r="M35" s="2"/>
      <c r="N35" s="7">
        <f t="shared" si="31"/>
        <v>-1</v>
      </c>
      <c r="O35" s="11"/>
      <c r="P35" s="6"/>
      <c r="Q35" s="2"/>
      <c r="R35" s="7">
        <f t="shared" si="32"/>
        <v>0</v>
      </c>
      <c r="S35" s="2"/>
      <c r="T35" s="6">
        <v>348.55</v>
      </c>
      <c r="U35" s="2"/>
      <c r="V35" s="7">
        <f t="shared" si="33"/>
        <v>1.7557539919413136E-2</v>
      </c>
      <c r="W35" s="2"/>
      <c r="X35" s="6">
        <f t="shared" si="34"/>
        <v>-348.55</v>
      </c>
      <c r="Y35" s="2"/>
      <c r="Z35" s="7">
        <f t="shared" si="35"/>
        <v>-1</v>
      </c>
    </row>
    <row r="36" spans="1:26" s="29" customFormat="1" outlineLevel="1" collapsed="1" x14ac:dyDescent="0.25">
      <c r="A36" s="27"/>
      <c r="B36" s="14" t="str">
        <f>CONCATENATE("     ","Depreciation                                      ")</f>
        <v xml:space="preserve">     Depreciation                                      </v>
      </c>
      <c r="C36" s="14"/>
      <c r="D36" s="1">
        <f>SUM(OSRRefD22_5x_0)</f>
        <v>479.29</v>
      </c>
      <c r="E36" s="1"/>
      <c r="F36" s="5">
        <f t="shared" si="28"/>
        <v>0</v>
      </c>
      <c r="G36" s="1"/>
      <c r="H36" s="1">
        <f>SUM(OSRRefH22_5x_0)</f>
        <v>0</v>
      </c>
      <c r="I36" s="1"/>
      <c r="J36" s="5">
        <f t="shared" si="29"/>
        <v>0</v>
      </c>
      <c r="K36" s="1"/>
      <c r="L36" s="1">
        <f t="shared" si="30"/>
        <v>479.29</v>
      </c>
      <c r="M36" s="1"/>
      <c r="N36" s="5">
        <f t="shared" si="31"/>
        <v>0</v>
      </c>
      <c r="O36" s="14"/>
      <c r="P36" s="1">
        <f>SUM(OSRRefP22_5x_0)</f>
        <v>1917.16</v>
      </c>
      <c r="Q36" s="1"/>
      <c r="R36" s="5">
        <f t="shared" si="32"/>
        <v>0</v>
      </c>
      <c r="S36" s="1"/>
      <c r="T36" s="1">
        <f>SUM(OSRRefT22_5x_0)</f>
        <v>0</v>
      </c>
      <c r="U36" s="1"/>
      <c r="V36" s="5">
        <f t="shared" si="33"/>
        <v>0</v>
      </c>
      <c r="W36" s="1"/>
      <c r="X36" s="1">
        <f t="shared" si="34"/>
        <v>1917.16</v>
      </c>
      <c r="Y36" s="1"/>
      <c r="Z36" s="5">
        <f t="shared" si="35"/>
        <v>0</v>
      </c>
    </row>
    <row r="37" spans="1:26" s="24" customFormat="1" hidden="1" outlineLevel="2" x14ac:dyDescent="0.25">
      <c r="A37" s="28"/>
      <c r="B37" s="11" t="str">
        <f>CONCATENATE("          ", "6322", " - ", "EQUIPMENT DEPRECIATION EXPENSE")</f>
        <v xml:space="preserve">          6322 - EQUIPMENT DEPRECIATION EXPENSE</v>
      </c>
      <c r="C37" s="11"/>
      <c r="D37" s="6">
        <v>479.29</v>
      </c>
      <c r="E37" s="2"/>
      <c r="F37" s="7">
        <f t="shared" si="28"/>
        <v>0</v>
      </c>
      <c r="G37" s="2"/>
      <c r="H37" s="6"/>
      <c r="I37" s="2"/>
      <c r="J37" s="7">
        <f t="shared" si="29"/>
        <v>0</v>
      </c>
      <c r="K37" s="2"/>
      <c r="L37" s="6">
        <f t="shared" si="30"/>
        <v>479.29</v>
      </c>
      <c r="M37" s="2"/>
      <c r="N37" s="7">
        <f t="shared" si="31"/>
        <v>0</v>
      </c>
      <c r="O37" s="11"/>
      <c r="P37" s="6">
        <v>1917.16</v>
      </c>
      <c r="Q37" s="2"/>
      <c r="R37" s="7">
        <f t="shared" si="32"/>
        <v>0</v>
      </c>
      <c r="S37" s="2"/>
      <c r="T37" s="6"/>
      <c r="U37" s="2"/>
      <c r="V37" s="7">
        <f t="shared" si="33"/>
        <v>0</v>
      </c>
      <c r="W37" s="2"/>
      <c r="X37" s="6">
        <f t="shared" si="34"/>
        <v>1917.16</v>
      </c>
      <c r="Y37" s="2"/>
      <c r="Z37" s="7">
        <f t="shared" si="35"/>
        <v>0</v>
      </c>
    </row>
    <row r="38" spans="1:26" s="29" customFormat="1" outlineLevel="1" collapsed="1" x14ac:dyDescent="0.25">
      <c r="A38" s="27"/>
      <c r="B38" s="14" t="str">
        <f>CONCATENATE("     ","Employees' Appreciation                           ")</f>
        <v xml:space="preserve">     Employees' Appreciation                           </v>
      </c>
      <c r="C38" s="14"/>
      <c r="D38" s="1">
        <f>SUM(OSRRefD22_6x_0)</f>
        <v>0</v>
      </c>
      <c r="E38" s="1"/>
      <c r="F38" s="5">
        <f t="shared" si="28"/>
        <v>0</v>
      </c>
      <c r="G38" s="1"/>
      <c r="H38" s="1">
        <f>SUM(OSRRefH22_6x_0)</f>
        <v>0</v>
      </c>
      <c r="I38" s="1"/>
      <c r="J38" s="5">
        <f t="shared" si="29"/>
        <v>0</v>
      </c>
      <c r="K38" s="1"/>
      <c r="L38" s="1">
        <f t="shared" si="30"/>
        <v>0</v>
      </c>
      <c r="M38" s="1"/>
      <c r="N38" s="5">
        <f t="shared" si="31"/>
        <v>0</v>
      </c>
      <c r="O38" s="14"/>
      <c r="P38" s="1">
        <f>SUM(OSRRefP22_6x_0)</f>
        <v>0</v>
      </c>
      <c r="Q38" s="1"/>
      <c r="R38" s="5">
        <f t="shared" si="32"/>
        <v>0</v>
      </c>
      <c r="S38" s="1"/>
      <c r="T38" s="1">
        <f>SUM(OSRRefT22_6x_0)</f>
        <v>114.64</v>
      </c>
      <c r="U38" s="1"/>
      <c r="V38" s="5">
        <f t="shared" si="33"/>
        <v>5.7747708402281503E-3</v>
      </c>
      <c r="W38" s="1"/>
      <c r="X38" s="1">
        <f t="shared" si="34"/>
        <v>-114.64</v>
      </c>
      <c r="Y38" s="1"/>
      <c r="Z38" s="5">
        <f t="shared" si="35"/>
        <v>-1</v>
      </c>
    </row>
    <row r="39" spans="1:26" s="24" customFormat="1" hidden="1" outlineLevel="2" x14ac:dyDescent="0.25">
      <c r="A39" s="28"/>
      <c r="B39" s="11" t="str">
        <f>CONCATENATE("          ", "6277", " - ", "EMPLOYEE APPRECIATION")</f>
        <v xml:space="preserve">          6277 - EMPLOYEE APPRECIATION</v>
      </c>
      <c r="C39" s="11"/>
      <c r="D39" s="6"/>
      <c r="E39" s="2"/>
      <c r="F39" s="7">
        <f t="shared" si="28"/>
        <v>0</v>
      </c>
      <c r="G39" s="2"/>
      <c r="H39" s="6"/>
      <c r="I39" s="2"/>
      <c r="J39" s="7">
        <f t="shared" si="29"/>
        <v>0</v>
      </c>
      <c r="K39" s="2"/>
      <c r="L39" s="6">
        <f t="shared" si="30"/>
        <v>0</v>
      </c>
      <c r="M39" s="2"/>
      <c r="N39" s="7">
        <f t="shared" si="31"/>
        <v>0</v>
      </c>
      <c r="O39" s="11"/>
      <c r="P39" s="6"/>
      <c r="Q39" s="2"/>
      <c r="R39" s="7">
        <f t="shared" si="32"/>
        <v>0</v>
      </c>
      <c r="S39" s="2"/>
      <c r="T39" s="6">
        <v>114.64</v>
      </c>
      <c r="U39" s="2"/>
      <c r="V39" s="7">
        <f t="shared" si="33"/>
        <v>5.7747708402281503E-3</v>
      </c>
      <c r="W39" s="2"/>
      <c r="X39" s="6">
        <f t="shared" si="34"/>
        <v>-114.64</v>
      </c>
      <c r="Y39" s="2"/>
      <c r="Z39" s="7">
        <f t="shared" si="35"/>
        <v>-1</v>
      </c>
    </row>
    <row r="40" spans="1:26" s="29" customFormat="1" outlineLevel="1" collapsed="1" x14ac:dyDescent="0.25">
      <c r="A40" s="27"/>
      <c r="B40" s="14" t="str">
        <f>CONCATENATE("     ","General                                           ")</f>
        <v xml:space="preserve">     General                                           </v>
      </c>
      <c r="C40" s="14"/>
      <c r="D40" s="1">
        <f>SUM(OSRRefD22_7x_0)</f>
        <v>0</v>
      </c>
      <c r="E40" s="1"/>
      <c r="F40" s="5">
        <f t="shared" si="28"/>
        <v>0</v>
      </c>
      <c r="G40" s="1"/>
      <c r="H40" s="1">
        <f>SUM(OSRRefH22_7x_0)</f>
        <v>553.65</v>
      </c>
      <c r="I40" s="1"/>
      <c r="J40" s="5">
        <f t="shared" si="29"/>
        <v>0</v>
      </c>
      <c r="K40" s="1"/>
      <c r="L40" s="1">
        <f t="shared" si="30"/>
        <v>-553.65</v>
      </c>
      <c r="M40" s="1"/>
      <c r="N40" s="5">
        <f t="shared" si="31"/>
        <v>-1</v>
      </c>
      <c r="O40" s="14"/>
      <c r="P40" s="1">
        <f>SUM(OSRRefP22_7x_0)</f>
        <v>519.54999999999995</v>
      </c>
      <c r="Q40" s="1"/>
      <c r="R40" s="5">
        <f t="shared" si="32"/>
        <v>0</v>
      </c>
      <c r="S40" s="1"/>
      <c r="T40" s="1">
        <f>SUM(OSRRefT22_7x_0)</f>
        <v>3267.75</v>
      </c>
      <c r="U40" s="1"/>
      <c r="V40" s="5">
        <f t="shared" si="33"/>
        <v>0.16460665922152423</v>
      </c>
      <c r="W40" s="1"/>
      <c r="X40" s="1">
        <f t="shared" si="34"/>
        <v>-2748.2</v>
      </c>
      <c r="Y40" s="1"/>
      <c r="Z40" s="5">
        <f t="shared" si="35"/>
        <v>-0.84100680896641411</v>
      </c>
    </row>
    <row r="41" spans="1:26" s="24" customFormat="1" hidden="1" outlineLevel="2" x14ac:dyDescent="0.25">
      <c r="A41" s="28"/>
      <c r="B41" s="11" t="str">
        <f>CONCATENATE("          ", "6279", " - ", "GENERAL EXPENSE")</f>
        <v xml:space="preserve">          6279 - GENERAL EXPENSE</v>
      </c>
      <c r="C41" s="11"/>
      <c r="D41" s="6"/>
      <c r="E41" s="2"/>
      <c r="F41" s="7">
        <f t="shared" si="28"/>
        <v>0</v>
      </c>
      <c r="G41" s="2"/>
      <c r="H41" s="6">
        <v>553.65</v>
      </c>
      <c r="I41" s="2"/>
      <c r="J41" s="7">
        <f t="shared" si="29"/>
        <v>0</v>
      </c>
      <c r="K41" s="2"/>
      <c r="L41" s="6">
        <f t="shared" si="30"/>
        <v>-553.65</v>
      </c>
      <c r="M41" s="2"/>
      <c r="N41" s="7">
        <f t="shared" si="31"/>
        <v>-1</v>
      </c>
      <c r="O41" s="11"/>
      <c r="P41" s="6">
        <v>519.54999999999995</v>
      </c>
      <c r="Q41" s="2"/>
      <c r="R41" s="7">
        <f t="shared" si="32"/>
        <v>0</v>
      </c>
      <c r="S41" s="2"/>
      <c r="T41" s="6">
        <v>3267.75</v>
      </c>
      <c r="U41" s="2"/>
      <c r="V41" s="7">
        <f t="shared" si="33"/>
        <v>0.16460665922152423</v>
      </c>
      <c r="W41" s="2"/>
      <c r="X41" s="6">
        <f t="shared" si="34"/>
        <v>-2748.2</v>
      </c>
      <c r="Y41" s="2"/>
      <c r="Z41" s="7">
        <f t="shared" si="35"/>
        <v>-0.84100680896641411</v>
      </c>
    </row>
    <row r="42" spans="1:26" s="29" customFormat="1" outlineLevel="1" collapsed="1" x14ac:dyDescent="0.25">
      <c r="A42" s="27"/>
      <c r="B42" s="14" t="str">
        <f>CONCATENATE("     ","Repair and Maintenance                            ")</f>
        <v xml:space="preserve">     Repair and Maintenance                            </v>
      </c>
      <c r="C42" s="14"/>
      <c r="D42" s="1">
        <f>SUM(OSRRefD22_8x_0)</f>
        <v>0</v>
      </c>
      <c r="E42" s="1"/>
      <c r="F42" s="5">
        <f t="shared" si="28"/>
        <v>0</v>
      </c>
      <c r="G42" s="1"/>
      <c r="H42" s="1">
        <f>SUM(OSRRefH22_8x_0)</f>
        <v>0</v>
      </c>
      <c r="I42" s="1"/>
      <c r="J42" s="5">
        <f t="shared" si="29"/>
        <v>0</v>
      </c>
      <c r="K42" s="1"/>
      <c r="L42" s="1">
        <f t="shared" si="30"/>
        <v>0</v>
      </c>
      <c r="M42" s="1"/>
      <c r="N42" s="5">
        <f t="shared" si="31"/>
        <v>0</v>
      </c>
      <c r="O42" s="14"/>
      <c r="P42" s="1">
        <f>SUM(OSRRefP22_8x_0)</f>
        <v>154.33000000000001</v>
      </c>
      <c r="Q42" s="1"/>
      <c r="R42" s="5">
        <f t="shared" si="32"/>
        <v>0</v>
      </c>
      <c r="S42" s="1"/>
      <c r="T42" s="1">
        <f>SUM(OSRRefT22_8x_0)</f>
        <v>434.72</v>
      </c>
      <c r="U42" s="1"/>
      <c r="V42" s="5">
        <f t="shared" si="33"/>
        <v>2.1898188936357133E-2</v>
      </c>
      <c r="W42" s="1"/>
      <c r="X42" s="1">
        <f t="shared" si="34"/>
        <v>-280.39</v>
      </c>
      <c r="Y42" s="1"/>
      <c r="Z42" s="5">
        <f t="shared" si="35"/>
        <v>-0.64498987854251</v>
      </c>
    </row>
    <row r="43" spans="1:26" s="24" customFormat="1" hidden="1" outlineLevel="2" x14ac:dyDescent="0.25">
      <c r="A43" s="28"/>
      <c r="B43" s="11" t="str">
        <f>CONCATENATE("          ", "6373", " - ", "MAINTENANCE CONTRACTS")</f>
        <v xml:space="preserve">          6373 - MAINTENANCE CONTRACTS</v>
      </c>
      <c r="C43" s="11"/>
      <c r="D43" s="6"/>
      <c r="E43" s="2"/>
      <c r="F43" s="7">
        <f t="shared" si="28"/>
        <v>0</v>
      </c>
      <c r="G43" s="2"/>
      <c r="H43" s="6"/>
      <c r="I43" s="2"/>
      <c r="J43" s="7">
        <f t="shared" si="29"/>
        <v>0</v>
      </c>
      <c r="K43" s="2"/>
      <c r="L43" s="6">
        <f t="shared" si="30"/>
        <v>0</v>
      </c>
      <c r="M43" s="2"/>
      <c r="N43" s="7">
        <f t="shared" si="31"/>
        <v>0</v>
      </c>
      <c r="O43" s="11"/>
      <c r="P43" s="6">
        <v>154.33000000000001</v>
      </c>
      <c r="Q43" s="2"/>
      <c r="R43" s="7">
        <f t="shared" si="32"/>
        <v>0</v>
      </c>
      <c r="S43" s="2"/>
      <c r="T43" s="6">
        <v>296.64</v>
      </c>
      <c r="U43" s="2"/>
      <c r="V43" s="7">
        <f t="shared" si="33"/>
        <v>1.4942672906884842E-2</v>
      </c>
      <c r="W43" s="2"/>
      <c r="X43" s="6">
        <f t="shared" si="34"/>
        <v>-142.30999999999997</v>
      </c>
      <c r="Y43" s="2"/>
      <c r="Z43" s="7">
        <f t="shared" si="35"/>
        <v>-0.4797397518878101</v>
      </c>
    </row>
    <row r="44" spans="1:26" s="24" customFormat="1" hidden="1" outlineLevel="2" x14ac:dyDescent="0.25">
      <c r="A44" s="28"/>
      <c r="B44" s="11" t="str">
        <f>CONCATENATE("          ", "6375", " - ", "OUTSIDE REPAIRS &amp; MAINTENANCE")</f>
        <v xml:space="preserve">          6375 - OUTSIDE REPAIRS &amp; MAINTENANCE</v>
      </c>
      <c r="C44" s="11"/>
      <c r="D44" s="6"/>
      <c r="E44" s="2"/>
      <c r="F44" s="7">
        <f t="shared" si="28"/>
        <v>0</v>
      </c>
      <c r="G44" s="2"/>
      <c r="H44" s="6"/>
      <c r="I44" s="2"/>
      <c r="J44" s="7">
        <f t="shared" si="29"/>
        <v>0</v>
      </c>
      <c r="K44" s="2"/>
      <c r="L44" s="6">
        <f t="shared" si="30"/>
        <v>0</v>
      </c>
      <c r="M44" s="2"/>
      <c r="N44" s="7">
        <f t="shared" si="31"/>
        <v>0</v>
      </c>
      <c r="O44" s="11"/>
      <c r="P44" s="6"/>
      <c r="Q44" s="2"/>
      <c r="R44" s="7">
        <f t="shared" si="32"/>
        <v>0</v>
      </c>
      <c r="S44" s="2"/>
      <c r="T44" s="6">
        <v>138.08000000000001</v>
      </c>
      <c r="U44" s="2"/>
      <c r="V44" s="7">
        <f t="shared" si="33"/>
        <v>6.9555160294722876E-3</v>
      </c>
      <c r="W44" s="2"/>
      <c r="X44" s="6">
        <f t="shared" si="34"/>
        <v>-138.08000000000001</v>
      </c>
      <c r="Y44" s="2"/>
      <c r="Z44" s="7">
        <f t="shared" si="35"/>
        <v>-1</v>
      </c>
    </row>
    <row r="45" spans="1:26" s="29" customFormat="1" outlineLevel="1" collapsed="1" x14ac:dyDescent="0.25">
      <c r="A45" s="27"/>
      <c r="B45" s="14" t="str">
        <f>CONCATENATE("     ","Royalty &amp; Commissions                             ")</f>
        <v xml:space="preserve">     Royalty &amp; Commissions                             </v>
      </c>
      <c r="C45" s="14"/>
      <c r="D45" s="1">
        <f>SUM(OSRRefD22_9x_0)</f>
        <v>0</v>
      </c>
      <c r="E45" s="1"/>
      <c r="F45" s="5">
        <f t="shared" ref="F45:F52" si="36">IF(D$12=0,0,D45/D$12)</f>
        <v>0</v>
      </c>
      <c r="G45" s="1"/>
      <c r="H45" s="1">
        <f>SUM(OSRRefH22_9x_0)</f>
        <v>0</v>
      </c>
      <c r="I45" s="1"/>
      <c r="J45" s="5">
        <f t="shared" ref="J45:J52" si="37">IF(H$12=0,0,H45/H$12)</f>
        <v>0</v>
      </c>
      <c r="K45" s="1"/>
      <c r="L45" s="1">
        <f t="shared" ref="L45:L52" si="38">+D45-H45</f>
        <v>0</v>
      </c>
      <c r="M45" s="1"/>
      <c r="N45" s="5">
        <f t="shared" ref="N45:N52" si="39">IF(H45=0,0,L45/H45)</f>
        <v>0</v>
      </c>
      <c r="O45" s="14"/>
      <c r="P45" s="1">
        <f>SUM(OSRRefP22_9x_0)</f>
        <v>0</v>
      </c>
      <c r="Q45" s="1"/>
      <c r="R45" s="5">
        <f t="shared" ref="R45:R52" si="40">IF(P$12=0,0,P45/P$12)</f>
        <v>0</v>
      </c>
      <c r="S45" s="1"/>
      <c r="T45" s="1">
        <f>SUM(OSRRefT22_9x_0)</f>
        <v>5576.51</v>
      </c>
      <c r="U45" s="1"/>
      <c r="V45" s="5">
        <f t="shared" ref="V45:V52" si="41">IF(T$12=0,0,T45/T$12)</f>
        <v>0.28090603051500945</v>
      </c>
      <c r="W45" s="1"/>
      <c r="X45" s="1">
        <f t="shared" ref="X45:X52" si="42">+P45-T45</f>
        <v>-5576.51</v>
      </c>
      <c r="Y45" s="1"/>
      <c r="Z45" s="5">
        <f t="shared" ref="Z45:Z52" si="43">IF(T45=0,0,X45/T45)</f>
        <v>-1</v>
      </c>
    </row>
    <row r="46" spans="1:26" s="24" customFormat="1" hidden="1" outlineLevel="2" x14ac:dyDescent="0.25">
      <c r="A46" s="28"/>
      <c r="B46" s="11" t="str">
        <f>CONCATENATE("          ", "6254", " - ", "ROYALTY &amp; COMMISSIONS")</f>
        <v xml:space="preserve">          6254 - ROYALTY &amp; COMMISSIONS</v>
      </c>
      <c r="C46" s="11"/>
      <c r="D46" s="6"/>
      <c r="E46" s="2"/>
      <c r="F46" s="7">
        <f t="shared" si="36"/>
        <v>0</v>
      </c>
      <c r="G46" s="2"/>
      <c r="H46" s="6"/>
      <c r="I46" s="2"/>
      <c r="J46" s="7">
        <f t="shared" si="37"/>
        <v>0</v>
      </c>
      <c r="K46" s="2"/>
      <c r="L46" s="6">
        <f t="shared" si="38"/>
        <v>0</v>
      </c>
      <c r="M46" s="2"/>
      <c r="N46" s="7">
        <f t="shared" si="39"/>
        <v>0</v>
      </c>
      <c r="O46" s="11"/>
      <c r="P46" s="6"/>
      <c r="Q46" s="2"/>
      <c r="R46" s="7">
        <f t="shared" si="40"/>
        <v>0</v>
      </c>
      <c r="S46" s="2"/>
      <c r="T46" s="6">
        <v>5576.51</v>
      </c>
      <c r="U46" s="2"/>
      <c r="V46" s="7">
        <f t="shared" si="41"/>
        <v>0.28090603051500945</v>
      </c>
      <c r="W46" s="2"/>
      <c r="X46" s="6">
        <f t="shared" si="42"/>
        <v>-5576.51</v>
      </c>
      <c r="Y46" s="2"/>
      <c r="Z46" s="7">
        <f t="shared" si="43"/>
        <v>-1</v>
      </c>
    </row>
    <row r="47" spans="1:26" s="29" customFormat="1" outlineLevel="1" collapsed="1" x14ac:dyDescent="0.25">
      <c r="A47" s="27"/>
      <c r="B47" s="14" t="str">
        <f>CONCATENATE("     ","Services                                          ")</f>
        <v xml:space="preserve">     Services                                          </v>
      </c>
      <c r="C47" s="14"/>
      <c r="D47" s="1">
        <f>SUM(OSRRefD22_10x_0)</f>
        <v>0</v>
      </c>
      <c r="E47" s="1"/>
      <c r="F47" s="5">
        <f t="shared" si="36"/>
        <v>0</v>
      </c>
      <c r="G47" s="1"/>
      <c r="H47" s="1">
        <f>SUM(OSRRefH22_10x_0)</f>
        <v>32.5</v>
      </c>
      <c r="I47" s="1"/>
      <c r="J47" s="5">
        <f t="shared" si="37"/>
        <v>0</v>
      </c>
      <c r="K47" s="1"/>
      <c r="L47" s="1">
        <f t="shared" si="38"/>
        <v>-32.5</v>
      </c>
      <c r="M47" s="1"/>
      <c r="N47" s="5">
        <f t="shared" si="39"/>
        <v>-1</v>
      </c>
      <c r="O47" s="14"/>
      <c r="P47" s="1">
        <f>SUM(OSRRefP22_10x_0)</f>
        <v>0</v>
      </c>
      <c r="Q47" s="1"/>
      <c r="R47" s="5">
        <f t="shared" si="40"/>
        <v>0</v>
      </c>
      <c r="S47" s="1"/>
      <c r="T47" s="1">
        <f>SUM(OSRRefT22_10x_0)</f>
        <v>32.5</v>
      </c>
      <c r="U47" s="1"/>
      <c r="V47" s="5">
        <f t="shared" si="41"/>
        <v>1.6371253690458381E-3</v>
      </c>
      <c r="W47" s="1"/>
      <c r="X47" s="1">
        <f t="shared" si="42"/>
        <v>-32.5</v>
      </c>
      <c r="Y47" s="1"/>
      <c r="Z47" s="5">
        <f t="shared" si="43"/>
        <v>-1</v>
      </c>
    </row>
    <row r="48" spans="1:26" s="24" customFormat="1" hidden="1" outlineLevel="2" x14ac:dyDescent="0.25">
      <c r="A48" s="28"/>
      <c r="B48" s="11" t="str">
        <f>CONCATENATE("          ", "6286", " - ", "LAUNDRY EXPENSE")</f>
        <v xml:space="preserve">          6286 - LAUNDRY EXPENSE</v>
      </c>
      <c r="C48" s="11"/>
      <c r="D48" s="6"/>
      <c r="E48" s="2"/>
      <c r="F48" s="7">
        <f t="shared" si="36"/>
        <v>0</v>
      </c>
      <c r="G48" s="2"/>
      <c r="H48" s="6">
        <v>32.5</v>
      </c>
      <c r="I48" s="2"/>
      <c r="J48" s="7">
        <f t="shared" si="37"/>
        <v>0</v>
      </c>
      <c r="K48" s="2"/>
      <c r="L48" s="6">
        <f t="shared" si="38"/>
        <v>-32.5</v>
      </c>
      <c r="M48" s="2"/>
      <c r="N48" s="7">
        <f t="shared" si="39"/>
        <v>-1</v>
      </c>
      <c r="O48" s="11"/>
      <c r="P48" s="6"/>
      <c r="Q48" s="2"/>
      <c r="R48" s="7">
        <f t="shared" si="40"/>
        <v>0</v>
      </c>
      <c r="S48" s="2"/>
      <c r="T48" s="6">
        <v>32.5</v>
      </c>
      <c r="U48" s="2"/>
      <c r="V48" s="7">
        <f t="shared" si="41"/>
        <v>1.6371253690458381E-3</v>
      </c>
      <c r="W48" s="2"/>
      <c r="X48" s="6">
        <f t="shared" si="42"/>
        <v>-32.5</v>
      </c>
      <c r="Y48" s="2"/>
      <c r="Z48" s="7">
        <f t="shared" si="43"/>
        <v>-1</v>
      </c>
    </row>
    <row r="49" spans="1:26" s="29" customFormat="1" outlineLevel="1" collapsed="1" x14ac:dyDescent="0.25">
      <c r="A49" s="27"/>
      <c r="B49" s="14" t="str">
        <f>CONCATENATE("     ","Supplies                                          ")</f>
        <v xml:space="preserve">     Supplies                                          </v>
      </c>
      <c r="C49" s="14"/>
      <c r="D49" s="1">
        <f>SUM(OSRRefD22_11x_0)</f>
        <v>0</v>
      </c>
      <c r="E49" s="1"/>
      <c r="F49" s="5">
        <f t="shared" si="36"/>
        <v>0</v>
      </c>
      <c r="G49" s="1"/>
      <c r="H49" s="1">
        <f>SUM(OSRRefH22_11x_0)</f>
        <v>479.62</v>
      </c>
      <c r="I49" s="1"/>
      <c r="J49" s="5">
        <f t="shared" si="37"/>
        <v>0</v>
      </c>
      <c r="K49" s="1"/>
      <c r="L49" s="1">
        <f t="shared" si="38"/>
        <v>-479.62</v>
      </c>
      <c r="M49" s="1"/>
      <c r="N49" s="5">
        <f t="shared" si="39"/>
        <v>-1</v>
      </c>
      <c r="O49" s="14"/>
      <c r="P49" s="1">
        <f>SUM(OSRRefP22_11x_0)</f>
        <v>0</v>
      </c>
      <c r="Q49" s="1"/>
      <c r="R49" s="5">
        <f t="shared" si="40"/>
        <v>0</v>
      </c>
      <c r="S49" s="1"/>
      <c r="T49" s="1">
        <f>SUM(OSRRefT22_11x_0)</f>
        <v>1013.37</v>
      </c>
      <c r="U49" s="1"/>
      <c r="V49" s="5">
        <f t="shared" si="41"/>
        <v>5.1046576468614796E-2</v>
      </c>
      <c r="W49" s="1"/>
      <c r="X49" s="1">
        <f t="shared" si="42"/>
        <v>-1013.37</v>
      </c>
      <c r="Y49" s="1"/>
      <c r="Z49" s="5">
        <f t="shared" si="43"/>
        <v>-1</v>
      </c>
    </row>
    <row r="50" spans="1:26" s="24" customFormat="1" hidden="1" outlineLevel="2" x14ac:dyDescent="0.25">
      <c r="A50" s="28"/>
      <c r="B50" s="11" t="str">
        <f>CONCATENATE("          ", "6239", " - ", "KITCHEN SUPPLIES")</f>
        <v xml:space="preserve">          6239 - KITCHEN SUPPLIES</v>
      </c>
      <c r="C50" s="11"/>
      <c r="D50" s="6"/>
      <c r="E50" s="2"/>
      <c r="F50" s="7">
        <f t="shared" si="36"/>
        <v>0</v>
      </c>
      <c r="G50" s="2"/>
      <c r="H50" s="6">
        <v>446.56</v>
      </c>
      <c r="I50" s="2"/>
      <c r="J50" s="7">
        <f t="shared" si="37"/>
        <v>0</v>
      </c>
      <c r="K50" s="2"/>
      <c r="L50" s="6">
        <f t="shared" si="38"/>
        <v>-446.56</v>
      </c>
      <c r="M50" s="2"/>
      <c r="N50" s="7">
        <f t="shared" si="39"/>
        <v>-1</v>
      </c>
      <c r="O50" s="11"/>
      <c r="P50" s="6"/>
      <c r="Q50" s="2"/>
      <c r="R50" s="7">
        <f t="shared" si="40"/>
        <v>0</v>
      </c>
      <c r="S50" s="2"/>
      <c r="T50" s="6">
        <v>875.42</v>
      </c>
      <c r="U50" s="2"/>
      <c r="V50" s="7">
        <f t="shared" si="41"/>
        <v>4.4097608940618691E-2</v>
      </c>
      <c r="W50" s="2"/>
      <c r="X50" s="6">
        <f t="shared" si="42"/>
        <v>-875.42</v>
      </c>
      <c r="Y50" s="2"/>
      <c r="Z50" s="7">
        <f t="shared" si="43"/>
        <v>-1</v>
      </c>
    </row>
    <row r="51" spans="1:26" s="24" customFormat="1" hidden="1" outlineLevel="2" x14ac:dyDescent="0.25">
      <c r="A51" s="28"/>
      <c r="B51" s="11" t="str">
        <f>CONCATENATE("          ", "6241", " - ", "OFFICE EXPENSE")</f>
        <v xml:space="preserve">          6241 - OFFICE EXPENSE</v>
      </c>
      <c r="C51" s="11"/>
      <c r="D51" s="6"/>
      <c r="E51" s="2"/>
      <c r="F51" s="7">
        <f t="shared" si="36"/>
        <v>0</v>
      </c>
      <c r="G51" s="2"/>
      <c r="H51" s="6">
        <v>33.06</v>
      </c>
      <c r="I51" s="2"/>
      <c r="J51" s="7">
        <f t="shared" si="37"/>
        <v>0</v>
      </c>
      <c r="K51" s="2"/>
      <c r="L51" s="6">
        <f t="shared" si="38"/>
        <v>-33.06</v>
      </c>
      <c r="M51" s="2"/>
      <c r="N51" s="7">
        <f t="shared" si="39"/>
        <v>-1</v>
      </c>
      <c r="O51" s="11"/>
      <c r="P51" s="6"/>
      <c r="Q51" s="2"/>
      <c r="R51" s="7">
        <f t="shared" si="40"/>
        <v>0</v>
      </c>
      <c r="S51" s="2"/>
      <c r="T51" s="6">
        <v>33.06</v>
      </c>
      <c r="U51" s="2"/>
      <c r="V51" s="7">
        <f t="shared" si="41"/>
        <v>1.6653342984817049E-3</v>
      </c>
      <c r="W51" s="2"/>
      <c r="X51" s="6">
        <f t="shared" si="42"/>
        <v>-33.06</v>
      </c>
      <c r="Y51" s="2"/>
      <c r="Z51" s="7">
        <f t="shared" si="43"/>
        <v>-1</v>
      </c>
    </row>
    <row r="52" spans="1:26" s="24" customFormat="1" hidden="1" outlineLevel="2" x14ac:dyDescent="0.25">
      <c r="A52" s="28"/>
      <c r="B52" s="11" t="str">
        <f>CONCATENATE("          ", "6247", " - ", "STORE SUPPLIES")</f>
        <v xml:space="preserve">          6247 - STORE SUPPLIES</v>
      </c>
      <c r="C52" s="11"/>
      <c r="D52" s="6"/>
      <c r="E52" s="2"/>
      <c r="F52" s="7">
        <f t="shared" si="36"/>
        <v>0</v>
      </c>
      <c r="G52" s="2"/>
      <c r="H52" s="6"/>
      <c r="I52" s="2"/>
      <c r="J52" s="7">
        <f t="shared" si="37"/>
        <v>0</v>
      </c>
      <c r="K52" s="2"/>
      <c r="L52" s="6">
        <f t="shared" si="38"/>
        <v>0</v>
      </c>
      <c r="M52" s="2"/>
      <c r="N52" s="7">
        <f t="shared" si="39"/>
        <v>0</v>
      </c>
      <c r="O52" s="11"/>
      <c r="P52" s="6"/>
      <c r="Q52" s="2"/>
      <c r="R52" s="7">
        <f t="shared" si="40"/>
        <v>0</v>
      </c>
      <c r="S52" s="2"/>
      <c r="T52" s="6">
        <v>104.89</v>
      </c>
      <c r="U52" s="2"/>
      <c r="V52" s="7">
        <f t="shared" si="41"/>
        <v>5.2836332295143991E-3</v>
      </c>
      <c r="W52" s="2"/>
      <c r="X52" s="6">
        <f t="shared" si="42"/>
        <v>-104.89</v>
      </c>
      <c r="Y52" s="2"/>
      <c r="Z52" s="7">
        <f t="shared" si="43"/>
        <v>-1</v>
      </c>
    </row>
    <row r="53" spans="1:26" s="29" customFormat="1" outlineLevel="1" collapsed="1" x14ac:dyDescent="0.25">
      <c r="A53" s="27"/>
      <c r="B53" s="14" t="str">
        <f>CONCATENATE("     ","Telephone/Data Lines                              ")</f>
        <v xml:space="preserve">     Telephone/Data Lines                              </v>
      </c>
      <c r="C53" s="14"/>
      <c r="D53" s="1">
        <f>SUM(OSRRefD22_12x_0)</f>
        <v>-201.04</v>
      </c>
      <c r="E53" s="1"/>
      <c r="F53" s="5">
        <f t="shared" ref="F53:F54" si="44">IF(D$12=0,0,D53/D$12)</f>
        <v>0</v>
      </c>
      <c r="G53" s="1"/>
      <c r="H53" s="1">
        <f>SUM(OSRRefH22_12x_0)</f>
        <v>214.01</v>
      </c>
      <c r="I53" s="1"/>
      <c r="J53" s="5">
        <f t="shared" ref="J53:J54" si="45">IF(H$12=0,0,H53/H$12)</f>
        <v>0</v>
      </c>
      <c r="K53" s="1"/>
      <c r="L53" s="1">
        <f t="shared" ref="L53:L54" si="46">+D53-H53</f>
        <v>-415.04999999999995</v>
      </c>
      <c r="M53" s="1"/>
      <c r="N53" s="5">
        <f t="shared" ref="N53:N54" si="47">IF(H53=0,0,L53/H53)</f>
        <v>-1.9393953553572261</v>
      </c>
      <c r="O53" s="14"/>
      <c r="P53" s="1">
        <f>SUM(OSRRefP22_12x_0)</f>
        <v>226.97</v>
      </c>
      <c r="Q53" s="1"/>
      <c r="R53" s="5">
        <f t="shared" ref="R53:R54" si="48">IF(P$12=0,0,P53/P$12)</f>
        <v>0</v>
      </c>
      <c r="S53" s="1"/>
      <c r="T53" s="1">
        <f>SUM(OSRRefT22_12x_0)</f>
        <v>856.04</v>
      </c>
      <c r="U53" s="1"/>
      <c r="V53" s="5">
        <f t="shared" ref="V53:V54" si="49">IF(T$12=0,0,T53/T$12)</f>
        <v>4.312137848978459E-2</v>
      </c>
      <c r="W53" s="1"/>
      <c r="X53" s="1">
        <f t="shared" ref="X53:X54" si="50">+P53-T53</f>
        <v>-629.06999999999994</v>
      </c>
      <c r="Y53" s="1"/>
      <c r="Z53" s="5">
        <f t="shared" ref="Z53:Z54" si="51">IF(T53=0,0,X53/T53)</f>
        <v>-0.73486052053642348</v>
      </c>
    </row>
    <row r="54" spans="1:26" s="24" customFormat="1" hidden="1" outlineLevel="2" x14ac:dyDescent="0.25">
      <c r="A54" s="28"/>
      <c r="B54" s="11" t="str">
        <f>CONCATENATE("          ", "6309", " - ", "TELEPHONE")</f>
        <v xml:space="preserve">          6309 - TELEPHONE</v>
      </c>
      <c r="C54" s="11"/>
      <c r="D54" s="6">
        <v>-201.04</v>
      </c>
      <c r="E54" s="2"/>
      <c r="F54" s="7">
        <f t="shared" si="44"/>
        <v>0</v>
      </c>
      <c r="G54" s="2"/>
      <c r="H54" s="6">
        <v>214.01</v>
      </c>
      <c r="I54" s="2"/>
      <c r="J54" s="7">
        <f t="shared" si="45"/>
        <v>0</v>
      </c>
      <c r="K54" s="2"/>
      <c r="L54" s="6">
        <f t="shared" si="46"/>
        <v>-415.04999999999995</v>
      </c>
      <c r="M54" s="2"/>
      <c r="N54" s="7">
        <f t="shared" si="47"/>
        <v>-1.9393953553572261</v>
      </c>
      <c r="O54" s="11"/>
      <c r="P54" s="6">
        <v>226.97</v>
      </c>
      <c r="Q54" s="2"/>
      <c r="R54" s="7">
        <f t="shared" si="48"/>
        <v>0</v>
      </c>
      <c r="S54" s="2"/>
      <c r="T54" s="6">
        <v>856.04</v>
      </c>
      <c r="U54" s="2"/>
      <c r="V54" s="7">
        <f t="shared" si="49"/>
        <v>4.312137848978459E-2</v>
      </c>
      <c r="W54" s="2"/>
      <c r="X54" s="6">
        <f t="shared" si="50"/>
        <v>-629.06999999999994</v>
      </c>
      <c r="Y54" s="2"/>
      <c r="Z54" s="7">
        <f t="shared" si="51"/>
        <v>-0.73486052053642348</v>
      </c>
    </row>
    <row r="55" spans="1:26" s="57" customFormat="1" x14ac:dyDescent="0.25">
      <c r="A55" s="37"/>
      <c r="B55" s="37"/>
      <c r="C55" s="37"/>
      <c r="D55" s="1"/>
      <c r="E55" s="1"/>
      <c r="F55" s="5"/>
      <c r="G55" s="1"/>
      <c r="H55" s="1"/>
      <c r="I55" s="1"/>
      <c r="J55" s="5"/>
      <c r="K55" s="1"/>
      <c r="L55" s="1"/>
      <c r="M55" s="1"/>
      <c r="N55" s="5"/>
      <c r="O55" s="37"/>
      <c r="P55" s="1"/>
      <c r="Q55" s="1"/>
      <c r="R55" s="5"/>
      <c r="S55" s="1"/>
      <c r="T55" s="1"/>
      <c r="U55" s="1"/>
      <c r="V55" s="5"/>
      <c r="W55" s="1"/>
      <c r="X55" s="1"/>
      <c r="Y55" s="1"/>
      <c r="Z55" s="5"/>
    </row>
    <row r="56" spans="1:26" s="23" customFormat="1" collapsed="1" x14ac:dyDescent="0.25">
      <c r="A56" s="10"/>
      <c r="B56" s="26" t="s">
        <v>0</v>
      </c>
      <c r="C56" s="10"/>
      <c r="D56" s="4">
        <f>SUM(OSRRefD25x_0)</f>
        <v>0</v>
      </c>
      <c r="E56" s="4"/>
      <c r="F56" s="12">
        <f t="shared" ref="F56:F57" si="52">IF(D$12=0,0,D56/D$12)</f>
        <v>0</v>
      </c>
      <c r="G56" s="4"/>
      <c r="H56" s="4">
        <f>SUM(OSRRefH25x_0)</f>
        <v>0</v>
      </c>
      <c r="I56" s="4"/>
      <c r="J56" s="12">
        <f t="shared" ref="J56:J57" si="53">IF(H$12=0,0,H56/H$12)</f>
        <v>0</v>
      </c>
      <c r="K56" s="4"/>
      <c r="L56" s="4">
        <f t="shared" ref="L56:L57" si="54">+D56-H56</f>
        <v>0</v>
      </c>
      <c r="M56" s="4"/>
      <c r="N56" s="12">
        <f t="shared" ref="N56:N57" si="55">IF(H56=0,0,L56/H56)</f>
        <v>0</v>
      </c>
      <c r="O56" s="10"/>
      <c r="P56" s="4">
        <f>SUM(OSRRefP25x_0)</f>
        <v>0</v>
      </c>
      <c r="Q56" s="4"/>
      <c r="R56" s="12">
        <f t="shared" ref="R56:R57" si="56">IF(P$12=0,0,P56/P$12)</f>
        <v>0</v>
      </c>
      <c r="S56" s="4"/>
      <c r="T56" s="4">
        <f>SUM(OSRRefT25x_0)</f>
        <v>3455.9</v>
      </c>
      <c r="U56" s="4"/>
      <c r="V56" s="12">
        <f t="shared" ref="V56:V57" si="57">IF(T$12=0,0,T56/T$12)</f>
        <v>0.17408435578109269</v>
      </c>
      <c r="W56" s="4"/>
      <c r="X56" s="4">
        <f t="shared" ref="X56:X57" si="58">+P56-T56</f>
        <v>-3455.9</v>
      </c>
      <c r="Y56" s="4"/>
      <c r="Z56" s="12">
        <f t="shared" ref="Z56:Z57" si="59">IF(T56=0,0,X56/T56)</f>
        <v>-1</v>
      </c>
    </row>
    <row r="57" spans="1:26" s="24" customFormat="1" hidden="1" outlineLevel="1" x14ac:dyDescent="0.25">
      <c r="A57" s="44"/>
      <c r="B57" s="11" t="str">
        <f>CONCATENATE("          ", "9150", " - ", "MISC. INCOME")</f>
        <v xml:space="preserve">          9150 - MISC. INCOME</v>
      </c>
      <c r="C57" s="11"/>
      <c r="D57" s="2">
        <f>0</f>
        <v>0</v>
      </c>
      <c r="E57" s="2"/>
      <c r="F57" s="19">
        <f t="shared" si="52"/>
        <v>0</v>
      </c>
      <c r="G57" s="2"/>
      <c r="H57" s="2">
        <f>0</f>
        <v>0</v>
      </c>
      <c r="I57" s="2"/>
      <c r="J57" s="19">
        <f t="shared" si="53"/>
        <v>0</v>
      </c>
      <c r="K57" s="2"/>
      <c r="L57" s="2">
        <f t="shared" si="54"/>
        <v>0</v>
      </c>
      <c r="M57" s="2"/>
      <c r="N57" s="19">
        <f t="shared" si="55"/>
        <v>0</v>
      </c>
      <c r="O57" s="11"/>
      <c r="P57" s="2">
        <f>0</f>
        <v>0</v>
      </c>
      <c r="Q57" s="2"/>
      <c r="R57" s="19">
        <f t="shared" si="56"/>
        <v>0</v>
      </c>
      <c r="S57" s="2"/>
      <c r="T57" s="2">
        <f>--3455.9</f>
        <v>3455.9</v>
      </c>
      <c r="U57" s="2"/>
      <c r="V57" s="19">
        <f t="shared" si="57"/>
        <v>0.17408435578109269</v>
      </c>
      <c r="W57" s="2"/>
      <c r="X57" s="2">
        <f t="shared" si="58"/>
        <v>-3455.9</v>
      </c>
      <c r="Y57" s="2"/>
      <c r="Z57" s="19">
        <f t="shared" si="59"/>
        <v>-1</v>
      </c>
    </row>
    <row r="58" spans="1:26" x14ac:dyDescent="0.25">
      <c r="A58" s="9"/>
      <c r="B58" s="10"/>
      <c r="C58" s="10"/>
      <c r="D58" s="3"/>
      <c r="E58" s="3"/>
      <c r="F58" s="8"/>
      <c r="G58" s="3"/>
      <c r="H58" s="3"/>
      <c r="I58" s="3"/>
      <c r="J58" s="8"/>
      <c r="K58" s="3"/>
      <c r="L58" s="3"/>
      <c r="M58" s="3"/>
      <c r="N58" s="8"/>
      <c r="O58" s="10"/>
      <c r="P58" s="3"/>
      <c r="Q58" s="3"/>
      <c r="R58" s="8"/>
      <c r="S58" s="3"/>
      <c r="T58" s="3"/>
      <c r="U58" s="3"/>
      <c r="V58" s="8"/>
      <c r="W58" s="3"/>
      <c r="X58" s="3"/>
      <c r="Y58" s="3"/>
      <c r="Z58" s="8"/>
    </row>
    <row r="59" spans="1:26" s="23" customFormat="1" x14ac:dyDescent="0.25">
      <c r="A59" s="10"/>
      <c r="B59" s="25" t="s">
        <v>3</v>
      </c>
      <c r="C59" s="25"/>
      <c r="D59" s="20">
        <f>+D19-D21+D56</f>
        <v>-278.25</v>
      </c>
      <c r="E59" s="13"/>
      <c r="F59" s="21">
        <f>IF(D$12=0,0,D59/D$12)</f>
        <v>0</v>
      </c>
      <c r="G59" s="13"/>
      <c r="H59" s="20">
        <f>+H19-H21+H56</f>
        <v>-2393.87</v>
      </c>
      <c r="I59" s="13"/>
      <c r="J59" s="21">
        <f>IF(H$12=0,0,H59/H$12)</f>
        <v>0</v>
      </c>
      <c r="K59" s="15"/>
      <c r="L59" s="20">
        <f>+D59-H59</f>
        <v>2115.62</v>
      </c>
      <c r="M59" s="15"/>
      <c r="N59" s="21">
        <f>IF(H59=0,0,L59/H59)</f>
        <v>-0.88376561801601594</v>
      </c>
      <c r="O59" s="26"/>
      <c r="P59" s="20">
        <f>+P19-P21+P56</f>
        <v>-2818.0099999999998</v>
      </c>
      <c r="Q59" s="13"/>
      <c r="R59" s="21">
        <f>IF(P$12=0,0,P59/P$12)</f>
        <v>0</v>
      </c>
      <c r="S59" s="13"/>
      <c r="T59" s="20">
        <f>+T19-T21+T56</f>
        <v>460.21999999999616</v>
      </c>
      <c r="U59" s="13"/>
      <c r="V59" s="21">
        <f>IF(T$12=0,0,T59/T$12)</f>
        <v>2.318270268745444E-2</v>
      </c>
      <c r="W59" s="15"/>
      <c r="X59" s="20">
        <f>+P59-T59</f>
        <v>-3278.2299999999959</v>
      </c>
      <c r="Y59" s="15"/>
      <c r="Z59" s="21">
        <f>IF(T59=0,0,X59/T59)</f>
        <v>-7.123180218156584</v>
      </c>
    </row>
    <row r="60" spans="1:26" x14ac:dyDescent="0.25">
      <c r="A60" s="9"/>
      <c r="B60" s="10"/>
      <c r="C60" s="9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s="23" customFormat="1" x14ac:dyDescent="0.25">
      <c r="A61" s="51"/>
      <c r="B61" s="10" t="s">
        <v>13</v>
      </c>
      <c r="C61" s="10"/>
      <c r="D61" s="4"/>
      <c r="E61" s="4"/>
      <c r="F61" s="12">
        <f>IF(D$12=0,0,D61/D$12)</f>
        <v>0</v>
      </c>
      <c r="G61" s="4"/>
      <c r="H61" s="4">
        <v>-134.01</v>
      </c>
      <c r="I61" s="4"/>
      <c r="J61" s="12">
        <f>IF(H$12=0,0,H61/H$12)</f>
        <v>0</v>
      </c>
      <c r="K61" s="4"/>
      <c r="L61" s="4">
        <f>+D61-H61</f>
        <v>134.01</v>
      </c>
      <c r="M61" s="4"/>
      <c r="N61" s="12">
        <f>IF(H61=0,0,L61/H61)</f>
        <v>-1</v>
      </c>
      <c r="O61" s="10"/>
      <c r="P61" s="4"/>
      <c r="Q61" s="4"/>
      <c r="R61" s="12">
        <f>IF(P$12=0,0,P61/P$12)</f>
        <v>0</v>
      </c>
      <c r="S61" s="4"/>
      <c r="T61" s="4">
        <v>1998.34</v>
      </c>
      <c r="U61" s="4"/>
      <c r="V61" s="12">
        <f>IF(T$12=0,0,T61/T$12)</f>
        <v>0.10066255723012492</v>
      </c>
      <c r="W61" s="4"/>
      <c r="X61" s="4">
        <f>+P61-T61</f>
        <v>-1998.34</v>
      </c>
      <c r="Y61" s="4"/>
      <c r="Z61" s="12">
        <f>IF(T61=0,0,X61/T61)</f>
        <v>-1</v>
      </c>
    </row>
    <row r="62" spans="1:26" x14ac:dyDescent="0.25">
      <c r="A62" s="9"/>
      <c r="B62" s="10"/>
      <c r="C62" s="10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O62" s="10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3" customFormat="1" ht="15.75" thickBot="1" x14ac:dyDescent="0.3">
      <c r="A63" s="10"/>
      <c r="B63" s="25" t="s">
        <v>4</v>
      </c>
      <c r="C63" s="25"/>
      <c r="D63" s="30">
        <f>+D59-D61</f>
        <v>-278.25</v>
      </c>
      <c r="E63" s="13"/>
      <c r="F63" s="33">
        <f>IF(D$12=0,0,D63/D$12)</f>
        <v>0</v>
      </c>
      <c r="G63" s="13"/>
      <c r="H63" s="30">
        <f>+H59-H61</f>
        <v>-2259.8599999999997</v>
      </c>
      <c r="I63" s="13"/>
      <c r="J63" s="33">
        <f>IF(H$12=0,0,H63/H$12)</f>
        <v>0</v>
      </c>
      <c r="K63" s="15"/>
      <c r="L63" s="30">
        <f>D63-H63</f>
        <v>1981.6099999999997</v>
      </c>
      <c r="M63" s="15"/>
      <c r="N63" s="33">
        <f>IF(H63=0,0,L63/H63)</f>
        <v>-0.87687290363119841</v>
      </c>
      <c r="O63" s="26"/>
      <c r="P63" s="30">
        <f>+P59-P61</f>
        <v>-2818.0099999999998</v>
      </c>
      <c r="Q63" s="13"/>
      <c r="R63" s="33">
        <f>IF(P$12=0,0,P63/P$12)</f>
        <v>0</v>
      </c>
      <c r="S63" s="13"/>
      <c r="T63" s="30">
        <f>+T59-T61</f>
        <v>-1538.1200000000038</v>
      </c>
      <c r="U63" s="13"/>
      <c r="V63" s="33">
        <f>IF(T$12=0,0,T63/T$12)</f>
        <v>-7.7479854542670479E-2</v>
      </c>
      <c r="W63" s="15"/>
      <c r="X63" s="30">
        <f>P63-T63</f>
        <v>-1279.889999999996</v>
      </c>
      <c r="Y63" s="15"/>
      <c r="Z63" s="33">
        <f>IF(T63=0,0,X63/T63)</f>
        <v>0.83211322913686381</v>
      </c>
    </row>
    <row r="64" spans="1:26" ht="15.75" thickTop="1" x14ac:dyDescent="0.25">
      <c r="A64" s="9"/>
      <c r="B64" s="9"/>
      <c r="C64" s="9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x14ac:dyDescent="0.25">
      <c r="A65" s="9"/>
      <c r="B65" s="9"/>
      <c r="C65" s="9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s="23" customFormat="1" ht="15.75" thickBot="1" x14ac:dyDescent="0.3">
      <c r="A66" s="10"/>
      <c r="B66" s="25" t="s">
        <v>5</v>
      </c>
      <c r="C66" s="25"/>
      <c r="D66" s="34">
        <f>SUM(D63:D65)</f>
        <v>-278.25</v>
      </c>
      <c r="E66" s="13"/>
      <c r="F66" s="35">
        <f>IF(D$12=0,0,D66/D$12)</f>
        <v>0</v>
      </c>
      <c r="G66" s="13"/>
      <c r="H66" s="34">
        <f>SUM(H63:H65)</f>
        <v>-2259.8599999999997</v>
      </c>
      <c r="I66" s="13"/>
      <c r="J66" s="35">
        <f>IF(H$12=0,0,H66/H$12)</f>
        <v>0</v>
      </c>
      <c r="K66" s="15"/>
      <c r="L66" s="34">
        <f>+D66-H66</f>
        <v>1981.6099999999997</v>
      </c>
      <c r="M66" s="15"/>
      <c r="N66" s="35">
        <f>IF(H66=0,0,L66/H66)</f>
        <v>-0.87687290363119841</v>
      </c>
      <c r="O66" s="26"/>
      <c r="P66" s="34">
        <f>SUM(P63:P65)</f>
        <v>-2818.0099999999998</v>
      </c>
      <c r="Q66" s="13"/>
      <c r="R66" s="35">
        <f>IF(P$12=0,0,P66/P$12)</f>
        <v>0</v>
      </c>
      <c r="S66" s="13"/>
      <c r="T66" s="34">
        <f>SUM(T63:T65)</f>
        <v>-1538.1200000000038</v>
      </c>
      <c r="U66" s="13"/>
      <c r="V66" s="35">
        <f>IF(T$12=0,0,T66/T$12)</f>
        <v>-7.7479854542670479E-2</v>
      </c>
      <c r="W66" s="15"/>
      <c r="X66" s="34">
        <f>+P66-T66</f>
        <v>-1279.889999999996</v>
      </c>
      <c r="Y66" s="15"/>
      <c r="Z66" s="35">
        <f>IF(T66=0,0,X66/T66)</f>
        <v>0.83211322913686381</v>
      </c>
    </row>
    <row r="67" spans="1:26" ht="15.75" thickTop="1" x14ac:dyDescent="0.25">
      <c r="A67" s="9"/>
      <c r="C67" s="9"/>
      <c r="D67" s="18"/>
      <c r="E67" s="18"/>
      <c r="G67" s="18"/>
      <c r="H67" s="18"/>
      <c r="I67" s="18"/>
      <c r="J67" s="43"/>
      <c r="K67" s="18"/>
      <c r="L67" s="18"/>
      <c r="M67" s="18"/>
      <c r="P67" s="18"/>
      <c r="Q67" s="18"/>
      <c r="R67" s="43"/>
      <c r="S67" s="18"/>
      <c r="T67" s="18"/>
      <c r="U67" s="18"/>
      <c r="V67" s="43"/>
      <c r="W67" s="18"/>
      <c r="X67" s="18"/>
    </row>
    <row r="68" spans="1:26" x14ac:dyDescent="0.25">
      <c r="A68" s="9"/>
      <c r="B68" s="56">
        <v>44151.572900578707</v>
      </c>
      <c r="D68" s="18"/>
      <c r="E68" s="18"/>
      <c r="G68" s="18"/>
      <c r="H68" s="18"/>
      <c r="I68" s="18"/>
      <c r="J68" s="43"/>
      <c r="K68" s="18"/>
      <c r="L68" s="18"/>
      <c r="M68" s="18"/>
      <c r="P68" s="18"/>
      <c r="Q68" s="18"/>
      <c r="R68" s="43"/>
      <c r="S68" s="18"/>
      <c r="T68" s="18"/>
      <c r="U68" s="18"/>
      <c r="V68" s="43"/>
      <c r="W68" s="18"/>
      <c r="X68" s="18"/>
    </row>
    <row r="69" spans="1:26" x14ac:dyDescent="0.25">
      <c r="A69" s="9"/>
      <c r="B69" s="62" t="s">
        <v>313</v>
      </c>
      <c r="D69" s="18"/>
      <c r="E69" s="18"/>
      <c r="G69" s="18"/>
      <c r="H69" s="18"/>
      <c r="I69" s="18"/>
      <c r="J69" s="43"/>
      <c r="K69" s="18"/>
      <c r="L69" s="18"/>
      <c r="M69" s="18"/>
      <c r="P69" s="18"/>
      <c r="Q69" s="18"/>
      <c r="R69" s="43"/>
      <c r="S69" s="18"/>
      <c r="T69" s="18"/>
      <c r="U69" s="18"/>
      <c r="V69" s="43"/>
      <c r="W69" s="18"/>
      <c r="X69" s="18"/>
    </row>
    <row r="70" spans="1:26" x14ac:dyDescent="0.25">
      <c r="A70" s="9"/>
      <c r="B70" s="54"/>
      <c r="D70" s="18"/>
      <c r="E70" s="18"/>
      <c r="G70" s="18"/>
      <c r="H70" s="18"/>
      <c r="I70" s="18"/>
      <c r="J70" s="43"/>
      <c r="K70" s="18"/>
      <c r="L70" s="18"/>
      <c r="M70" s="18"/>
      <c r="P70" s="18"/>
      <c r="Q70" s="18"/>
      <c r="R70" s="43"/>
      <c r="S70" s="18"/>
      <c r="T70" s="18"/>
      <c r="U70" s="18"/>
      <c r="V70" s="43"/>
      <c r="W70" s="18"/>
      <c r="X70" s="18"/>
    </row>
    <row r="71" spans="1:26" x14ac:dyDescent="0.25">
      <c r="D71" s="18"/>
      <c r="E71" s="18"/>
      <c r="G71" s="18"/>
      <c r="H71" s="18"/>
      <c r="I71" s="18"/>
      <c r="J71" s="43"/>
      <c r="K71" s="18"/>
      <c r="L71" s="18"/>
      <c r="M71" s="18"/>
      <c r="P71" s="18"/>
      <c r="Q71" s="18"/>
      <c r="R71" s="43"/>
      <c r="S71" s="18"/>
      <c r="T71" s="18"/>
      <c r="U71" s="18"/>
      <c r="V71" s="43"/>
      <c r="W71" s="18"/>
      <c r="X71" s="18"/>
    </row>
  </sheetData>
  <pageMargins left="0.25" right="0.25" top="0.75" bottom="0.75" header="0.3" footer="0.3"/>
  <pageSetup scale="55" fitToWidth="2" orientation="landscape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",RIGHT(202104,2),", ",2021)</f>
        <v>Period 04,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44135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","425", " - ", "Events Center")</f>
        <v>Department 425 - Events Center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61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50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50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2"/>
      <c r="F10" s="31" t="s">
        <v>14</v>
      </c>
      <c r="G10" s="32"/>
      <c r="H10" s="49" t="s">
        <v>306</v>
      </c>
      <c r="I10" s="32"/>
      <c r="J10" s="31" t="s">
        <v>14</v>
      </c>
      <c r="K10" s="10"/>
      <c r="L10" s="42" t="s">
        <v>11</v>
      </c>
      <c r="M10" s="10"/>
      <c r="N10" s="31" t="s">
        <v>15</v>
      </c>
      <c r="O10" s="10"/>
      <c r="P10" s="59" t="s">
        <v>10</v>
      </c>
      <c r="Q10" s="32"/>
      <c r="R10" s="31" t="s">
        <v>14</v>
      </c>
      <c r="S10" s="32"/>
      <c r="T10" s="49" t="s">
        <v>306</v>
      </c>
      <c r="U10" s="32"/>
      <c r="V10" s="31" t="s">
        <v>14</v>
      </c>
      <c r="W10" s="10"/>
      <c r="X10" s="42" t="s">
        <v>11</v>
      </c>
      <c r="Y10" s="10"/>
      <c r="Z10" s="31" t="s">
        <v>15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32950.629999999997</v>
      </c>
      <c r="I12" s="4"/>
      <c r="J12" s="12"/>
      <c r="K12" s="4"/>
      <c r="L12" s="4">
        <f t="shared" ref="L12:L14" si="0">+D12-H12</f>
        <v>-32950.629999999997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133751.99</v>
      </c>
      <c r="U12" s="4"/>
      <c r="V12" s="12"/>
      <c r="W12" s="4"/>
      <c r="X12" s="4">
        <f t="shared" ref="X12:X14" si="2">+P12-T12</f>
        <v>-133751.99</v>
      </c>
      <c r="Y12" s="4"/>
      <c r="Z12" s="12">
        <f t="shared" ref="Z12:Z14" si="3">IF(T12=0,0,X12/T12)</f>
        <v>-1</v>
      </c>
    </row>
    <row r="13" spans="1:26" s="24" customFormat="1" hidden="1" outlineLevel="1" x14ac:dyDescent="0.25">
      <c r="A13" s="44"/>
      <c r="B13" s="11" t="str">
        <f>CONCATENATE("          ", "4052", " - ", "TAXABLE SALES-FOOD")</f>
        <v xml:space="preserve">          4052 - TAXABLE SALES-FOOD</v>
      </c>
      <c r="C13" s="11"/>
      <c r="D13" s="2">
        <f t="shared" ref="D13:D14" si="4">0</f>
        <v>0</v>
      </c>
      <c r="E13" s="2"/>
      <c r="F13" s="19"/>
      <c r="G13" s="2"/>
      <c r="H13" s="2">
        <f>--19282.44</f>
        <v>19282.439999999999</v>
      </c>
      <c r="I13" s="2"/>
      <c r="J13" s="19"/>
      <c r="K13" s="2"/>
      <c r="L13" s="2">
        <f t="shared" si="0"/>
        <v>-19282.439999999999</v>
      </c>
      <c r="M13" s="2"/>
      <c r="N13" s="19">
        <f t="shared" si="1"/>
        <v>-1</v>
      </c>
      <c r="O13" s="11"/>
      <c r="P13" s="2">
        <f t="shared" ref="P13:P14" si="5">0</f>
        <v>0</v>
      </c>
      <c r="Q13" s="2"/>
      <c r="R13" s="19"/>
      <c r="S13" s="2"/>
      <c r="T13" s="2">
        <f>--93103.25</f>
        <v>93103.25</v>
      </c>
      <c r="U13" s="2"/>
      <c r="V13" s="19"/>
      <c r="W13" s="2"/>
      <c r="X13" s="2">
        <f t="shared" si="2"/>
        <v>-93103.25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"4053", " - ", "TAXABLE SALES-FOOD")</f>
        <v xml:space="preserve">          4053 - TAXABLE SALES-FOOD</v>
      </c>
      <c r="C14" s="11"/>
      <c r="D14" s="2">
        <f t="shared" si="4"/>
        <v>0</v>
      </c>
      <c r="E14" s="2"/>
      <c r="F14" s="19"/>
      <c r="G14" s="2"/>
      <c r="H14" s="2">
        <f>--13668.19</f>
        <v>13668.19</v>
      </c>
      <c r="I14" s="2"/>
      <c r="J14" s="19"/>
      <c r="K14" s="2"/>
      <c r="L14" s="2">
        <f t="shared" si="0"/>
        <v>-13668.19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f>--40648.74</f>
        <v>40648.74</v>
      </c>
      <c r="U14" s="2"/>
      <c r="V14" s="19"/>
      <c r="W14" s="2"/>
      <c r="X14" s="2">
        <f t="shared" si="2"/>
        <v>-40648.74</v>
      </c>
      <c r="Y14" s="2"/>
      <c r="Z14" s="19">
        <f t="shared" si="3"/>
        <v>-1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6" t="s">
        <v>8</v>
      </c>
      <c r="C16" s="10"/>
      <c r="D16" s="4">
        <f>SUM(OSRRefD16x_0)</f>
        <v>0</v>
      </c>
      <c r="E16" s="4"/>
      <c r="F16" s="12">
        <f t="shared" ref="F16:F18" si="6">IF(D$12=0,0,D16/D$12)</f>
        <v>0</v>
      </c>
      <c r="G16" s="4"/>
      <c r="H16" s="4">
        <f>SUM(OSRRefH16x_0)</f>
        <v>7151.2199999999993</v>
      </c>
      <c r="I16" s="4"/>
      <c r="J16" s="12">
        <f t="shared" ref="J16:J18" si="7">IF(H$12=0,0,H16/H$12)</f>
        <v>0.21702832388940665</v>
      </c>
      <c r="K16" s="4"/>
      <c r="L16" s="4">
        <f t="shared" ref="L16:L18" si="8">+D16-H16</f>
        <v>-7151.2199999999993</v>
      </c>
      <c r="M16" s="4"/>
      <c r="N16" s="12">
        <f t="shared" ref="N16:N18" si="9">IF(H16=0,0,L16/H16)</f>
        <v>-1</v>
      </c>
      <c r="O16" s="10"/>
      <c r="P16" s="4">
        <f>SUM(OSRRefP16x_0)</f>
        <v>0</v>
      </c>
      <c r="Q16" s="4"/>
      <c r="R16" s="12">
        <f t="shared" ref="R16:R18" si="10">IF(P$12=0,0,P16/P$12)</f>
        <v>0</v>
      </c>
      <c r="S16" s="4"/>
      <c r="T16" s="4">
        <f>SUM(OSRRefT16x_0)</f>
        <v>31234.689999999995</v>
      </c>
      <c r="U16" s="4"/>
      <c r="V16" s="12">
        <f t="shared" ref="V16:V18" si="11">IF(T$12=0,0,T16/T$12)</f>
        <v>0.23352691799202388</v>
      </c>
      <c r="W16" s="4"/>
      <c r="X16" s="4">
        <f t="shared" ref="X16:X18" si="12">+P16-T16</f>
        <v>-31234.689999999995</v>
      </c>
      <c r="Y16" s="4"/>
      <c r="Z16" s="12">
        <f t="shared" ref="Z16:Z18" si="13">IF(T16=0,0,X16/T16)</f>
        <v>-1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6"/>
        <v>0</v>
      </c>
      <c r="G17" s="2"/>
      <c r="H17" s="2">
        <v>8769.2199999999993</v>
      </c>
      <c r="I17" s="2"/>
      <c r="J17" s="19">
        <f t="shared" si="7"/>
        <v>0.26613208912849312</v>
      </c>
      <c r="K17" s="2"/>
      <c r="L17" s="2">
        <f t="shared" si="8"/>
        <v>-8769.2199999999993</v>
      </c>
      <c r="M17" s="2"/>
      <c r="N17" s="19">
        <f t="shared" si="9"/>
        <v>-1</v>
      </c>
      <c r="O17" s="11"/>
      <c r="P17" s="2"/>
      <c r="Q17" s="2"/>
      <c r="R17" s="19">
        <f t="shared" si="10"/>
        <v>0</v>
      </c>
      <c r="S17" s="2"/>
      <c r="T17" s="2">
        <v>40654.689999999995</v>
      </c>
      <c r="U17" s="2"/>
      <c r="V17" s="19">
        <f t="shared" si="11"/>
        <v>0.30395577665797718</v>
      </c>
      <c r="W17" s="2"/>
      <c r="X17" s="2">
        <f t="shared" si="12"/>
        <v>-40654.689999999995</v>
      </c>
      <c r="Y17" s="2"/>
      <c r="Z17" s="19">
        <f t="shared" si="13"/>
        <v>-1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/>
      <c r="E18" s="2"/>
      <c r="F18" s="19">
        <f t="shared" si="6"/>
        <v>0</v>
      </c>
      <c r="G18" s="2"/>
      <c r="H18" s="2">
        <v>-1618</v>
      </c>
      <c r="I18" s="2"/>
      <c r="J18" s="19">
        <f t="shared" si="7"/>
        <v>-4.910376523908648E-2</v>
      </c>
      <c r="K18" s="2"/>
      <c r="L18" s="2">
        <f t="shared" si="8"/>
        <v>1618</v>
      </c>
      <c r="M18" s="2"/>
      <c r="N18" s="19">
        <f t="shared" si="9"/>
        <v>-1</v>
      </c>
      <c r="O18" s="11"/>
      <c r="P18" s="2"/>
      <c r="Q18" s="2"/>
      <c r="R18" s="19">
        <f t="shared" si="10"/>
        <v>0</v>
      </c>
      <c r="S18" s="2"/>
      <c r="T18" s="2">
        <v>-9420</v>
      </c>
      <c r="U18" s="2"/>
      <c r="V18" s="19">
        <f t="shared" si="11"/>
        <v>-7.0428858665953317E-2</v>
      </c>
      <c r="W18" s="2"/>
      <c r="X18" s="2">
        <f t="shared" si="12"/>
        <v>9420</v>
      </c>
      <c r="Y18" s="2"/>
      <c r="Z18" s="19">
        <f t="shared" si="13"/>
        <v>-1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5" t="s">
        <v>6</v>
      </c>
      <c r="C20" s="25"/>
      <c r="D20" s="20">
        <f>D12-D16</f>
        <v>0</v>
      </c>
      <c r="E20" s="13"/>
      <c r="F20" s="21">
        <f>IF(D$12=0,0,D20/D$12)</f>
        <v>0</v>
      </c>
      <c r="G20" s="13"/>
      <c r="H20" s="20">
        <f>H12-H16</f>
        <v>25799.409999999996</v>
      </c>
      <c r="I20" s="13"/>
      <c r="J20" s="21">
        <f>IF(H$12=0,0,H20/H$12)</f>
        <v>0.78297167611059326</v>
      </c>
      <c r="K20" s="15"/>
      <c r="L20" s="20">
        <f>+D20-H20</f>
        <v>-25799.409999999996</v>
      </c>
      <c r="M20" s="15"/>
      <c r="N20" s="21">
        <f>IF(H20=0,0,L20/H20)</f>
        <v>-1</v>
      </c>
      <c r="O20" s="26"/>
      <c r="P20" s="20">
        <f>P12-P16</f>
        <v>0</v>
      </c>
      <c r="Q20" s="13"/>
      <c r="R20" s="21">
        <f>IF(P$12=0,0,P20/P$12)</f>
        <v>0</v>
      </c>
      <c r="S20" s="13"/>
      <c r="T20" s="20">
        <f>T12-T16</f>
        <v>102517.29999999999</v>
      </c>
      <c r="U20" s="13"/>
      <c r="V20" s="21">
        <f>IF(T$12=0,0,T20/T$12)</f>
        <v>0.76647308200797604</v>
      </c>
      <c r="W20" s="15"/>
      <c r="X20" s="20">
        <f>+P20-T20</f>
        <v>-102517.29999999999</v>
      </c>
      <c r="Y20" s="15"/>
      <c r="Z20" s="21">
        <f>IF(T20=0,0,X20/T20)</f>
        <v>-1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6" t="s">
        <v>9</v>
      </c>
      <c r="C22" s="10"/>
      <c r="D22" s="22">
        <f>SUM(OSRRefD22x_0)</f>
        <v>1021.4499999999999</v>
      </c>
      <c r="E22" s="22"/>
      <c r="F22" s="36">
        <f t="shared" ref="F22:F31" si="14">IF(D$12=0,0,D22/D$12)</f>
        <v>0</v>
      </c>
      <c r="G22" s="22"/>
      <c r="H22" s="22">
        <f>SUM(OSRRefH22x_0)</f>
        <v>35753.01</v>
      </c>
      <c r="I22" s="22"/>
      <c r="J22" s="36">
        <f t="shared" ref="J22:J31" si="15">IF(H$12=0,0,H22/H$12)</f>
        <v>1.0850478427878316</v>
      </c>
      <c r="K22" s="4"/>
      <c r="L22" s="22">
        <f t="shared" ref="L22:L31" si="16">+D22-H22</f>
        <v>-34731.560000000005</v>
      </c>
      <c r="M22" s="4"/>
      <c r="N22" s="36">
        <f t="shared" ref="N22:N31" si="17">IF(H22=0,0,L22/H22)</f>
        <v>-0.97143037747031658</v>
      </c>
      <c r="O22" s="10"/>
      <c r="P22" s="22">
        <f>SUM(OSRRefP22x_0)</f>
        <v>7170.34</v>
      </c>
      <c r="Q22" s="22"/>
      <c r="R22" s="36">
        <f t="shared" ref="R22:R31" si="18">IF(P$12=0,0,P22/P$12)</f>
        <v>0</v>
      </c>
      <c r="S22" s="22"/>
      <c r="T22" s="22">
        <f>SUM(OSRRefT22x_0)</f>
        <v>119619.37000000001</v>
      </c>
      <c r="U22" s="22"/>
      <c r="V22" s="36">
        <f t="shared" ref="V22:V31" si="19">IF(T$12=0,0,T22/T$12)</f>
        <v>0.89433712350747097</v>
      </c>
      <c r="W22" s="4"/>
      <c r="X22" s="22">
        <f t="shared" ref="X22:X31" si="20">+P22-T22</f>
        <v>-112449.03000000001</v>
      </c>
      <c r="Y22" s="4"/>
      <c r="Z22" s="36">
        <f t="shared" ref="Z22:Z31" si="21">IF(T22=0,0,X22/T22)</f>
        <v>-0.94005703256922357</v>
      </c>
    </row>
    <row r="23" spans="1:26" s="29" customFormat="1" outlineLevel="1" collapsed="1" x14ac:dyDescent="0.25">
      <c r="A23" s="27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0</v>
      </c>
      <c r="E23" s="1"/>
      <c r="F23" s="5">
        <f t="shared" si="14"/>
        <v>0</v>
      </c>
      <c r="G23" s="1"/>
      <c r="H23" s="1">
        <f>SUM(OSRRefH22_0x_0)</f>
        <v>2478.2400000000007</v>
      </c>
      <c r="I23" s="1"/>
      <c r="J23" s="5">
        <f t="shared" si="15"/>
        <v>7.5210701585978812E-2</v>
      </c>
      <c r="K23" s="1"/>
      <c r="L23" s="1">
        <f t="shared" si="16"/>
        <v>-2478.2400000000007</v>
      </c>
      <c r="M23" s="1"/>
      <c r="N23" s="5">
        <f t="shared" si="17"/>
        <v>-1</v>
      </c>
      <c r="O23" s="14"/>
      <c r="P23" s="1">
        <f>SUM(OSRRefP22_0x_0)</f>
        <v>1419.75</v>
      </c>
      <c r="Q23" s="1"/>
      <c r="R23" s="5">
        <f t="shared" si="18"/>
        <v>0</v>
      </c>
      <c r="S23" s="1"/>
      <c r="T23" s="1">
        <f>SUM(OSRRefT22_0x_0)</f>
        <v>10989.310000000001</v>
      </c>
      <c r="U23" s="1"/>
      <c r="V23" s="5">
        <f t="shared" si="19"/>
        <v>8.2161842975196117E-2</v>
      </c>
      <c r="W23" s="1"/>
      <c r="X23" s="1">
        <f t="shared" si="20"/>
        <v>-9569.5600000000013</v>
      </c>
      <c r="Y23" s="1"/>
      <c r="Z23" s="5">
        <f t="shared" si="21"/>
        <v>-0.8708062653615195</v>
      </c>
    </row>
    <row r="24" spans="1:26" s="24" customFormat="1" hidden="1" outlineLevel="2" x14ac:dyDescent="0.25">
      <c r="A24" s="28"/>
      <c r="B24" s="11" t="str">
        <f>CONCATENATE("          ", "6111", " - ", "F.I.C.A.")</f>
        <v xml:space="preserve">          6111 - F.I.C.A.</v>
      </c>
      <c r="C24" s="11"/>
      <c r="D24" s="6"/>
      <c r="E24" s="2"/>
      <c r="F24" s="7">
        <f t="shared" si="14"/>
        <v>0</v>
      </c>
      <c r="G24" s="2"/>
      <c r="H24" s="6">
        <v>1127.8800000000001</v>
      </c>
      <c r="I24" s="2"/>
      <c r="J24" s="7">
        <f t="shared" si="15"/>
        <v>3.4229391061718704E-2</v>
      </c>
      <c r="K24" s="2"/>
      <c r="L24" s="6">
        <f t="shared" si="16"/>
        <v>-1127.8800000000001</v>
      </c>
      <c r="M24" s="2"/>
      <c r="N24" s="7">
        <f t="shared" si="17"/>
        <v>-1</v>
      </c>
      <c r="O24" s="11"/>
      <c r="P24" s="6">
        <v>170.79</v>
      </c>
      <c r="Q24" s="2"/>
      <c r="R24" s="7">
        <f t="shared" si="18"/>
        <v>0</v>
      </c>
      <c r="S24" s="2"/>
      <c r="T24" s="6">
        <v>3037.41</v>
      </c>
      <c r="U24" s="2"/>
      <c r="V24" s="7">
        <f t="shared" si="19"/>
        <v>2.2709269596661703E-2</v>
      </c>
      <c r="W24" s="2"/>
      <c r="X24" s="6">
        <f t="shared" si="20"/>
        <v>-2866.62</v>
      </c>
      <c r="Y24" s="2"/>
      <c r="Z24" s="7">
        <f t="shared" si="21"/>
        <v>-0.94377117346686812</v>
      </c>
    </row>
    <row r="25" spans="1:26" s="24" customFormat="1" hidden="1" outlineLevel="2" x14ac:dyDescent="0.25">
      <c r="A25" s="28"/>
      <c r="B25" s="11" t="str">
        <f>CONCATENATE("          ", "6112", " - ", "COMPENSATION INSURANCE")</f>
        <v xml:space="preserve">          6112 - COMPENSATION INSURANCE</v>
      </c>
      <c r="C25" s="11"/>
      <c r="D25" s="6"/>
      <c r="E25" s="2"/>
      <c r="F25" s="7">
        <f t="shared" si="14"/>
        <v>0</v>
      </c>
      <c r="G25" s="2"/>
      <c r="H25" s="6">
        <v>-466.83</v>
      </c>
      <c r="I25" s="2"/>
      <c r="J25" s="7">
        <f t="shared" si="15"/>
        <v>-1.41675591635122E-2</v>
      </c>
      <c r="K25" s="2"/>
      <c r="L25" s="6">
        <f t="shared" si="16"/>
        <v>466.83</v>
      </c>
      <c r="M25" s="2"/>
      <c r="N25" s="7">
        <f t="shared" si="17"/>
        <v>-1</v>
      </c>
      <c r="O25" s="11"/>
      <c r="P25" s="6"/>
      <c r="Q25" s="2"/>
      <c r="R25" s="7">
        <f t="shared" si="18"/>
        <v>0</v>
      </c>
      <c r="S25" s="2"/>
      <c r="T25" s="6">
        <v>1208.94</v>
      </c>
      <c r="U25" s="2"/>
      <c r="V25" s="7">
        <f t="shared" si="19"/>
        <v>9.0386692564349887E-3</v>
      </c>
      <c r="W25" s="2"/>
      <c r="X25" s="6">
        <f t="shared" si="20"/>
        <v>-1208.94</v>
      </c>
      <c r="Y25" s="2"/>
      <c r="Z25" s="7">
        <f t="shared" si="21"/>
        <v>-1</v>
      </c>
    </row>
    <row r="26" spans="1:26" s="24" customFormat="1" hidden="1" outlineLevel="2" x14ac:dyDescent="0.25">
      <c r="A26" s="28"/>
      <c r="B26" s="11" t="str">
        <f>CONCATENATE("          ", "6113", " - ", "GROUP INSURANCE")</f>
        <v xml:space="preserve">          6113 - GROUP INSURANCE</v>
      </c>
      <c r="C26" s="11"/>
      <c r="D26" s="6"/>
      <c r="E26" s="2"/>
      <c r="F26" s="7">
        <f t="shared" si="14"/>
        <v>0</v>
      </c>
      <c r="G26" s="2"/>
      <c r="H26" s="6">
        <v>698.2</v>
      </c>
      <c r="I26" s="2"/>
      <c r="J26" s="7">
        <f t="shared" si="15"/>
        <v>2.1189276198967974E-2</v>
      </c>
      <c r="K26" s="2"/>
      <c r="L26" s="6">
        <f t="shared" si="16"/>
        <v>-698.2</v>
      </c>
      <c r="M26" s="2"/>
      <c r="N26" s="7">
        <f t="shared" si="17"/>
        <v>-1</v>
      </c>
      <c r="O26" s="11"/>
      <c r="P26" s="6">
        <v>699.3</v>
      </c>
      <c r="Q26" s="2"/>
      <c r="R26" s="7">
        <f t="shared" si="18"/>
        <v>0</v>
      </c>
      <c r="S26" s="2"/>
      <c r="T26" s="6">
        <v>2792.8</v>
      </c>
      <c r="U26" s="2"/>
      <c r="V26" s="7">
        <f t="shared" si="19"/>
        <v>2.0880436993872018E-2</v>
      </c>
      <c r="W26" s="2"/>
      <c r="X26" s="6">
        <f t="shared" si="20"/>
        <v>-2093.5</v>
      </c>
      <c r="Y26" s="2"/>
      <c r="Z26" s="7">
        <f t="shared" si="21"/>
        <v>-0.74960613004869658</v>
      </c>
    </row>
    <row r="27" spans="1:26" s="24" customFormat="1" hidden="1" outlineLevel="2" x14ac:dyDescent="0.25">
      <c r="A27" s="28"/>
      <c r="B27" s="11" t="str">
        <f>CONCATENATE("          ", "6114", " - ", "STATE UNEMPLOYMENT INSURANCE")</f>
        <v xml:space="preserve">          6114 - STATE UNEMPLOYMENT INSURANCE</v>
      </c>
      <c r="C27" s="11"/>
      <c r="D27" s="6"/>
      <c r="E27" s="2"/>
      <c r="F27" s="7">
        <f t="shared" si="14"/>
        <v>0</v>
      </c>
      <c r="G27" s="2"/>
      <c r="H27" s="6">
        <v>42.17</v>
      </c>
      <c r="I27" s="2"/>
      <c r="J27" s="7">
        <f t="shared" si="15"/>
        <v>1.2797934364229154E-3</v>
      </c>
      <c r="K27" s="2"/>
      <c r="L27" s="6">
        <f t="shared" si="16"/>
        <v>-42.17</v>
      </c>
      <c r="M27" s="2"/>
      <c r="N27" s="7">
        <f t="shared" si="17"/>
        <v>-1</v>
      </c>
      <c r="O27" s="11"/>
      <c r="P27" s="6"/>
      <c r="Q27" s="2"/>
      <c r="R27" s="7">
        <f t="shared" si="18"/>
        <v>0</v>
      </c>
      <c r="S27" s="2"/>
      <c r="T27" s="6">
        <v>154.47</v>
      </c>
      <c r="U27" s="2"/>
      <c r="V27" s="7">
        <f t="shared" si="19"/>
        <v>1.1548987046846929E-3</v>
      </c>
      <c r="W27" s="2"/>
      <c r="X27" s="6">
        <f t="shared" si="20"/>
        <v>-154.47</v>
      </c>
      <c r="Y27" s="2"/>
      <c r="Z27" s="7">
        <f t="shared" si="21"/>
        <v>-1</v>
      </c>
    </row>
    <row r="28" spans="1:26" s="24" customFormat="1" hidden="1" outlineLevel="2" x14ac:dyDescent="0.25">
      <c r="A28" s="28"/>
      <c r="B28" s="11" t="str">
        <f>CONCATENATE("          ", "6115", " - ", "P.E.R.S.")</f>
        <v xml:space="preserve">          6115 - P.E.R.S.</v>
      </c>
      <c r="C28" s="11"/>
      <c r="D28" s="6"/>
      <c r="E28" s="2"/>
      <c r="F28" s="7">
        <f t="shared" si="14"/>
        <v>0</v>
      </c>
      <c r="G28" s="2"/>
      <c r="H28" s="6">
        <v>320.99</v>
      </c>
      <c r="I28" s="2"/>
      <c r="J28" s="7">
        <f t="shared" si="15"/>
        <v>9.7415436366467059E-3</v>
      </c>
      <c r="K28" s="2"/>
      <c r="L28" s="6">
        <f t="shared" si="16"/>
        <v>-320.99</v>
      </c>
      <c r="M28" s="2"/>
      <c r="N28" s="7">
        <f t="shared" si="17"/>
        <v>-1</v>
      </c>
      <c r="O28" s="11"/>
      <c r="P28" s="6">
        <v>355.22</v>
      </c>
      <c r="Q28" s="2"/>
      <c r="R28" s="7">
        <f t="shared" si="18"/>
        <v>0</v>
      </c>
      <c r="S28" s="2"/>
      <c r="T28" s="6">
        <v>1283.96</v>
      </c>
      <c r="U28" s="2"/>
      <c r="V28" s="7">
        <f t="shared" si="19"/>
        <v>9.5995581075092803E-3</v>
      </c>
      <c r="W28" s="2"/>
      <c r="X28" s="6">
        <f t="shared" si="20"/>
        <v>-928.74</v>
      </c>
      <c r="Y28" s="2"/>
      <c r="Z28" s="7">
        <f t="shared" si="21"/>
        <v>-0.72334029097479668</v>
      </c>
    </row>
    <row r="29" spans="1:26" s="24" customFormat="1" hidden="1" outlineLevel="2" x14ac:dyDescent="0.25">
      <c r="A29" s="28"/>
      <c r="B29" s="11" t="str">
        <f>CONCATENATE("          ", "6118", " - ", "VACATION")</f>
        <v xml:space="preserve">          6118 - VACATION</v>
      </c>
      <c r="C29" s="11"/>
      <c r="D29" s="6"/>
      <c r="E29" s="2"/>
      <c r="F29" s="7">
        <f t="shared" si="14"/>
        <v>0</v>
      </c>
      <c r="G29" s="2"/>
      <c r="H29" s="6">
        <v>265.38</v>
      </c>
      <c r="I29" s="2"/>
      <c r="J29" s="7">
        <f t="shared" si="15"/>
        <v>8.0538672553453466E-3</v>
      </c>
      <c r="K29" s="2"/>
      <c r="L29" s="6">
        <f t="shared" si="16"/>
        <v>-265.38</v>
      </c>
      <c r="M29" s="2"/>
      <c r="N29" s="7">
        <f t="shared" si="17"/>
        <v>-1</v>
      </c>
      <c r="O29" s="11"/>
      <c r="P29" s="6">
        <v>88.46</v>
      </c>
      <c r="Q29" s="2"/>
      <c r="R29" s="7">
        <f t="shared" si="18"/>
        <v>0</v>
      </c>
      <c r="S29" s="2"/>
      <c r="T29" s="6">
        <v>822.44</v>
      </c>
      <c r="U29" s="2"/>
      <c r="V29" s="7">
        <f t="shared" si="19"/>
        <v>6.1489926243340392E-3</v>
      </c>
      <c r="W29" s="2"/>
      <c r="X29" s="6">
        <f t="shared" si="20"/>
        <v>-733.98</v>
      </c>
      <c r="Y29" s="2"/>
      <c r="Z29" s="7">
        <f t="shared" si="21"/>
        <v>-0.89244200184815914</v>
      </c>
    </row>
    <row r="30" spans="1:26" s="24" customFormat="1" hidden="1" outlineLevel="2" x14ac:dyDescent="0.25">
      <c r="A30" s="28"/>
      <c r="B30" s="11" t="str">
        <f>CONCATENATE("          ", "6119", " - ", "SICK LEAVE")</f>
        <v xml:space="preserve">          6119 - SICK LEAVE</v>
      </c>
      <c r="C30" s="11"/>
      <c r="D30" s="6"/>
      <c r="E30" s="2"/>
      <c r="F30" s="7">
        <f t="shared" si="14"/>
        <v>0</v>
      </c>
      <c r="G30" s="2"/>
      <c r="H30" s="6">
        <v>317.94</v>
      </c>
      <c r="I30" s="2"/>
      <c r="J30" s="7">
        <f t="shared" si="15"/>
        <v>9.6489809147806884E-3</v>
      </c>
      <c r="K30" s="2"/>
      <c r="L30" s="6">
        <f t="shared" si="16"/>
        <v>-317.94</v>
      </c>
      <c r="M30" s="2"/>
      <c r="N30" s="7">
        <f t="shared" si="17"/>
        <v>-1</v>
      </c>
      <c r="O30" s="11"/>
      <c r="P30" s="6">
        <v>105.98</v>
      </c>
      <c r="Q30" s="2"/>
      <c r="R30" s="7">
        <f t="shared" si="18"/>
        <v>0</v>
      </c>
      <c r="S30" s="2"/>
      <c r="T30" s="6">
        <v>1047.6600000000001</v>
      </c>
      <c r="U30" s="2"/>
      <c r="V30" s="7">
        <f t="shared" si="19"/>
        <v>7.8328554214408333E-3</v>
      </c>
      <c r="W30" s="2"/>
      <c r="X30" s="6">
        <f t="shared" si="20"/>
        <v>-941.68000000000006</v>
      </c>
      <c r="Y30" s="2"/>
      <c r="Z30" s="7">
        <f t="shared" si="21"/>
        <v>-0.89884122711566727</v>
      </c>
    </row>
    <row r="31" spans="1:26" s="24" customFormat="1" hidden="1" outlineLevel="2" x14ac:dyDescent="0.25">
      <c r="A31" s="28"/>
      <c r="B31" s="11" t="str">
        <f>CONCATENATE("          ", "6156", " - ", "EMPLOYEE MEALS")</f>
        <v xml:space="preserve">          6156 - EMPLOYEE MEALS</v>
      </c>
      <c r="C31" s="11"/>
      <c r="D31" s="6"/>
      <c r="E31" s="2"/>
      <c r="F31" s="7">
        <f t="shared" si="14"/>
        <v>0</v>
      </c>
      <c r="G31" s="2"/>
      <c r="H31" s="6">
        <v>172.51</v>
      </c>
      <c r="I31" s="2"/>
      <c r="J31" s="7">
        <f t="shared" si="15"/>
        <v>5.235408245608658E-3</v>
      </c>
      <c r="K31" s="2"/>
      <c r="L31" s="6">
        <f t="shared" si="16"/>
        <v>-172.51</v>
      </c>
      <c r="M31" s="2"/>
      <c r="N31" s="7">
        <f t="shared" si="17"/>
        <v>-1</v>
      </c>
      <c r="O31" s="11"/>
      <c r="P31" s="6"/>
      <c r="Q31" s="2"/>
      <c r="R31" s="7">
        <f t="shared" si="18"/>
        <v>0</v>
      </c>
      <c r="S31" s="2"/>
      <c r="T31" s="6">
        <v>641.63</v>
      </c>
      <c r="U31" s="2"/>
      <c r="V31" s="7">
        <f t="shared" si="19"/>
        <v>4.7971622702585584E-3</v>
      </c>
      <c r="W31" s="2"/>
      <c r="X31" s="6">
        <f t="shared" si="20"/>
        <v>-641.63</v>
      </c>
      <c r="Y31" s="2"/>
      <c r="Z31" s="7">
        <f t="shared" si="21"/>
        <v>-1</v>
      </c>
    </row>
    <row r="32" spans="1:26" s="29" customFormat="1" outlineLevel="1" collapsed="1" x14ac:dyDescent="0.25">
      <c r="A32" s="27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0</v>
      </c>
      <c r="E32" s="1"/>
      <c r="F32" s="5">
        <f t="shared" ref="F32:F37" si="22">IF(D$12=0,0,D32/D$12)</f>
        <v>0</v>
      </c>
      <c r="G32" s="1"/>
      <c r="H32" s="1">
        <f>SUM(OSRRefH22_1x_0)</f>
        <v>13007.22</v>
      </c>
      <c r="I32" s="1"/>
      <c r="J32" s="5">
        <f t="shared" ref="J32:J37" si="23">IF(H$12=0,0,H32/H$12)</f>
        <v>0.39474874987215725</v>
      </c>
      <c r="K32" s="1"/>
      <c r="L32" s="1">
        <f t="shared" ref="L32:L37" si="24">+D32-H32</f>
        <v>-13007.22</v>
      </c>
      <c r="M32" s="1"/>
      <c r="N32" s="5">
        <f t="shared" ref="N32:N37" si="25">IF(H32=0,0,L32/H32)</f>
        <v>-1</v>
      </c>
      <c r="O32" s="14"/>
      <c r="P32" s="1">
        <f>SUM(OSRRefP22_1x_0)</f>
        <v>1378.61</v>
      </c>
      <c r="Q32" s="1"/>
      <c r="R32" s="5">
        <f t="shared" ref="R32:R37" si="26">IF(P$12=0,0,P32/P$12)</f>
        <v>0</v>
      </c>
      <c r="S32" s="1"/>
      <c r="T32" s="1">
        <f>SUM(OSRRefT22_1x_0)</f>
        <v>45564.920000000006</v>
      </c>
      <c r="U32" s="1"/>
      <c r="V32" s="5">
        <f t="shared" ref="V32:V37" si="27">IF(T$12=0,0,T32/T$12)</f>
        <v>0.34066723044644054</v>
      </c>
      <c r="W32" s="1"/>
      <c r="X32" s="1">
        <f t="shared" ref="X32:X37" si="28">+P32-T32</f>
        <v>-44186.310000000005</v>
      </c>
      <c r="Y32" s="1"/>
      <c r="Z32" s="5">
        <f t="shared" ref="Z32:Z37" si="29">IF(T32=0,0,X32/T32)</f>
        <v>-0.9697440487111576</v>
      </c>
    </row>
    <row r="33" spans="1:26" s="24" customFormat="1" hidden="1" outlineLevel="2" x14ac:dyDescent="0.25">
      <c r="A33" s="28"/>
      <c r="B33" s="11" t="str">
        <f>CONCATENATE("          ", "6002", " - ", "STAFF SALARIES")</f>
        <v xml:space="preserve">          6002 - STAFF SALARIES</v>
      </c>
      <c r="C33" s="11"/>
      <c r="D33" s="6"/>
      <c r="E33" s="2"/>
      <c r="F33" s="7">
        <f t="shared" si="22"/>
        <v>0</v>
      </c>
      <c r="G33" s="2"/>
      <c r="H33" s="6">
        <v>5744.07</v>
      </c>
      <c r="I33" s="2"/>
      <c r="J33" s="7">
        <f t="shared" si="23"/>
        <v>0.17432352583243477</v>
      </c>
      <c r="K33" s="2"/>
      <c r="L33" s="6">
        <f t="shared" si="24"/>
        <v>-5744.07</v>
      </c>
      <c r="M33" s="2"/>
      <c r="N33" s="7">
        <f t="shared" si="25"/>
        <v>-1</v>
      </c>
      <c r="O33" s="11"/>
      <c r="P33" s="6">
        <v>1378.61</v>
      </c>
      <c r="Q33" s="2"/>
      <c r="R33" s="7">
        <f t="shared" si="26"/>
        <v>0</v>
      </c>
      <c r="S33" s="2"/>
      <c r="T33" s="6">
        <v>19989.900000000001</v>
      </c>
      <c r="U33" s="2"/>
      <c r="V33" s="7">
        <f t="shared" si="27"/>
        <v>0.14945497259517412</v>
      </c>
      <c r="W33" s="2"/>
      <c r="X33" s="6">
        <f t="shared" si="28"/>
        <v>-18611.29</v>
      </c>
      <c r="Y33" s="2"/>
      <c r="Z33" s="7">
        <f t="shared" si="29"/>
        <v>-0.93103467250961736</v>
      </c>
    </row>
    <row r="34" spans="1:26" s="24" customFormat="1" hidden="1" outlineLevel="2" x14ac:dyDescent="0.25">
      <c r="A34" s="28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22"/>
        <v>0</v>
      </c>
      <c r="G34" s="2"/>
      <c r="H34" s="6">
        <v>2852.46</v>
      </c>
      <c r="I34" s="2"/>
      <c r="J34" s="7">
        <f t="shared" si="23"/>
        <v>8.6567692332437968E-2</v>
      </c>
      <c r="K34" s="2"/>
      <c r="L34" s="6">
        <f t="shared" si="24"/>
        <v>-2852.46</v>
      </c>
      <c r="M34" s="2"/>
      <c r="N34" s="7">
        <f t="shared" si="25"/>
        <v>-1</v>
      </c>
      <c r="O34" s="11"/>
      <c r="P34" s="6"/>
      <c r="Q34" s="2"/>
      <c r="R34" s="7">
        <f t="shared" si="26"/>
        <v>0</v>
      </c>
      <c r="S34" s="2"/>
      <c r="T34" s="6">
        <v>9949.69</v>
      </c>
      <c r="U34" s="2"/>
      <c r="V34" s="7">
        <f t="shared" si="27"/>
        <v>7.4389098808922402E-2</v>
      </c>
      <c r="W34" s="2"/>
      <c r="X34" s="6">
        <f t="shared" si="28"/>
        <v>-9949.69</v>
      </c>
      <c r="Y34" s="2"/>
      <c r="Z34" s="7">
        <f t="shared" si="29"/>
        <v>-1</v>
      </c>
    </row>
    <row r="35" spans="1:26" s="24" customFormat="1" hidden="1" outlineLevel="2" x14ac:dyDescent="0.25">
      <c r="A35" s="28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22"/>
        <v>0</v>
      </c>
      <c r="G35" s="2"/>
      <c r="H35" s="6"/>
      <c r="I35" s="2"/>
      <c r="J35" s="7">
        <f t="shared" si="23"/>
        <v>0</v>
      </c>
      <c r="K35" s="2"/>
      <c r="L35" s="6">
        <f t="shared" si="24"/>
        <v>0</v>
      </c>
      <c r="M35" s="2"/>
      <c r="N35" s="7">
        <f t="shared" si="25"/>
        <v>0</v>
      </c>
      <c r="O35" s="11"/>
      <c r="P35" s="6"/>
      <c r="Q35" s="2"/>
      <c r="R35" s="7">
        <f t="shared" si="26"/>
        <v>0</v>
      </c>
      <c r="S35" s="2"/>
      <c r="T35" s="6">
        <v>303.38</v>
      </c>
      <c r="U35" s="2"/>
      <c r="V35" s="7">
        <f t="shared" si="27"/>
        <v>2.2682279344030695E-3</v>
      </c>
      <c r="W35" s="2"/>
      <c r="X35" s="6">
        <f t="shared" si="28"/>
        <v>-303.38</v>
      </c>
      <c r="Y35" s="2"/>
      <c r="Z35" s="7">
        <f t="shared" si="29"/>
        <v>-1</v>
      </c>
    </row>
    <row r="36" spans="1:26" s="24" customFormat="1" hidden="1" outlineLevel="2" x14ac:dyDescent="0.25">
      <c r="A36" s="28"/>
      <c r="B36" s="11" t="str">
        <f>CONCATENATE("          ", "6007", " - ", "STUDENT HOURLY")</f>
        <v xml:space="preserve">          6007 - STUDENT HOURLY</v>
      </c>
      <c r="C36" s="11"/>
      <c r="D36" s="6"/>
      <c r="E36" s="2"/>
      <c r="F36" s="7">
        <f t="shared" si="22"/>
        <v>0</v>
      </c>
      <c r="G36" s="2"/>
      <c r="H36" s="6">
        <v>3846.69</v>
      </c>
      <c r="I36" s="2"/>
      <c r="J36" s="7">
        <f t="shared" si="23"/>
        <v>0.11674101527042124</v>
      </c>
      <c r="K36" s="2"/>
      <c r="L36" s="6">
        <f t="shared" si="24"/>
        <v>-3846.69</v>
      </c>
      <c r="M36" s="2"/>
      <c r="N36" s="7">
        <f t="shared" si="25"/>
        <v>-1</v>
      </c>
      <c r="O36" s="11"/>
      <c r="P36" s="6"/>
      <c r="Q36" s="2"/>
      <c r="R36" s="7">
        <f t="shared" si="26"/>
        <v>0</v>
      </c>
      <c r="S36" s="2"/>
      <c r="T36" s="6">
        <v>13416.95</v>
      </c>
      <c r="U36" s="2"/>
      <c r="V36" s="7">
        <f t="shared" si="27"/>
        <v>0.10031215236498539</v>
      </c>
      <c r="W36" s="2"/>
      <c r="X36" s="6">
        <f t="shared" si="28"/>
        <v>-13416.95</v>
      </c>
      <c r="Y36" s="2"/>
      <c r="Z36" s="7">
        <f t="shared" si="29"/>
        <v>-1</v>
      </c>
    </row>
    <row r="37" spans="1:26" s="24" customFormat="1" hidden="1" outlineLevel="2" x14ac:dyDescent="0.25">
      <c r="A37" s="28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22"/>
        <v>0</v>
      </c>
      <c r="G37" s="2"/>
      <c r="H37" s="6">
        <v>564</v>
      </c>
      <c r="I37" s="2"/>
      <c r="J37" s="7">
        <f t="shared" si="23"/>
        <v>1.7116516436863273E-2</v>
      </c>
      <c r="K37" s="2"/>
      <c r="L37" s="6">
        <f t="shared" si="24"/>
        <v>-564</v>
      </c>
      <c r="M37" s="2"/>
      <c r="N37" s="7">
        <f t="shared" si="25"/>
        <v>-1</v>
      </c>
      <c r="O37" s="11"/>
      <c r="P37" s="6"/>
      <c r="Q37" s="2"/>
      <c r="R37" s="7">
        <f t="shared" si="26"/>
        <v>0</v>
      </c>
      <c r="S37" s="2"/>
      <c r="T37" s="6">
        <v>1905</v>
      </c>
      <c r="U37" s="2"/>
      <c r="V37" s="7">
        <f t="shared" si="27"/>
        <v>1.4242778742955526E-2</v>
      </c>
      <c r="W37" s="2"/>
      <c r="X37" s="6">
        <f t="shared" si="28"/>
        <v>-1905</v>
      </c>
      <c r="Y37" s="2"/>
      <c r="Z37" s="7">
        <f t="shared" si="29"/>
        <v>-1</v>
      </c>
    </row>
    <row r="38" spans="1:26" s="29" customFormat="1" outlineLevel="1" collapsed="1" x14ac:dyDescent="0.25">
      <c r="A38" s="27"/>
      <c r="B38" s="14" t="str">
        <f>CONCATENATE("     ","Advertising/Promo                                 ")</f>
        <v xml:space="preserve">     Advertising/Promo                                 </v>
      </c>
      <c r="C38" s="14"/>
      <c r="D38" s="1">
        <f>SUM(OSRRefD22_2x_0)</f>
        <v>0</v>
      </c>
      <c r="E38" s="1"/>
      <c r="F38" s="5">
        <f t="shared" ref="F38:F55" si="30">IF(D$12=0,0,D38/D$12)</f>
        <v>0</v>
      </c>
      <c r="G38" s="1"/>
      <c r="H38" s="1">
        <f>SUM(OSRRefH22_2x_0)</f>
        <v>932.63</v>
      </c>
      <c r="I38" s="1"/>
      <c r="J38" s="5">
        <f t="shared" ref="J38:J55" si="31">IF(H$12=0,0,H38/H$12)</f>
        <v>2.8303859440623746E-2</v>
      </c>
      <c r="K38" s="1"/>
      <c r="L38" s="1">
        <f t="shared" ref="L38:L55" si="32">+D38-H38</f>
        <v>-932.63</v>
      </c>
      <c r="M38" s="1"/>
      <c r="N38" s="5">
        <f t="shared" ref="N38:N55" si="33">IF(H38=0,0,L38/H38)</f>
        <v>-1</v>
      </c>
      <c r="O38" s="14"/>
      <c r="P38" s="1">
        <f>SUM(OSRRefP22_2x_0)</f>
        <v>0</v>
      </c>
      <c r="Q38" s="1"/>
      <c r="R38" s="5">
        <f t="shared" ref="R38:R55" si="34">IF(P$12=0,0,P38/P$12)</f>
        <v>0</v>
      </c>
      <c r="S38" s="1"/>
      <c r="T38" s="1">
        <f>SUM(OSRRefT22_2x_0)</f>
        <v>1069.96</v>
      </c>
      <c r="U38" s="1"/>
      <c r="V38" s="5">
        <f t="shared" ref="V38:V55" si="35">IF(T$12=0,0,T38/T$12)</f>
        <v>7.9995819127625691E-3</v>
      </c>
      <c r="W38" s="1"/>
      <c r="X38" s="1">
        <f t="shared" ref="X38:X55" si="36">+P38-T38</f>
        <v>-1069.96</v>
      </c>
      <c r="Y38" s="1"/>
      <c r="Z38" s="5">
        <f t="shared" ref="Z38:Z55" si="37">IF(T38=0,0,X38/T38)</f>
        <v>-1</v>
      </c>
    </row>
    <row r="39" spans="1:26" s="24" customFormat="1" hidden="1" outlineLevel="2" x14ac:dyDescent="0.25">
      <c r="A39" s="28"/>
      <c r="B39" s="11" t="str">
        <f>CONCATENATE("          ", "6362", " - ", "ADVERTISING EXPENSE")</f>
        <v xml:space="preserve">          6362 - ADVERTISING EXPENSE</v>
      </c>
      <c r="C39" s="11"/>
      <c r="D39" s="6"/>
      <c r="E39" s="2"/>
      <c r="F39" s="7">
        <f t="shared" si="30"/>
        <v>0</v>
      </c>
      <c r="G39" s="2"/>
      <c r="H39" s="6">
        <v>932.63</v>
      </c>
      <c r="I39" s="2"/>
      <c r="J39" s="7">
        <f t="shared" si="31"/>
        <v>2.8303859440623746E-2</v>
      </c>
      <c r="K39" s="2"/>
      <c r="L39" s="6">
        <f t="shared" si="32"/>
        <v>-932.63</v>
      </c>
      <c r="M39" s="2"/>
      <c r="N39" s="7">
        <f t="shared" si="33"/>
        <v>-1</v>
      </c>
      <c r="O39" s="11"/>
      <c r="P39" s="6"/>
      <c r="Q39" s="2"/>
      <c r="R39" s="7">
        <f t="shared" si="34"/>
        <v>0</v>
      </c>
      <c r="S39" s="2"/>
      <c r="T39" s="6">
        <v>1069.96</v>
      </c>
      <c r="U39" s="2"/>
      <c r="V39" s="7">
        <f t="shared" si="35"/>
        <v>7.9995819127625691E-3</v>
      </c>
      <c r="W39" s="2"/>
      <c r="X39" s="6">
        <f t="shared" si="36"/>
        <v>-1069.96</v>
      </c>
      <c r="Y39" s="2"/>
      <c r="Z39" s="7">
        <f t="shared" si="37"/>
        <v>-1</v>
      </c>
    </row>
    <row r="40" spans="1:26" s="29" customFormat="1" outlineLevel="1" collapsed="1" x14ac:dyDescent="0.25">
      <c r="A40" s="27"/>
      <c r="B40" s="14" t="str">
        <f>CONCATENATE("     ","Bad Debts/Over/Short                              ")</f>
        <v xml:space="preserve">     Bad Debts/Over/Short                              </v>
      </c>
      <c r="C40" s="14"/>
      <c r="D40" s="1">
        <f>SUM(OSRRefD22_3x_0)</f>
        <v>0</v>
      </c>
      <c r="E40" s="1"/>
      <c r="F40" s="5">
        <f t="shared" si="30"/>
        <v>0</v>
      </c>
      <c r="G40" s="1"/>
      <c r="H40" s="1">
        <f>SUM(OSRRefH22_3x_0)</f>
        <v>22.5</v>
      </c>
      <c r="I40" s="1"/>
      <c r="J40" s="5">
        <f t="shared" si="31"/>
        <v>6.8283975147060924E-4</v>
      </c>
      <c r="K40" s="1"/>
      <c r="L40" s="1">
        <f t="shared" si="32"/>
        <v>-22.5</v>
      </c>
      <c r="M40" s="1"/>
      <c r="N40" s="5">
        <f t="shared" si="33"/>
        <v>-1</v>
      </c>
      <c r="O40" s="14"/>
      <c r="P40" s="1">
        <f>SUM(OSRRefP22_3x_0)</f>
        <v>0</v>
      </c>
      <c r="Q40" s="1"/>
      <c r="R40" s="5">
        <f t="shared" si="34"/>
        <v>0</v>
      </c>
      <c r="S40" s="1"/>
      <c r="T40" s="1">
        <f>SUM(OSRRefT22_3x_0)</f>
        <v>14.64</v>
      </c>
      <c r="U40" s="1"/>
      <c r="V40" s="5">
        <f t="shared" si="35"/>
        <v>1.0945631537893381E-4</v>
      </c>
      <c r="W40" s="1"/>
      <c r="X40" s="1">
        <f t="shared" si="36"/>
        <v>-14.64</v>
      </c>
      <c r="Y40" s="1"/>
      <c r="Z40" s="5">
        <f t="shared" si="37"/>
        <v>-1</v>
      </c>
    </row>
    <row r="41" spans="1:26" s="24" customFormat="1" hidden="1" outlineLevel="2" x14ac:dyDescent="0.25">
      <c r="A41" s="28"/>
      <c r="B41" s="11" t="str">
        <f>CONCATENATE("          ", "6272", " - ", "CASH (OVER/SHORT)")</f>
        <v xml:space="preserve">          6272 - CASH (OVER/SHORT)</v>
      </c>
      <c r="C41" s="11"/>
      <c r="D41" s="6"/>
      <c r="E41" s="2"/>
      <c r="F41" s="7">
        <f t="shared" si="30"/>
        <v>0</v>
      </c>
      <c r="G41" s="2"/>
      <c r="H41" s="6">
        <v>22.5</v>
      </c>
      <c r="I41" s="2"/>
      <c r="J41" s="7">
        <f t="shared" si="31"/>
        <v>6.8283975147060924E-4</v>
      </c>
      <c r="K41" s="2"/>
      <c r="L41" s="6">
        <f t="shared" si="32"/>
        <v>-22.5</v>
      </c>
      <c r="M41" s="2"/>
      <c r="N41" s="7">
        <f t="shared" si="33"/>
        <v>-1</v>
      </c>
      <c r="O41" s="11"/>
      <c r="P41" s="6"/>
      <c r="Q41" s="2"/>
      <c r="R41" s="7">
        <f t="shared" si="34"/>
        <v>0</v>
      </c>
      <c r="S41" s="2"/>
      <c r="T41" s="6">
        <v>14.64</v>
      </c>
      <c r="U41" s="2"/>
      <c r="V41" s="7">
        <f t="shared" si="35"/>
        <v>1.0945631537893381E-4</v>
      </c>
      <c r="W41" s="2"/>
      <c r="X41" s="6">
        <f t="shared" si="36"/>
        <v>-14.64</v>
      </c>
      <c r="Y41" s="2"/>
      <c r="Z41" s="7">
        <f t="shared" si="37"/>
        <v>-1</v>
      </c>
    </row>
    <row r="42" spans="1:26" s="29" customFormat="1" outlineLevel="1" collapsed="1" x14ac:dyDescent="0.25">
      <c r="A42" s="27"/>
      <c r="B42" s="14" t="str">
        <f>CONCATENATE("     ","Bank/card Fees                                    ")</f>
        <v xml:space="preserve">     Bank/card Fees                                    </v>
      </c>
      <c r="C42" s="14"/>
      <c r="D42" s="1">
        <f>SUM(OSRRefD22_4x_0)</f>
        <v>0</v>
      </c>
      <c r="E42" s="1"/>
      <c r="F42" s="5">
        <f t="shared" si="30"/>
        <v>0</v>
      </c>
      <c r="G42" s="1"/>
      <c r="H42" s="1">
        <f>SUM(OSRRefH22_4x_0)</f>
        <v>595.94000000000005</v>
      </c>
      <c r="I42" s="1"/>
      <c r="J42" s="5">
        <f t="shared" si="31"/>
        <v>1.8085845399617551E-2</v>
      </c>
      <c r="K42" s="1"/>
      <c r="L42" s="1">
        <f t="shared" si="32"/>
        <v>-595.94000000000005</v>
      </c>
      <c r="M42" s="1"/>
      <c r="N42" s="5">
        <f t="shared" si="33"/>
        <v>-1</v>
      </c>
      <c r="O42" s="14"/>
      <c r="P42" s="1">
        <f>SUM(OSRRefP22_4x_0)</f>
        <v>0</v>
      </c>
      <c r="Q42" s="1"/>
      <c r="R42" s="5">
        <f t="shared" si="34"/>
        <v>0</v>
      </c>
      <c r="S42" s="1"/>
      <c r="T42" s="1">
        <f>SUM(OSRRefT22_4x_0)</f>
        <v>2938.75</v>
      </c>
      <c r="U42" s="1"/>
      <c r="V42" s="5">
        <f t="shared" si="35"/>
        <v>2.1971635711737825E-2</v>
      </c>
      <c r="W42" s="1"/>
      <c r="X42" s="1">
        <f t="shared" si="36"/>
        <v>-2938.75</v>
      </c>
      <c r="Y42" s="1"/>
      <c r="Z42" s="5">
        <f t="shared" si="37"/>
        <v>-1</v>
      </c>
    </row>
    <row r="43" spans="1:26" s="24" customFormat="1" hidden="1" outlineLevel="2" x14ac:dyDescent="0.25">
      <c r="A43" s="28"/>
      <c r="B43" s="11" t="str">
        <f>CONCATENATE("          ", "6381", " - ", "BANK/CREDIT CARD FEES")</f>
        <v xml:space="preserve">          6381 - BANK/CREDIT CARD FEES</v>
      </c>
      <c r="C43" s="11"/>
      <c r="D43" s="6"/>
      <c r="E43" s="2"/>
      <c r="F43" s="7">
        <f t="shared" si="30"/>
        <v>0</v>
      </c>
      <c r="G43" s="2"/>
      <c r="H43" s="6">
        <v>595.94000000000005</v>
      </c>
      <c r="I43" s="2"/>
      <c r="J43" s="7">
        <f t="shared" si="31"/>
        <v>1.8085845399617551E-2</v>
      </c>
      <c r="K43" s="2"/>
      <c r="L43" s="6">
        <f t="shared" si="32"/>
        <v>-595.94000000000005</v>
      </c>
      <c r="M43" s="2"/>
      <c r="N43" s="7">
        <f t="shared" si="33"/>
        <v>-1</v>
      </c>
      <c r="O43" s="11"/>
      <c r="P43" s="6"/>
      <c r="Q43" s="2"/>
      <c r="R43" s="7">
        <f t="shared" si="34"/>
        <v>0</v>
      </c>
      <c r="S43" s="2"/>
      <c r="T43" s="6">
        <v>2938.75</v>
      </c>
      <c r="U43" s="2"/>
      <c r="V43" s="7">
        <f t="shared" si="35"/>
        <v>2.1971635711737825E-2</v>
      </c>
      <c r="W43" s="2"/>
      <c r="X43" s="6">
        <f t="shared" si="36"/>
        <v>-2938.75</v>
      </c>
      <c r="Y43" s="2"/>
      <c r="Z43" s="7">
        <f t="shared" si="37"/>
        <v>-1</v>
      </c>
    </row>
    <row r="44" spans="1:26" s="29" customFormat="1" outlineLevel="1" collapsed="1" x14ac:dyDescent="0.25">
      <c r="A44" s="27"/>
      <c r="B44" s="14" t="str">
        <f>CONCATENATE("     ","Depreciation                                      ")</f>
        <v xml:space="preserve">     Depreciation                                      </v>
      </c>
      <c r="C44" s="14"/>
      <c r="D44" s="1">
        <f>SUM(OSRRefD22_5x_0)</f>
        <v>1000.91</v>
      </c>
      <c r="E44" s="1"/>
      <c r="F44" s="5">
        <f t="shared" si="30"/>
        <v>0</v>
      </c>
      <c r="G44" s="1"/>
      <c r="H44" s="1">
        <f>SUM(OSRRefH22_5x_0)</f>
        <v>255.35</v>
      </c>
      <c r="I44" s="1"/>
      <c r="J44" s="5">
        <f t="shared" si="31"/>
        <v>7.7494724683564477E-3</v>
      </c>
      <c r="K44" s="1"/>
      <c r="L44" s="1">
        <f t="shared" si="32"/>
        <v>745.56</v>
      </c>
      <c r="M44" s="1"/>
      <c r="N44" s="5">
        <f t="shared" si="33"/>
        <v>2.9197571960054827</v>
      </c>
      <c r="O44" s="14"/>
      <c r="P44" s="1">
        <f>SUM(OSRRefP22_5x_0)</f>
        <v>4003.64</v>
      </c>
      <c r="Q44" s="1"/>
      <c r="R44" s="5">
        <f t="shared" si="34"/>
        <v>0</v>
      </c>
      <c r="S44" s="1"/>
      <c r="T44" s="1">
        <f>SUM(OSRRefT22_5x_0)</f>
        <v>1021.4</v>
      </c>
      <c r="U44" s="1"/>
      <c r="V44" s="5">
        <f t="shared" si="35"/>
        <v>7.6365218939920074E-3</v>
      </c>
      <c r="W44" s="1"/>
      <c r="X44" s="1">
        <f t="shared" si="36"/>
        <v>2982.24</v>
      </c>
      <c r="Y44" s="1"/>
      <c r="Z44" s="5">
        <f t="shared" si="37"/>
        <v>2.9197571960054827</v>
      </c>
    </row>
    <row r="45" spans="1:26" s="24" customFormat="1" hidden="1" outlineLevel="2" x14ac:dyDescent="0.25">
      <c r="A45" s="28"/>
      <c r="B45" s="11" t="str">
        <f>CONCATENATE("          ", "6322", " - ", "EQUIPMENT DEPRECIATION EXPENSE")</f>
        <v xml:space="preserve">          6322 - EQUIPMENT DEPRECIATION EXPENSE</v>
      </c>
      <c r="C45" s="11"/>
      <c r="D45" s="6">
        <v>1000.91</v>
      </c>
      <c r="E45" s="2"/>
      <c r="F45" s="7">
        <f t="shared" si="30"/>
        <v>0</v>
      </c>
      <c r="G45" s="2"/>
      <c r="H45" s="6">
        <v>255.35</v>
      </c>
      <c r="I45" s="2"/>
      <c r="J45" s="7">
        <f t="shared" si="31"/>
        <v>7.7494724683564477E-3</v>
      </c>
      <c r="K45" s="2"/>
      <c r="L45" s="6">
        <f t="shared" si="32"/>
        <v>745.56</v>
      </c>
      <c r="M45" s="2"/>
      <c r="N45" s="7">
        <f t="shared" si="33"/>
        <v>2.9197571960054827</v>
      </c>
      <c r="O45" s="11"/>
      <c r="P45" s="6">
        <v>4003.64</v>
      </c>
      <c r="Q45" s="2"/>
      <c r="R45" s="7">
        <f t="shared" si="34"/>
        <v>0</v>
      </c>
      <c r="S45" s="2"/>
      <c r="T45" s="6">
        <v>1021.4</v>
      </c>
      <c r="U45" s="2"/>
      <c r="V45" s="7">
        <f t="shared" si="35"/>
        <v>7.6365218939920074E-3</v>
      </c>
      <c r="W45" s="2"/>
      <c r="X45" s="6">
        <f t="shared" si="36"/>
        <v>2982.24</v>
      </c>
      <c r="Y45" s="2"/>
      <c r="Z45" s="7">
        <f t="shared" si="37"/>
        <v>2.9197571960054827</v>
      </c>
    </row>
    <row r="46" spans="1:26" s="29" customFormat="1" outlineLevel="1" collapsed="1" x14ac:dyDescent="0.25">
      <c r="A46" s="27"/>
      <c r="B46" s="14" t="str">
        <f>CONCATENATE("     ","Employees' Appreciation                           ")</f>
        <v xml:space="preserve">     Employees' Appreciation                           </v>
      </c>
      <c r="C46" s="14"/>
      <c r="D46" s="1">
        <f>SUM(OSRRefD22_6x_0)</f>
        <v>0</v>
      </c>
      <c r="E46" s="1"/>
      <c r="F46" s="5">
        <f t="shared" si="30"/>
        <v>0</v>
      </c>
      <c r="G46" s="1"/>
      <c r="H46" s="1">
        <f>SUM(OSRRefH22_6x_0)</f>
        <v>0</v>
      </c>
      <c r="I46" s="1"/>
      <c r="J46" s="5">
        <f t="shared" si="31"/>
        <v>0</v>
      </c>
      <c r="K46" s="1"/>
      <c r="L46" s="1">
        <f t="shared" si="32"/>
        <v>0</v>
      </c>
      <c r="M46" s="1"/>
      <c r="N46" s="5">
        <f t="shared" si="33"/>
        <v>0</v>
      </c>
      <c r="O46" s="14"/>
      <c r="P46" s="1">
        <f>SUM(OSRRefP22_6x_0)</f>
        <v>0</v>
      </c>
      <c r="Q46" s="1"/>
      <c r="R46" s="5">
        <f t="shared" si="34"/>
        <v>0</v>
      </c>
      <c r="S46" s="1"/>
      <c r="T46" s="1">
        <f>SUM(OSRRefT22_6x_0)</f>
        <v>88.6</v>
      </c>
      <c r="U46" s="1"/>
      <c r="V46" s="5">
        <f t="shared" si="35"/>
        <v>6.6242005072223603E-4</v>
      </c>
      <c r="W46" s="1"/>
      <c r="X46" s="1">
        <f t="shared" si="36"/>
        <v>-88.6</v>
      </c>
      <c r="Y46" s="1"/>
      <c r="Z46" s="5">
        <f t="shared" si="37"/>
        <v>-1</v>
      </c>
    </row>
    <row r="47" spans="1:26" s="24" customFormat="1" hidden="1" outlineLevel="2" x14ac:dyDescent="0.25">
      <c r="A47" s="28"/>
      <c r="B47" s="11" t="str">
        <f>CONCATENATE("          ", "6277", " - ", "EMPLOYEE APPRECIATION")</f>
        <v xml:space="preserve">          6277 - EMPLOYEE APPRECIATION</v>
      </c>
      <c r="C47" s="11"/>
      <c r="D47" s="6"/>
      <c r="E47" s="2"/>
      <c r="F47" s="7">
        <f t="shared" si="30"/>
        <v>0</v>
      </c>
      <c r="G47" s="2"/>
      <c r="H47" s="6"/>
      <c r="I47" s="2"/>
      <c r="J47" s="7">
        <f t="shared" si="31"/>
        <v>0</v>
      </c>
      <c r="K47" s="2"/>
      <c r="L47" s="6">
        <f t="shared" si="32"/>
        <v>0</v>
      </c>
      <c r="M47" s="2"/>
      <c r="N47" s="7">
        <f t="shared" si="33"/>
        <v>0</v>
      </c>
      <c r="O47" s="11"/>
      <c r="P47" s="6"/>
      <c r="Q47" s="2"/>
      <c r="R47" s="7">
        <f t="shared" si="34"/>
        <v>0</v>
      </c>
      <c r="S47" s="2"/>
      <c r="T47" s="6">
        <v>88.6</v>
      </c>
      <c r="U47" s="2"/>
      <c r="V47" s="7">
        <f t="shared" si="35"/>
        <v>6.6242005072223603E-4</v>
      </c>
      <c r="W47" s="2"/>
      <c r="X47" s="6">
        <f t="shared" si="36"/>
        <v>-88.6</v>
      </c>
      <c r="Y47" s="2"/>
      <c r="Z47" s="7">
        <f t="shared" si="37"/>
        <v>-1</v>
      </c>
    </row>
    <row r="48" spans="1:26" s="29" customFormat="1" outlineLevel="1" collapsed="1" x14ac:dyDescent="0.25">
      <c r="A48" s="27"/>
      <c r="B48" s="14" t="str">
        <f>CONCATENATE("     ","Equipment Rental                                  ")</f>
        <v xml:space="preserve">     Equipment Rental                                  </v>
      </c>
      <c r="C48" s="14"/>
      <c r="D48" s="1">
        <f>SUM(OSRRefD22_7x_0)</f>
        <v>0</v>
      </c>
      <c r="E48" s="1"/>
      <c r="F48" s="5">
        <f t="shared" si="30"/>
        <v>0</v>
      </c>
      <c r="G48" s="1"/>
      <c r="H48" s="1">
        <f>SUM(OSRRefH22_7x_0)</f>
        <v>0</v>
      </c>
      <c r="I48" s="1"/>
      <c r="J48" s="5">
        <f t="shared" si="31"/>
        <v>0</v>
      </c>
      <c r="K48" s="1"/>
      <c r="L48" s="1">
        <f t="shared" si="32"/>
        <v>0</v>
      </c>
      <c r="M48" s="1"/>
      <c r="N48" s="5">
        <f t="shared" si="33"/>
        <v>0</v>
      </c>
      <c r="O48" s="14"/>
      <c r="P48" s="1">
        <f>SUM(OSRRefP22_7x_0)</f>
        <v>0</v>
      </c>
      <c r="Q48" s="1"/>
      <c r="R48" s="5">
        <f t="shared" si="34"/>
        <v>0</v>
      </c>
      <c r="S48" s="1"/>
      <c r="T48" s="1">
        <f>SUM(OSRRefT22_7x_0)</f>
        <v>350</v>
      </c>
      <c r="U48" s="1"/>
      <c r="V48" s="5">
        <f t="shared" si="35"/>
        <v>2.6167834960810678E-3</v>
      </c>
      <c r="W48" s="1"/>
      <c r="X48" s="1">
        <f t="shared" si="36"/>
        <v>-350</v>
      </c>
      <c r="Y48" s="1"/>
      <c r="Z48" s="5">
        <f t="shared" si="37"/>
        <v>-1</v>
      </c>
    </row>
    <row r="49" spans="1:26" s="24" customFormat="1" hidden="1" outlineLevel="2" x14ac:dyDescent="0.25">
      <c r="A49" s="28"/>
      <c r="B49" s="11" t="str">
        <f>CONCATENATE("          ", "6351", " - ", "EQUIPMENT RENTAL")</f>
        <v xml:space="preserve">          6351 - EQUIPMENT RENTAL</v>
      </c>
      <c r="C49" s="11"/>
      <c r="D49" s="6"/>
      <c r="E49" s="2"/>
      <c r="F49" s="7">
        <f t="shared" si="30"/>
        <v>0</v>
      </c>
      <c r="G49" s="2"/>
      <c r="H49" s="6"/>
      <c r="I49" s="2"/>
      <c r="J49" s="7">
        <f t="shared" si="31"/>
        <v>0</v>
      </c>
      <c r="K49" s="2"/>
      <c r="L49" s="6">
        <f t="shared" si="32"/>
        <v>0</v>
      </c>
      <c r="M49" s="2"/>
      <c r="N49" s="7">
        <f t="shared" si="33"/>
        <v>0</v>
      </c>
      <c r="O49" s="11"/>
      <c r="P49" s="6"/>
      <c r="Q49" s="2"/>
      <c r="R49" s="7">
        <f t="shared" si="34"/>
        <v>0</v>
      </c>
      <c r="S49" s="2"/>
      <c r="T49" s="6">
        <v>350</v>
      </c>
      <c r="U49" s="2"/>
      <c r="V49" s="7">
        <f t="shared" si="35"/>
        <v>2.6167834960810678E-3</v>
      </c>
      <c r="W49" s="2"/>
      <c r="X49" s="6">
        <f t="shared" si="36"/>
        <v>-350</v>
      </c>
      <c r="Y49" s="2"/>
      <c r="Z49" s="7">
        <f t="shared" si="37"/>
        <v>-1</v>
      </c>
    </row>
    <row r="50" spans="1:26" s="29" customFormat="1" outlineLevel="1" collapsed="1" x14ac:dyDescent="0.25">
      <c r="A50" s="27"/>
      <c r="B50" s="14" t="str">
        <f>CONCATENATE("     ","General                                           ")</f>
        <v xml:space="preserve">     General                                           </v>
      </c>
      <c r="C50" s="14"/>
      <c r="D50" s="1">
        <f>SUM(OSRRefD22_8x_0)</f>
        <v>0</v>
      </c>
      <c r="E50" s="1"/>
      <c r="F50" s="5">
        <f t="shared" si="30"/>
        <v>0</v>
      </c>
      <c r="G50" s="1"/>
      <c r="H50" s="1">
        <f>SUM(OSRRefH22_8x_0)</f>
        <v>2970</v>
      </c>
      <c r="I50" s="1"/>
      <c r="J50" s="5">
        <f t="shared" si="31"/>
        <v>9.0134847194120418E-2</v>
      </c>
      <c r="K50" s="1"/>
      <c r="L50" s="1">
        <f t="shared" si="32"/>
        <v>-2970</v>
      </c>
      <c r="M50" s="1"/>
      <c r="N50" s="5">
        <f t="shared" si="33"/>
        <v>-1</v>
      </c>
      <c r="O50" s="14"/>
      <c r="P50" s="1">
        <f>SUM(OSRRefP22_8x_0)</f>
        <v>0</v>
      </c>
      <c r="Q50" s="1"/>
      <c r="R50" s="5">
        <f t="shared" si="34"/>
        <v>0</v>
      </c>
      <c r="S50" s="1"/>
      <c r="T50" s="1">
        <f>SUM(OSRRefT22_8x_0)</f>
        <v>11218.49</v>
      </c>
      <c r="U50" s="1"/>
      <c r="V50" s="5">
        <f t="shared" si="35"/>
        <v>8.3875312808429997E-2</v>
      </c>
      <c r="W50" s="1"/>
      <c r="X50" s="1">
        <f t="shared" si="36"/>
        <v>-11218.49</v>
      </c>
      <c r="Y50" s="1"/>
      <c r="Z50" s="5">
        <f t="shared" si="37"/>
        <v>-1</v>
      </c>
    </row>
    <row r="51" spans="1:26" s="24" customFormat="1" hidden="1" outlineLevel="2" x14ac:dyDescent="0.25">
      <c r="A51" s="28"/>
      <c r="B51" s="11" t="str">
        <f>CONCATENATE("          ", "6279", " - ", "GENERAL EXPENSE")</f>
        <v xml:space="preserve">          6279 - GENERAL EXPENSE</v>
      </c>
      <c r="C51" s="11"/>
      <c r="D51" s="6"/>
      <c r="E51" s="2"/>
      <c r="F51" s="7">
        <f t="shared" si="30"/>
        <v>0</v>
      </c>
      <c r="G51" s="2"/>
      <c r="H51" s="6">
        <v>2970</v>
      </c>
      <c r="I51" s="2"/>
      <c r="J51" s="7">
        <f t="shared" si="31"/>
        <v>9.0134847194120418E-2</v>
      </c>
      <c r="K51" s="2"/>
      <c r="L51" s="6">
        <f t="shared" si="32"/>
        <v>-2970</v>
      </c>
      <c r="M51" s="2"/>
      <c r="N51" s="7">
        <f t="shared" si="33"/>
        <v>-1</v>
      </c>
      <c r="O51" s="11"/>
      <c r="P51" s="6"/>
      <c r="Q51" s="2"/>
      <c r="R51" s="7">
        <f t="shared" si="34"/>
        <v>0</v>
      </c>
      <c r="S51" s="2"/>
      <c r="T51" s="6">
        <v>11218.49</v>
      </c>
      <c r="U51" s="2"/>
      <c r="V51" s="7">
        <f t="shared" si="35"/>
        <v>8.3875312808429997E-2</v>
      </c>
      <c r="W51" s="2"/>
      <c r="X51" s="6">
        <f t="shared" si="36"/>
        <v>-11218.49</v>
      </c>
      <c r="Y51" s="2"/>
      <c r="Z51" s="7">
        <f t="shared" si="37"/>
        <v>-1</v>
      </c>
    </row>
    <row r="52" spans="1:26" s="29" customFormat="1" outlineLevel="1" collapsed="1" x14ac:dyDescent="0.25">
      <c r="A52" s="27"/>
      <c r="B52" s="14" t="str">
        <f>CONCATENATE("     ","Repair and Maintenance                            ")</f>
        <v xml:space="preserve">     Repair and Maintenance                            </v>
      </c>
      <c r="C52" s="14"/>
      <c r="D52" s="1">
        <f>SUM(OSRRefD22_9x_0)</f>
        <v>0</v>
      </c>
      <c r="E52" s="1"/>
      <c r="F52" s="5">
        <f t="shared" si="30"/>
        <v>0</v>
      </c>
      <c r="G52" s="1"/>
      <c r="H52" s="1">
        <f>SUM(OSRRefH22_9x_0)</f>
        <v>1285.72</v>
      </c>
      <c r="I52" s="1"/>
      <c r="J52" s="5">
        <f t="shared" si="31"/>
        <v>3.9019587789368523E-2</v>
      </c>
      <c r="K52" s="1"/>
      <c r="L52" s="1">
        <f t="shared" si="32"/>
        <v>-1285.72</v>
      </c>
      <c r="M52" s="1"/>
      <c r="N52" s="5">
        <f t="shared" si="33"/>
        <v>-1</v>
      </c>
      <c r="O52" s="14"/>
      <c r="P52" s="1">
        <f>SUM(OSRRefP22_9x_0)</f>
        <v>235.8</v>
      </c>
      <c r="Q52" s="1"/>
      <c r="R52" s="5">
        <f t="shared" si="34"/>
        <v>0</v>
      </c>
      <c r="S52" s="1"/>
      <c r="T52" s="1">
        <f>SUM(OSRRefT22_9x_0)</f>
        <v>4808.05</v>
      </c>
      <c r="U52" s="1"/>
      <c r="V52" s="5">
        <f t="shared" si="35"/>
        <v>3.5947502538093083E-2</v>
      </c>
      <c r="W52" s="1"/>
      <c r="X52" s="1">
        <f t="shared" si="36"/>
        <v>-4572.25</v>
      </c>
      <c r="Y52" s="1"/>
      <c r="Z52" s="5">
        <f t="shared" si="37"/>
        <v>-0.95095724878069066</v>
      </c>
    </row>
    <row r="53" spans="1:26" s="24" customFormat="1" hidden="1" outlineLevel="2" x14ac:dyDescent="0.25">
      <c r="A53" s="28"/>
      <c r="B53" s="11" t="str">
        <f>CONCATENATE("          ", "6371", " - ", "COMPUTER SOFTWARE MAINTENANCE")</f>
        <v xml:space="preserve">          6371 - COMPUTER SOFTWARE MAINTENANCE</v>
      </c>
      <c r="C53" s="11"/>
      <c r="D53" s="6"/>
      <c r="E53" s="2"/>
      <c r="F53" s="7">
        <f t="shared" si="30"/>
        <v>0</v>
      </c>
      <c r="G53" s="2"/>
      <c r="H53" s="6"/>
      <c r="I53" s="2"/>
      <c r="J53" s="7">
        <f t="shared" si="31"/>
        <v>0</v>
      </c>
      <c r="K53" s="2"/>
      <c r="L53" s="6">
        <f t="shared" si="32"/>
        <v>0</v>
      </c>
      <c r="M53" s="2"/>
      <c r="N53" s="7">
        <f t="shared" si="33"/>
        <v>0</v>
      </c>
      <c r="O53" s="11"/>
      <c r="P53" s="6"/>
      <c r="Q53" s="2"/>
      <c r="R53" s="7">
        <f t="shared" si="34"/>
        <v>0</v>
      </c>
      <c r="S53" s="2"/>
      <c r="T53" s="6">
        <v>2623.84</v>
      </c>
      <c r="U53" s="2"/>
      <c r="V53" s="7">
        <f t="shared" si="35"/>
        <v>1.9617203452449571E-2</v>
      </c>
      <c r="W53" s="2"/>
      <c r="X53" s="6">
        <f t="shared" si="36"/>
        <v>-2623.84</v>
      </c>
      <c r="Y53" s="2"/>
      <c r="Z53" s="7">
        <f t="shared" si="37"/>
        <v>-1</v>
      </c>
    </row>
    <row r="54" spans="1:26" s="24" customFormat="1" hidden="1" outlineLevel="2" x14ac:dyDescent="0.25">
      <c r="A54" s="28"/>
      <c r="B54" s="11" t="str">
        <f>CONCATENATE("          ", "6373", " - ", "MAINTENANCE CONTRACTS")</f>
        <v xml:space="preserve">          6373 - MAINTENANCE CONTRACTS</v>
      </c>
      <c r="C54" s="11"/>
      <c r="D54" s="6"/>
      <c r="E54" s="2"/>
      <c r="F54" s="7">
        <f t="shared" si="30"/>
        <v>0</v>
      </c>
      <c r="G54" s="2"/>
      <c r="H54" s="6"/>
      <c r="I54" s="2"/>
      <c r="J54" s="7">
        <f t="shared" si="31"/>
        <v>0</v>
      </c>
      <c r="K54" s="2"/>
      <c r="L54" s="6">
        <f t="shared" si="32"/>
        <v>0</v>
      </c>
      <c r="M54" s="2"/>
      <c r="N54" s="7">
        <f t="shared" si="33"/>
        <v>0</v>
      </c>
      <c r="O54" s="11"/>
      <c r="P54" s="6">
        <v>235.8</v>
      </c>
      <c r="Q54" s="2"/>
      <c r="R54" s="7">
        <f t="shared" si="34"/>
        <v>0</v>
      </c>
      <c r="S54" s="2"/>
      <c r="T54" s="6"/>
      <c r="U54" s="2"/>
      <c r="V54" s="7">
        <f t="shared" si="35"/>
        <v>0</v>
      </c>
      <c r="W54" s="2"/>
      <c r="X54" s="6">
        <f t="shared" si="36"/>
        <v>235.8</v>
      </c>
      <c r="Y54" s="2"/>
      <c r="Z54" s="7">
        <f t="shared" si="37"/>
        <v>0</v>
      </c>
    </row>
    <row r="55" spans="1:26" s="24" customFormat="1" hidden="1" outlineLevel="2" x14ac:dyDescent="0.25">
      <c r="A55" s="28"/>
      <c r="B55" s="11" t="str">
        <f>CONCATENATE("          ", "6375", " - ", "OUTSIDE REPAIRS &amp; MAINTENANCE")</f>
        <v xml:space="preserve">          6375 - OUTSIDE REPAIRS &amp; MAINTENANCE</v>
      </c>
      <c r="C55" s="11"/>
      <c r="D55" s="6"/>
      <c r="E55" s="2"/>
      <c r="F55" s="7">
        <f t="shared" si="30"/>
        <v>0</v>
      </c>
      <c r="G55" s="2"/>
      <c r="H55" s="6">
        <v>1285.72</v>
      </c>
      <c r="I55" s="2"/>
      <c r="J55" s="7">
        <f t="shared" si="31"/>
        <v>3.9019587789368523E-2</v>
      </c>
      <c r="K55" s="2"/>
      <c r="L55" s="6">
        <f t="shared" si="32"/>
        <v>-1285.72</v>
      </c>
      <c r="M55" s="2"/>
      <c r="N55" s="7">
        <f t="shared" si="33"/>
        <v>-1</v>
      </c>
      <c r="O55" s="11"/>
      <c r="P55" s="6"/>
      <c r="Q55" s="2"/>
      <c r="R55" s="7">
        <f t="shared" si="34"/>
        <v>0</v>
      </c>
      <c r="S55" s="2"/>
      <c r="T55" s="6">
        <v>2184.21</v>
      </c>
      <c r="U55" s="2"/>
      <c r="V55" s="7">
        <f t="shared" si="35"/>
        <v>1.6330299085643513E-2</v>
      </c>
      <c r="W55" s="2"/>
      <c r="X55" s="6">
        <f t="shared" si="36"/>
        <v>-2184.21</v>
      </c>
      <c r="Y55" s="2"/>
      <c r="Z55" s="7">
        <f t="shared" si="37"/>
        <v>-1</v>
      </c>
    </row>
    <row r="56" spans="1:26" s="29" customFormat="1" outlineLevel="1" collapsed="1" x14ac:dyDescent="0.25">
      <c r="A56" s="27"/>
      <c r="B56" s="14" t="str">
        <f>CONCATENATE("     ","Royalty &amp; Commissions                             ")</f>
        <v xml:space="preserve">     Royalty &amp; Commissions                             </v>
      </c>
      <c r="C56" s="14"/>
      <c r="D56" s="1">
        <f>SUM(OSRRefD22_10x_0)</f>
        <v>0</v>
      </c>
      <c r="E56" s="1"/>
      <c r="F56" s="5">
        <f t="shared" ref="F56:F60" si="38">IF(D$12=0,0,D56/D$12)</f>
        <v>0</v>
      </c>
      <c r="G56" s="1"/>
      <c r="H56" s="1">
        <f>SUM(OSRRefH22_10x_0)</f>
        <v>7273.49</v>
      </c>
      <c r="I56" s="1"/>
      <c r="J56" s="5">
        <f t="shared" ref="J56:J60" si="39">IF(H$12=0,0,H56/H$12)</f>
        <v>0.22073902684106497</v>
      </c>
      <c r="K56" s="1"/>
      <c r="L56" s="1">
        <f t="shared" ref="L56:L60" si="40">+D56-H56</f>
        <v>-7273.49</v>
      </c>
      <c r="M56" s="1"/>
      <c r="N56" s="5">
        <f t="shared" ref="N56:N60" si="41">IF(H56=0,0,L56/H56)</f>
        <v>-1</v>
      </c>
      <c r="O56" s="14"/>
      <c r="P56" s="1">
        <f>SUM(OSRRefP22_10x_0)</f>
        <v>0</v>
      </c>
      <c r="Q56" s="1"/>
      <c r="R56" s="5">
        <f t="shared" ref="R56:R60" si="42">IF(P$12=0,0,P56/P$12)</f>
        <v>0</v>
      </c>
      <c r="S56" s="1"/>
      <c r="T56" s="1">
        <f>SUM(OSRRefT22_10x_0)</f>
        <v>29009.69</v>
      </c>
      <c r="U56" s="1"/>
      <c r="V56" s="5">
        <f t="shared" ref="V56:V60" si="43">IF(T$12=0,0,T56/T$12)</f>
        <v>0.21689165148122283</v>
      </c>
      <c r="W56" s="1"/>
      <c r="X56" s="1">
        <f t="shared" ref="X56:X60" si="44">+P56-T56</f>
        <v>-29009.69</v>
      </c>
      <c r="Y56" s="1"/>
      <c r="Z56" s="5">
        <f t="shared" ref="Z56:Z60" si="45">IF(T56=0,0,X56/T56)</f>
        <v>-1</v>
      </c>
    </row>
    <row r="57" spans="1:26" s="24" customFormat="1" hidden="1" outlineLevel="2" x14ac:dyDescent="0.25">
      <c r="A57" s="28"/>
      <c r="B57" s="11" t="str">
        <f>CONCATENATE("          ", "6254", " - ", "ROYALTY &amp; COMMISSIONS")</f>
        <v xml:space="preserve">          6254 - ROYALTY &amp; COMMISSIONS</v>
      </c>
      <c r="C57" s="11"/>
      <c r="D57" s="6"/>
      <c r="E57" s="2"/>
      <c r="F57" s="7">
        <f t="shared" si="38"/>
        <v>0</v>
      </c>
      <c r="G57" s="2"/>
      <c r="H57" s="6">
        <v>7273.49</v>
      </c>
      <c r="I57" s="2"/>
      <c r="J57" s="7">
        <f t="shared" si="39"/>
        <v>0.22073902684106497</v>
      </c>
      <c r="K57" s="2"/>
      <c r="L57" s="6">
        <f t="shared" si="40"/>
        <v>-7273.49</v>
      </c>
      <c r="M57" s="2"/>
      <c r="N57" s="7">
        <f t="shared" si="41"/>
        <v>-1</v>
      </c>
      <c r="O57" s="11"/>
      <c r="P57" s="6"/>
      <c r="Q57" s="2"/>
      <c r="R57" s="7">
        <f t="shared" si="42"/>
        <v>0</v>
      </c>
      <c r="S57" s="2"/>
      <c r="T57" s="6">
        <v>29009.69</v>
      </c>
      <c r="U57" s="2"/>
      <c r="V57" s="7">
        <f t="shared" si="43"/>
        <v>0.21689165148122283</v>
      </c>
      <c r="W57" s="2"/>
      <c r="X57" s="6">
        <f t="shared" si="44"/>
        <v>-29009.69</v>
      </c>
      <c r="Y57" s="2"/>
      <c r="Z57" s="7">
        <f t="shared" si="45"/>
        <v>-1</v>
      </c>
    </row>
    <row r="58" spans="1:26" s="29" customFormat="1" outlineLevel="1" collapsed="1" x14ac:dyDescent="0.25">
      <c r="A58" s="27"/>
      <c r="B58" s="14" t="str">
        <f>CONCATENATE("     ","Services                                          ")</f>
        <v xml:space="preserve">     Services                                          </v>
      </c>
      <c r="C58" s="14"/>
      <c r="D58" s="1">
        <f>SUM(OSRRefD22_11x_0)</f>
        <v>0</v>
      </c>
      <c r="E58" s="1"/>
      <c r="F58" s="5">
        <f t="shared" si="38"/>
        <v>0</v>
      </c>
      <c r="G58" s="1"/>
      <c r="H58" s="1">
        <f>SUM(OSRRefH22_11x_0)</f>
        <v>372.06</v>
      </c>
      <c r="I58" s="1"/>
      <c r="J58" s="5">
        <f t="shared" si="39"/>
        <v>1.1291438130317995E-2</v>
      </c>
      <c r="K58" s="1"/>
      <c r="L58" s="1">
        <f t="shared" si="40"/>
        <v>-372.06</v>
      </c>
      <c r="M58" s="1"/>
      <c r="N58" s="5">
        <f t="shared" si="41"/>
        <v>-1</v>
      </c>
      <c r="O58" s="14"/>
      <c r="P58" s="1">
        <f>SUM(OSRRefP22_11x_0)</f>
        <v>0</v>
      </c>
      <c r="Q58" s="1"/>
      <c r="R58" s="5">
        <f t="shared" si="42"/>
        <v>0</v>
      </c>
      <c r="S58" s="1"/>
      <c r="T58" s="1">
        <f>SUM(OSRRefT22_11x_0)</f>
        <v>1106.3499999999999</v>
      </c>
      <c r="U58" s="1"/>
      <c r="V58" s="5">
        <f t="shared" si="43"/>
        <v>8.2716526311122553E-3</v>
      </c>
      <c r="W58" s="1"/>
      <c r="X58" s="1">
        <f t="shared" si="44"/>
        <v>-1106.3499999999999</v>
      </c>
      <c r="Y58" s="1"/>
      <c r="Z58" s="5">
        <f t="shared" si="45"/>
        <v>-1</v>
      </c>
    </row>
    <row r="59" spans="1:26" s="24" customFormat="1" hidden="1" outlineLevel="2" x14ac:dyDescent="0.25">
      <c r="A59" s="28"/>
      <c r="B59" s="11" t="str">
        <f>CONCATENATE("          ", "6282", " - ", "JANITORIAL/EXTERMINATOR EXPENS")</f>
        <v xml:space="preserve">          6282 - JANITORIAL/EXTERMINATOR EXPENS</v>
      </c>
      <c r="C59" s="11"/>
      <c r="D59" s="6"/>
      <c r="E59" s="2"/>
      <c r="F59" s="7">
        <f t="shared" si="38"/>
        <v>0</v>
      </c>
      <c r="G59" s="2"/>
      <c r="H59" s="6">
        <v>225.81</v>
      </c>
      <c r="I59" s="2"/>
      <c r="J59" s="7">
        <f t="shared" si="39"/>
        <v>6.8529797457590347E-3</v>
      </c>
      <c r="K59" s="2"/>
      <c r="L59" s="6">
        <f t="shared" si="40"/>
        <v>-225.81</v>
      </c>
      <c r="M59" s="2"/>
      <c r="N59" s="7">
        <f t="shared" si="41"/>
        <v>-1</v>
      </c>
      <c r="O59" s="11"/>
      <c r="P59" s="6"/>
      <c r="Q59" s="2"/>
      <c r="R59" s="7">
        <f t="shared" si="42"/>
        <v>0</v>
      </c>
      <c r="S59" s="2"/>
      <c r="T59" s="6">
        <v>903.24</v>
      </c>
      <c r="U59" s="2"/>
      <c r="V59" s="7">
        <f t="shared" si="43"/>
        <v>6.7530957857150397E-3</v>
      </c>
      <c r="W59" s="2"/>
      <c r="X59" s="6">
        <f t="shared" si="44"/>
        <v>-903.24</v>
      </c>
      <c r="Y59" s="2"/>
      <c r="Z59" s="7">
        <f t="shared" si="45"/>
        <v>-1</v>
      </c>
    </row>
    <row r="60" spans="1:26" s="24" customFormat="1" hidden="1" outlineLevel="2" x14ac:dyDescent="0.25">
      <c r="A60" s="28"/>
      <c r="B60" s="11" t="str">
        <f>CONCATENATE("          ", "6286", " - ", "LAUNDRY EXPENSE")</f>
        <v xml:space="preserve">          6286 - LAUNDRY EXPENSE</v>
      </c>
      <c r="C60" s="11"/>
      <c r="D60" s="6"/>
      <c r="E60" s="2"/>
      <c r="F60" s="7">
        <f t="shared" si="38"/>
        <v>0</v>
      </c>
      <c r="G60" s="2"/>
      <c r="H60" s="6">
        <v>146.25</v>
      </c>
      <c r="I60" s="2"/>
      <c r="J60" s="7">
        <f t="shared" si="39"/>
        <v>4.4384583845589604E-3</v>
      </c>
      <c r="K60" s="2"/>
      <c r="L60" s="6">
        <f t="shared" si="40"/>
        <v>-146.25</v>
      </c>
      <c r="M60" s="2"/>
      <c r="N60" s="7">
        <f t="shared" si="41"/>
        <v>-1</v>
      </c>
      <c r="O60" s="11"/>
      <c r="P60" s="6"/>
      <c r="Q60" s="2"/>
      <c r="R60" s="7">
        <f t="shared" si="42"/>
        <v>0</v>
      </c>
      <c r="S60" s="2"/>
      <c r="T60" s="6">
        <v>203.11</v>
      </c>
      <c r="U60" s="2"/>
      <c r="V60" s="7">
        <f t="shared" si="43"/>
        <v>1.5185568453972163E-3</v>
      </c>
      <c r="W60" s="2"/>
      <c r="X60" s="6">
        <f t="shared" si="44"/>
        <v>-203.11</v>
      </c>
      <c r="Y60" s="2"/>
      <c r="Z60" s="7">
        <f t="shared" si="45"/>
        <v>-1</v>
      </c>
    </row>
    <row r="61" spans="1:26" s="29" customFormat="1" outlineLevel="1" collapsed="1" x14ac:dyDescent="0.25">
      <c r="A61" s="27"/>
      <c r="B61" s="14" t="str">
        <f>CONCATENATE("     ","Supplies                                          ")</f>
        <v xml:space="preserve">     Supplies                                          </v>
      </c>
      <c r="C61" s="14"/>
      <c r="D61" s="1">
        <f>SUM(OSRRefD22_12x_0)</f>
        <v>0</v>
      </c>
      <c r="E61" s="1"/>
      <c r="F61" s="5">
        <f t="shared" ref="F61:F67" si="46">IF(D$12=0,0,D61/D$12)</f>
        <v>0</v>
      </c>
      <c r="G61" s="1"/>
      <c r="H61" s="1">
        <f>SUM(OSRRefH22_12x_0)</f>
        <v>5870.53</v>
      </c>
      <c r="I61" s="1"/>
      <c r="J61" s="5">
        <f t="shared" ref="J61:J67" si="47">IF(H$12=0,0,H61/H$12)</f>
        <v>0.17816138872003359</v>
      </c>
      <c r="K61" s="1"/>
      <c r="L61" s="1">
        <f t="shared" ref="L61:L67" si="48">+D61-H61</f>
        <v>-5870.53</v>
      </c>
      <c r="M61" s="1"/>
      <c r="N61" s="5">
        <f t="shared" ref="N61:N67" si="49">IF(H61=0,0,L61/H61)</f>
        <v>-1</v>
      </c>
      <c r="O61" s="14"/>
      <c r="P61" s="1">
        <f>SUM(OSRRefP22_12x_0)</f>
        <v>0</v>
      </c>
      <c r="Q61" s="1"/>
      <c r="R61" s="5">
        <f t="shared" ref="R61:R67" si="50">IF(P$12=0,0,P61/P$12)</f>
        <v>0</v>
      </c>
      <c r="S61" s="1"/>
      <c r="T61" s="1">
        <f>SUM(OSRRefT22_12x_0)</f>
        <v>9964.02</v>
      </c>
      <c r="U61" s="1"/>
      <c r="V61" s="5">
        <f t="shared" ref="V61:V67" si="51">IF(T$12=0,0,T61/T$12)</f>
        <v>7.449623740177623E-2</v>
      </c>
      <c r="W61" s="1"/>
      <c r="X61" s="1">
        <f t="shared" ref="X61:X67" si="52">+P61-T61</f>
        <v>-9964.02</v>
      </c>
      <c r="Y61" s="1"/>
      <c r="Z61" s="5">
        <f t="shared" ref="Z61:Z67" si="53">IF(T61=0,0,X61/T61)</f>
        <v>-1</v>
      </c>
    </row>
    <row r="62" spans="1:26" s="24" customFormat="1" hidden="1" outlineLevel="2" x14ac:dyDescent="0.25">
      <c r="A62" s="28"/>
      <c r="B62" s="11" t="str">
        <f>CONCATENATE("          ", "6234", " - ", "EXPENDABLE SUPPLIES &amp; EQUIPMEN")</f>
        <v xml:space="preserve">          6234 - EXPENDABLE SUPPLIES &amp; EQUIPMEN</v>
      </c>
      <c r="C62" s="11"/>
      <c r="D62" s="6"/>
      <c r="E62" s="2"/>
      <c r="F62" s="7">
        <f t="shared" si="46"/>
        <v>0</v>
      </c>
      <c r="G62" s="2"/>
      <c r="H62" s="6">
        <v>3756.46</v>
      </c>
      <c r="I62" s="2"/>
      <c r="J62" s="7">
        <f t="shared" si="47"/>
        <v>0.11400267612485711</v>
      </c>
      <c r="K62" s="2"/>
      <c r="L62" s="6">
        <f t="shared" si="48"/>
        <v>-3756.46</v>
      </c>
      <c r="M62" s="2"/>
      <c r="N62" s="7">
        <f t="shared" si="49"/>
        <v>-1</v>
      </c>
      <c r="O62" s="11"/>
      <c r="P62" s="6"/>
      <c r="Q62" s="2"/>
      <c r="R62" s="7">
        <f t="shared" si="50"/>
        <v>0</v>
      </c>
      <c r="S62" s="2"/>
      <c r="T62" s="6">
        <v>3756.46</v>
      </c>
      <c r="U62" s="2"/>
      <c r="V62" s="7">
        <f t="shared" si="51"/>
        <v>2.8085264376253395E-2</v>
      </c>
      <c r="W62" s="2"/>
      <c r="X62" s="6">
        <f t="shared" si="52"/>
        <v>-3756.46</v>
      </c>
      <c r="Y62" s="2"/>
      <c r="Z62" s="7">
        <f t="shared" si="53"/>
        <v>-1</v>
      </c>
    </row>
    <row r="63" spans="1:26" s="24" customFormat="1" hidden="1" outlineLevel="2" x14ac:dyDescent="0.25">
      <c r="A63" s="28"/>
      <c r="B63" s="11" t="str">
        <f>CONCATENATE("          ", "6237", " - ", "JANITORIAL SUPPLIES")</f>
        <v xml:space="preserve">          6237 - JANITORIAL SUPPLIES</v>
      </c>
      <c r="C63" s="11"/>
      <c r="D63" s="6"/>
      <c r="E63" s="2"/>
      <c r="F63" s="7">
        <f t="shared" si="46"/>
        <v>0</v>
      </c>
      <c r="G63" s="2"/>
      <c r="H63" s="6"/>
      <c r="I63" s="2"/>
      <c r="J63" s="7">
        <f t="shared" si="47"/>
        <v>0</v>
      </c>
      <c r="K63" s="2"/>
      <c r="L63" s="6">
        <f t="shared" si="48"/>
        <v>0</v>
      </c>
      <c r="M63" s="2"/>
      <c r="N63" s="7">
        <f t="shared" si="49"/>
        <v>0</v>
      </c>
      <c r="O63" s="11"/>
      <c r="P63" s="6"/>
      <c r="Q63" s="2"/>
      <c r="R63" s="7">
        <f t="shared" si="50"/>
        <v>0</v>
      </c>
      <c r="S63" s="2"/>
      <c r="T63" s="6">
        <v>240.56</v>
      </c>
      <c r="U63" s="2"/>
      <c r="V63" s="7">
        <f t="shared" si="51"/>
        <v>1.7985526794778905E-3</v>
      </c>
      <c r="W63" s="2"/>
      <c r="X63" s="6">
        <f t="shared" si="52"/>
        <v>-240.56</v>
      </c>
      <c r="Y63" s="2"/>
      <c r="Z63" s="7">
        <f t="shared" si="53"/>
        <v>-1</v>
      </c>
    </row>
    <row r="64" spans="1:26" s="24" customFormat="1" hidden="1" outlineLevel="2" x14ac:dyDescent="0.25">
      <c r="A64" s="28"/>
      <c r="B64" s="11" t="str">
        <f>CONCATENATE("          ", "6239", " - ", "KITCHEN SUPPLIES")</f>
        <v xml:space="preserve">          6239 - KITCHEN SUPPLIES</v>
      </c>
      <c r="C64" s="11"/>
      <c r="D64" s="6"/>
      <c r="E64" s="2"/>
      <c r="F64" s="7">
        <f t="shared" si="46"/>
        <v>0</v>
      </c>
      <c r="G64" s="2"/>
      <c r="H64" s="6">
        <v>2087.4499999999998</v>
      </c>
      <c r="I64" s="2"/>
      <c r="J64" s="7">
        <f t="shared" si="47"/>
        <v>6.3350837298103257E-2</v>
      </c>
      <c r="K64" s="2"/>
      <c r="L64" s="6">
        <f t="shared" si="48"/>
        <v>-2087.4499999999998</v>
      </c>
      <c r="M64" s="2"/>
      <c r="N64" s="7">
        <f t="shared" si="49"/>
        <v>-1</v>
      </c>
      <c r="O64" s="11"/>
      <c r="P64" s="6"/>
      <c r="Q64" s="2"/>
      <c r="R64" s="7">
        <f t="shared" si="50"/>
        <v>0</v>
      </c>
      <c r="S64" s="2"/>
      <c r="T64" s="6">
        <v>3834</v>
      </c>
      <c r="U64" s="2"/>
      <c r="V64" s="7">
        <f t="shared" si="51"/>
        <v>2.8664994068499469E-2</v>
      </c>
      <c r="W64" s="2"/>
      <c r="X64" s="6">
        <f t="shared" si="52"/>
        <v>-3834</v>
      </c>
      <c r="Y64" s="2"/>
      <c r="Z64" s="7">
        <f t="shared" si="53"/>
        <v>-1</v>
      </c>
    </row>
    <row r="65" spans="1:26" s="24" customFormat="1" hidden="1" outlineLevel="2" x14ac:dyDescent="0.25">
      <c r="A65" s="28"/>
      <c r="B65" s="11" t="str">
        <f>CONCATENATE("          ", "6241", " - ", "OFFICE EXPENSE")</f>
        <v xml:space="preserve">          6241 - OFFICE EXPENSE</v>
      </c>
      <c r="C65" s="11"/>
      <c r="D65" s="6"/>
      <c r="E65" s="2"/>
      <c r="F65" s="7">
        <f t="shared" si="46"/>
        <v>0</v>
      </c>
      <c r="G65" s="2"/>
      <c r="H65" s="6">
        <v>5.12</v>
      </c>
      <c r="I65" s="2"/>
      <c r="J65" s="7">
        <f t="shared" si="47"/>
        <v>1.5538397900131197E-4</v>
      </c>
      <c r="K65" s="2"/>
      <c r="L65" s="6">
        <f t="shared" si="48"/>
        <v>-5.12</v>
      </c>
      <c r="M65" s="2"/>
      <c r="N65" s="7">
        <f t="shared" si="49"/>
        <v>-1</v>
      </c>
      <c r="O65" s="11"/>
      <c r="P65" s="6"/>
      <c r="Q65" s="2"/>
      <c r="R65" s="7">
        <f t="shared" si="50"/>
        <v>0</v>
      </c>
      <c r="S65" s="2"/>
      <c r="T65" s="6">
        <v>513.91</v>
      </c>
      <c r="U65" s="2"/>
      <c r="V65" s="7">
        <f t="shared" si="51"/>
        <v>3.8422605899172042E-3</v>
      </c>
      <c r="W65" s="2"/>
      <c r="X65" s="6">
        <f t="shared" si="52"/>
        <v>-513.91</v>
      </c>
      <c r="Y65" s="2"/>
      <c r="Z65" s="7">
        <f t="shared" si="53"/>
        <v>-1</v>
      </c>
    </row>
    <row r="66" spans="1:26" s="24" customFormat="1" hidden="1" outlineLevel="2" x14ac:dyDescent="0.25">
      <c r="A66" s="28"/>
      <c r="B66" s="11" t="str">
        <f>CONCATENATE("          ", "6243", " - ", "PAPER SUPPLIES")</f>
        <v xml:space="preserve">          6243 - PAPER SUPPLIES</v>
      </c>
      <c r="C66" s="11"/>
      <c r="D66" s="6"/>
      <c r="E66" s="2"/>
      <c r="F66" s="7">
        <f t="shared" si="46"/>
        <v>0</v>
      </c>
      <c r="G66" s="2"/>
      <c r="H66" s="6">
        <v>21.5</v>
      </c>
      <c r="I66" s="2"/>
      <c r="J66" s="7">
        <f t="shared" si="47"/>
        <v>6.5249131807191554E-4</v>
      </c>
      <c r="K66" s="2"/>
      <c r="L66" s="6">
        <f t="shared" si="48"/>
        <v>-21.5</v>
      </c>
      <c r="M66" s="2"/>
      <c r="N66" s="7">
        <f t="shared" si="49"/>
        <v>-1</v>
      </c>
      <c r="O66" s="11"/>
      <c r="P66" s="6"/>
      <c r="Q66" s="2"/>
      <c r="R66" s="7">
        <f t="shared" si="50"/>
        <v>0</v>
      </c>
      <c r="S66" s="2"/>
      <c r="T66" s="6">
        <v>1164.6500000000001</v>
      </c>
      <c r="U66" s="2"/>
      <c r="V66" s="7">
        <f t="shared" si="51"/>
        <v>8.7075339963166177E-3</v>
      </c>
      <c r="W66" s="2"/>
      <c r="X66" s="6">
        <f t="shared" si="52"/>
        <v>-1164.6500000000001</v>
      </c>
      <c r="Y66" s="2"/>
      <c r="Z66" s="7">
        <f t="shared" si="53"/>
        <v>-1</v>
      </c>
    </row>
    <row r="67" spans="1:26" s="24" customFormat="1" hidden="1" outlineLevel="2" x14ac:dyDescent="0.25">
      <c r="A67" s="28"/>
      <c r="B67" s="11" t="str">
        <f>CONCATENATE("          ", "6248", " - ", "UNIFORMS")</f>
        <v xml:space="preserve">          6248 - UNIFORMS</v>
      </c>
      <c r="C67" s="11"/>
      <c r="D67" s="6"/>
      <c r="E67" s="2"/>
      <c r="F67" s="7">
        <f t="shared" si="46"/>
        <v>0</v>
      </c>
      <c r="G67" s="2"/>
      <c r="H67" s="6"/>
      <c r="I67" s="2"/>
      <c r="J67" s="7">
        <f t="shared" si="47"/>
        <v>0</v>
      </c>
      <c r="K67" s="2"/>
      <c r="L67" s="6">
        <f t="shared" si="48"/>
        <v>0</v>
      </c>
      <c r="M67" s="2"/>
      <c r="N67" s="7">
        <f t="shared" si="49"/>
        <v>0</v>
      </c>
      <c r="O67" s="11"/>
      <c r="P67" s="6"/>
      <c r="Q67" s="2"/>
      <c r="R67" s="7">
        <f t="shared" si="50"/>
        <v>0</v>
      </c>
      <c r="S67" s="2"/>
      <c r="T67" s="6">
        <v>454.44</v>
      </c>
      <c r="U67" s="2"/>
      <c r="V67" s="7">
        <f t="shared" si="51"/>
        <v>3.3976316913116584E-3</v>
      </c>
      <c r="W67" s="2"/>
      <c r="X67" s="6">
        <f t="shared" si="52"/>
        <v>-454.44</v>
      </c>
      <c r="Y67" s="2"/>
      <c r="Z67" s="7">
        <f t="shared" si="53"/>
        <v>-1</v>
      </c>
    </row>
    <row r="68" spans="1:26" s="29" customFormat="1" outlineLevel="1" collapsed="1" x14ac:dyDescent="0.25">
      <c r="A68" s="27"/>
      <c r="B68" s="14" t="str">
        <f>CONCATENATE("     ","Telephone/Data Lines                              ")</f>
        <v xml:space="preserve">     Telephone/Data Lines                              </v>
      </c>
      <c r="C68" s="14"/>
      <c r="D68" s="1">
        <f>SUM(OSRRefD22_13x_0)</f>
        <v>20.54</v>
      </c>
      <c r="E68" s="1"/>
      <c r="F68" s="5">
        <f t="shared" ref="F68:F71" si="54">IF(D$12=0,0,D68/D$12)</f>
        <v>0</v>
      </c>
      <c r="G68" s="1"/>
      <c r="H68" s="1">
        <f>SUM(OSRRefH22_13x_0)</f>
        <v>604.33000000000004</v>
      </c>
      <c r="I68" s="1"/>
      <c r="J68" s="5">
        <f t="shared" ref="J68:J71" si="55">IF(H$12=0,0,H68/H$12)</f>
        <v>1.8340468755832593E-2</v>
      </c>
      <c r="K68" s="1"/>
      <c r="L68" s="1">
        <f t="shared" ref="L68:L71" si="56">+D68-H68</f>
        <v>-583.79000000000008</v>
      </c>
      <c r="M68" s="1"/>
      <c r="N68" s="5">
        <f t="shared" ref="N68:N71" si="57">IF(H68=0,0,L68/H68)</f>
        <v>-0.96601194711498695</v>
      </c>
      <c r="O68" s="14"/>
      <c r="P68" s="1">
        <f>SUM(OSRRefP22_13x_0)</f>
        <v>132.54</v>
      </c>
      <c r="Q68" s="1"/>
      <c r="R68" s="5">
        <f t="shared" ref="R68:R71" si="58">IF(P$12=0,0,P68/P$12)</f>
        <v>0</v>
      </c>
      <c r="S68" s="1"/>
      <c r="T68" s="1">
        <f>SUM(OSRRefT22_13x_0)</f>
        <v>1237.24</v>
      </c>
      <c r="U68" s="1"/>
      <c r="V68" s="5">
        <f t="shared" ref="V68:V71" si="59">IF(T$12=0,0,T68/T$12)</f>
        <v>9.2502548934038295E-3</v>
      </c>
      <c r="W68" s="1"/>
      <c r="X68" s="1">
        <f t="shared" ref="X68:X71" si="60">+P68-T68</f>
        <v>-1104.7</v>
      </c>
      <c r="Y68" s="1"/>
      <c r="Z68" s="5">
        <f t="shared" ref="Z68:Z71" si="61">IF(T68=0,0,X68/T68)</f>
        <v>-0.89287446251333613</v>
      </c>
    </row>
    <row r="69" spans="1:26" s="24" customFormat="1" hidden="1" outlineLevel="2" x14ac:dyDescent="0.25">
      <c r="A69" s="28"/>
      <c r="B69" s="11" t="str">
        <f>CONCATENATE("          ", "6309", " - ", "TELEPHONE")</f>
        <v xml:space="preserve">          6309 - TELEPHONE</v>
      </c>
      <c r="C69" s="11"/>
      <c r="D69" s="6">
        <v>20.54</v>
      </c>
      <c r="E69" s="2"/>
      <c r="F69" s="7">
        <f t="shared" si="54"/>
        <v>0</v>
      </c>
      <c r="G69" s="2"/>
      <c r="H69" s="6">
        <v>604.33000000000004</v>
      </c>
      <c r="I69" s="2"/>
      <c r="J69" s="7">
        <f t="shared" si="55"/>
        <v>1.8340468755832593E-2</v>
      </c>
      <c r="K69" s="2"/>
      <c r="L69" s="6">
        <f t="shared" si="56"/>
        <v>-583.79000000000008</v>
      </c>
      <c r="M69" s="2"/>
      <c r="N69" s="7">
        <f t="shared" si="57"/>
        <v>-0.96601194711498695</v>
      </c>
      <c r="O69" s="11"/>
      <c r="P69" s="6">
        <v>132.54</v>
      </c>
      <c r="Q69" s="2"/>
      <c r="R69" s="7">
        <f t="shared" si="58"/>
        <v>0</v>
      </c>
      <c r="S69" s="2"/>
      <c r="T69" s="6">
        <v>1237.24</v>
      </c>
      <c r="U69" s="2"/>
      <c r="V69" s="7">
        <f t="shared" si="59"/>
        <v>9.2502548934038295E-3</v>
      </c>
      <c r="W69" s="2"/>
      <c r="X69" s="6">
        <f t="shared" si="60"/>
        <v>-1104.7</v>
      </c>
      <c r="Y69" s="2"/>
      <c r="Z69" s="7">
        <f t="shared" si="61"/>
        <v>-0.89287446251333613</v>
      </c>
    </row>
    <row r="70" spans="1:26" s="29" customFormat="1" outlineLevel="1" collapsed="1" x14ac:dyDescent="0.25">
      <c r="A70" s="27"/>
      <c r="B70" s="14" t="str">
        <f>CONCATENATE("     ","Training                                          ")</f>
        <v xml:space="preserve">     Training                                          </v>
      </c>
      <c r="C70" s="14"/>
      <c r="D70" s="1">
        <f>SUM(OSRRefD22_14x_0)</f>
        <v>0</v>
      </c>
      <c r="E70" s="1"/>
      <c r="F70" s="5">
        <f t="shared" si="54"/>
        <v>0</v>
      </c>
      <c r="G70" s="1"/>
      <c r="H70" s="1">
        <f>SUM(OSRRefH22_14x_0)</f>
        <v>85</v>
      </c>
      <c r="I70" s="1"/>
      <c r="J70" s="5">
        <f t="shared" si="55"/>
        <v>2.5796168388889681E-3</v>
      </c>
      <c r="K70" s="1"/>
      <c r="L70" s="1">
        <f t="shared" si="56"/>
        <v>-85</v>
      </c>
      <c r="M70" s="1"/>
      <c r="N70" s="5">
        <f t="shared" si="57"/>
        <v>-1</v>
      </c>
      <c r="O70" s="14"/>
      <c r="P70" s="1">
        <f>SUM(OSRRefP22_14x_0)</f>
        <v>0</v>
      </c>
      <c r="Q70" s="1"/>
      <c r="R70" s="5">
        <f t="shared" si="58"/>
        <v>0</v>
      </c>
      <c r="S70" s="1"/>
      <c r="T70" s="1">
        <f>SUM(OSRRefT22_14x_0)</f>
        <v>237.95</v>
      </c>
      <c r="U70" s="1"/>
      <c r="V70" s="5">
        <f t="shared" si="59"/>
        <v>1.7790389511214001E-3</v>
      </c>
      <c r="W70" s="1"/>
      <c r="X70" s="1">
        <f t="shared" si="60"/>
        <v>-237.95</v>
      </c>
      <c r="Y70" s="1"/>
      <c r="Z70" s="5">
        <f t="shared" si="61"/>
        <v>-1</v>
      </c>
    </row>
    <row r="71" spans="1:26" s="24" customFormat="1" hidden="1" outlineLevel="2" x14ac:dyDescent="0.25">
      <c r="A71" s="28"/>
      <c r="B71" s="11" t="str">
        <f>CONCATENATE("          ", "6376", " - ", "TRAINING")</f>
        <v xml:space="preserve">          6376 - TRAINING</v>
      </c>
      <c r="C71" s="11"/>
      <c r="D71" s="6"/>
      <c r="E71" s="2"/>
      <c r="F71" s="7">
        <f t="shared" si="54"/>
        <v>0</v>
      </c>
      <c r="G71" s="2"/>
      <c r="H71" s="6">
        <v>85</v>
      </c>
      <c r="I71" s="2"/>
      <c r="J71" s="7">
        <f t="shared" si="55"/>
        <v>2.5796168388889681E-3</v>
      </c>
      <c r="K71" s="2"/>
      <c r="L71" s="6">
        <f t="shared" si="56"/>
        <v>-85</v>
      </c>
      <c r="M71" s="2"/>
      <c r="N71" s="7">
        <f t="shared" si="57"/>
        <v>-1</v>
      </c>
      <c r="O71" s="11"/>
      <c r="P71" s="6"/>
      <c r="Q71" s="2"/>
      <c r="R71" s="7">
        <f t="shared" si="58"/>
        <v>0</v>
      </c>
      <c r="S71" s="2"/>
      <c r="T71" s="6">
        <v>237.95</v>
      </c>
      <c r="U71" s="2"/>
      <c r="V71" s="7">
        <f t="shared" si="59"/>
        <v>1.7790389511214001E-3</v>
      </c>
      <c r="W71" s="2"/>
      <c r="X71" s="6">
        <f t="shared" si="60"/>
        <v>-237.95</v>
      </c>
      <c r="Y71" s="2"/>
      <c r="Z71" s="7">
        <f t="shared" si="61"/>
        <v>-1</v>
      </c>
    </row>
    <row r="72" spans="1:26" s="57" customFormat="1" x14ac:dyDescent="0.25">
      <c r="A72" s="37"/>
      <c r="B72" s="37"/>
      <c r="C72" s="37"/>
      <c r="D72" s="1"/>
      <c r="E72" s="1"/>
      <c r="F72" s="5"/>
      <c r="G72" s="1"/>
      <c r="H72" s="1"/>
      <c r="I72" s="1"/>
      <c r="J72" s="5"/>
      <c r="K72" s="1"/>
      <c r="L72" s="1"/>
      <c r="M72" s="1"/>
      <c r="N72" s="5"/>
      <c r="O72" s="37"/>
      <c r="P72" s="1"/>
      <c r="Q72" s="1"/>
      <c r="R72" s="5"/>
      <c r="S72" s="1"/>
      <c r="T72" s="1"/>
      <c r="U72" s="1"/>
      <c r="V72" s="5"/>
      <c r="W72" s="1"/>
      <c r="X72" s="1"/>
      <c r="Y72" s="1"/>
      <c r="Z72" s="5"/>
    </row>
    <row r="73" spans="1:26" s="23" customFormat="1" collapsed="1" x14ac:dyDescent="0.25">
      <c r="A73" s="10"/>
      <c r="B73" s="26" t="s">
        <v>0</v>
      </c>
      <c r="C73" s="10"/>
      <c r="D73" s="4">
        <f>SUM(OSRRefD25x_0)</f>
        <v>0</v>
      </c>
      <c r="E73" s="4"/>
      <c r="F73" s="12">
        <f t="shared" ref="F73:F74" si="62">IF(D$12=0,0,D73/D$12)</f>
        <v>0</v>
      </c>
      <c r="G73" s="4"/>
      <c r="H73" s="4">
        <f>SUM(OSRRefH25x_0)</f>
        <v>0</v>
      </c>
      <c r="I73" s="4"/>
      <c r="J73" s="12">
        <f t="shared" ref="J73:J74" si="63">IF(H$12=0,0,H73/H$12)</f>
        <v>0</v>
      </c>
      <c r="K73" s="4"/>
      <c r="L73" s="4">
        <f t="shared" ref="L73:L74" si="64">+D73-H73</f>
        <v>0</v>
      </c>
      <c r="M73" s="4"/>
      <c r="N73" s="12">
        <f t="shared" ref="N73:N74" si="65">IF(H73=0,0,L73/H73)</f>
        <v>0</v>
      </c>
      <c r="O73" s="10"/>
      <c r="P73" s="4">
        <f>SUM(OSRRefP25x_0)</f>
        <v>0</v>
      </c>
      <c r="Q73" s="4"/>
      <c r="R73" s="12">
        <f t="shared" ref="R73:R74" si="66">IF(P$12=0,0,P73/P$12)</f>
        <v>0</v>
      </c>
      <c r="S73" s="4"/>
      <c r="T73" s="4">
        <f>SUM(OSRRefT25x_0)</f>
        <v>29281.48</v>
      </c>
      <c r="U73" s="4"/>
      <c r="V73" s="12">
        <f t="shared" ref="V73:V74" si="67">IF(T$12=0,0,T73/T$12)</f>
        <v>0.21892369601379391</v>
      </c>
      <c r="W73" s="4"/>
      <c r="X73" s="4">
        <f t="shared" ref="X73:X74" si="68">+P73-T73</f>
        <v>-29281.48</v>
      </c>
      <c r="Y73" s="4"/>
      <c r="Z73" s="12">
        <f t="shared" ref="Z73:Z74" si="69">IF(T73=0,0,X73/T73)</f>
        <v>-1</v>
      </c>
    </row>
    <row r="74" spans="1:26" s="24" customFormat="1" hidden="1" outlineLevel="1" x14ac:dyDescent="0.25">
      <c r="A74" s="44"/>
      <c r="B74" s="11" t="str">
        <f>CONCATENATE("          ", "9150", " - ", "MISC. INCOME")</f>
        <v xml:space="preserve">          9150 - MISC. INCOME</v>
      </c>
      <c r="C74" s="11"/>
      <c r="D74" s="2">
        <f>0</f>
        <v>0</v>
      </c>
      <c r="E74" s="2"/>
      <c r="F74" s="19">
        <f t="shared" si="62"/>
        <v>0</v>
      </c>
      <c r="G74" s="2"/>
      <c r="H74" s="2">
        <f>0</f>
        <v>0</v>
      </c>
      <c r="I74" s="2"/>
      <c r="J74" s="19">
        <f t="shared" si="63"/>
        <v>0</v>
      </c>
      <c r="K74" s="2"/>
      <c r="L74" s="2">
        <f t="shared" si="64"/>
        <v>0</v>
      </c>
      <c r="M74" s="2"/>
      <c r="N74" s="19">
        <f t="shared" si="65"/>
        <v>0</v>
      </c>
      <c r="O74" s="11"/>
      <c r="P74" s="2">
        <f>0</f>
        <v>0</v>
      </c>
      <c r="Q74" s="2"/>
      <c r="R74" s="19">
        <f t="shared" si="66"/>
        <v>0</v>
      </c>
      <c r="S74" s="2"/>
      <c r="T74" s="2">
        <f>--29281.48</f>
        <v>29281.48</v>
      </c>
      <c r="U74" s="2"/>
      <c r="V74" s="19">
        <f t="shared" si="67"/>
        <v>0.21892369601379391</v>
      </c>
      <c r="W74" s="2"/>
      <c r="X74" s="2">
        <f t="shared" si="68"/>
        <v>-29281.48</v>
      </c>
      <c r="Y74" s="2"/>
      <c r="Z74" s="19">
        <f t="shared" si="69"/>
        <v>-1</v>
      </c>
    </row>
    <row r="75" spans="1:26" x14ac:dyDescent="0.25">
      <c r="A75" s="9"/>
      <c r="B75" s="10"/>
      <c r="C75" s="10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O75" s="10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25">
      <c r="A76" s="10"/>
      <c r="B76" s="25" t="s">
        <v>3</v>
      </c>
      <c r="C76" s="25"/>
      <c r="D76" s="20">
        <f>+D20-D22+D73</f>
        <v>-1021.4499999999999</v>
      </c>
      <c r="E76" s="13"/>
      <c r="F76" s="21">
        <f>IF(D$12=0,0,D76/D$12)</f>
        <v>0</v>
      </c>
      <c r="G76" s="13"/>
      <c r="H76" s="20">
        <f>+H20-H22+H73</f>
        <v>-9953.6000000000058</v>
      </c>
      <c r="I76" s="13"/>
      <c r="J76" s="21">
        <f>IF(H$12=0,0,H76/H$12)</f>
        <v>-0.30207616667723824</v>
      </c>
      <c r="K76" s="15"/>
      <c r="L76" s="20">
        <f>+D76-H76</f>
        <v>8932.1500000000051</v>
      </c>
      <c r="M76" s="15"/>
      <c r="N76" s="21">
        <f>IF(H76=0,0,L76/H76)</f>
        <v>-0.89737883780742644</v>
      </c>
      <c r="O76" s="26"/>
      <c r="P76" s="20">
        <f>+P20-P22+P73</f>
        <v>-7170.34</v>
      </c>
      <c r="Q76" s="13"/>
      <c r="R76" s="21">
        <f>IF(P$12=0,0,P76/P$12)</f>
        <v>0</v>
      </c>
      <c r="S76" s="13"/>
      <c r="T76" s="20">
        <f>+T20-T22+T73</f>
        <v>12179.409999999978</v>
      </c>
      <c r="U76" s="13"/>
      <c r="V76" s="21">
        <f>IF(T$12=0,0,T76/T$12)</f>
        <v>9.1059654514299038E-2</v>
      </c>
      <c r="W76" s="15"/>
      <c r="X76" s="20">
        <f>+P76-T76</f>
        <v>-19349.749999999978</v>
      </c>
      <c r="Y76" s="15"/>
      <c r="Z76" s="21">
        <f>IF(T76=0,0,X76/T76)</f>
        <v>-1.5887263832977141</v>
      </c>
    </row>
    <row r="77" spans="1:26" x14ac:dyDescent="0.25">
      <c r="A77" s="9"/>
      <c r="B77" s="10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x14ac:dyDescent="0.25">
      <c r="A78" s="51"/>
      <c r="B78" s="10" t="s">
        <v>13</v>
      </c>
      <c r="C78" s="10"/>
      <c r="D78" s="4"/>
      <c r="E78" s="4"/>
      <c r="F78" s="12">
        <f>IF(D$12=0,0,D78/D$12)</f>
        <v>0</v>
      </c>
      <c r="G78" s="4"/>
      <c r="H78" s="4">
        <v>2636.42</v>
      </c>
      <c r="I78" s="4"/>
      <c r="J78" s="12">
        <f>IF(H$12=0,0,H78/H$12)</f>
        <v>8.0011216780984162E-2</v>
      </c>
      <c r="K78" s="4"/>
      <c r="L78" s="4">
        <f>+D78-H78</f>
        <v>-2636.42</v>
      </c>
      <c r="M78" s="4"/>
      <c r="N78" s="12">
        <f>IF(H78=0,0,L78/H78)</f>
        <v>-1</v>
      </c>
      <c r="O78" s="10"/>
      <c r="P78" s="4"/>
      <c r="Q78" s="4"/>
      <c r="R78" s="12">
        <f>IF(P$12=0,0,P78/P$12)</f>
        <v>0</v>
      </c>
      <c r="S78" s="4"/>
      <c r="T78" s="4">
        <v>13463.82</v>
      </c>
      <c r="U78" s="4"/>
      <c r="V78" s="12">
        <f>IF(T$12=0,0,T78/T$12)</f>
        <v>0.100662577057732</v>
      </c>
      <c r="W78" s="4"/>
      <c r="X78" s="4">
        <f>+P78-T78</f>
        <v>-13463.82</v>
      </c>
      <c r="Y78" s="4"/>
      <c r="Z78" s="12">
        <f>IF(T78=0,0,X78/T78)</f>
        <v>-1</v>
      </c>
    </row>
    <row r="79" spans="1:26" x14ac:dyDescent="0.2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.75" thickBot="1" x14ac:dyDescent="0.3">
      <c r="A80" s="10"/>
      <c r="B80" s="25" t="s">
        <v>4</v>
      </c>
      <c r="C80" s="25"/>
      <c r="D80" s="30">
        <f>+D76-D78</f>
        <v>-1021.4499999999999</v>
      </c>
      <c r="E80" s="13"/>
      <c r="F80" s="33">
        <f>IF(D$12=0,0,D80/D$12)</f>
        <v>0</v>
      </c>
      <c r="G80" s="13"/>
      <c r="H80" s="30">
        <f>+H76-H78</f>
        <v>-12590.020000000006</v>
      </c>
      <c r="I80" s="13"/>
      <c r="J80" s="33">
        <f>IF(H$12=0,0,H80/H$12)</f>
        <v>-0.38208738345822241</v>
      </c>
      <c r="K80" s="15"/>
      <c r="L80" s="30">
        <f>D80-H80</f>
        <v>11568.570000000005</v>
      </c>
      <c r="M80" s="15"/>
      <c r="N80" s="33">
        <f>IF(H80=0,0,L80/H80)</f>
        <v>-0.91886827820765971</v>
      </c>
      <c r="O80" s="26"/>
      <c r="P80" s="30">
        <f>+P76-P78</f>
        <v>-7170.34</v>
      </c>
      <c r="Q80" s="13"/>
      <c r="R80" s="33">
        <f>IF(P$12=0,0,P80/P$12)</f>
        <v>0</v>
      </c>
      <c r="S80" s="13"/>
      <c r="T80" s="30">
        <f>+T76-T78</f>
        <v>-1284.4100000000217</v>
      </c>
      <c r="U80" s="13"/>
      <c r="V80" s="33">
        <f>IF(T$12=0,0,T80/T$12)</f>
        <v>-9.6029225434329738E-3</v>
      </c>
      <c r="W80" s="15"/>
      <c r="X80" s="30">
        <f>P80-T80</f>
        <v>-5885.9299999999785</v>
      </c>
      <c r="Y80" s="15"/>
      <c r="Z80" s="33">
        <f>IF(T80=0,0,X80/T80)</f>
        <v>4.5825943429277869</v>
      </c>
    </row>
    <row r="81" spans="1:26" ht="15.75" thickTop="1" x14ac:dyDescent="0.25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x14ac:dyDescent="0.25">
      <c r="A82" s="9"/>
      <c r="B82" s="9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ht="15.75" thickBot="1" x14ac:dyDescent="0.3">
      <c r="A83" s="10"/>
      <c r="B83" s="25" t="s">
        <v>5</v>
      </c>
      <c r="C83" s="25"/>
      <c r="D83" s="34">
        <f>SUM(D80:D82)</f>
        <v>-1021.4499999999999</v>
      </c>
      <c r="E83" s="13"/>
      <c r="F83" s="35">
        <f>IF(D$12=0,0,D83/D$12)</f>
        <v>0</v>
      </c>
      <c r="G83" s="13"/>
      <c r="H83" s="34">
        <f>SUM(H80:H82)</f>
        <v>-12590.020000000006</v>
      </c>
      <c r="I83" s="13"/>
      <c r="J83" s="35">
        <f>IF(H$12=0,0,H83/H$12)</f>
        <v>-0.38208738345822241</v>
      </c>
      <c r="K83" s="15"/>
      <c r="L83" s="34">
        <f>+D83-H83</f>
        <v>11568.570000000005</v>
      </c>
      <c r="M83" s="15"/>
      <c r="N83" s="35">
        <f>IF(H83=0,0,L83/H83)</f>
        <v>-0.91886827820765971</v>
      </c>
      <c r="O83" s="26"/>
      <c r="P83" s="34">
        <f>SUM(P80:P82)</f>
        <v>-7170.34</v>
      </c>
      <c r="Q83" s="13"/>
      <c r="R83" s="35">
        <f>IF(P$12=0,0,P83/P$12)</f>
        <v>0</v>
      </c>
      <c r="S83" s="13"/>
      <c r="T83" s="34">
        <f>SUM(T80:T82)</f>
        <v>-1284.4100000000217</v>
      </c>
      <c r="U83" s="13"/>
      <c r="V83" s="35">
        <f>IF(T$12=0,0,T83/T$12)</f>
        <v>-9.6029225434329738E-3</v>
      </c>
      <c r="W83" s="15"/>
      <c r="X83" s="34">
        <f>+P83-T83</f>
        <v>-5885.9299999999785</v>
      </c>
      <c r="Y83" s="15"/>
      <c r="Z83" s="35">
        <f>IF(T83=0,0,X83/T83)</f>
        <v>4.5825943429277869</v>
      </c>
    </row>
    <row r="84" spans="1:26" ht="15.75" thickTop="1" x14ac:dyDescent="0.25">
      <c r="A84" s="9"/>
      <c r="C84" s="9"/>
      <c r="D84" s="18"/>
      <c r="E84" s="18"/>
      <c r="G84" s="18"/>
      <c r="H84" s="18"/>
      <c r="I84" s="18"/>
      <c r="J84" s="43"/>
      <c r="K84" s="18"/>
      <c r="L84" s="18"/>
      <c r="M84" s="18"/>
      <c r="P84" s="18"/>
      <c r="Q84" s="18"/>
      <c r="R84" s="43"/>
      <c r="S84" s="18"/>
      <c r="T84" s="18"/>
      <c r="U84" s="18"/>
      <c r="V84" s="43"/>
      <c r="W84" s="18"/>
      <c r="X84" s="18"/>
    </row>
    <row r="85" spans="1:26" x14ac:dyDescent="0.25">
      <c r="A85" s="9"/>
      <c r="B85" s="56">
        <v>44151.572917210651</v>
      </c>
      <c r="D85" s="18"/>
      <c r="E85" s="18"/>
      <c r="G85" s="18"/>
      <c r="H85" s="18"/>
      <c r="I85" s="18"/>
      <c r="J85" s="43"/>
      <c r="K85" s="18"/>
      <c r="L85" s="18"/>
      <c r="M85" s="18"/>
      <c r="P85" s="18"/>
      <c r="Q85" s="18"/>
      <c r="R85" s="43"/>
      <c r="S85" s="18"/>
      <c r="T85" s="18"/>
      <c r="U85" s="18"/>
      <c r="V85" s="43"/>
      <c r="W85" s="18"/>
      <c r="X85" s="18"/>
    </row>
    <row r="86" spans="1:26" x14ac:dyDescent="0.25">
      <c r="A86" s="9"/>
      <c r="B86" s="62" t="s">
        <v>313</v>
      </c>
      <c r="D86" s="18"/>
      <c r="E86" s="18"/>
      <c r="G86" s="18"/>
      <c r="H86" s="18"/>
      <c r="I86" s="18"/>
      <c r="J86" s="43"/>
      <c r="K86" s="18"/>
      <c r="L86" s="18"/>
      <c r="M86" s="18"/>
      <c r="P86" s="18"/>
      <c r="Q86" s="18"/>
      <c r="R86" s="43"/>
      <c r="S86" s="18"/>
      <c r="T86" s="18"/>
      <c r="U86" s="18"/>
      <c r="V86" s="43"/>
      <c r="W86" s="18"/>
      <c r="X86" s="18"/>
    </row>
    <row r="87" spans="1:26" x14ac:dyDescent="0.25">
      <c r="A87" s="9"/>
      <c r="B87" s="54"/>
      <c r="D87" s="18"/>
      <c r="E87" s="18"/>
      <c r="G87" s="18"/>
      <c r="H87" s="18"/>
      <c r="I87" s="18"/>
      <c r="J87" s="43"/>
      <c r="K87" s="18"/>
      <c r="L87" s="18"/>
      <c r="M87" s="18"/>
      <c r="P87" s="18"/>
      <c r="Q87" s="18"/>
      <c r="R87" s="43"/>
      <c r="S87" s="18"/>
      <c r="T87" s="18"/>
      <c r="U87" s="18"/>
      <c r="V87" s="43"/>
      <c r="W87" s="18"/>
      <c r="X87" s="18"/>
    </row>
    <row r="88" spans="1:26" x14ac:dyDescent="0.25">
      <c r="D88" s="18"/>
      <c r="E88" s="18"/>
      <c r="G88" s="18"/>
      <c r="H88" s="18"/>
      <c r="I88" s="18"/>
      <c r="J88" s="43"/>
      <c r="K88" s="18"/>
      <c r="L88" s="18"/>
      <c r="M88" s="18"/>
      <c r="P88" s="18"/>
      <c r="Q88" s="18"/>
      <c r="R88" s="43"/>
      <c r="S88" s="18"/>
      <c r="T88" s="18"/>
      <c r="U88" s="18"/>
      <c r="V88" s="43"/>
      <c r="W88" s="18"/>
      <c r="X88" s="18"/>
    </row>
  </sheetData>
  <pageMargins left="0.25" right="0.25" top="0.75" bottom="0.75" header="0.3" footer="0.3"/>
  <pageSetup scale="55" fitToWidth="2" orientation="landscape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",RIGHT(202104,2),", ",2021)</f>
        <v>Period 04,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44135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","455", " - ", "Vending")</f>
        <v>Department 455 - Vending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61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50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50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2"/>
      <c r="F10" s="31" t="s">
        <v>14</v>
      </c>
      <c r="G10" s="32"/>
      <c r="H10" s="49" t="s">
        <v>306</v>
      </c>
      <c r="I10" s="32"/>
      <c r="J10" s="31" t="s">
        <v>14</v>
      </c>
      <c r="K10" s="10"/>
      <c r="L10" s="42" t="s">
        <v>11</v>
      </c>
      <c r="M10" s="10"/>
      <c r="N10" s="31" t="s">
        <v>15</v>
      </c>
      <c r="O10" s="10"/>
      <c r="P10" s="59" t="s">
        <v>10</v>
      </c>
      <c r="Q10" s="32"/>
      <c r="R10" s="31" t="s">
        <v>14</v>
      </c>
      <c r="S10" s="32"/>
      <c r="T10" s="49" t="s">
        <v>306</v>
      </c>
      <c r="U10" s="32"/>
      <c r="V10" s="31" t="s">
        <v>14</v>
      </c>
      <c r="W10" s="10"/>
      <c r="X10" s="42" t="s">
        <v>11</v>
      </c>
      <c r="Y10" s="10"/>
      <c r="Z10" s="31" t="s">
        <v>15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6</v>
      </c>
      <c r="C16" s="25"/>
      <c r="D16" s="20">
        <f>D12-D14</f>
        <v>0</v>
      </c>
      <c r="E16" s="13"/>
      <c r="F16" s="21">
        <f>IF(D$12=0,0,D16/D$12)</f>
        <v>0</v>
      </c>
      <c r="G16" s="13"/>
      <c r="H16" s="20">
        <f>H12-H14</f>
        <v>0</v>
      </c>
      <c r="I16" s="13"/>
      <c r="J16" s="21">
        <f>IF(H$12=0,0,H16/H$12)</f>
        <v>0</v>
      </c>
      <c r="K16" s="15"/>
      <c r="L16" s="20">
        <f>+D16-H16</f>
        <v>0</v>
      </c>
      <c r="M16" s="15"/>
      <c r="N16" s="21">
        <f>IF(H16=0,0,L16/H16)</f>
        <v>0</v>
      </c>
      <c r="O16" s="26"/>
      <c r="P16" s="20">
        <f>P12-P14</f>
        <v>0</v>
      </c>
      <c r="Q16" s="13"/>
      <c r="R16" s="21">
        <f>IF(P$12=0,0,P16/P$12)</f>
        <v>0</v>
      </c>
      <c r="S16" s="13"/>
      <c r="T16" s="20">
        <f>T12-T14</f>
        <v>0</v>
      </c>
      <c r="U16" s="13"/>
      <c r="V16" s="21">
        <f>IF(T$12=0,0,T16/T$12)</f>
        <v>0</v>
      </c>
      <c r="W16" s="15"/>
      <c r="X16" s="20">
        <f>+P16-T16</f>
        <v>0</v>
      </c>
      <c r="Y16" s="15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9</v>
      </c>
      <c r="C18" s="10"/>
      <c r="D18" s="22">
        <f>SUM(OSRRefD22x_0)</f>
        <v>0</v>
      </c>
      <c r="E18" s="22"/>
      <c r="F18" s="36">
        <f t="shared" ref="F18:F26" si="0">IF(D$12=0,0,D18/D$12)</f>
        <v>0</v>
      </c>
      <c r="G18" s="22"/>
      <c r="H18" s="22">
        <f>SUM(OSRRefH22x_0)</f>
        <v>9355.08</v>
      </c>
      <c r="I18" s="22"/>
      <c r="J18" s="36">
        <f t="shared" ref="J18:J26" si="1">IF(H$12=0,0,H18/H$12)</f>
        <v>0</v>
      </c>
      <c r="K18" s="4"/>
      <c r="L18" s="22">
        <f t="shared" ref="L18:L26" si="2">+D18-H18</f>
        <v>-9355.08</v>
      </c>
      <c r="M18" s="4"/>
      <c r="N18" s="36">
        <f t="shared" ref="N18:N26" si="3">IF(H18=0,0,L18/H18)</f>
        <v>-1</v>
      </c>
      <c r="O18" s="10"/>
      <c r="P18" s="22">
        <f>SUM(OSRRefP22x_0)</f>
        <v>0</v>
      </c>
      <c r="Q18" s="22"/>
      <c r="R18" s="36">
        <f t="shared" ref="R18:R26" si="4">IF(P$12=0,0,P18/P$12)</f>
        <v>0</v>
      </c>
      <c r="S18" s="22"/>
      <c r="T18" s="22">
        <f>SUM(OSRRefT22x_0)</f>
        <v>38446.480000000003</v>
      </c>
      <c r="U18" s="22"/>
      <c r="V18" s="36">
        <f t="shared" ref="V18:V26" si="5">IF(T$12=0,0,T18/T$12)</f>
        <v>0</v>
      </c>
      <c r="W18" s="4"/>
      <c r="X18" s="22">
        <f t="shared" ref="X18:X26" si="6">+P18-T18</f>
        <v>-38446.480000000003</v>
      </c>
      <c r="Y18" s="4"/>
      <c r="Z18" s="36">
        <f t="shared" ref="Z18:Z26" si="7">IF(T18=0,0,X18/T18)</f>
        <v>-1</v>
      </c>
    </row>
    <row r="19" spans="1:26" s="29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3820.58</v>
      </c>
      <c r="I19" s="1"/>
      <c r="J19" s="5">
        <f t="shared" si="1"/>
        <v>0</v>
      </c>
      <c r="K19" s="1"/>
      <c r="L19" s="1">
        <f t="shared" si="2"/>
        <v>-3820.58</v>
      </c>
      <c r="M19" s="1"/>
      <c r="N19" s="5">
        <f t="shared" si="3"/>
        <v>-1</v>
      </c>
      <c r="O19" s="14"/>
      <c r="P19" s="1">
        <f>SUM(OSRRefP22_0x_0)</f>
        <v>0</v>
      </c>
      <c r="Q19" s="1"/>
      <c r="R19" s="5">
        <f t="shared" si="4"/>
        <v>0</v>
      </c>
      <c r="S19" s="1"/>
      <c r="T19" s="1">
        <f>SUM(OSRRefT22_0x_0)</f>
        <v>19624.170000000002</v>
      </c>
      <c r="U19" s="1"/>
      <c r="V19" s="5">
        <f t="shared" si="5"/>
        <v>0</v>
      </c>
      <c r="W19" s="1"/>
      <c r="X19" s="1">
        <f t="shared" si="6"/>
        <v>-19624.170000000002</v>
      </c>
      <c r="Y19" s="1"/>
      <c r="Z19" s="5">
        <f t="shared" si="7"/>
        <v>-1</v>
      </c>
    </row>
    <row r="20" spans="1:26" s="24" customFormat="1" hidden="1" outlineLevel="2" x14ac:dyDescent="0.25">
      <c r="A20" s="28"/>
      <c r="B20" s="11" t="str">
        <f>CONCATENATE("          ", "6111", " - ", "F.I.C.A.")</f>
        <v xml:space="preserve">          6111 - F.I.C.A.</v>
      </c>
      <c r="C20" s="11"/>
      <c r="D20" s="6"/>
      <c r="E20" s="2"/>
      <c r="F20" s="7">
        <f t="shared" si="0"/>
        <v>0</v>
      </c>
      <c r="G20" s="2"/>
      <c r="H20" s="6">
        <v>577.38</v>
      </c>
      <c r="I20" s="2"/>
      <c r="J20" s="7">
        <f t="shared" si="1"/>
        <v>0</v>
      </c>
      <c r="K20" s="2"/>
      <c r="L20" s="6">
        <f t="shared" si="2"/>
        <v>-577.38</v>
      </c>
      <c r="M20" s="2"/>
      <c r="N20" s="7">
        <f t="shared" si="3"/>
        <v>-1</v>
      </c>
      <c r="O20" s="11"/>
      <c r="P20" s="6"/>
      <c r="Q20" s="2"/>
      <c r="R20" s="7">
        <f t="shared" si="4"/>
        <v>0</v>
      </c>
      <c r="S20" s="2"/>
      <c r="T20" s="6">
        <v>1662.14</v>
      </c>
      <c r="U20" s="2"/>
      <c r="V20" s="7">
        <f t="shared" si="5"/>
        <v>0</v>
      </c>
      <c r="W20" s="2"/>
      <c r="X20" s="6">
        <f t="shared" si="6"/>
        <v>-1662.14</v>
      </c>
      <c r="Y20" s="2"/>
      <c r="Z20" s="7">
        <f t="shared" si="7"/>
        <v>-1</v>
      </c>
    </row>
    <row r="21" spans="1:26" s="24" customFormat="1" hidden="1" outlineLevel="2" x14ac:dyDescent="0.25">
      <c r="A21" s="28"/>
      <c r="B21" s="11" t="str">
        <f>CONCATENATE("          ", "6112", " - ", "COMPENSATION INSURANCE")</f>
        <v xml:space="preserve">          6112 - COMPENSATION INSURANCE</v>
      </c>
      <c r="C21" s="11"/>
      <c r="D21" s="6"/>
      <c r="E21" s="2"/>
      <c r="F21" s="7">
        <f t="shared" si="0"/>
        <v>0</v>
      </c>
      <c r="G21" s="2"/>
      <c r="H21" s="6">
        <v>-289.72000000000003</v>
      </c>
      <c r="I21" s="2"/>
      <c r="J21" s="7">
        <f t="shared" si="1"/>
        <v>0</v>
      </c>
      <c r="K21" s="2"/>
      <c r="L21" s="6">
        <f t="shared" si="2"/>
        <v>289.72000000000003</v>
      </c>
      <c r="M21" s="2"/>
      <c r="N21" s="7">
        <f t="shared" si="3"/>
        <v>-1</v>
      </c>
      <c r="O21" s="11"/>
      <c r="P21" s="6"/>
      <c r="Q21" s="2"/>
      <c r="R21" s="7">
        <f t="shared" si="4"/>
        <v>0</v>
      </c>
      <c r="S21" s="2"/>
      <c r="T21" s="6">
        <v>82.33</v>
      </c>
      <c r="U21" s="2"/>
      <c r="V21" s="7">
        <f t="shared" si="5"/>
        <v>0</v>
      </c>
      <c r="W21" s="2"/>
      <c r="X21" s="6">
        <f t="shared" si="6"/>
        <v>-82.33</v>
      </c>
      <c r="Y21" s="2"/>
      <c r="Z21" s="7">
        <f t="shared" si="7"/>
        <v>-1</v>
      </c>
    </row>
    <row r="22" spans="1:26" s="24" customFormat="1" hidden="1" outlineLevel="2" x14ac:dyDescent="0.25">
      <c r="A22" s="28"/>
      <c r="B22" s="11" t="str">
        <f>CONCATENATE("          ", "6113", " - ", "GROUP INSURANCE")</f>
        <v xml:space="preserve">          6113 - GROUP INSURANCE</v>
      </c>
      <c r="C22" s="11"/>
      <c r="D22" s="6"/>
      <c r="E22" s="2"/>
      <c r="F22" s="7">
        <f t="shared" si="0"/>
        <v>0</v>
      </c>
      <c r="G22" s="2"/>
      <c r="H22" s="6">
        <v>931.95</v>
      </c>
      <c r="I22" s="2"/>
      <c r="J22" s="7">
        <f t="shared" si="1"/>
        <v>0</v>
      </c>
      <c r="K22" s="2"/>
      <c r="L22" s="6">
        <f t="shared" si="2"/>
        <v>-931.95</v>
      </c>
      <c r="M22" s="2"/>
      <c r="N22" s="7">
        <f t="shared" si="3"/>
        <v>-1</v>
      </c>
      <c r="O22" s="11"/>
      <c r="P22" s="6"/>
      <c r="Q22" s="2"/>
      <c r="R22" s="7">
        <f t="shared" si="4"/>
        <v>0</v>
      </c>
      <c r="S22" s="2"/>
      <c r="T22" s="6">
        <v>3727.8</v>
      </c>
      <c r="U22" s="2"/>
      <c r="V22" s="7">
        <f t="shared" si="5"/>
        <v>0</v>
      </c>
      <c r="W22" s="2"/>
      <c r="X22" s="6">
        <f t="shared" si="6"/>
        <v>-3727.8</v>
      </c>
      <c r="Y22" s="2"/>
      <c r="Z22" s="7">
        <f t="shared" si="7"/>
        <v>-1</v>
      </c>
    </row>
    <row r="23" spans="1:26" s="24" customFormat="1" hidden="1" outlineLevel="2" x14ac:dyDescent="0.25">
      <c r="A23" s="28"/>
      <c r="B23" s="11" t="str">
        <f>CONCATENATE("          ", "6114", " - ", "STATE UNEMPLOYMENT INSURANCE")</f>
        <v xml:space="preserve">          6114 - STATE UNEMPLOYMENT INSURANCE</v>
      </c>
      <c r="C23" s="11"/>
      <c r="D23" s="6"/>
      <c r="E23" s="2"/>
      <c r="F23" s="7">
        <f t="shared" si="0"/>
        <v>0</v>
      </c>
      <c r="G23" s="2"/>
      <c r="H23" s="6">
        <v>38.590000000000003</v>
      </c>
      <c r="I23" s="2"/>
      <c r="J23" s="7">
        <f t="shared" si="1"/>
        <v>0</v>
      </c>
      <c r="K23" s="2"/>
      <c r="L23" s="6">
        <f t="shared" si="2"/>
        <v>-38.590000000000003</v>
      </c>
      <c r="M23" s="2"/>
      <c r="N23" s="7">
        <f t="shared" si="3"/>
        <v>-1</v>
      </c>
      <c r="O23" s="11"/>
      <c r="P23" s="6"/>
      <c r="Q23" s="2"/>
      <c r="R23" s="7">
        <f t="shared" si="4"/>
        <v>0</v>
      </c>
      <c r="S23" s="2"/>
      <c r="T23" s="6">
        <v>75.45</v>
      </c>
      <c r="U23" s="2"/>
      <c r="V23" s="7">
        <f t="shared" si="5"/>
        <v>0</v>
      </c>
      <c r="W23" s="2"/>
      <c r="X23" s="6">
        <f t="shared" si="6"/>
        <v>-75.45</v>
      </c>
      <c r="Y23" s="2"/>
      <c r="Z23" s="7">
        <f t="shared" si="7"/>
        <v>-1</v>
      </c>
    </row>
    <row r="24" spans="1:26" s="24" customFormat="1" hidden="1" outlineLevel="2" x14ac:dyDescent="0.25">
      <c r="A24" s="28"/>
      <c r="B24" s="11" t="str">
        <f>CONCATENATE("          ", "6115", " - ", "P.E.R.S.")</f>
        <v xml:space="preserve">          6115 - P.E.R.S.</v>
      </c>
      <c r="C24" s="11"/>
      <c r="D24" s="6"/>
      <c r="E24" s="2"/>
      <c r="F24" s="7">
        <f t="shared" si="0"/>
        <v>0</v>
      </c>
      <c r="G24" s="2"/>
      <c r="H24" s="6">
        <v>1517.09</v>
      </c>
      <c r="I24" s="2"/>
      <c r="J24" s="7">
        <f t="shared" si="1"/>
        <v>0</v>
      </c>
      <c r="K24" s="2"/>
      <c r="L24" s="6">
        <f t="shared" si="2"/>
        <v>-1517.09</v>
      </c>
      <c r="M24" s="2"/>
      <c r="N24" s="7">
        <f t="shared" si="3"/>
        <v>-1</v>
      </c>
      <c r="O24" s="11"/>
      <c r="P24" s="6"/>
      <c r="Q24" s="2"/>
      <c r="R24" s="7">
        <f t="shared" si="4"/>
        <v>0</v>
      </c>
      <c r="S24" s="2"/>
      <c r="T24" s="6">
        <v>2966.4</v>
      </c>
      <c r="U24" s="2"/>
      <c r="V24" s="7">
        <f t="shared" si="5"/>
        <v>0</v>
      </c>
      <c r="W24" s="2"/>
      <c r="X24" s="6">
        <f t="shared" si="6"/>
        <v>-2966.4</v>
      </c>
      <c r="Y24" s="2"/>
      <c r="Z24" s="7">
        <f t="shared" si="7"/>
        <v>-1</v>
      </c>
    </row>
    <row r="25" spans="1:26" s="24" customFormat="1" hidden="1" outlineLevel="2" x14ac:dyDescent="0.25">
      <c r="A25" s="28"/>
      <c r="B25" s="11" t="str">
        <f>CONCATENATE("          ", "6118", " - ", "VACATION")</f>
        <v xml:space="preserve">          6118 - VACATION</v>
      </c>
      <c r="C25" s="11"/>
      <c r="D25" s="6"/>
      <c r="E25" s="2"/>
      <c r="F25" s="7">
        <f t="shared" si="0"/>
        <v>0</v>
      </c>
      <c r="G25" s="2"/>
      <c r="H25" s="6">
        <v>697.17</v>
      </c>
      <c r="I25" s="2"/>
      <c r="J25" s="7">
        <f t="shared" si="1"/>
        <v>0</v>
      </c>
      <c r="K25" s="2"/>
      <c r="L25" s="6">
        <f t="shared" si="2"/>
        <v>-697.17</v>
      </c>
      <c r="M25" s="2"/>
      <c r="N25" s="7">
        <f t="shared" si="3"/>
        <v>-1</v>
      </c>
      <c r="O25" s="11"/>
      <c r="P25" s="6"/>
      <c r="Q25" s="2"/>
      <c r="R25" s="7">
        <f t="shared" si="4"/>
        <v>0</v>
      </c>
      <c r="S25" s="2"/>
      <c r="T25" s="6">
        <v>3454.26</v>
      </c>
      <c r="U25" s="2"/>
      <c r="V25" s="7">
        <f t="shared" si="5"/>
        <v>0</v>
      </c>
      <c r="W25" s="2"/>
      <c r="X25" s="6">
        <f t="shared" si="6"/>
        <v>-3454.26</v>
      </c>
      <c r="Y25" s="2"/>
      <c r="Z25" s="7">
        <f t="shared" si="7"/>
        <v>-1</v>
      </c>
    </row>
    <row r="26" spans="1:26" s="24" customFormat="1" hidden="1" outlineLevel="2" x14ac:dyDescent="0.25">
      <c r="A26" s="28"/>
      <c r="B26" s="11" t="str">
        <f>CONCATENATE("          ", "6119", " - ", "SICK LEAVE")</f>
        <v xml:space="preserve">          6119 - SICK LEAVE</v>
      </c>
      <c r="C26" s="11"/>
      <c r="D26" s="6"/>
      <c r="E26" s="2"/>
      <c r="F26" s="7">
        <f t="shared" si="0"/>
        <v>0</v>
      </c>
      <c r="G26" s="2"/>
      <c r="H26" s="6">
        <v>348.12</v>
      </c>
      <c r="I26" s="2"/>
      <c r="J26" s="7">
        <f t="shared" si="1"/>
        <v>0</v>
      </c>
      <c r="K26" s="2"/>
      <c r="L26" s="6">
        <f t="shared" si="2"/>
        <v>-348.12</v>
      </c>
      <c r="M26" s="2"/>
      <c r="N26" s="7">
        <f t="shared" si="3"/>
        <v>-1</v>
      </c>
      <c r="O26" s="11"/>
      <c r="P26" s="6"/>
      <c r="Q26" s="2"/>
      <c r="R26" s="7">
        <f t="shared" si="4"/>
        <v>0</v>
      </c>
      <c r="S26" s="2"/>
      <c r="T26" s="6">
        <v>7655.79</v>
      </c>
      <c r="U26" s="2"/>
      <c r="V26" s="7">
        <f t="shared" si="5"/>
        <v>0</v>
      </c>
      <c r="W26" s="2"/>
      <c r="X26" s="6">
        <f t="shared" si="6"/>
        <v>-7655.79</v>
      </c>
      <c r="Y26" s="2"/>
      <c r="Z26" s="7">
        <f t="shared" si="7"/>
        <v>-1</v>
      </c>
    </row>
    <row r="27" spans="1:26" s="29" customFormat="1" outlineLevel="1" collapsed="1" x14ac:dyDescent="0.25">
      <c r="A27" s="27"/>
      <c r="B27" s="14" t="str">
        <f>CONCATENATE("     ","*Payroll                                          ")</f>
        <v xml:space="preserve">     *Payroll                                          </v>
      </c>
      <c r="C27" s="14"/>
      <c r="D27" s="1">
        <f>SUM(OSRRefD22_1x_0)</f>
        <v>0</v>
      </c>
      <c r="E27" s="1"/>
      <c r="F27" s="5">
        <f t="shared" ref="F27:F29" si="8">IF(D$12=0,0,D27/D$12)</f>
        <v>0</v>
      </c>
      <c r="G27" s="1"/>
      <c r="H27" s="1">
        <f>SUM(OSRRefH22_1x_0)</f>
        <v>5534.5</v>
      </c>
      <c r="I27" s="1"/>
      <c r="J27" s="5">
        <f t="shared" ref="J27:J29" si="9">IF(H$12=0,0,H27/H$12)</f>
        <v>0</v>
      </c>
      <c r="K27" s="1"/>
      <c r="L27" s="1">
        <f t="shared" ref="L27:L29" si="10">+D27-H27</f>
        <v>-5534.5</v>
      </c>
      <c r="M27" s="1"/>
      <c r="N27" s="5">
        <f t="shared" ref="N27:N29" si="11">IF(H27=0,0,L27/H27)</f>
        <v>-1</v>
      </c>
      <c r="O27" s="14"/>
      <c r="P27" s="1">
        <f>SUM(OSRRefP22_1x_0)</f>
        <v>0</v>
      </c>
      <c r="Q27" s="1"/>
      <c r="R27" s="5">
        <f t="shared" ref="R27:R29" si="12">IF(P$12=0,0,P27/P$12)</f>
        <v>0</v>
      </c>
      <c r="S27" s="1"/>
      <c r="T27" s="1">
        <f>SUM(OSRRefT22_1x_0)</f>
        <v>18822.310000000001</v>
      </c>
      <c r="U27" s="1"/>
      <c r="V27" s="5">
        <f t="shared" ref="V27:V29" si="13">IF(T$12=0,0,T27/T$12)</f>
        <v>0</v>
      </c>
      <c r="W27" s="1"/>
      <c r="X27" s="1">
        <f t="shared" ref="X27:X29" si="14">+P27-T27</f>
        <v>-18822.310000000001</v>
      </c>
      <c r="Y27" s="1"/>
      <c r="Z27" s="5">
        <f t="shared" ref="Z27:Z29" si="15">IF(T27=0,0,X27/T27)</f>
        <v>-1</v>
      </c>
    </row>
    <row r="28" spans="1:26" s="24" customFormat="1" hidden="1" outlineLevel="2" x14ac:dyDescent="0.25">
      <c r="A28" s="28"/>
      <c r="B28" s="11" t="str">
        <f>CONCATENATE("          ", "6001", " - ", "ADMINISTRATIVE SALARIES")</f>
        <v xml:space="preserve">          6001 - ADMINISTRATIVE SALARIES</v>
      </c>
      <c r="C28" s="11"/>
      <c r="D28" s="6"/>
      <c r="E28" s="2"/>
      <c r="F28" s="7">
        <f t="shared" si="8"/>
        <v>0</v>
      </c>
      <c r="G28" s="2"/>
      <c r="H28" s="6">
        <v>5534.5</v>
      </c>
      <c r="I28" s="2"/>
      <c r="J28" s="7">
        <f t="shared" si="9"/>
        <v>0</v>
      </c>
      <c r="K28" s="2"/>
      <c r="L28" s="6">
        <f t="shared" si="10"/>
        <v>-5534.5</v>
      </c>
      <c r="M28" s="2"/>
      <c r="N28" s="7">
        <f t="shared" si="11"/>
        <v>-1</v>
      </c>
      <c r="O28" s="11"/>
      <c r="P28" s="6"/>
      <c r="Q28" s="2"/>
      <c r="R28" s="7">
        <f t="shared" si="12"/>
        <v>0</v>
      </c>
      <c r="S28" s="2"/>
      <c r="T28" s="6">
        <v>18822.310000000001</v>
      </c>
      <c r="U28" s="2"/>
      <c r="V28" s="7">
        <f t="shared" si="13"/>
        <v>0</v>
      </c>
      <c r="W28" s="2"/>
      <c r="X28" s="6">
        <f t="shared" si="14"/>
        <v>-18822.310000000001</v>
      </c>
      <c r="Y28" s="2"/>
      <c r="Z28" s="7">
        <f t="shared" si="15"/>
        <v>-1</v>
      </c>
    </row>
    <row r="29" spans="1:26" s="24" customFormat="1" hidden="1" outlineLevel="2" x14ac:dyDescent="0.25">
      <c r="A29" s="28"/>
      <c r="B29" s="11" t="str">
        <f>CONCATENATE("          ", "6002", " - ", "STAFF SALARIES")</f>
        <v xml:space="preserve">          6002 - STAFF SALARIES</v>
      </c>
      <c r="C29" s="11"/>
      <c r="D29" s="6"/>
      <c r="E29" s="2"/>
      <c r="F29" s="7">
        <f t="shared" si="8"/>
        <v>0</v>
      </c>
      <c r="G29" s="2"/>
      <c r="H29" s="6"/>
      <c r="I29" s="2"/>
      <c r="J29" s="7">
        <f t="shared" si="9"/>
        <v>0</v>
      </c>
      <c r="K29" s="2"/>
      <c r="L29" s="6">
        <f t="shared" si="10"/>
        <v>0</v>
      </c>
      <c r="M29" s="2"/>
      <c r="N29" s="7">
        <f t="shared" si="11"/>
        <v>0</v>
      </c>
      <c r="O29" s="11"/>
      <c r="P29" s="6"/>
      <c r="Q29" s="2"/>
      <c r="R29" s="7">
        <f t="shared" si="12"/>
        <v>0</v>
      </c>
      <c r="S29" s="2"/>
      <c r="T29" s="6">
        <v>0</v>
      </c>
      <c r="U29" s="2"/>
      <c r="V29" s="7">
        <f t="shared" si="13"/>
        <v>0</v>
      </c>
      <c r="W29" s="2"/>
      <c r="X29" s="6">
        <f t="shared" si="14"/>
        <v>0</v>
      </c>
      <c r="Y29" s="2"/>
      <c r="Z29" s="7">
        <f t="shared" si="15"/>
        <v>0</v>
      </c>
    </row>
    <row r="30" spans="1:26" s="57" customFormat="1" x14ac:dyDescent="0.25">
      <c r="A30" s="37"/>
      <c r="B30" s="37"/>
      <c r="C30" s="37"/>
      <c r="D30" s="1"/>
      <c r="E30" s="1"/>
      <c r="F30" s="5"/>
      <c r="G30" s="1"/>
      <c r="H30" s="1"/>
      <c r="I30" s="1"/>
      <c r="J30" s="5"/>
      <c r="K30" s="1"/>
      <c r="L30" s="1"/>
      <c r="M30" s="1"/>
      <c r="N30" s="5"/>
      <c r="O30" s="37"/>
      <c r="P30" s="1"/>
      <c r="Q30" s="1"/>
      <c r="R30" s="5"/>
      <c r="S30" s="1"/>
      <c r="T30" s="1"/>
      <c r="U30" s="1"/>
      <c r="V30" s="5"/>
      <c r="W30" s="1"/>
      <c r="X30" s="1"/>
      <c r="Y30" s="1"/>
      <c r="Z30" s="5"/>
    </row>
    <row r="31" spans="1:26" s="23" customFormat="1" collapsed="1" x14ac:dyDescent="0.25">
      <c r="A31" s="10"/>
      <c r="B31" s="26" t="s">
        <v>0</v>
      </c>
      <c r="C31" s="10"/>
      <c r="D31" s="4">
        <f>SUM(OSRRefD25x_0)</f>
        <v>338.19</v>
      </c>
      <c r="E31" s="4"/>
      <c r="F31" s="12">
        <f t="shared" ref="F31:F33" si="16">IF(D$12=0,0,D31/D$12)</f>
        <v>0</v>
      </c>
      <c r="G31" s="4"/>
      <c r="H31" s="4">
        <f>SUM(OSRRefH25x_0)</f>
        <v>73093.899999999994</v>
      </c>
      <c r="I31" s="4"/>
      <c r="J31" s="12">
        <f t="shared" ref="J31:J33" si="17">IF(H$12=0,0,H31/H$12)</f>
        <v>0</v>
      </c>
      <c r="K31" s="4"/>
      <c r="L31" s="4">
        <f t="shared" ref="L31:L33" si="18">+D31-H31</f>
        <v>-72755.709999999992</v>
      </c>
      <c r="M31" s="4"/>
      <c r="N31" s="12">
        <f t="shared" ref="N31:N33" si="19">IF(H31=0,0,L31/H31)</f>
        <v>-0.99537321171807769</v>
      </c>
      <c r="O31" s="10"/>
      <c r="P31" s="4">
        <f>SUM(OSRRefP25x_0)</f>
        <v>2527</v>
      </c>
      <c r="Q31" s="4"/>
      <c r="R31" s="12">
        <f t="shared" ref="R31:R33" si="20">IF(P$12=0,0,P31/P$12)</f>
        <v>0</v>
      </c>
      <c r="S31" s="4"/>
      <c r="T31" s="4">
        <f>SUM(OSRRefT25x_0)</f>
        <v>308217.02</v>
      </c>
      <c r="U31" s="4"/>
      <c r="V31" s="12">
        <f t="shared" ref="V31:V33" si="21">IF(T$12=0,0,T31/T$12)</f>
        <v>0</v>
      </c>
      <c r="W31" s="4"/>
      <c r="X31" s="4">
        <f t="shared" ref="X31:X33" si="22">+P31-T31</f>
        <v>-305690.02</v>
      </c>
      <c r="Y31" s="4"/>
      <c r="Z31" s="12">
        <f t="shared" ref="Z31:Z33" si="23">IF(T31=0,0,X31/T31)</f>
        <v>-0.99180123148293364</v>
      </c>
    </row>
    <row r="32" spans="1:26" s="24" customFormat="1" hidden="1" outlineLevel="1" x14ac:dyDescent="0.25">
      <c r="A32" s="44"/>
      <c r="B32" s="11" t="str">
        <f>CONCATENATE("          ", "9160", " - ", "MISC. INCOME")</f>
        <v xml:space="preserve">          9160 - MISC. INCOME</v>
      </c>
      <c r="C32" s="11"/>
      <c r="D32" s="2">
        <f>--338.19</f>
        <v>338.19</v>
      </c>
      <c r="E32" s="2"/>
      <c r="F32" s="19">
        <f t="shared" si="16"/>
        <v>0</v>
      </c>
      <c r="G32" s="2"/>
      <c r="H32" s="2">
        <f>--65384.61</f>
        <v>65384.61</v>
      </c>
      <c r="I32" s="2"/>
      <c r="J32" s="19">
        <f t="shared" si="17"/>
        <v>0</v>
      </c>
      <c r="K32" s="2"/>
      <c r="L32" s="2">
        <f t="shared" si="18"/>
        <v>-65046.42</v>
      </c>
      <c r="M32" s="2"/>
      <c r="N32" s="19">
        <f t="shared" si="19"/>
        <v>-0.99482768192698556</v>
      </c>
      <c r="O32" s="11"/>
      <c r="P32" s="2">
        <f>--1701.82</f>
        <v>1701.82</v>
      </c>
      <c r="Q32" s="2"/>
      <c r="R32" s="19">
        <f t="shared" si="20"/>
        <v>0</v>
      </c>
      <c r="S32" s="2"/>
      <c r="T32" s="2">
        <f>--95346.95</f>
        <v>95346.95</v>
      </c>
      <c r="U32" s="2"/>
      <c r="V32" s="19">
        <f t="shared" si="21"/>
        <v>0</v>
      </c>
      <c r="W32" s="2"/>
      <c r="X32" s="2">
        <f t="shared" si="22"/>
        <v>-93645.12999999999</v>
      </c>
      <c r="Y32" s="2"/>
      <c r="Z32" s="19">
        <f t="shared" si="23"/>
        <v>-0.98215129062859374</v>
      </c>
    </row>
    <row r="33" spans="1:26" s="24" customFormat="1" hidden="1" outlineLevel="1" x14ac:dyDescent="0.25">
      <c r="A33" s="44"/>
      <c r="B33" s="11" t="str">
        <f>CONCATENATE("          ", "9165", " - ", "OTHER INCOME")</f>
        <v xml:space="preserve">          9165 - OTHER INCOME</v>
      </c>
      <c r="C33" s="11"/>
      <c r="D33" s="2">
        <f>0</f>
        <v>0</v>
      </c>
      <c r="E33" s="2"/>
      <c r="F33" s="19">
        <f t="shared" si="16"/>
        <v>0</v>
      </c>
      <c r="G33" s="2"/>
      <c r="H33" s="2">
        <f>--7709.29</f>
        <v>7709.29</v>
      </c>
      <c r="I33" s="2"/>
      <c r="J33" s="19">
        <f t="shared" si="17"/>
        <v>0</v>
      </c>
      <c r="K33" s="2"/>
      <c r="L33" s="2">
        <f t="shared" si="18"/>
        <v>-7709.29</v>
      </c>
      <c r="M33" s="2"/>
      <c r="N33" s="19">
        <f t="shared" si="19"/>
        <v>-1</v>
      </c>
      <c r="O33" s="11"/>
      <c r="P33" s="2">
        <f>--825.18</f>
        <v>825.18</v>
      </c>
      <c r="Q33" s="2"/>
      <c r="R33" s="19">
        <f t="shared" si="20"/>
        <v>0</v>
      </c>
      <c r="S33" s="2"/>
      <c r="T33" s="2">
        <f>--212870.07</f>
        <v>212870.07</v>
      </c>
      <c r="U33" s="2"/>
      <c r="V33" s="19">
        <f t="shared" si="21"/>
        <v>0</v>
      </c>
      <c r="W33" s="2"/>
      <c r="X33" s="2">
        <f t="shared" si="22"/>
        <v>-212044.89</v>
      </c>
      <c r="Y33" s="2"/>
      <c r="Z33" s="19">
        <f t="shared" si="23"/>
        <v>-0.99612355085898174</v>
      </c>
    </row>
    <row r="34" spans="1:26" x14ac:dyDescent="0.25">
      <c r="A34" s="9"/>
      <c r="B34" s="10"/>
      <c r="C34" s="10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O34" s="10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x14ac:dyDescent="0.25">
      <c r="A35" s="10"/>
      <c r="B35" s="25" t="s">
        <v>3</v>
      </c>
      <c r="C35" s="25"/>
      <c r="D35" s="20">
        <f>+D16-D18+D31</f>
        <v>338.19</v>
      </c>
      <c r="E35" s="13"/>
      <c r="F35" s="21">
        <f>IF(D$12=0,0,D35/D$12)</f>
        <v>0</v>
      </c>
      <c r="G35" s="13"/>
      <c r="H35" s="20">
        <f>+H16-H18+H31</f>
        <v>63738.819999999992</v>
      </c>
      <c r="I35" s="13"/>
      <c r="J35" s="21">
        <f>IF(H$12=0,0,H35/H$12)</f>
        <v>0</v>
      </c>
      <c r="K35" s="15"/>
      <c r="L35" s="20">
        <f>+D35-H35</f>
        <v>-63400.62999999999</v>
      </c>
      <c r="M35" s="15"/>
      <c r="N35" s="21">
        <f>IF(H35=0,0,L35/H35)</f>
        <v>-0.99469412831928794</v>
      </c>
      <c r="O35" s="26"/>
      <c r="P35" s="20">
        <f>+P16-P18+P31</f>
        <v>2527</v>
      </c>
      <c r="Q35" s="13"/>
      <c r="R35" s="21">
        <f>IF(P$12=0,0,P35/P$12)</f>
        <v>0</v>
      </c>
      <c r="S35" s="13"/>
      <c r="T35" s="20">
        <f>+T16-T18+T31</f>
        <v>269770.54000000004</v>
      </c>
      <c r="U35" s="13"/>
      <c r="V35" s="21">
        <f>IF(T$12=0,0,T35/T$12)</f>
        <v>0</v>
      </c>
      <c r="W35" s="15"/>
      <c r="X35" s="20">
        <f>+P35-T35</f>
        <v>-267243.54000000004</v>
      </c>
      <c r="Y35" s="15"/>
      <c r="Z35" s="21">
        <f>IF(T35=0,0,X35/T35)</f>
        <v>-0.99063277999146981</v>
      </c>
    </row>
    <row r="36" spans="1:26" x14ac:dyDescent="0.25">
      <c r="A36" s="9"/>
      <c r="B36" s="10"/>
      <c r="C36" s="9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x14ac:dyDescent="0.25">
      <c r="A37" s="51"/>
      <c r="B37" s="10" t="s">
        <v>13</v>
      </c>
      <c r="C37" s="10"/>
      <c r="D37" s="4"/>
      <c r="E37" s="4"/>
      <c r="F37" s="12">
        <f>IF(D$12=0,0,D37/D$12)</f>
        <v>0</v>
      </c>
      <c r="G37" s="4"/>
      <c r="H37" s="4"/>
      <c r="I37" s="4"/>
      <c r="J37" s="12">
        <f>IF(H$12=0,0,H37/H$12)</f>
        <v>0</v>
      </c>
      <c r="K37" s="4"/>
      <c r="L37" s="4">
        <f>+D37-H37</f>
        <v>0</v>
      </c>
      <c r="M37" s="4"/>
      <c r="N37" s="12">
        <f>IF(H37=0,0,L37/H37)</f>
        <v>0</v>
      </c>
      <c r="O37" s="10"/>
      <c r="P37" s="4"/>
      <c r="Q37" s="4"/>
      <c r="R37" s="12">
        <f>IF(P$12=0,0,P37/P$12)</f>
        <v>0</v>
      </c>
      <c r="S37" s="4"/>
      <c r="T37" s="4"/>
      <c r="U37" s="4"/>
      <c r="V37" s="12">
        <f>IF(T$12=0,0,T37/T$12)</f>
        <v>0</v>
      </c>
      <c r="W37" s="4"/>
      <c r="X37" s="4">
        <f>+P37-T37</f>
        <v>0</v>
      </c>
      <c r="Y37" s="4"/>
      <c r="Z37" s="12">
        <f>IF(T37=0,0,X37/T37)</f>
        <v>0</v>
      </c>
    </row>
    <row r="38" spans="1:26" x14ac:dyDescent="0.25">
      <c r="A38" s="9"/>
      <c r="B38" s="10"/>
      <c r="C38" s="10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O38" s="10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s="23" customFormat="1" ht="15.75" thickBot="1" x14ac:dyDescent="0.3">
      <c r="A39" s="10"/>
      <c r="B39" s="25" t="s">
        <v>4</v>
      </c>
      <c r="C39" s="25"/>
      <c r="D39" s="30">
        <f>+D35-D37</f>
        <v>338.19</v>
      </c>
      <c r="E39" s="13"/>
      <c r="F39" s="33">
        <f>IF(D$12=0,0,D39/D$12)</f>
        <v>0</v>
      </c>
      <c r="G39" s="13"/>
      <c r="H39" s="30">
        <f>+H35-H37</f>
        <v>63738.819999999992</v>
      </c>
      <c r="I39" s="13"/>
      <c r="J39" s="33">
        <f>IF(H$12=0,0,H39/H$12)</f>
        <v>0</v>
      </c>
      <c r="K39" s="15"/>
      <c r="L39" s="30">
        <f>D39-H39</f>
        <v>-63400.62999999999</v>
      </c>
      <c r="M39" s="15"/>
      <c r="N39" s="33">
        <f>IF(H39=0,0,L39/H39)</f>
        <v>-0.99469412831928794</v>
      </c>
      <c r="O39" s="26"/>
      <c r="P39" s="30">
        <f>+P35-P37</f>
        <v>2527</v>
      </c>
      <c r="Q39" s="13"/>
      <c r="R39" s="33">
        <f>IF(P$12=0,0,P39/P$12)</f>
        <v>0</v>
      </c>
      <c r="S39" s="13"/>
      <c r="T39" s="30">
        <f>+T35-T37</f>
        <v>269770.54000000004</v>
      </c>
      <c r="U39" s="13"/>
      <c r="V39" s="33">
        <f>IF(T$12=0,0,T39/T$12)</f>
        <v>0</v>
      </c>
      <c r="W39" s="15"/>
      <c r="X39" s="30">
        <f>P39-T39</f>
        <v>-267243.54000000004</v>
      </c>
      <c r="Y39" s="15"/>
      <c r="Z39" s="33">
        <f>IF(T39=0,0,X39/T39)</f>
        <v>-0.99063277999146981</v>
      </c>
    </row>
    <row r="40" spans="1:26" ht="15.75" thickTop="1" x14ac:dyDescent="0.25">
      <c r="A40" s="9"/>
      <c r="B40" s="9"/>
      <c r="C40" s="9"/>
      <c r="D40" s="3"/>
      <c r="E40" s="3"/>
      <c r="F40" s="8"/>
      <c r="G40" s="3"/>
      <c r="H40" s="3"/>
      <c r="I40" s="3"/>
      <c r="J40" s="8"/>
      <c r="K40" s="3"/>
      <c r="L40" s="3"/>
      <c r="M40" s="3"/>
      <c r="N40" s="8"/>
      <c r="P40" s="3"/>
      <c r="Q40" s="3"/>
      <c r="R40" s="8"/>
      <c r="S40" s="3"/>
      <c r="T40" s="3"/>
      <c r="U40" s="3"/>
      <c r="V40" s="8"/>
      <c r="W40" s="3"/>
      <c r="X40" s="3"/>
      <c r="Y40" s="3"/>
      <c r="Z40" s="8"/>
    </row>
    <row r="41" spans="1:26" x14ac:dyDescent="0.25">
      <c r="A41" s="9"/>
      <c r="B41" s="9"/>
      <c r="C41" s="9"/>
      <c r="D41" s="3"/>
      <c r="E41" s="3"/>
      <c r="F41" s="8"/>
      <c r="G41" s="3"/>
      <c r="H41" s="3"/>
      <c r="I41" s="3"/>
      <c r="J41" s="8"/>
      <c r="K41" s="3"/>
      <c r="L41" s="3"/>
      <c r="M41" s="3"/>
      <c r="N41" s="8"/>
      <c r="P41" s="3"/>
      <c r="Q41" s="3"/>
      <c r="R41" s="8"/>
      <c r="S41" s="3"/>
      <c r="T41" s="3"/>
      <c r="U41" s="3"/>
      <c r="V41" s="8"/>
      <c r="W41" s="3"/>
      <c r="X41" s="3"/>
      <c r="Y41" s="3"/>
      <c r="Z41" s="8"/>
    </row>
    <row r="42" spans="1:26" s="23" customFormat="1" ht="15.75" thickBot="1" x14ac:dyDescent="0.3">
      <c r="A42" s="10"/>
      <c r="B42" s="25" t="s">
        <v>5</v>
      </c>
      <c r="C42" s="25"/>
      <c r="D42" s="34">
        <f>SUM(D39:D41)</f>
        <v>338.19</v>
      </c>
      <c r="E42" s="13"/>
      <c r="F42" s="35">
        <f>IF(D$12=0,0,D42/D$12)</f>
        <v>0</v>
      </c>
      <c r="G42" s="13"/>
      <c r="H42" s="34">
        <f>SUM(H39:H41)</f>
        <v>63738.819999999992</v>
      </c>
      <c r="I42" s="13"/>
      <c r="J42" s="35">
        <f>IF(H$12=0,0,H42/H$12)</f>
        <v>0</v>
      </c>
      <c r="K42" s="15"/>
      <c r="L42" s="34">
        <f>+D42-H42</f>
        <v>-63400.62999999999</v>
      </c>
      <c r="M42" s="15"/>
      <c r="N42" s="35">
        <f>IF(H42=0,0,L42/H42)</f>
        <v>-0.99469412831928794</v>
      </c>
      <c r="O42" s="26"/>
      <c r="P42" s="34">
        <f>SUM(P39:P41)</f>
        <v>2527</v>
      </c>
      <c r="Q42" s="13"/>
      <c r="R42" s="35">
        <f>IF(P$12=0,0,P42/P$12)</f>
        <v>0</v>
      </c>
      <c r="S42" s="13"/>
      <c r="T42" s="34">
        <f>SUM(T39:T41)</f>
        <v>269770.54000000004</v>
      </c>
      <c r="U42" s="13"/>
      <c r="V42" s="35">
        <f>IF(T$12=0,0,T42/T$12)</f>
        <v>0</v>
      </c>
      <c r="W42" s="15"/>
      <c r="X42" s="34">
        <f>+P42-T42</f>
        <v>-267243.54000000004</v>
      </c>
      <c r="Y42" s="15"/>
      <c r="Z42" s="35">
        <f>IF(T42=0,0,X42/T42)</f>
        <v>-0.99063277999146981</v>
      </c>
    </row>
    <row r="43" spans="1:26" ht="15.75" thickTop="1" x14ac:dyDescent="0.25">
      <c r="A43" s="9"/>
      <c r="C43" s="9"/>
      <c r="D43" s="18"/>
      <c r="E43" s="18"/>
      <c r="G43" s="18"/>
      <c r="H43" s="18"/>
      <c r="I43" s="18"/>
      <c r="J43" s="43"/>
      <c r="K43" s="18"/>
      <c r="L43" s="18"/>
      <c r="M43" s="18"/>
      <c r="P43" s="18"/>
      <c r="Q43" s="18"/>
      <c r="R43" s="43"/>
      <c r="S43" s="18"/>
      <c r="T43" s="18"/>
      <c r="U43" s="18"/>
      <c r="V43" s="43"/>
      <c r="W43" s="18"/>
      <c r="X43" s="18"/>
    </row>
    <row r="44" spans="1:26" x14ac:dyDescent="0.25">
      <c r="A44" s="9"/>
      <c r="B44" s="56">
        <v>44151.573058946757</v>
      </c>
      <c r="D44" s="18"/>
      <c r="E44" s="18"/>
      <c r="G44" s="18"/>
      <c r="H44" s="18"/>
      <c r="I44" s="18"/>
      <c r="J44" s="43"/>
      <c r="K44" s="18"/>
      <c r="L44" s="18"/>
      <c r="M44" s="18"/>
      <c r="P44" s="18"/>
      <c r="Q44" s="18"/>
      <c r="R44" s="43"/>
      <c r="S44" s="18"/>
      <c r="T44" s="18"/>
      <c r="U44" s="18"/>
      <c r="V44" s="43"/>
      <c r="W44" s="18"/>
      <c r="X44" s="18"/>
    </row>
    <row r="45" spans="1:26" x14ac:dyDescent="0.25">
      <c r="A45" s="9"/>
      <c r="B45" s="62" t="s">
        <v>313</v>
      </c>
      <c r="D45" s="18"/>
      <c r="E45" s="18"/>
      <c r="G45" s="18"/>
      <c r="H45" s="18"/>
      <c r="I45" s="18"/>
      <c r="J45" s="43"/>
      <c r="K45" s="18"/>
      <c r="L45" s="18"/>
      <c r="M45" s="18"/>
      <c r="P45" s="18"/>
      <c r="Q45" s="18"/>
      <c r="R45" s="43"/>
      <c r="S45" s="18"/>
      <c r="T45" s="18"/>
      <c r="U45" s="18"/>
      <c r="V45" s="43"/>
      <c r="W45" s="18"/>
      <c r="X45" s="18"/>
    </row>
    <row r="46" spans="1:26" x14ac:dyDescent="0.25">
      <c r="A46" s="9"/>
      <c r="B46" s="54"/>
      <c r="D46" s="18"/>
      <c r="E46" s="18"/>
      <c r="G46" s="18"/>
      <c r="H46" s="18"/>
      <c r="I46" s="18"/>
      <c r="J46" s="43"/>
      <c r="K46" s="18"/>
      <c r="L46" s="18"/>
      <c r="M46" s="18"/>
      <c r="P46" s="18"/>
      <c r="Q46" s="18"/>
      <c r="R46" s="43"/>
      <c r="S46" s="18"/>
      <c r="T46" s="18"/>
      <c r="U46" s="18"/>
      <c r="V46" s="43"/>
      <c r="W46" s="18"/>
      <c r="X46" s="18"/>
    </row>
    <row r="47" spans="1:26" x14ac:dyDescent="0.25">
      <c r="D47" s="18"/>
      <c r="E47" s="18"/>
      <c r="G47" s="18"/>
      <c r="H47" s="18"/>
      <c r="I47" s="18"/>
      <c r="J47" s="43"/>
      <c r="K47" s="18"/>
      <c r="L47" s="18"/>
      <c r="M47" s="18"/>
      <c r="P47" s="18"/>
      <c r="Q47" s="18"/>
      <c r="R47" s="43"/>
      <c r="S47" s="18"/>
      <c r="T47" s="18"/>
      <c r="U47" s="18"/>
      <c r="V47" s="43"/>
      <c r="W47" s="18"/>
      <c r="X47" s="18"/>
    </row>
  </sheetData>
  <pageMargins left="0.25" right="0.25" top="0.75" bottom="0.75" header="0.3" footer="0.3"/>
  <pageSetup scale="55" fitToWidth="2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298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61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50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50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2"/>
      <c r="F10" s="31" t="s">
        <v>14</v>
      </c>
      <c r="G10" s="32"/>
      <c r="H10" s="49" t="s">
        <v>306</v>
      </c>
      <c r="I10" s="32"/>
      <c r="J10" s="31" t="s">
        <v>14</v>
      </c>
      <c r="K10" s="10"/>
      <c r="L10" s="42" t="s">
        <v>11</v>
      </c>
      <c r="M10" s="10"/>
      <c r="N10" s="31" t="s">
        <v>15</v>
      </c>
      <c r="O10" s="10"/>
      <c r="P10" s="59" t="s">
        <v>10</v>
      </c>
      <c r="Q10" s="32"/>
      <c r="R10" s="31" t="s">
        <v>14</v>
      </c>
      <c r="S10" s="32"/>
      <c r="T10" s="49" t="s">
        <v>306</v>
      </c>
      <c r="U10" s="32"/>
      <c r="V10" s="31" t="s">
        <v>14</v>
      </c>
      <c r="W10" s="10"/>
      <c r="X10" s="42" t="s">
        <v>11</v>
      </c>
      <c r="Y10" s="10"/>
      <c r="Z10" s="31" t="s">
        <v>15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6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2" t="e">
        <f ca="1">SUM(_xll.OneStop.ReportPlayer.OSRFunctions.OSRRef(D22))</f>
        <v>#NAME?</v>
      </c>
      <c r="E20" s="22"/>
      <c r="F20" s="36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6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6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6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7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6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0" t="e">
        <f ca="1">+D27-D29</f>
        <v>#NAME?</v>
      </c>
      <c r="E31" s="13"/>
      <c r="F31" s="33" t="e">
        <f ca="1">IF(D$12=0,0,D31/D$12)</f>
        <v>#NAME?</v>
      </c>
      <c r="G31" s="13"/>
      <c r="H31" s="30" t="e">
        <f ca="1">+H27-H29</f>
        <v>#NAME?</v>
      </c>
      <c r="I31" s="13"/>
      <c r="J31" s="33" t="e">
        <f ca="1">IF(H$12=0,0,H31/H$12)</f>
        <v>#NAME?</v>
      </c>
      <c r="K31" s="15"/>
      <c r="L31" s="30" t="e">
        <f ca="1">D31-H31</f>
        <v>#NAME?</v>
      </c>
      <c r="M31" s="15"/>
      <c r="N31" s="33" t="e">
        <f ca="1">IF(H31=0,0,L31/H31)</f>
        <v>#NAME?</v>
      </c>
      <c r="O31" s="26"/>
      <c r="P31" s="30" t="e">
        <f ca="1">+P27-P29</f>
        <v>#NAME?</v>
      </c>
      <c r="Q31" s="13"/>
      <c r="R31" s="33" t="e">
        <f ca="1">IF(P$12=0,0,P31/P$12)</f>
        <v>#NAME?</v>
      </c>
      <c r="S31" s="13"/>
      <c r="T31" s="30" t="e">
        <f ca="1">+T27-T29</f>
        <v>#NAME?</v>
      </c>
      <c r="U31" s="13"/>
      <c r="V31" s="33" t="e">
        <f ca="1">IF(T$12=0,0,T31/T$12)</f>
        <v>#NAME?</v>
      </c>
      <c r="W31" s="15"/>
      <c r="X31" s="30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4" t="e">
        <f ca="1">SUM(D31:D35)</f>
        <v>#NAME?</v>
      </c>
      <c r="E36" s="13"/>
      <c r="F36" s="35" t="e">
        <f ca="1">IF(D$12=0,0,D36/D$12)</f>
        <v>#NAME?</v>
      </c>
      <c r="G36" s="13"/>
      <c r="H36" s="34" t="e">
        <f ca="1">SUM(H31:H35)</f>
        <v>#NAME?</v>
      </c>
      <c r="I36" s="13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6"/>
      <c r="P36" s="34" t="e">
        <f ca="1">SUM(P31:P35)</f>
        <v>#NAME?</v>
      </c>
      <c r="Q36" s="13"/>
      <c r="R36" s="35" t="e">
        <f ca="1">IF(P$12=0,0,P36/P$12)</f>
        <v>#NAME?</v>
      </c>
      <c r="S36" s="13"/>
      <c r="T36" s="34" t="e">
        <f ca="1">SUM(T31:T35)</f>
        <v>#NAME?</v>
      </c>
      <c r="U36" s="13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03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",RIGHT(202104,2),", ",2021)</f>
        <v>Period 04,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44135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300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61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50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50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2"/>
      <c r="F10" s="31" t="s">
        <v>14</v>
      </c>
      <c r="G10" s="32"/>
      <c r="H10" s="49" t="s">
        <v>306</v>
      </c>
      <c r="I10" s="32"/>
      <c r="J10" s="31" t="s">
        <v>14</v>
      </c>
      <c r="K10" s="10"/>
      <c r="L10" s="42" t="s">
        <v>11</v>
      </c>
      <c r="M10" s="10"/>
      <c r="N10" s="31" t="s">
        <v>15</v>
      </c>
      <c r="O10" s="10"/>
      <c r="P10" s="59" t="s">
        <v>10</v>
      </c>
      <c r="Q10" s="32"/>
      <c r="R10" s="31" t="s">
        <v>14</v>
      </c>
      <c r="S10" s="32"/>
      <c r="T10" s="49" t="s">
        <v>306</v>
      </c>
      <c r="U10" s="32"/>
      <c r="V10" s="31" t="s">
        <v>14</v>
      </c>
      <c r="W10" s="10"/>
      <c r="X10" s="42" t="s">
        <v>11</v>
      </c>
      <c r="Y10" s="10"/>
      <c r="Z10" s="31" t="s">
        <v>15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152150.81999999998</v>
      </c>
      <c r="E12" s="4"/>
      <c r="F12" s="12"/>
      <c r="G12" s="4"/>
      <c r="H12" s="4">
        <f>SUM(OSRRefH13x_0)</f>
        <v>1670646.97</v>
      </c>
      <c r="I12" s="4"/>
      <c r="J12" s="12"/>
      <c r="K12" s="4"/>
      <c r="L12" s="4">
        <f t="shared" ref="L12:L17" si="0">+D12-H12</f>
        <v>-1518496.15</v>
      </c>
      <c r="M12" s="4"/>
      <c r="N12" s="12">
        <f t="shared" ref="N12:N17" si="1">IF(H12=0,0,L12/H12)</f>
        <v>-0.90892700688284844</v>
      </c>
      <c r="O12" s="10"/>
      <c r="P12" s="4">
        <f>SUM(OSRRefP13x_0)</f>
        <v>443661.80000000005</v>
      </c>
      <c r="Q12" s="4"/>
      <c r="R12" s="12"/>
      <c r="S12" s="4"/>
      <c r="T12" s="4">
        <f>SUM(OSRRefT13x_0)</f>
        <v>4145965.0300000003</v>
      </c>
      <c r="U12" s="4"/>
      <c r="V12" s="12"/>
      <c r="W12" s="4"/>
      <c r="X12" s="4">
        <f t="shared" ref="X12:X17" si="2">+P12-T12</f>
        <v>-3702303.2300000004</v>
      </c>
      <c r="Y12" s="4"/>
      <c r="Z12" s="12">
        <f t="shared" ref="Z12:Z17" si="3">IF(T12=0,0,X12/T12)</f>
        <v>-0.89298949779130199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 t="shared" ref="D13:D14" si="4">0</f>
        <v>0</v>
      </c>
      <c r="E13" s="2"/>
      <c r="F13" s="19"/>
      <c r="G13" s="2"/>
      <c r="H13" s="2">
        <f>--6043.78</f>
        <v>6043.78</v>
      </c>
      <c r="I13" s="2"/>
      <c r="J13" s="19"/>
      <c r="K13" s="2"/>
      <c r="L13" s="2">
        <f t="shared" si="0"/>
        <v>-6043.78</v>
      </c>
      <c r="M13" s="2"/>
      <c r="N13" s="19">
        <f t="shared" si="1"/>
        <v>-1</v>
      </c>
      <c r="O13" s="11"/>
      <c r="P13" s="2">
        <f>--402.44</f>
        <v>402.44</v>
      </c>
      <c r="Q13" s="2"/>
      <c r="R13" s="19"/>
      <c r="S13" s="2"/>
      <c r="T13" s="2">
        <f>--9377.79</f>
        <v>9377.7900000000009</v>
      </c>
      <c r="U13" s="2"/>
      <c r="V13" s="19"/>
      <c r="W13" s="2"/>
      <c r="X13" s="2">
        <f t="shared" si="2"/>
        <v>-8975.35</v>
      </c>
      <c r="Y13" s="2"/>
      <c r="Z13" s="19">
        <f t="shared" si="3"/>
        <v>-0.9570858379213012</v>
      </c>
    </row>
    <row r="14" spans="1:26" s="24" customFormat="1" hidden="1" outlineLevel="1" x14ac:dyDescent="0.25">
      <c r="A14" s="44"/>
      <c r="B14" s="11" t="str">
        <f>CONCATENATE("          ", "4055", " - ", "TAXABLE SALES-FOOD")</f>
        <v xml:space="preserve">          4055 - TAXABLE SALES-FOOD</v>
      </c>
      <c r="C14" s="11"/>
      <c r="D14" s="2">
        <f t="shared" si="4"/>
        <v>0</v>
      </c>
      <c r="E14" s="2"/>
      <c r="F14" s="19"/>
      <c r="G14" s="2"/>
      <c r="H14" s="2">
        <f>--371.82</f>
        <v>371.82</v>
      </c>
      <c r="I14" s="2"/>
      <c r="J14" s="19"/>
      <c r="K14" s="2"/>
      <c r="L14" s="2">
        <f t="shared" si="0"/>
        <v>-371.82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f>--651.14</f>
        <v>651.14</v>
      </c>
      <c r="U14" s="2"/>
      <c r="V14" s="19"/>
      <c r="W14" s="2"/>
      <c r="X14" s="2">
        <f t="shared" si="2"/>
        <v>-651.14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>--166628.02</f>
        <v>166628.01999999999</v>
      </c>
      <c r="E15" s="2"/>
      <c r="F15" s="19"/>
      <c r="G15" s="2"/>
      <c r="H15" s="2">
        <f>--1632556.89</f>
        <v>1632556.89</v>
      </c>
      <c r="I15" s="2"/>
      <c r="J15" s="19"/>
      <c r="K15" s="2"/>
      <c r="L15" s="2">
        <f t="shared" si="0"/>
        <v>-1465928.8699999999</v>
      </c>
      <c r="M15" s="2"/>
      <c r="N15" s="19">
        <f t="shared" si="1"/>
        <v>-0.89793432558420672</v>
      </c>
      <c r="O15" s="11"/>
      <c r="P15" s="2">
        <f>--427492.78</f>
        <v>427492.78</v>
      </c>
      <c r="Q15" s="2"/>
      <c r="R15" s="19"/>
      <c r="S15" s="2"/>
      <c r="T15" s="2">
        <f>--3944004.93</f>
        <v>3944004.93</v>
      </c>
      <c r="U15" s="2"/>
      <c r="V15" s="19"/>
      <c r="W15" s="2"/>
      <c r="X15" s="2">
        <f t="shared" si="2"/>
        <v>-3516512.1500000004</v>
      </c>
      <c r="Y15" s="2"/>
      <c r="Z15" s="19">
        <f t="shared" si="3"/>
        <v>-0.89160947118795819</v>
      </c>
    </row>
    <row r="16" spans="1:26" s="24" customFormat="1" hidden="1" outlineLevel="1" x14ac:dyDescent="0.25">
      <c r="A16" s="44"/>
      <c r="B16" s="11" t="str">
        <f>CONCATENATE("          ", "4153", " - ", "NON-TAXABLE SALES-FOOD")</f>
        <v xml:space="preserve">          4153 - NON-TAXABLE SALES-FOOD</v>
      </c>
      <c r="C16" s="11"/>
      <c r="D16" s="2">
        <f>-14477.2</f>
        <v>-14477.2</v>
      </c>
      <c r="E16" s="2"/>
      <c r="F16" s="19"/>
      <c r="G16" s="2"/>
      <c r="H16" s="2">
        <f>--30502.48</f>
        <v>30502.48</v>
      </c>
      <c r="I16" s="2"/>
      <c r="J16" s="19"/>
      <c r="K16" s="2"/>
      <c r="L16" s="2">
        <f t="shared" si="0"/>
        <v>-44979.68</v>
      </c>
      <c r="M16" s="2"/>
      <c r="N16" s="19">
        <f t="shared" si="1"/>
        <v>-1.4746237027284339</v>
      </c>
      <c r="O16" s="11"/>
      <c r="P16" s="2">
        <f>--15766.58</f>
        <v>15766.58</v>
      </c>
      <c r="Q16" s="2"/>
      <c r="R16" s="19"/>
      <c r="S16" s="2"/>
      <c r="T16" s="2">
        <f>--189788.06</f>
        <v>189788.06</v>
      </c>
      <c r="U16" s="2"/>
      <c r="V16" s="19"/>
      <c r="W16" s="2"/>
      <c r="X16" s="2">
        <f t="shared" si="2"/>
        <v>-174021.48</v>
      </c>
      <c r="Y16" s="2"/>
      <c r="Z16" s="19">
        <f t="shared" si="3"/>
        <v>-0.9169253323944615</v>
      </c>
    </row>
    <row r="17" spans="1:26" s="24" customFormat="1" hidden="1" outlineLevel="1" x14ac:dyDescent="0.25">
      <c r="A17" s="44"/>
      <c r="B17" s="11" t="str">
        <f>CONCATENATE("          ", "4155", " - ", "NON-TAXABLE SALES-FOOD")</f>
        <v xml:space="preserve">          4155 - NON-TAXABLE SALES-FOOD</v>
      </c>
      <c r="C17" s="11"/>
      <c r="D17" s="2">
        <f>0</f>
        <v>0</v>
      </c>
      <c r="E17" s="2"/>
      <c r="F17" s="19"/>
      <c r="G17" s="2"/>
      <c r="H17" s="2">
        <f>--1172</f>
        <v>1172</v>
      </c>
      <c r="I17" s="2"/>
      <c r="J17" s="19"/>
      <c r="K17" s="2"/>
      <c r="L17" s="2">
        <f t="shared" si="0"/>
        <v>-1172</v>
      </c>
      <c r="M17" s="2"/>
      <c r="N17" s="19">
        <f t="shared" si="1"/>
        <v>-1</v>
      </c>
      <c r="O17" s="11"/>
      <c r="P17" s="2">
        <f>0</f>
        <v>0</v>
      </c>
      <c r="Q17" s="2"/>
      <c r="R17" s="19"/>
      <c r="S17" s="2"/>
      <c r="T17" s="2">
        <f>--2143.11</f>
        <v>2143.11</v>
      </c>
      <c r="U17" s="2"/>
      <c r="V17" s="19"/>
      <c r="W17" s="2"/>
      <c r="X17" s="2">
        <f t="shared" si="2"/>
        <v>-2143.11</v>
      </c>
      <c r="Y17" s="2"/>
      <c r="Z17" s="19">
        <f t="shared" si="3"/>
        <v>-1</v>
      </c>
    </row>
    <row r="18" spans="1:26" x14ac:dyDescent="0.25">
      <c r="A18" s="9"/>
      <c r="B18" s="10"/>
      <c r="C18" s="9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collapsed="1" x14ac:dyDescent="0.25">
      <c r="A19" s="10"/>
      <c r="B19" s="26" t="s">
        <v>8</v>
      </c>
      <c r="C19" s="10"/>
      <c r="D19" s="4">
        <f>SUM(OSRRefD16x_0)</f>
        <v>73585.929999999993</v>
      </c>
      <c r="E19" s="4"/>
      <c r="F19" s="12">
        <f t="shared" ref="F19:F21" si="5">IF(D$12=0,0,D19/D$12)</f>
        <v>0.48363807700806349</v>
      </c>
      <c r="G19" s="4"/>
      <c r="H19" s="4">
        <f>SUM(OSRRefH16x_0)</f>
        <v>400999.63</v>
      </c>
      <c r="I19" s="4"/>
      <c r="J19" s="12">
        <f t="shared" ref="J19:J21" si="6">IF(H$12=0,0,H19/H$12)</f>
        <v>0.24002655091159086</v>
      </c>
      <c r="K19" s="4"/>
      <c r="L19" s="4">
        <f t="shared" ref="L19:L21" si="7">+D19-H19</f>
        <v>-327413.7</v>
      </c>
      <c r="M19" s="4"/>
      <c r="N19" s="12">
        <f t="shared" ref="N19:N21" si="8">IF(H19=0,0,L19/H19)</f>
        <v>-0.8164937708296639</v>
      </c>
      <c r="O19" s="10"/>
      <c r="P19" s="4">
        <f>SUM(OSRRefP16x_0)</f>
        <v>174994.77000000002</v>
      </c>
      <c r="Q19" s="4"/>
      <c r="R19" s="12">
        <f t="shared" ref="R19:R21" si="9">IF(P$12=0,0,P19/P$12)</f>
        <v>0.39443280895492916</v>
      </c>
      <c r="S19" s="4"/>
      <c r="T19" s="4">
        <f>SUM(OSRRefT16x_0)</f>
        <v>1010070.9600000001</v>
      </c>
      <c r="U19" s="4"/>
      <c r="V19" s="12">
        <f t="shared" ref="V19:V21" si="10">IF(T$12=0,0,T19/T$12)</f>
        <v>0.24362746735468727</v>
      </c>
      <c r="W19" s="4"/>
      <c r="X19" s="4">
        <f t="shared" ref="X19:X21" si="11">+P19-T19</f>
        <v>-835076.19000000006</v>
      </c>
      <c r="Y19" s="4"/>
      <c r="Z19" s="12">
        <f t="shared" ref="Z19:Z21" si="12">IF(T19=0,0,X19/T19)</f>
        <v>-0.8267500235825016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60972.029999999992</v>
      </c>
      <c r="E20" s="2"/>
      <c r="F20" s="19">
        <f t="shared" si="5"/>
        <v>0.40073415312516886</v>
      </c>
      <c r="G20" s="2"/>
      <c r="H20" s="2">
        <v>406354.34</v>
      </c>
      <c r="I20" s="2"/>
      <c r="J20" s="19">
        <f t="shared" si="6"/>
        <v>0.24323172237878601</v>
      </c>
      <c r="K20" s="2"/>
      <c r="L20" s="2">
        <f t="shared" si="7"/>
        <v>-345382.31000000006</v>
      </c>
      <c r="M20" s="2"/>
      <c r="N20" s="19">
        <f t="shared" si="8"/>
        <v>-0.84995354054788741</v>
      </c>
      <c r="O20" s="11"/>
      <c r="P20" s="2">
        <v>185907.45</v>
      </c>
      <c r="Q20" s="2"/>
      <c r="R20" s="19">
        <f t="shared" si="9"/>
        <v>0.41902965276704013</v>
      </c>
      <c r="S20" s="2"/>
      <c r="T20" s="2">
        <v>1036359.4700000001</v>
      </c>
      <c r="U20" s="2"/>
      <c r="V20" s="19">
        <f t="shared" si="10"/>
        <v>0.24996821307004607</v>
      </c>
      <c r="W20" s="2"/>
      <c r="X20" s="2">
        <f t="shared" si="11"/>
        <v>-850452.02</v>
      </c>
      <c r="Y20" s="2"/>
      <c r="Z20" s="19">
        <f t="shared" si="12"/>
        <v>-0.82061489726146852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12613.9</v>
      </c>
      <c r="E21" s="2"/>
      <c r="F21" s="19">
        <f t="shared" si="5"/>
        <v>8.2903923882894623E-2</v>
      </c>
      <c r="G21" s="2"/>
      <c r="H21" s="2">
        <v>-5354.71</v>
      </c>
      <c r="I21" s="2"/>
      <c r="J21" s="19">
        <f t="shared" si="6"/>
        <v>-3.2051714671951313E-3</v>
      </c>
      <c r="K21" s="2"/>
      <c r="L21" s="2">
        <f t="shared" si="7"/>
        <v>17968.61</v>
      </c>
      <c r="M21" s="2"/>
      <c r="N21" s="19">
        <f t="shared" si="8"/>
        <v>-3.3556644524166575</v>
      </c>
      <c r="O21" s="11"/>
      <c r="P21" s="2">
        <v>-10912.68</v>
      </c>
      <c r="Q21" s="2"/>
      <c r="R21" s="19">
        <f t="shared" si="9"/>
        <v>-2.4596843812110934E-2</v>
      </c>
      <c r="S21" s="2"/>
      <c r="T21" s="2">
        <v>-26288.510000000002</v>
      </c>
      <c r="U21" s="2"/>
      <c r="V21" s="19">
        <f t="shared" si="10"/>
        <v>-6.34074571535882E-3</v>
      </c>
      <c r="W21" s="2"/>
      <c r="X21" s="2">
        <f t="shared" si="11"/>
        <v>15375.830000000002</v>
      </c>
      <c r="Y21" s="2"/>
      <c r="Z21" s="19">
        <f t="shared" si="12"/>
        <v>-0.58488784643937597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5" t="s">
        <v>6</v>
      </c>
      <c r="C23" s="25"/>
      <c r="D23" s="20">
        <f>D12-D19</f>
        <v>78564.889999999985</v>
      </c>
      <c r="E23" s="13"/>
      <c r="F23" s="21">
        <f>IF(D$12=0,0,D23/D$12)</f>
        <v>0.51636192299193651</v>
      </c>
      <c r="G23" s="13"/>
      <c r="H23" s="20">
        <f>H12-H19</f>
        <v>1269647.3399999999</v>
      </c>
      <c r="I23" s="13"/>
      <c r="J23" s="21">
        <f>IF(H$12=0,0,H23/H$12)</f>
        <v>0.75997344908840903</v>
      </c>
      <c r="K23" s="15"/>
      <c r="L23" s="20">
        <f>+D23-H23</f>
        <v>-1191082.45</v>
      </c>
      <c r="M23" s="15"/>
      <c r="N23" s="21">
        <f>IF(H23=0,0,L23/H23)</f>
        <v>-0.93812069893361105</v>
      </c>
      <c r="O23" s="26"/>
      <c r="P23" s="20">
        <f>P12-P19</f>
        <v>268667.03000000003</v>
      </c>
      <c r="Q23" s="13"/>
      <c r="R23" s="21">
        <f>IF(P$12=0,0,P23/P$12)</f>
        <v>0.60556719104507084</v>
      </c>
      <c r="S23" s="13"/>
      <c r="T23" s="20">
        <f>T12-T19</f>
        <v>3135894.0700000003</v>
      </c>
      <c r="U23" s="13"/>
      <c r="V23" s="21">
        <f>IF(T$12=0,0,T23/T$12)</f>
        <v>0.75637253264531279</v>
      </c>
      <c r="W23" s="15"/>
      <c r="X23" s="20">
        <f>+P23-T23</f>
        <v>-2867227.04</v>
      </c>
      <c r="Y23" s="15"/>
      <c r="Z23" s="21">
        <f>IF(T23=0,0,X23/T23)</f>
        <v>-0.91432522145111861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7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6" t="s">
        <v>9</v>
      </c>
      <c r="C25" s="10"/>
      <c r="D25" s="22">
        <f>SUM(OSRRefD22x_0)</f>
        <v>287908.50999999995</v>
      </c>
      <c r="E25" s="22"/>
      <c r="F25" s="36">
        <f t="shared" ref="F25:F35" si="13">IF(D$12=0,0,D25/D$12)</f>
        <v>1.8922573667365052</v>
      </c>
      <c r="G25" s="22"/>
      <c r="H25" s="22">
        <f>SUM(OSRRefH22x_0)</f>
        <v>670705.33000000019</v>
      </c>
      <c r="I25" s="22"/>
      <c r="J25" s="36">
        <f t="shared" ref="J25:J35" si="14">IF(H$12=0,0,H25/H$12)</f>
        <v>0.40146442787969755</v>
      </c>
      <c r="K25" s="4"/>
      <c r="L25" s="22">
        <f t="shared" ref="L25:L35" si="15">+D25-H25</f>
        <v>-382796.82000000024</v>
      </c>
      <c r="M25" s="4"/>
      <c r="N25" s="36">
        <f t="shared" ref="N25:N35" si="16">IF(H25=0,0,L25/H25)</f>
        <v>-0.57073770384380296</v>
      </c>
      <c r="O25" s="10"/>
      <c r="P25" s="22">
        <f>SUM(OSRRefP22x_0)</f>
        <v>913835.44000000029</v>
      </c>
      <c r="Q25" s="22"/>
      <c r="R25" s="36">
        <f t="shared" ref="R25:R35" si="17">IF(P$12=0,0,P25/P$12)</f>
        <v>2.0597568688582162</v>
      </c>
      <c r="S25" s="22"/>
      <c r="T25" s="22">
        <f>SUM(OSRRefT22x_0)</f>
        <v>2015382.8599999994</v>
      </c>
      <c r="U25" s="22"/>
      <c r="V25" s="36">
        <f t="shared" ref="V25:V35" si="18">IF(T$12=0,0,T25/T$12)</f>
        <v>0.4861070572030366</v>
      </c>
      <c r="W25" s="4"/>
      <c r="X25" s="22">
        <f t="shared" ref="X25:X35" si="19">+P25-T25</f>
        <v>-1101547.419999999</v>
      </c>
      <c r="Y25" s="4"/>
      <c r="Z25" s="36">
        <f t="shared" ref="Z25:Z35" si="20">IF(T25=0,0,X25/T25)</f>
        <v>-0.54656980659248011</v>
      </c>
    </row>
    <row r="26" spans="1:26" s="29" customFormat="1" outlineLevel="1" collapsed="1" x14ac:dyDescent="0.25">
      <c r="A26" s="27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86647.97</v>
      </c>
      <c r="E26" s="1"/>
      <c r="F26" s="5">
        <f t="shared" si="13"/>
        <v>0.56948736786301912</v>
      </c>
      <c r="G26" s="1"/>
      <c r="H26" s="1">
        <f>SUM(OSRRefH22_0x_0)</f>
        <v>97986.090000000026</v>
      </c>
      <c r="I26" s="1"/>
      <c r="J26" s="5">
        <f t="shared" si="14"/>
        <v>5.8651583344385458E-2</v>
      </c>
      <c r="K26" s="1"/>
      <c r="L26" s="1">
        <f t="shared" si="15"/>
        <v>-11338.120000000024</v>
      </c>
      <c r="M26" s="1"/>
      <c r="N26" s="5">
        <f t="shared" si="16"/>
        <v>-0.11571152599312842</v>
      </c>
      <c r="O26" s="14"/>
      <c r="P26" s="1">
        <f>SUM(OSRRefP22_0x_0)</f>
        <v>306774.55999999994</v>
      </c>
      <c r="Q26" s="1"/>
      <c r="R26" s="5">
        <f t="shared" si="17"/>
        <v>0.69146038716878466</v>
      </c>
      <c r="S26" s="1"/>
      <c r="T26" s="1">
        <f>SUM(OSRRefT22_0x_0)</f>
        <v>375221.4</v>
      </c>
      <c r="U26" s="1"/>
      <c r="V26" s="5">
        <f t="shared" si="18"/>
        <v>9.0502789407270995E-2</v>
      </c>
      <c r="W26" s="1"/>
      <c r="X26" s="1">
        <f t="shared" si="19"/>
        <v>-68446.840000000084</v>
      </c>
      <c r="Y26" s="1"/>
      <c r="Z26" s="5">
        <f t="shared" si="20"/>
        <v>-0.18241720754733093</v>
      </c>
    </row>
    <row r="27" spans="1:26" s="24" customFormat="1" hidden="1" outlineLevel="2" x14ac:dyDescent="0.25">
      <c r="A27" s="28"/>
      <c r="B27" s="11" t="str">
        <f>CONCATENATE("          ", "6111", " - ", "F.I.C.A.")</f>
        <v xml:space="preserve">          6111 - F.I.C.A.</v>
      </c>
      <c r="C27" s="11"/>
      <c r="D27" s="6">
        <v>12597.07</v>
      </c>
      <c r="E27" s="2"/>
      <c r="F27" s="7">
        <f t="shared" si="13"/>
        <v>8.2793309953899705E-2</v>
      </c>
      <c r="G27" s="2"/>
      <c r="H27" s="6">
        <v>22320.400000000001</v>
      </c>
      <c r="I27" s="2"/>
      <c r="J27" s="7">
        <f t="shared" si="14"/>
        <v>1.336033309299331E-2</v>
      </c>
      <c r="K27" s="2"/>
      <c r="L27" s="6">
        <f t="shared" si="15"/>
        <v>-9723.3300000000017</v>
      </c>
      <c r="M27" s="2"/>
      <c r="N27" s="7">
        <f t="shared" si="16"/>
        <v>-0.43562525761187082</v>
      </c>
      <c r="O27" s="11"/>
      <c r="P27" s="6">
        <v>34182.76</v>
      </c>
      <c r="Q27" s="2"/>
      <c r="R27" s="7">
        <f t="shared" si="17"/>
        <v>7.7046885713397004E-2</v>
      </c>
      <c r="S27" s="2"/>
      <c r="T27" s="6">
        <v>61464.33</v>
      </c>
      <c r="U27" s="2"/>
      <c r="V27" s="7">
        <f t="shared" si="18"/>
        <v>1.4825096100726156E-2</v>
      </c>
      <c r="W27" s="2"/>
      <c r="X27" s="6">
        <f t="shared" si="19"/>
        <v>-27281.57</v>
      </c>
      <c r="Y27" s="2"/>
      <c r="Z27" s="7">
        <f t="shared" si="20"/>
        <v>-0.44386020314546665</v>
      </c>
    </row>
    <row r="28" spans="1:26" s="24" customFormat="1" hidden="1" outlineLevel="2" x14ac:dyDescent="0.25">
      <c r="A28" s="28"/>
      <c r="B28" s="11" t="str">
        <f>CONCATENATE("          ", "6112", " - ", "COMPENSATION INSURANCE")</f>
        <v xml:space="preserve">          6112 - COMPENSATION INSURANCE</v>
      </c>
      <c r="C28" s="11"/>
      <c r="D28" s="6">
        <v>4831.29</v>
      </c>
      <c r="E28" s="2"/>
      <c r="F28" s="7">
        <f t="shared" si="13"/>
        <v>3.1753295841586662E-2</v>
      </c>
      <c r="G28" s="2"/>
      <c r="H28" s="6">
        <v>-1828.23</v>
      </c>
      <c r="I28" s="2"/>
      <c r="J28" s="7">
        <f t="shared" si="14"/>
        <v>-1.0943245537984605E-3</v>
      </c>
      <c r="K28" s="2"/>
      <c r="L28" s="6">
        <f t="shared" si="15"/>
        <v>6659.52</v>
      </c>
      <c r="M28" s="2"/>
      <c r="N28" s="7">
        <f t="shared" si="16"/>
        <v>-3.6426051426789847</v>
      </c>
      <c r="O28" s="11"/>
      <c r="P28" s="6">
        <v>17540.63</v>
      </c>
      <c r="Q28" s="2"/>
      <c r="R28" s="7">
        <f t="shared" si="17"/>
        <v>3.9536038486973638E-2</v>
      </c>
      <c r="S28" s="2"/>
      <c r="T28" s="6">
        <v>23387.24</v>
      </c>
      <c r="U28" s="2"/>
      <c r="V28" s="7">
        <f t="shared" si="18"/>
        <v>5.6409641255464231E-3</v>
      </c>
      <c r="W28" s="2"/>
      <c r="X28" s="6">
        <f t="shared" si="19"/>
        <v>-5846.6100000000006</v>
      </c>
      <c r="Y28" s="2"/>
      <c r="Z28" s="7">
        <f t="shared" si="20"/>
        <v>-0.2499914483282337</v>
      </c>
    </row>
    <row r="29" spans="1:26" s="24" customFormat="1" hidden="1" outlineLevel="2" x14ac:dyDescent="0.25">
      <c r="A29" s="28"/>
      <c r="B29" s="11" t="str">
        <f>CONCATENATE("          ", "6113", " - ", "GROUP INSURANCE")</f>
        <v xml:space="preserve">          6113 - GROUP INSURANCE</v>
      </c>
      <c r="C29" s="11"/>
      <c r="D29" s="6">
        <v>45706.28</v>
      </c>
      <c r="E29" s="2"/>
      <c r="F29" s="7">
        <f t="shared" si="13"/>
        <v>0.30040114144636226</v>
      </c>
      <c r="G29" s="2"/>
      <c r="H29" s="6">
        <v>45068.950000000004</v>
      </c>
      <c r="I29" s="2"/>
      <c r="J29" s="7">
        <f t="shared" si="14"/>
        <v>2.6976944147571767E-2</v>
      </c>
      <c r="K29" s="2"/>
      <c r="L29" s="6">
        <f t="shared" si="15"/>
        <v>637.32999999999447</v>
      </c>
      <c r="M29" s="2"/>
      <c r="N29" s="7">
        <f t="shared" si="16"/>
        <v>1.4141221395217647E-2</v>
      </c>
      <c r="O29" s="11"/>
      <c r="P29" s="6">
        <v>176179.34999999998</v>
      </c>
      <c r="Q29" s="2"/>
      <c r="R29" s="7">
        <f t="shared" si="17"/>
        <v>0.39710281570331263</v>
      </c>
      <c r="S29" s="2"/>
      <c r="T29" s="6">
        <v>180781.84</v>
      </c>
      <c r="U29" s="2"/>
      <c r="V29" s="7">
        <f t="shared" si="18"/>
        <v>4.3604284814722616E-2</v>
      </c>
      <c r="W29" s="2"/>
      <c r="X29" s="6">
        <f t="shared" si="19"/>
        <v>-4602.4900000000198</v>
      </c>
      <c r="Y29" s="2"/>
      <c r="Z29" s="7">
        <f t="shared" si="20"/>
        <v>-2.5458807145673591E-2</v>
      </c>
    </row>
    <row r="30" spans="1:26" s="24" customFormat="1" hidden="1" outlineLevel="2" x14ac:dyDescent="0.25">
      <c r="A30" s="28"/>
      <c r="B30" s="11" t="str">
        <f>CONCATENATE("          ", "6114", " - ", "STATE UNEMPLOYMENT INSURANCE")</f>
        <v xml:space="preserve">          6114 - STATE UNEMPLOYMENT INSURANCE</v>
      </c>
      <c r="C30" s="11"/>
      <c r="D30" s="6">
        <v>292.77999999999997</v>
      </c>
      <c r="E30" s="2"/>
      <c r="F30" s="7">
        <f t="shared" si="13"/>
        <v>1.9242748741018945E-3</v>
      </c>
      <c r="G30" s="2"/>
      <c r="H30" s="6">
        <v>852.72</v>
      </c>
      <c r="I30" s="2"/>
      <c r="J30" s="7">
        <f t="shared" si="14"/>
        <v>5.1041304076348344E-4</v>
      </c>
      <c r="K30" s="2"/>
      <c r="L30" s="6">
        <f t="shared" si="15"/>
        <v>-559.94000000000005</v>
      </c>
      <c r="M30" s="2"/>
      <c r="N30" s="7">
        <f t="shared" si="16"/>
        <v>-0.65665165587766217</v>
      </c>
      <c r="O30" s="11"/>
      <c r="P30" s="6">
        <v>1143.8399999999999</v>
      </c>
      <c r="Q30" s="2"/>
      <c r="R30" s="7">
        <f t="shared" si="17"/>
        <v>2.5781800461522715E-3</v>
      </c>
      <c r="S30" s="2"/>
      <c r="T30" s="6">
        <v>2548.9499999999998</v>
      </c>
      <c r="U30" s="2"/>
      <c r="V30" s="7">
        <f t="shared" si="18"/>
        <v>6.1480258071544796E-4</v>
      </c>
      <c r="W30" s="2"/>
      <c r="X30" s="6">
        <f t="shared" si="19"/>
        <v>-1405.11</v>
      </c>
      <c r="Y30" s="2"/>
      <c r="Z30" s="7">
        <f t="shared" si="20"/>
        <v>-0.55125051491790733</v>
      </c>
    </row>
    <row r="31" spans="1:26" s="24" customFormat="1" hidden="1" outlineLevel="2" x14ac:dyDescent="0.25">
      <c r="A31" s="28"/>
      <c r="B31" s="11" t="str">
        <f>CONCATENATE("          ", "6115", " - ", "P.E.R.S.")</f>
        <v xml:space="preserve">          6115 - P.E.R.S.</v>
      </c>
      <c r="C31" s="11"/>
      <c r="D31" s="6">
        <v>3352.04</v>
      </c>
      <c r="E31" s="2"/>
      <c r="F31" s="7">
        <f t="shared" si="13"/>
        <v>2.203103473251081E-2</v>
      </c>
      <c r="G31" s="2"/>
      <c r="H31" s="6">
        <v>5810.19</v>
      </c>
      <c r="I31" s="2"/>
      <c r="J31" s="7">
        <f t="shared" si="14"/>
        <v>3.4778083606735897E-3</v>
      </c>
      <c r="K31" s="2"/>
      <c r="L31" s="6">
        <f t="shared" si="15"/>
        <v>-2458.1499999999996</v>
      </c>
      <c r="M31" s="2"/>
      <c r="N31" s="7">
        <f t="shared" si="16"/>
        <v>-0.42307566533968766</v>
      </c>
      <c r="O31" s="11"/>
      <c r="P31" s="6">
        <v>15900.16</v>
      </c>
      <c r="Q31" s="2"/>
      <c r="R31" s="7">
        <f t="shared" si="17"/>
        <v>3.5838469753312091E-2</v>
      </c>
      <c r="S31" s="2"/>
      <c r="T31" s="6">
        <v>17950.59</v>
      </c>
      <c r="U31" s="2"/>
      <c r="V31" s="7">
        <f t="shared" si="18"/>
        <v>4.3296530168755428E-3</v>
      </c>
      <c r="W31" s="2"/>
      <c r="X31" s="6">
        <f t="shared" si="19"/>
        <v>-2050.4300000000003</v>
      </c>
      <c r="Y31" s="2"/>
      <c r="Z31" s="7">
        <f t="shared" si="20"/>
        <v>-0.11422632905102285</v>
      </c>
    </row>
    <row r="32" spans="1:26" s="24" customFormat="1" hidden="1" outlineLevel="2" x14ac:dyDescent="0.25">
      <c r="A32" s="28"/>
      <c r="B32" s="11" t="str">
        <f>CONCATENATE("          ", "6117", " - ", "RETIREMENT STAFF HOURLY")</f>
        <v xml:space="preserve">          6117 - RETIREMENT STAFF HOURLY</v>
      </c>
      <c r="C32" s="11"/>
      <c r="D32" s="6">
        <v>1396.69</v>
      </c>
      <c r="E32" s="2"/>
      <c r="F32" s="7">
        <f t="shared" si="13"/>
        <v>9.1796416213859398E-3</v>
      </c>
      <c r="G32" s="2"/>
      <c r="H32" s="6">
        <v>1660.24</v>
      </c>
      <c r="I32" s="2"/>
      <c r="J32" s="7">
        <f t="shared" si="14"/>
        <v>9.9377069471475485E-4</v>
      </c>
      <c r="K32" s="2"/>
      <c r="L32" s="6">
        <f t="shared" si="15"/>
        <v>-263.54999999999995</v>
      </c>
      <c r="M32" s="2"/>
      <c r="N32" s="7">
        <f t="shared" si="16"/>
        <v>-0.15874210957451931</v>
      </c>
      <c r="O32" s="11"/>
      <c r="P32" s="6">
        <v>6266.31</v>
      </c>
      <c r="Q32" s="2"/>
      <c r="R32" s="7">
        <f t="shared" si="17"/>
        <v>1.412406927979826E-2</v>
      </c>
      <c r="S32" s="2"/>
      <c r="T32" s="6">
        <v>6493.02</v>
      </c>
      <c r="U32" s="2"/>
      <c r="V32" s="7">
        <f t="shared" si="18"/>
        <v>1.5661058289244663E-3</v>
      </c>
      <c r="W32" s="2"/>
      <c r="X32" s="6">
        <f t="shared" si="19"/>
        <v>-226.71000000000004</v>
      </c>
      <c r="Y32" s="2"/>
      <c r="Z32" s="7">
        <f t="shared" si="20"/>
        <v>-3.4915955903416285E-2</v>
      </c>
    </row>
    <row r="33" spans="1:26" s="24" customFormat="1" hidden="1" outlineLevel="2" x14ac:dyDescent="0.25">
      <c r="A33" s="28"/>
      <c r="B33" s="11" t="str">
        <f>CONCATENATE("          ", "6118", " - ", "VACATION")</f>
        <v xml:space="preserve">          6118 - VACATION</v>
      </c>
      <c r="C33" s="11"/>
      <c r="D33" s="6">
        <v>9308.25</v>
      </c>
      <c r="E33" s="2"/>
      <c r="F33" s="7">
        <f t="shared" si="13"/>
        <v>6.117778399091113E-2</v>
      </c>
      <c r="G33" s="2"/>
      <c r="H33" s="6">
        <v>11742.66</v>
      </c>
      <c r="I33" s="2"/>
      <c r="J33" s="7">
        <f t="shared" si="14"/>
        <v>7.0288099226612786E-3</v>
      </c>
      <c r="K33" s="2"/>
      <c r="L33" s="6">
        <f t="shared" si="15"/>
        <v>-2434.41</v>
      </c>
      <c r="M33" s="2"/>
      <c r="N33" s="7">
        <f t="shared" si="16"/>
        <v>-0.2073133344574398</v>
      </c>
      <c r="O33" s="11"/>
      <c r="P33" s="6">
        <v>27045.66</v>
      </c>
      <c r="Q33" s="2"/>
      <c r="R33" s="7">
        <f t="shared" si="17"/>
        <v>6.0960082657555814E-2</v>
      </c>
      <c r="S33" s="2"/>
      <c r="T33" s="6">
        <v>37704.839999999997</v>
      </c>
      <c r="U33" s="2"/>
      <c r="V33" s="7">
        <f t="shared" si="18"/>
        <v>9.0943458826038374E-3</v>
      </c>
      <c r="W33" s="2"/>
      <c r="X33" s="6">
        <f t="shared" si="19"/>
        <v>-10659.179999999997</v>
      </c>
      <c r="Y33" s="2"/>
      <c r="Z33" s="7">
        <f t="shared" si="20"/>
        <v>-0.28270057637162754</v>
      </c>
    </row>
    <row r="34" spans="1:26" s="24" customFormat="1" hidden="1" outlineLevel="2" x14ac:dyDescent="0.25">
      <c r="A34" s="28"/>
      <c r="B34" s="11" t="str">
        <f>CONCATENATE("          ", "6119", " - ", "SICK LEAVE")</f>
        <v xml:space="preserve">          6119 - SICK LEAVE</v>
      </c>
      <c r="C34" s="11"/>
      <c r="D34" s="6">
        <v>6012.99</v>
      </c>
      <c r="E34" s="2"/>
      <c r="F34" s="7">
        <f t="shared" si="13"/>
        <v>3.9519931604706439E-2</v>
      </c>
      <c r="G34" s="2"/>
      <c r="H34" s="6">
        <v>7887.78</v>
      </c>
      <c r="I34" s="2"/>
      <c r="J34" s="7">
        <f t="shared" si="14"/>
        <v>4.7213924555227849E-3</v>
      </c>
      <c r="K34" s="2"/>
      <c r="L34" s="6">
        <f t="shared" si="15"/>
        <v>-1874.79</v>
      </c>
      <c r="M34" s="2"/>
      <c r="N34" s="7">
        <f t="shared" si="16"/>
        <v>-0.23768284612400448</v>
      </c>
      <c r="O34" s="11"/>
      <c r="P34" s="6">
        <v>18248.670000000002</v>
      </c>
      <c r="Q34" s="2"/>
      <c r="R34" s="7">
        <f t="shared" si="17"/>
        <v>4.1131938787608041E-2</v>
      </c>
      <c r="S34" s="2"/>
      <c r="T34" s="6">
        <v>30711.11</v>
      </c>
      <c r="U34" s="2"/>
      <c r="V34" s="7">
        <f t="shared" si="18"/>
        <v>7.407469618719866E-3</v>
      </c>
      <c r="W34" s="2"/>
      <c r="X34" s="6">
        <f t="shared" si="19"/>
        <v>-12462.439999999999</v>
      </c>
      <c r="Y34" s="2"/>
      <c r="Z34" s="7">
        <f t="shared" si="20"/>
        <v>-0.40579581786526109</v>
      </c>
    </row>
    <row r="35" spans="1:26" s="24" customFormat="1" hidden="1" outlineLevel="2" x14ac:dyDescent="0.25">
      <c r="A35" s="28"/>
      <c r="B35" s="11" t="str">
        <f>CONCATENATE("          ", "6156", " - ", "EMPLOYEE MEALS")</f>
        <v xml:space="preserve">          6156 - EMPLOYEE MEALS</v>
      </c>
      <c r="C35" s="11"/>
      <c r="D35" s="6">
        <v>3150.58</v>
      </c>
      <c r="E35" s="2"/>
      <c r="F35" s="7">
        <f t="shared" si="13"/>
        <v>2.0706953797554297E-2</v>
      </c>
      <c r="G35" s="2"/>
      <c r="H35" s="6">
        <v>4471.38</v>
      </c>
      <c r="I35" s="2"/>
      <c r="J35" s="7">
        <f t="shared" si="14"/>
        <v>2.6764361832829352E-3</v>
      </c>
      <c r="K35" s="2"/>
      <c r="L35" s="6">
        <f t="shared" si="15"/>
        <v>-1320.8000000000002</v>
      </c>
      <c r="M35" s="2"/>
      <c r="N35" s="7">
        <f t="shared" si="16"/>
        <v>-0.29538979017663453</v>
      </c>
      <c r="O35" s="11"/>
      <c r="P35" s="6">
        <v>10267.18</v>
      </c>
      <c r="Q35" s="2"/>
      <c r="R35" s="7">
        <f t="shared" si="17"/>
        <v>2.314190674067499E-2</v>
      </c>
      <c r="S35" s="2"/>
      <c r="T35" s="6">
        <v>14179.48</v>
      </c>
      <c r="U35" s="2"/>
      <c r="V35" s="7">
        <f t="shared" si="18"/>
        <v>3.4200674384366426E-3</v>
      </c>
      <c r="W35" s="2"/>
      <c r="X35" s="6">
        <f t="shared" si="19"/>
        <v>-3912.2999999999993</v>
      </c>
      <c r="Y35" s="2"/>
      <c r="Z35" s="7">
        <f t="shared" si="20"/>
        <v>-0.27591279793053053</v>
      </c>
    </row>
    <row r="36" spans="1:26" s="29" customFormat="1" outlineLevel="1" collapsed="1" x14ac:dyDescent="0.25">
      <c r="A36" s="27"/>
      <c r="B36" s="14" t="str">
        <f>CONCATENATE("     ","*Payroll                                          ")</f>
        <v xml:space="preserve">     *Payroll                                          </v>
      </c>
      <c r="C36" s="14"/>
      <c r="D36" s="1">
        <f>SUM(OSRRefD22_1x_0)</f>
        <v>143698.02999999997</v>
      </c>
      <c r="E36" s="1"/>
      <c r="F36" s="5">
        <f t="shared" ref="F36:F43" si="21">IF(D$12=0,0,D36/D$12)</f>
        <v>0.94444466352530987</v>
      </c>
      <c r="G36" s="1"/>
      <c r="H36" s="1">
        <f>SUM(OSRRefH22_1x_0)</f>
        <v>361091.98000000004</v>
      </c>
      <c r="I36" s="1"/>
      <c r="J36" s="5">
        <f t="shared" ref="J36:J43" si="22">IF(H$12=0,0,H36/H$12)</f>
        <v>0.21613900870990119</v>
      </c>
      <c r="K36" s="1"/>
      <c r="L36" s="1">
        <f t="shared" ref="L36:L43" si="23">+D36-H36</f>
        <v>-217393.95000000007</v>
      </c>
      <c r="M36" s="1"/>
      <c r="N36" s="5">
        <f t="shared" ref="N36:N43" si="24">IF(H36=0,0,L36/H36)</f>
        <v>-0.60204591085074788</v>
      </c>
      <c r="O36" s="14"/>
      <c r="P36" s="1">
        <f>SUM(OSRRefP22_1x_0)</f>
        <v>438311.68000000005</v>
      </c>
      <c r="Q36" s="1"/>
      <c r="R36" s="5">
        <f t="shared" ref="R36:R43" si="25">IF(P$12=0,0,P36/P$12)</f>
        <v>0.9879409946946075</v>
      </c>
      <c r="S36" s="1"/>
      <c r="T36" s="1">
        <f>SUM(OSRRefT22_1x_0)</f>
        <v>1049822.1400000001</v>
      </c>
      <c r="U36" s="1"/>
      <c r="V36" s="5">
        <f t="shared" ref="V36:V43" si="26">IF(T$12=0,0,T36/T$12)</f>
        <v>0.25321538710614744</v>
      </c>
      <c r="W36" s="1"/>
      <c r="X36" s="1">
        <f t="shared" ref="X36:X43" si="27">+P36-T36</f>
        <v>-611510.46000000008</v>
      </c>
      <c r="Y36" s="1"/>
      <c r="Z36" s="5">
        <f t="shared" ref="Z36:Z43" si="28">IF(T36=0,0,X36/T36)</f>
        <v>-0.58248958247346549</v>
      </c>
    </row>
    <row r="37" spans="1:26" s="24" customFormat="1" hidden="1" outlineLevel="2" x14ac:dyDescent="0.25">
      <c r="A37" s="28"/>
      <c r="B37" s="11" t="str">
        <f>CONCATENATE("          ", "6001", " - ", "ADMINISTRATIVE SALARIES")</f>
        <v xml:space="preserve">          6001 - ADMINISTRATIVE SALARIES</v>
      </c>
      <c r="C37" s="11"/>
      <c r="D37" s="6">
        <v>11199.31</v>
      </c>
      <c r="E37" s="2"/>
      <c r="F37" s="7">
        <f t="shared" si="21"/>
        <v>7.3606635836730952E-2</v>
      </c>
      <c r="G37" s="2"/>
      <c r="H37" s="6">
        <v>8959.81</v>
      </c>
      <c r="I37" s="2"/>
      <c r="J37" s="7">
        <f t="shared" si="22"/>
        <v>5.3630779936709189E-3</v>
      </c>
      <c r="K37" s="2"/>
      <c r="L37" s="6">
        <f t="shared" si="23"/>
        <v>2239.5</v>
      </c>
      <c r="M37" s="2"/>
      <c r="N37" s="7">
        <f t="shared" si="24"/>
        <v>0.24994949669691657</v>
      </c>
      <c r="O37" s="11"/>
      <c r="P37" s="6">
        <v>36734.11</v>
      </c>
      <c r="Q37" s="2"/>
      <c r="R37" s="7">
        <f t="shared" si="25"/>
        <v>8.2797549845400248E-2</v>
      </c>
      <c r="S37" s="2"/>
      <c r="T37" s="6">
        <v>30136.659999999996</v>
      </c>
      <c r="U37" s="2"/>
      <c r="V37" s="7">
        <f t="shared" si="26"/>
        <v>7.2689132160866279E-3</v>
      </c>
      <c r="W37" s="2"/>
      <c r="X37" s="6">
        <f t="shared" si="27"/>
        <v>6597.4500000000044</v>
      </c>
      <c r="Y37" s="2"/>
      <c r="Z37" s="7">
        <f t="shared" si="28"/>
        <v>0.21891775664589258</v>
      </c>
    </row>
    <row r="38" spans="1:26" s="24" customFormat="1" hidden="1" outlineLevel="2" x14ac:dyDescent="0.25">
      <c r="A38" s="28"/>
      <c r="B38" s="11" t="str">
        <f>CONCATENATE("          ", "6002", " - ", "STAFF SALARIES")</f>
        <v xml:space="preserve">          6002 - STAFF SALARIES</v>
      </c>
      <c r="C38" s="11"/>
      <c r="D38" s="6">
        <v>31630.769999999997</v>
      </c>
      <c r="E38" s="2"/>
      <c r="F38" s="7">
        <f t="shared" si="21"/>
        <v>0.20789089404841854</v>
      </c>
      <c r="G38" s="2"/>
      <c r="H38" s="6">
        <v>43549.16</v>
      </c>
      <c r="I38" s="2"/>
      <c r="J38" s="7">
        <f t="shared" si="22"/>
        <v>2.606724268024142E-2</v>
      </c>
      <c r="K38" s="2"/>
      <c r="L38" s="6">
        <f t="shared" si="23"/>
        <v>-11918.390000000007</v>
      </c>
      <c r="M38" s="2"/>
      <c r="N38" s="7">
        <f t="shared" si="24"/>
        <v>-0.27367669089369362</v>
      </c>
      <c r="O38" s="11"/>
      <c r="P38" s="6">
        <v>121554.59999999999</v>
      </c>
      <c r="Q38" s="2"/>
      <c r="R38" s="7">
        <f t="shared" si="25"/>
        <v>0.27398031563682063</v>
      </c>
      <c r="S38" s="2"/>
      <c r="T38" s="6">
        <v>164138.48000000001</v>
      </c>
      <c r="U38" s="2"/>
      <c r="V38" s="7">
        <f t="shared" si="26"/>
        <v>3.9589933540756371E-2</v>
      </c>
      <c r="W38" s="2"/>
      <c r="X38" s="6">
        <f t="shared" si="27"/>
        <v>-42583.880000000019</v>
      </c>
      <c r="Y38" s="2"/>
      <c r="Z38" s="7">
        <f t="shared" si="28"/>
        <v>-0.25943873733934919</v>
      </c>
    </row>
    <row r="39" spans="1:26" s="24" customFormat="1" hidden="1" outlineLevel="2" x14ac:dyDescent="0.25">
      <c r="A39" s="28"/>
      <c r="B39" s="11" t="str">
        <f>CONCATENATE("          ", "6004", " - ", "STAFF HOURLY")</f>
        <v xml:space="preserve">          6004 - STAFF HOURLY</v>
      </c>
      <c r="C39" s="11"/>
      <c r="D39" s="6">
        <v>67702.179999999993</v>
      </c>
      <c r="E39" s="2"/>
      <c r="F39" s="7">
        <f t="shared" si="21"/>
        <v>0.44496756573510415</v>
      </c>
      <c r="G39" s="2"/>
      <c r="H39" s="6">
        <v>95873.61</v>
      </c>
      <c r="I39" s="2"/>
      <c r="J39" s="7">
        <f t="shared" si="22"/>
        <v>5.7387115124627436E-2</v>
      </c>
      <c r="K39" s="2"/>
      <c r="L39" s="6">
        <f t="shared" si="23"/>
        <v>-28171.430000000008</v>
      </c>
      <c r="M39" s="2"/>
      <c r="N39" s="7">
        <f t="shared" si="24"/>
        <v>-0.29383925357561907</v>
      </c>
      <c r="O39" s="11"/>
      <c r="P39" s="6">
        <v>191347.69</v>
      </c>
      <c r="Q39" s="2"/>
      <c r="R39" s="7">
        <f t="shared" si="25"/>
        <v>0.43129178577015193</v>
      </c>
      <c r="S39" s="2"/>
      <c r="T39" s="6">
        <v>242795.09</v>
      </c>
      <c r="U39" s="2"/>
      <c r="V39" s="7">
        <f t="shared" si="26"/>
        <v>5.8561779523740941E-2</v>
      </c>
      <c r="W39" s="2"/>
      <c r="X39" s="6">
        <f t="shared" si="27"/>
        <v>-51447.399999999994</v>
      </c>
      <c r="Y39" s="2"/>
      <c r="Z39" s="7">
        <f t="shared" si="28"/>
        <v>-0.21189637731141925</v>
      </c>
    </row>
    <row r="40" spans="1:26" s="24" customFormat="1" hidden="1" outlineLevel="2" x14ac:dyDescent="0.25">
      <c r="A40" s="28"/>
      <c r="B40" s="11" t="str">
        <f>CONCATENATE("          ", "6005", " - ", "TEMPORARY WAGES-HOURLY")</f>
        <v xml:space="preserve">          6005 - TEMPORARY WAGES-HOURLY</v>
      </c>
      <c r="C40" s="11"/>
      <c r="D40" s="6">
        <v>23204.070000000003</v>
      </c>
      <c r="E40" s="2"/>
      <c r="F40" s="7">
        <f t="shared" si="21"/>
        <v>0.15250703216716155</v>
      </c>
      <c r="G40" s="2"/>
      <c r="H40" s="6">
        <v>77454.960000000006</v>
      </c>
      <c r="I40" s="2"/>
      <c r="J40" s="7">
        <f t="shared" si="22"/>
        <v>4.6362254498327676E-2</v>
      </c>
      <c r="K40" s="2"/>
      <c r="L40" s="6">
        <f t="shared" si="23"/>
        <v>-54250.89</v>
      </c>
      <c r="M40" s="2"/>
      <c r="N40" s="7">
        <f t="shared" si="24"/>
        <v>-0.70041854001344772</v>
      </c>
      <c r="O40" s="11"/>
      <c r="P40" s="6">
        <v>37723.81</v>
      </c>
      <c r="Q40" s="2"/>
      <c r="R40" s="7">
        <f t="shared" si="25"/>
        <v>8.5028303090326898E-2</v>
      </c>
      <c r="S40" s="2"/>
      <c r="T40" s="6">
        <v>196022.29</v>
      </c>
      <c r="U40" s="2"/>
      <c r="V40" s="7">
        <f t="shared" si="26"/>
        <v>4.7280256485906731E-2</v>
      </c>
      <c r="W40" s="2"/>
      <c r="X40" s="6">
        <f t="shared" si="27"/>
        <v>-158298.48000000001</v>
      </c>
      <c r="Y40" s="2"/>
      <c r="Z40" s="7">
        <f t="shared" si="28"/>
        <v>-0.8075534675163728</v>
      </c>
    </row>
    <row r="41" spans="1:26" s="24" customFormat="1" hidden="1" outlineLevel="2" x14ac:dyDescent="0.25">
      <c r="A41" s="28"/>
      <c r="B41" s="11" t="str">
        <f>CONCATENATE("          ", "6006", " - ", "TEMPORARY PART TIME")</f>
        <v xml:space="preserve">          6006 - TEMPORARY PART TIME</v>
      </c>
      <c r="C41" s="11"/>
      <c r="D41" s="6"/>
      <c r="E41" s="2"/>
      <c r="F41" s="7">
        <f t="shared" si="21"/>
        <v>0</v>
      </c>
      <c r="G41" s="2"/>
      <c r="H41" s="6">
        <v>6584.06</v>
      </c>
      <c r="I41" s="2"/>
      <c r="J41" s="7">
        <f t="shared" si="22"/>
        <v>3.9410241171418765E-3</v>
      </c>
      <c r="K41" s="2"/>
      <c r="L41" s="6">
        <f t="shared" si="23"/>
        <v>-6584.06</v>
      </c>
      <c r="M41" s="2"/>
      <c r="N41" s="7">
        <f t="shared" si="24"/>
        <v>-1</v>
      </c>
      <c r="O41" s="11"/>
      <c r="P41" s="6"/>
      <c r="Q41" s="2"/>
      <c r="R41" s="7">
        <f t="shared" si="25"/>
        <v>0</v>
      </c>
      <c r="S41" s="2"/>
      <c r="T41" s="6">
        <v>23526.289999999997</v>
      </c>
      <c r="U41" s="2"/>
      <c r="V41" s="7">
        <f t="shared" si="26"/>
        <v>5.6745027586496541E-3</v>
      </c>
      <c r="W41" s="2"/>
      <c r="X41" s="6">
        <f t="shared" si="27"/>
        <v>-23526.289999999997</v>
      </c>
      <c r="Y41" s="2"/>
      <c r="Z41" s="7">
        <f t="shared" si="28"/>
        <v>-1</v>
      </c>
    </row>
    <row r="42" spans="1:26" s="24" customFormat="1" hidden="1" outlineLevel="2" x14ac:dyDescent="0.25">
      <c r="A42" s="28"/>
      <c r="B42" s="11" t="str">
        <f>CONCATENATE("          ", "6007", " - ", "STUDENT HOURLY")</f>
        <v xml:space="preserve">          6007 - STUDENT HOURLY</v>
      </c>
      <c r="C42" s="11"/>
      <c r="D42" s="6">
        <v>5969.4</v>
      </c>
      <c r="E42" s="2"/>
      <c r="F42" s="7">
        <f t="shared" si="21"/>
        <v>3.9233439556881786E-2</v>
      </c>
      <c r="G42" s="2"/>
      <c r="H42" s="6">
        <v>92482.880000000005</v>
      </c>
      <c r="I42" s="2"/>
      <c r="J42" s="7">
        <f t="shared" si="22"/>
        <v>5.5357524157243113E-2</v>
      </c>
      <c r="K42" s="2"/>
      <c r="L42" s="6">
        <f t="shared" si="23"/>
        <v>-86513.48000000001</v>
      </c>
      <c r="M42" s="2"/>
      <c r="N42" s="7">
        <f t="shared" si="24"/>
        <v>-0.93545399970243148</v>
      </c>
      <c r="O42" s="11"/>
      <c r="P42" s="6">
        <v>43256.51</v>
      </c>
      <c r="Q42" s="2"/>
      <c r="R42" s="7">
        <f t="shared" si="25"/>
        <v>9.7498838078915059E-2</v>
      </c>
      <c r="S42" s="2"/>
      <c r="T42" s="6">
        <v>313152.82999999996</v>
      </c>
      <c r="U42" s="2"/>
      <c r="V42" s="7">
        <f t="shared" si="26"/>
        <v>7.5531951604521835E-2</v>
      </c>
      <c r="W42" s="2"/>
      <c r="X42" s="6">
        <f t="shared" si="27"/>
        <v>-269896.31999999995</v>
      </c>
      <c r="Y42" s="2"/>
      <c r="Z42" s="7">
        <f t="shared" si="28"/>
        <v>-0.86186773403899941</v>
      </c>
    </row>
    <row r="43" spans="1:26" s="24" customFormat="1" hidden="1" outlineLevel="2" x14ac:dyDescent="0.25">
      <c r="A43" s="28"/>
      <c r="B43" s="11" t="str">
        <f>CONCATENATE("          ", "6008", " - ", "STUDENT HOURLY-FICA EXEMPT")</f>
        <v xml:space="preserve">          6008 - STUDENT HOURLY-FICA EXEMPT</v>
      </c>
      <c r="C43" s="11"/>
      <c r="D43" s="6">
        <v>3992.3</v>
      </c>
      <c r="E43" s="2"/>
      <c r="F43" s="7">
        <f t="shared" si="21"/>
        <v>2.6239096181013027E-2</v>
      </c>
      <c r="G43" s="2"/>
      <c r="H43" s="6">
        <v>36187.5</v>
      </c>
      <c r="I43" s="2"/>
      <c r="J43" s="7">
        <f t="shared" si="22"/>
        <v>2.1660770138648741E-2</v>
      </c>
      <c r="K43" s="2"/>
      <c r="L43" s="6">
        <f t="shared" si="23"/>
        <v>-32195.200000000001</v>
      </c>
      <c r="M43" s="2"/>
      <c r="N43" s="7">
        <f t="shared" si="24"/>
        <v>-0.88967737478411058</v>
      </c>
      <c r="O43" s="11"/>
      <c r="P43" s="6">
        <v>7694.96</v>
      </c>
      <c r="Q43" s="2"/>
      <c r="R43" s="7">
        <f t="shared" si="25"/>
        <v>1.7344202272992625E-2</v>
      </c>
      <c r="S43" s="2"/>
      <c r="T43" s="6">
        <v>80050.5</v>
      </c>
      <c r="U43" s="2"/>
      <c r="V43" s="7">
        <f t="shared" si="26"/>
        <v>1.9308049976485209E-2</v>
      </c>
      <c r="W43" s="2"/>
      <c r="X43" s="6">
        <f t="shared" si="27"/>
        <v>-72355.539999999994</v>
      </c>
      <c r="Y43" s="2"/>
      <c r="Z43" s="7">
        <f t="shared" si="28"/>
        <v>-0.90387367973966426</v>
      </c>
    </row>
    <row r="44" spans="1:26" s="29" customFormat="1" outlineLevel="1" collapsed="1" x14ac:dyDescent="0.25">
      <c r="A44" s="27"/>
      <c r="B44" s="14" t="str">
        <f>CONCATENATE("     ","Advertising/Promo                                 ")</f>
        <v xml:space="preserve">     Advertising/Promo                                 </v>
      </c>
      <c r="C44" s="14"/>
      <c r="D44" s="1">
        <f>SUM(OSRRefD22_2x_0)</f>
        <v>0</v>
      </c>
      <c r="E44" s="1"/>
      <c r="F44" s="5">
        <f t="shared" ref="F44:F67" si="29">IF(D$12=0,0,D44/D$12)</f>
        <v>0</v>
      </c>
      <c r="G44" s="1"/>
      <c r="H44" s="1">
        <f>SUM(OSRRefH22_2x_0)</f>
        <v>779.1</v>
      </c>
      <c r="I44" s="1"/>
      <c r="J44" s="5">
        <f t="shared" ref="J44:J67" si="30">IF(H$12=0,0,H44/H$12)</f>
        <v>4.6634628020784068E-4</v>
      </c>
      <c r="K44" s="1"/>
      <c r="L44" s="1">
        <f t="shared" ref="L44:L67" si="31">+D44-H44</f>
        <v>-779.1</v>
      </c>
      <c r="M44" s="1"/>
      <c r="N44" s="5">
        <f t="shared" ref="N44:N67" si="32">IF(H44=0,0,L44/H44)</f>
        <v>-1</v>
      </c>
      <c r="O44" s="14"/>
      <c r="P44" s="1">
        <f>SUM(OSRRefP22_2x_0)</f>
        <v>1429</v>
      </c>
      <c r="Q44" s="1"/>
      <c r="R44" s="5">
        <f t="shared" ref="R44:R67" si="33">IF(P$12=0,0,P44/P$12)</f>
        <v>3.2209218823887921E-3</v>
      </c>
      <c r="S44" s="1"/>
      <c r="T44" s="1">
        <f>SUM(OSRRefT22_2x_0)</f>
        <v>7661.47</v>
      </c>
      <c r="U44" s="1"/>
      <c r="V44" s="5">
        <f t="shared" ref="V44:V67" si="34">IF(T$12=0,0,T44/T$12)</f>
        <v>1.847934062289956E-3</v>
      </c>
      <c r="W44" s="1"/>
      <c r="X44" s="1">
        <f t="shared" ref="X44:X67" si="35">+P44-T44</f>
        <v>-6232.47</v>
      </c>
      <c r="Y44" s="1"/>
      <c r="Z44" s="5">
        <f t="shared" ref="Z44:Z67" si="36">IF(T44=0,0,X44/T44)</f>
        <v>-0.81348226906846854</v>
      </c>
    </row>
    <row r="45" spans="1:26" s="24" customFormat="1" hidden="1" outlineLevel="2" x14ac:dyDescent="0.25">
      <c r="A45" s="28"/>
      <c r="B45" s="11" t="str">
        <f>CONCATENATE("          ", "6362", " - ", "ADVERTISING EXPENSE")</f>
        <v xml:space="preserve">          6362 - ADVERTISING EXPENSE</v>
      </c>
      <c r="C45" s="11"/>
      <c r="D45" s="6"/>
      <c r="E45" s="2"/>
      <c r="F45" s="7">
        <f t="shared" si="29"/>
        <v>0</v>
      </c>
      <c r="G45" s="2"/>
      <c r="H45" s="6">
        <v>779.1</v>
      </c>
      <c r="I45" s="2"/>
      <c r="J45" s="7">
        <f t="shared" si="30"/>
        <v>4.6634628020784068E-4</v>
      </c>
      <c r="K45" s="2"/>
      <c r="L45" s="6">
        <f t="shared" si="31"/>
        <v>-779.1</v>
      </c>
      <c r="M45" s="2"/>
      <c r="N45" s="7">
        <f t="shared" si="32"/>
        <v>-1</v>
      </c>
      <c r="O45" s="11"/>
      <c r="P45" s="6">
        <v>1429</v>
      </c>
      <c r="Q45" s="2"/>
      <c r="R45" s="7">
        <f t="shared" si="33"/>
        <v>3.2209218823887921E-3</v>
      </c>
      <c r="S45" s="2"/>
      <c r="T45" s="6">
        <v>7661.47</v>
      </c>
      <c r="U45" s="2"/>
      <c r="V45" s="7">
        <f t="shared" si="34"/>
        <v>1.847934062289956E-3</v>
      </c>
      <c r="W45" s="2"/>
      <c r="X45" s="6">
        <f t="shared" si="35"/>
        <v>-6232.47</v>
      </c>
      <c r="Y45" s="2"/>
      <c r="Z45" s="7">
        <f t="shared" si="36"/>
        <v>-0.81348226906846854</v>
      </c>
    </row>
    <row r="46" spans="1:26" s="29" customFormat="1" outlineLevel="1" collapsed="1" x14ac:dyDescent="0.25">
      <c r="A46" s="27"/>
      <c r="B46" s="14" t="str">
        <f>CONCATENATE("     ","Bad Debts/Over/Short                              ")</f>
        <v xml:space="preserve">     Bad Debts/Over/Short                              </v>
      </c>
      <c r="C46" s="14"/>
      <c r="D46" s="1">
        <f>SUM(OSRRefD22_3x_0)</f>
        <v>8</v>
      </c>
      <c r="E46" s="1"/>
      <c r="F46" s="5">
        <f t="shared" si="29"/>
        <v>5.2579407721890693E-5</v>
      </c>
      <c r="G46" s="1"/>
      <c r="H46" s="1">
        <f>SUM(OSRRefH22_3x_0)</f>
        <v>12.74</v>
      </c>
      <c r="I46" s="1"/>
      <c r="J46" s="5">
        <f t="shared" si="30"/>
        <v>7.6257882298137474E-6</v>
      </c>
      <c r="K46" s="1"/>
      <c r="L46" s="1">
        <f t="shared" si="31"/>
        <v>-4.74</v>
      </c>
      <c r="M46" s="1"/>
      <c r="N46" s="5">
        <f t="shared" si="32"/>
        <v>-0.37205651491365777</v>
      </c>
      <c r="O46" s="14"/>
      <c r="P46" s="1">
        <f>SUM(OSRRefP22_3x_0)</f>
        <v>69.739999999999995</v>
      </c>
      <c r="Q46" s="1"/>
      <c r="R46" s="5">
        <f t="shared" si="33"/>
        <v>1.5719180691238234E-4</v>
      </c>
      <c r="S46" s="1"/>
      <c r="T46" s="1">
        <f>SUM(OSRRefT22_3x_0)</f>
        <v>29.71</v>
      </c>
      <c r="U46" s="1"/>
      <c r="V46" s="5">
        <f t="shared" si="34"/>
        <v>7.1660035202950077E-6</v>
      </c>
      <c r="W46" s="1"/>
      <c r="X46" s="1">
        <f t="shared" si="35"/>
        <v>40.029999999999994</v>
      </c>
      <c r="Y46" s="1"/>
      <c r="Z46" s="5">
        <f t="shared" si="36"/>
        <v>1.347357791989229</v>
      </c>
    </row>
    <row r="47" spans="1:26" s="24" customFormat="1" hidden="1" outlineLevel="2" x14ac:dyDescent="0.25">
      <c r="A47" s="28"/>
      <c r="B47" s="11" t="str">
        <f>CONCATENATE("          ", "6272", " - ", "CASH (OVER/SHORT)")</f>
        <v xml:space="preserve">          6272 - CASH (OVER/SHORT)</v>
      </c>
      <c r="C47" s="11"/>
      <c r="D47" s="6">
        <v>8</v>
      </c>
      <c r="E47" s="2"/>
      <c r="F47" s="7">
        <f t="shared" si="29"/>
        <v>5.2579407721890693E-5</v>
      </c>
      <c r="G47" s="2"/>
      <c r="H47" s="6">
        <v>12.74</v>
      </c>
      <c r="I47" s="2"/>
      <c r="J47" s="7">
        <f t="shared" si="30"/>
        <v>7.6257882298137474E-6</v>
      </c>
      <c r="K47" s="2"/>
      <c r="L47" s="6">
        <f t="shared" si="31"/>
        <v>-4.74</v>
      </c>
      <c r="M47" s="2"/>
      <c r="N47" s="7">
        <f t="shared" si="32"/>
        <v>-0.37205651491365777</v>
      </c>
      <c r="O47" s="11"/>
      <c r="P47" s="6">
        <v>69.739999999999995</v>
      </c>
      <c r="Q47" s="2"/>
      <c r="R47" s="7">
        <f t="shared" si="33"/>
        <v>1.5719180691238234E-4</v>
      </c>
      <c r="S47" s="2"/>
      <c r="T47" s="6">
        <v>29.71</v>
      </c>
      <c r="U47" s="2"/>
      <c r="V47" s="7">
        <f t="shared" si="34"/>
        <v>7.1660035202950077E-6</v>
      </c>
      <c r="W47" s="2"/>
      <c r="X47" s="6">
        <f t="shared" si="35"/>
        <v>40.029999999999994</v>
      </c>
      <c r="Y47" s="2"/>
      <c r="Z47" s="7">
        <f t="shared" si="36"/>
        <v>1.347357791989229</v>
      </c>
    </row>
    <row r="48" spans="1:26" s="29" customFormat="1" outlineLevel="1" collapsed="1" x14ac:dyDescent="0.25">
      <c r="A48" s="27"/>
      <c r="B48" s="14" t="str">
        <f>CONCATENATE("     ","Bank/card Fees                                    ")</f>
        <v xml:space="preserve">     Bank/card Fees                                    </v>
      </c>
      <c r="C48" s="14"/>
      <c r="D48" s="1">
        <f>SUM(OSRRefD22_4x_0)</f>
        <v>0</v>
      </c>
      <c r="E48" s="1"/>
      <c r="F48" s="5">
        <f t="shared" si="29"/>
        <v>0</v>
      </c>
      <c r="G48" s="1"/>
      <c r="H48" s="1">
        <f>SUM(OSRRefH22_4x_0)</f>
        <v>758.13</v>
      </c>
      <c r="I48" s="1"/>
      <c r="J48" s="5">
        <f t="shared" si="30"/>
        <v>4.5379425672438745E-4</v>
      </c>
      <c r="K48" s="1"/>
      <c r="L48" s="1">
        <f t="shared" si="31"/>
        <v>-758.13</v>
      </c>
      <c r="M48" s="1"/>
      <c r="N48" s="5">
        <f t="shared" si="32"/>
        <v>-1</v>
      </c>
      <c r="O48" s="14"/>
      <c r="P48" s="1">
        <f>SUM(OSRRefP22_4x_0)</f>
        <v>0</v>
      </c>
      <c r="Q48" s="1"/>
      <c r="R48" s="5">
        <f t="shared" si="33"/>
        <v>0</v>
      </c>
      <c r="S48" s="1"/>
      <c r="T48" s="1">
        <f>SUM(OSRRefT22_4x_0)</f>
        <v>1744.13</v>
      </c>
      <c r="U48" s="1"/>
      <c r="V48" s="5">
        <f t="shared" si="34"/>
        <v>4.2068130999165713E-4</v>
      </c>
      <c r="W48" s="1"/>
      <c r="X48" s="1">
        <f t="shared" si="35"/>
        <v>-1744.13</v>
      </c>
      <c r="Y48" s="1"/>
      <c r="Z48" s="5">
        <f t="shared" si="36"/>
        <v>-1</v>
      </c>
    </row>
    <row r="49" spans="1:26" s="24" customFormat="1" hidden="1" outlineLevel="2" x14ac:dyDescent="0.25">
      <c r="A49" s="28"/>
      <c r="B49" s="11" t="str">
        <f>CONCATENATE("          ", "6381", " - ", "BANK/CREDIT CARD FEES")</f>
        <v xml:space="preserve">          6381 - BANK/CREDIT CARD FEES</v>
      </c>
      <c r="C49" s="11"/>
      <c r="D49" s="6"/>
      <c r="E49" s="2"/>
      <c r="F49" s="7">
        <f t="shared" si="29"/>
        <v>0</v>
      </c>
      <c r="G49" s="2"/>
      <c r="H49" s="6">
        <v>758.13</v>
      </c>
      <c r="I49" s="2"/>
      <c r="J49" s="7">
        <f t="shared" si="30"/>
        <v>4.5379425672438745E-4</v>
      </c>
      <c r="K49" s="2"/>
      <c r="L49" s="6">
        <f t="shared" si="31"/>
        <v>-758.13</v>
      </c>
      <c r="M49" s="2"/>
      <c r="N49" s="7">
        <f t="shared" si="32"/>
        <v>-1</v>
      </c>
      <c r="O49" s="11"/>
      <c r="P49" s="6"/>
      <c r="Q49" s="2"/>
      <c r="R49" s="7">
        <f t="shared" si="33"/>
        <v>0</v>
      </c>
      <c r="S49" s="2"/>
      <c r="T49" s="6">
        <v>1744.13</v>
      </c>
      <c r="U49" s="2"/>
      <c r="V49" s="7">
        <f t="shared" si="34"/>
        <v>4.2068130999165713E-4</v>
      </c>
      <c r="W49" s="2"/>
      <c r="X49" s="6">
        <f t="shared" si="35"/>
        <v>-1744.13</v>
      </c>
      <c r="Y49" s="2"/>
      <c r="Z49" s="7">
        <f t="shared" si="36"/>
        <v>-1</v>
      </c>
    </row>
    <row r="50" spans="1:26" s="29" customFormat="1" outlineLevel="1" collapsed="1" x14ac:dyDescent="0.25">
      <c r="A50" s="27"/>
      <c r="B50" s="14" t="str">
        <f>CONCATENATE("     ","Depreciation                                      ")</f>
        <v xml:space="preserve">     Depreciation                                      </v>
      </c>
      <c r="C50" s="14"/>
      <c r="D50" s="1">
        <f>SUM(OSRRefD22_5x_0)</f>
        <v>758.5</v>
      </c>
      <c r="E50" s="1"/>
      <c r="F50" s="5">
        <f t="shared" si="29"/>
        <v>4.9851850946317612E-3</v>
      </c>
      <c r="G50" s="1"/>
      <c r="H50" s="1">
        <f>SUM(OSRRefH22_5x_0)</f>
        <v>0</v>
      </c>
      <c r="I50" s="1"/>
      <c r="J50" s="5">
        <f t="shared" si="30"/>
        <v>0</v>
      </c>
      <c r="K50" s="1"/>
      <c r="L50" s="1">
        <f t="shared" si="31"/>
        <v>758.5</v>
      </c>
      <c r="M50" s="1"/>
      <c r="N50" s="5">
        <f t="shared" si="32"/>
        <v>0</v>
      </c>
      <c r="O50" s="14"/>
      <c r="P50" s="1">
        <f>SUM(OSRRefP22_5x_0)</f>
        <v>2505.56</v>
      </c>
      <c r="Q50" s="1"/>
      <c r="R50" s="5">
        <f t="shared" si="33"/>
        <v>5.6474548856809388E-3</v>
      </c>
      <c r="S50" s="1"/>
      <c r="T50" s="1">
        <f>SUM(OSRRefT22_5x_0)</f>
        <v>0</v>
      </c>
      <c r="U50" s="1"/>
      <c r="V50" s="5">
        <f t="shared" si="34"/>
        <v>0</v>
      </c>
      <c r="W50" s="1"/>
      <c r="X50" s="1">
        <f t="shared" si="35"/>
        <v>2505.56</v>
      </c>
      <c r="Y50" s="1"/>
      <c r="Z50" s="5">
        <f t="shared" si="36"/>
        <v>0</v>
      </c>
    </row>
    <row r="51" spans="1:26" s="24" customFormat="1" hidden="1" outlineLevel="2" x14ac:dyDescent="0.25">
      <c r="A51" s="28"/>
      <c r="B51" s="11" t="str">
        <f>CONCATENATE("          ", "6322", " - ", "EQUIPMENT DEPRECIATION EXPENSE")</f>
        <v xml:space="preserve">          6322 - EQUIPMENT DEPRECIATION EXPENSE</v>
      </c>
      <c r="C51" s="11"/>
      <c r="D51" s="6">
        <v>758.5</v>
      </c>
      <c r="E51" s="2"/>
      <c r="F51" s="7">
        <f t="shared" si="29"/>
        <v>4.9851850946317612E-3</v>
      </c>
      <c r="G51" s="2"/>
      <c r="H51" s="6"/>
      <c r="I51" s="2"/>
      <c r="J51" s="7">
        <f t="shared" si="30"/>
        <v>0</v>
      </c>
      <c r="K51" s="2"/>
      <c r="L51" s="6">
        <f t="shared" si="31"/>
        <v>758.5</v>
      </c>
      <c r="M51" s="2"/>
      <c r="N51" s="7">
        <f t="shared" si="32"/>
        <v>0</v>
      </c>
      <c r="O51" s="11"/>
      <c r="P51" s="6">
        <v>2505.56</v>
      </c>
      <c r="Q51" s="2"/>
      <c r="R51" s="7">
        <f t="shared" si="33"/>
        <v>5.6474548856809388E-3</v>
      </c>
      <c r="S51" s="2"/>
      <c r="T51" s="6"/>
      <c r="U51" s="2"/>
      <c r="V51" s="7">
        <f t="shared" si="34"/>
        <v>0</v>
      </c>
      <c r="W51" s="2"/>
      <c r="X51" s="6">
        <f t="shared" si="35"/>
        <v>2505.56</v>
      </c>
      <c r="Y51" s="2"/>
      <c r="Z51" s="7">
        <f t="shared" si="36"/>
        <v>0</v>
      </c>
    </row>
    <row r="52" spans="1:26" s="29" customFormat="1" outlineLevel="1" collapsed="1" x14ac:dyDescent="0.25">
      <c r="A52" s="27"/>
      <c r="B52" s="14" t="str">
        <f>CONCATENATE("     ","Donations                                         ")</f>
        <v xml:space="preserve">     Donations                                         </v>
      </c>
      <c r="C52" s="14"/>
      <c r="D52" s="1">
        <f>SUM(OSRRefD22_6x_0)</f>
        <v>11110.09</v>
      </c>
      <c r="E52" s="1"/>
      <c r="F52" s="5">
        <f t="shared" si="29"/>
        <v>7.3020243992112571E-2</v>
      </c>
      <c r="G52" s="1"/>
      <c r="H52" s="1">
        <f>SUM(OSRRefH22_6x_0)</f>
        <v>23519</v>
      </c>
      <c r="I52" s="1"/>
      <c r="J52" s="5">
        <f t="shared" si="30"/>
        <v>1.4077779699920684E-2</v>
      </c>
      <c r="K52" s="1"/>
      <c r="L52" s="1">
        <f t="shared" si="31"/>
        <v>-12408.91</v>
      </c>
      <c r="M52" s="1"/>
      <c r="N52" s="5">
        <f t="shared" si="32"/>
        <v>-0.52761214337344275</v>
      </c>
      <c r="O52" s="14"/>
      <c r="P52" s="1">
        <f>SUM(OSRRefP22_6x_0)</f>
        <v>22220.18</v>
      </c>
      <c r="Q52" s="1"/>
      <c r="R52" s="5">
        <f t="shared" si="33"/>
        <v>5.0083599714917978E-2</v>
      </c>
      <c r="S52" s="1"/>
      <c r="T52" s="1">
        <f>SUM(OSRRefT22_6x_0)</f>
        <v>50115.75</v>
      </c>
      <c r="U52" s="1"/>
      <c r="V52" s="5">
        <f t="shared" si="34"/>
        <v>1.2087837122929133E-2</v>
      </c>
      <c r="W52" s="1"/>
      <c r="X52" s="1">
        <f t="shared" si="35"/>
        <v>-27895.57</v>
      </c>
      <c r="Y52" s="1"/>
      <c r="Z52" s="5">
        <f t="shared" si="36"/>
        <v>-0.55662281817592274</v>
      </c>
    </row>
    <row r="53" spans="1:26" s="24" customFormat="1" hidden="1" outlineLevel="2" x14ac:dyDescent="0.25">
      <c r="A53" s="28"/>
      <c r="B53" s="11" t="str">
        <f>CONCATENATE("          ", "6399", " - ", "DONATION-ON CAMPUS")</f>
        <v xml:space="preserve">          6399 - DONATION-ON CAMPUS</v>
      </c>
      <c r="C53" s="11"/>
      <c r="D53" s="6">
        <v>11110.09</v>
      </c>
      <c r="E53" s="2"/>
      <c r="F53" s="7">
        <f t="shared" si="29"/>
        <v>7.3020243992112571E-2</v>
      </c>
      <c r="G53" s="2"/>
      <c r="H53" s="6">
        <v>23519</v>
      </c>
      <c r="I53" s="2"/>
      <c r="J53" s="7">
        <f t="shared" si="30"/>
        <v>1.4077779699920684E-2</v>
      </c>
      <c r="K53" s="2"/>
      <c r="L53" s="6">
        <f t="shared" si="31"/>
        <v>-12408.91</v>
      </c>
      <c r="M53" s="2"/>
      <c r="N53" s="7">
        <f t="shared" si="32"/>
        <v>-0.52761214337344275</v>
      </c>
      <c r="O53" s="11"/>
      <c r="P53" s="6">
        <v>22220.18</v>
      </c>
      <c r="Q53" s="2"/>
      <c r="R53" s="7">
        <f t="shared" si="33"/>
        <v>5.0083599714917978E-2</v>
      </c>
      <c r="S53" s="2"/>
      <c r="T53" s="6">
        <v>50115.75</v>
      </c>
      <c r="U53" s="2"/>
      <c r="V53" s="7">
        <f t="shared" si="34"/>
        <v>1.2087837122929133E-2</v>
      </c>
      <c r="W53" s="2"/>
      <c r="X53" s="6">
        <f t="shared" si="35"/>
        <v>-27895.57</v>
      </c>
      <c r="Y53" s="2"/>
      <c r="Z53" s="7">
        <f t="shared" si="36"/>
        <v>-0.55662281817592274</v>
      </c>
    </row>
    <row r="54" spans="1:26" s="29" customFormat="1" outlineLevel="1" collapsed="1" x14ac:dyDescent="0.25">
      <c r="A54" s="27"/>
      <c r="B54" s="14" t="str">
        <f>CONCATENATE("     ","Employees' Appreciation                           ")</f>
        <v xml:space="preserve">     Employees' Appreciation                           </v>
      </c>
      <c r="C54" s="14"/>
      <c r="D54" s="1">
        <f>SUM(OSRRefD22_7x_0)</f>
        <v>0</v>
      </c>
      <c r="E54" s="1"/>
      <c r="F54" s="5">
        <f t="shared" si="29"/>
        <v>0</v>
      </c>
      <c r="G54" s="1"/>
      <c r="H54" s="1">
        <f>SUM(OSRRefH22_7x_0)</f>
        <v>34.36</v>
      </c>
      <c r="I54" s="1"/>
      <c r="J54" s="5">
        <f t="shared" si="30"/>
        <v>2.0566882541318708E-5</v>
      </c>
      <c r="K54" s="1"/>
      <c r="L54" s="1">
        <f t="shared" si="31"/>
        <v>-34.36</v>
      </c>
      <c r="M54" s="1"/>
      <c r="N54" s="5">
        <f t="shared" si="32"/>
        <v>-1</v>
      </c>
      <c r="O54" s="14"/>
      <c r="P54" s="1">
        <f>SUM(OSRRefP22_7x_0)</f>
        <v>0</v>
      </c>
      <c r="Q54" s="1"/>
      <c r="R54" s="5">
        <f t="shared" si="33"/>
        <v>0</v>
      </c>
      <c r="S54" s="1"/>
      <c r="T54" s="1">
        <f>SUM(OSRRefT22_7x_0)</f>
        <v>882.66</v>
      </c>
      <c r="U54" s="1"/>
      <c r="V54" s="5">
        <f t="shared" si="34"/>
        <v>2.1289615170729019E-4</v>
      </c>
      <c r="W54" s="1"/>
      <c r="X54" s="1">
        <f t="shared" si="35"/>
        <v>-882.66</v>
      </c>
      <c r="Y54" s="1"/>
      <c r="Z54" s="5">
        <f t="shared" si="36"/>
        <v>-1</v>
      </c>
    </row>
    <row r="55" spans="1:26" s="24" customFormat="1" hidden="1" outlineLevel="2" x14ac:dyDescent="0.25">
      <c r="A55" s="28"/>
      <c r="B55" s="11" t="str">
        <f>CONCATENATE("          ", "6277", " - ", "EMPLOYEE APPRECIATION")</f>
        <v xml:space="preserve">          6277 - EMPLOYEE APPRECIATION</v>
      </c>
      <c r="C55" s="11"/>
      <c r="D55" s="6"/>
      <c r="E55" s="2"/>
      <c r="F55" s="7">
        <f t="shared" si="29"/>
        <v>0</v>
      </c>
      <c r="G55" s="2"/>
      <c r="H55" s="6">
        <v>34.36</v>
      </c>
      <c r="I55" s="2"/>
      <c r="J55" s="7">
        <f t="shared" si="30"/>
        <v>2.0566882541318708E-5</v>
      </c>
      <c r="K55" s="2"/>
      <c r="L55" s="6">
        <f t="shared" si="31"/>
        <v>-34.36</v>
      </c>
      <c r="M55" s="2"/>
      <c r="N55" s="7">
        <f t="shared" si="32"/>
        <v>-1</v>
      </c>
      <c r="O55" s="11"/>
      <c r="P55" s="6"/>
      <c r="Q55" s="2"/>
      <c r="R55" s="7">
        <f t="shared" si="33"/>
        <v>0</v>
      </c>
      <c r="S55" s="2"/>
      <c r="T55" s="6">
        <v>882.66</v>
      </c>
      <c r="U55" s="2"/>
      <c r="V55" s="7">
        <f t="shared" si="34"/>
        <v>2.1289615170729019E-4</v>
      </c>
      <c r="W55" s="2"/>
      <c r="X55" s="6">
        <f t="shared" si="35"/>
        <v>-882.66</v>
      </c>
      <c r="Y55" s="2"/>
      <c r="Z55" s="7">
        <f t="shared" si="36"/>
        <v>-1</v>
      </c>
    </row>
    <row r="56" spans="1:26" s="29" customFormat="1" outlineLevel="1" collapsed="1" x14ac:dyDescent="0.25">
      <c r="A56" s="27"/>
      <c r="B56" s="14" t="str">
        <f>CONCATENATE("     ","Equipment Rental                                  ")</f>
        <v xml:space="preserve">     Equipment Rental                                  </v>
      </c>
      <c r="C56" s="14"/>
      <c r="D56" s="1">
        <f>SUM(OSRRefD22_8x_0)</f>
        <v>613.79</v>
      </c>
      <c r="E56" s="1"/>
      <c r="F56" s="5">
        <f t="shared" si="29"/>
        <v>4.0340893332024112E-3</v>
      </c>
      <c r="G56" s="1"/>
      <c r="H56" s="1">
        <f>SUM(OSRRefH22_8x_0)</f>
        <v>3593.65</v>
      </c>
      <c r="I56" s="1"/>
      <c r="J56" s="5">
        <f t="shared" si="30"/>
        <v>2.1510528941970307E-3</v>
      </c>
      <c r="K56" s="1"/>
      <c r="L56" s="1">
        <f t="shared" si="31"/>
        <v>-2979.86</v>
      </c>
      <c r="M56" s="1"/>
      <c r="N56" s="5">
        <f t="shared" si="32"/>
        <v>-0.82920150821588079</v>
      </c>
      <c r="O56" s="14"/>
      <c r="P56" s="1">
        <f>SUM(OSRRefP22_8x_0)</f>
        <v>2272.4699999999998</v>
      </c>
      <c r="Q56" s="1"/>
      <c r="R56" s="5">
        <f t="shared" si="33"/>
        <v>5.122077221883875E-3</v>
      </c>
      <c r="S56" s="1"/>
      <c r="T56" s="1">
        <f>SUM(OSRRefT22_8x_0)</f>
        <v>4838.87</v>
      </c>
      <c r="U56" s="1"/>
      <c r="V56" s="5">
        <f t="shared" si="34"/>
        <v>1.1671275481066948E-3</v>
      </c>
      <c r="W56" s="1"/>
      <c r="X56" s="1">
        <f t="shared" si="35"/>
        <v>-2566.4</v>
      </c>
      <c r="Y56" s="1"/>
      <c r="Z56" s="5">
        <f t="shared" si="36"/>
        <v>-0.53037176034900713</v>
      </c>
    </row>
    <row r="57" spans="1:26" s="24" customFormat="1" hidden="1" outlineLevel="2" x14ac:dyDescent="0.25">
      <c r="A57" s="28"/>
      <c r="B57" s="11" t="str">
        <f>CONCATENATE("          ", "6351", " - ", "EQUIPMENT RENTAL")</f>
        <v xml:space="preserve">          6351 - EQUIPMENT RENTAL</v>
      </c>
      <c r="C57" s="11"/>
      <c r="D57" s="6">
        <v>613.79</v>
      </c>
      <c r="E57" s="2"/>
      <c r="F57" s="7">
        <f t="shared" si="29"/>
        <v>4.0340893332024112E-3</v>
      </c>
      <c r="G57" s="2"/>
      <c r="H57" s="6">
        <v>3593.65</v>
      </c>
      <c r="I57" s="2"/>
      <c r="J57" s="7">
        <f t="shared" si="30"/>
        <v>2.1510528941970307E-3</v>
      </c>
      <c r="K57" s="2"/>
      <c r="L57" s="6">
        <f t="shared" si="31"/>
        <v>-2979.86</v>
      </c>
      <c r="M57" s="2"/>
      <c r="N57" s="7">
        <f t="shared" si="32"/>
        <v>-0.82920150821588079</v>
      </c>
      <c r="O57" s="11"/>
      <c r="P57" s="6">
        <v>2272.4699999999998</v>
      </c>
      <c r="Q57" s="2"/>
      <c r="R57" s="7">
        <f t="shared" si="33"/>
        <v>5.122077221883875E-3</v>
      </c>
      <c r="S57" s="2"/>
      <c r="T57" s="6">
        <v>4838.87</v>
      </c>
      <c r="U57" s="2"/>
      <c r="V57" s="7">
        <f t="shared" si="34"/>
        <v>1.1671275481066948E-3</v>
      </c>
      <c r="W57" s="2"/>
      <c r="X57" s="6">
        <f t="shared" si="35"/>
        <v>-2566.4</v>
      </c>
      <c r="Y57" s="2"/>
      <c r="Z57" s="7">
        <f t="shared" si="36"/>
        <v>-0.53037176034900713</v>
      </c>
    </row>
    <row r="58" spans="1:26" s="29" customFormat="1" outlineLevel="1" collapsed="1" x14ac:dyDescent="0.25">
      <c r="A58" s="27"/>
      <c r="B58" s="14" t="str">
        <f>CONCATENATE("     ","General                                           ")</f>
        <v xml:space="preserve">     General                                           </v>
      </c>
      <c r="C58" s="14"/>
      <c r="D58" s="1">
        <f>SUM(OSRRefD22_9x_0)</f>
        <v>0</v>
      </c>
      <c r="E58" s="1"/>
      <c r="F58" s="5">
        <f t="shared" si="29"/>
        <v>0</v>
      </c>
      <c r="G58" s="1"/>
      <c r="H58" s="1">
        <f>SUM(OSRRefH22_9x_0)</f>
        <v>635.52</v>
      </c>
      <c r="I58" s="1"/>
      <c r="J58" s="5">
        <f t="shared" si="30"/>
        <v>3.8040352714373879E-4</v>
      </c>
      <c r="K58" s="1"/>
      <c r="L58" s="1">
        <f t="shared" si="31"/>
        <v>-635.52</v>
      </c>
      <c r="M58" s="1"/>
      <c r="N58" s="5">
        <f t="shared" si="32"/>
        <v>-1</v>
      </c>
      <c r="O58" s="14"/>
      <c r="P58" s="1">
        <f>SUM(OSRRefP22_9x_0)</f>
        <v>6380.95</v>
      </c>
      <c r="Q58" s="1"/>
      <c r="R58" s="5">
        <f t="shared" si="33"/>
        <v>1.4382464300509981E-2</v>
      </c>
      <c r="S58" s="1"/>
      <c r="T58" s="1">
        <f>SUM(OSRRefT22_9x_0)</f>
        <v>6830.38</v>
      </c>
      <c r="U58" s="1"/>
      <c r="V58" s="5">
        <f t="shared" si="34"/>
        <v>1.6474765104326024E-3</v>
      </c>
      <c r="W58" s="1"/>
      <c r="X58" s="1">
        <f t="shared" si="35"/>
        <v>-449.43000000000029</v>
      </c>
      <c r="Y58" s="1"/>
      <c r="Z58" s="5">
        <f t="shared" si="36"/>
        <v>-6.5798681771731635E-2</v>
      </c>
    </row>
    <row r="59" spans="1:26" s="24" customFormat="1" hidden="1" outlineLevel="2" x14ac:dyDescent="0.25">
      <c r="A59" s="28"/>
      <c r="B59" s="11" t="str">
        <f>CONCATENATE("          ", "6279", " - ", "GENERAL EXPENSE")</f>
        <v xml:space="preserve">          6279 - GENERAL EXPENSE</v>
      </c>
      <c r="C59" s="11"/>
      <c r="D59" s="6"/>
      <c r="E59" s="2"/>
      <c r="F59" s="7">
        <f t="shared" si="29"/>
        <v>0</v>
      </c>
      <c r="G59" s="2"/>
      <c r="H59" s="6">
        <v>635.52</v>
      </c>
      <c r="I59" s="2"/>
      <c r="J59" s="7">
        <f t="shared" si="30"/>
        <v>3.8040352714373879E-4</v>
      </c>
      <c r="K59" s="2"/>
      <c r="L59" s="6">
        <f t="shared" si="31"/>
        <v>-635.52</v>
      </c>
      <c r="M59" s="2"/>
      <c r="N59" s="7">
        <f t="shared" si="32"/>
        <v>-1</v>
      </c>
      <c r="O59" s="11"/>
      <c r="P59" s="6">
        <v>6380.95</v>
      </c>
      <c r="Q59" s="2"/>
      <c r="R59" s="7">
        <f t="shared" si="33"/>
        <v>1.4382464300509981E-2</v>
      </c>
      <c r="S59" s="2"/>
      <c r="T59" s="6">
        <v>6830.38</v>
      </c>
      <c r="U59" s="2"/>
      <c r="V59" s="7">
        <f t="shared" si="34"/>
        <v>1.6474765104326024E-3</v>
      </c>
      <c r="W59" s="2"/>
      <c r="X59" s="6">
        <f t="shared" si="35"/>
        <v>-449.43000000000029</v>
      </c>
      <c r="Y59" s="2"/>
      <c r="Z59" s="7">
        <f t="shared" si="36"/>
        <v>-6.5798681771731635E-2</v>
      </c>
    </row>
    <row r="60" spans="1:26" s="29" customFormat="1" outlineLevel="1" collapsed="1" x14ac:dyDescent="0.25">
      <c r="A60" s="27"/>
      <c r="B60" s="14" t="str">
        <f>CONCATENATE("     ","Insurance                                         ")</f>
        <v xml:space="preserve">     Insurance                                         </v>
      </c>
      <c r="C60" s="14"/>
      <c r="D60" s="1">
        <f>SUM(OSRRefD22_10x_0)</f>
        <v>5.9</v>
      </c>
      <c r="E60" s="1"/>
      <c r="F60" s="5">
        <f t="shared" si="29"/>
        <v>3.8777313194894388E-5</v>
      </c>
      <c r="G60" s="1"/>
      <c r="H60" s="1">
        <f>SUM(OSRRefH22_10x_0)</f>
        <v>5.9</v>
      </c>
      <c r="I60" s="1"/>
      <c r="J60" s="5">
        <f t="shared" si="30"/>
        <v>3.5315659777002442E-6</v>
      </c>
      <c r="K60" s="1"/>
      <c r="L60" s="1">
        <f t="shared" si="31"/>
        <v>0</v>
      </c>
      <c r="M60" s="1"/>
      <c r="N60" s="5">
        <f t="shared" si="32"/>
        <v>0</v>
      </c>
      <c r="O60" s="14"/>
      <c r="P60" s="1">
        <f>SUM(OSRRefP22_10x_0)</f>
        <v>23.6</v>
      </c>
      <c r="Q60" s="1"/>
      <c r="R60" s="5">
        <f t="shared" si="33"/>
        <v>5.3193671395644156E-5</v>
      </c>
      <c r="S60" s="1"/>
      <c r="T60" s="1">
        <f>SUM(OSRRefT22_10x_0)</f>
        <v>23.6</v>
      </c>
      <c r="U60" s="1"/>
      <c r="V60" s="5">
        <f t="shared" si="34"/>
        <v>5.6922814903723388E-6</v>
      </c>
      <c r="W60" s="1"/>
      <c r="X60" s="1">
        <f t="shared" si="35"/>
        <v>0</v>
      </c>
      <c r="Y60" s="1"/>
      <c r="Z60" s="5">
        <f t="shared" si="36"/>
        <v>0</v>
      </c>
    </row>
    <row r="61" spans="1:26" s="24" customFormat="1" hidden="1" outlineLevel="2" x14ac:dyDescent="0.25">
      <c r="A61" s="28"/>
      <c r="B61" s="11" t="str">
        <f>CONCATENATE("          ", "6314", " - ", "LIABILITY INSURANCE")</f>
        <v xml:space="preserve">          6314 - LIABILITY INSURANCE</v>
      </c>
      <c r="C61" s="11"/>
      <c r="D61" s="6">
        <v>5.9</v>
      </c>
      <c r="E61" s="2"/>
      <c r="F61" s="7">
        <f t="shared" si="29"/>
        <v>3.8777313194894388E-5</v>
      </c>
      <c r="G61" s="2"/>
      <c r="H61" s="6">
        <v>5.9</v>
      </c>
      <c r="I61" s="2"/>
      <c r="J61" s="7">
        <f t="shared" si="30"/>
        <v>3.5315659777002442E-6</v>
      </c>
      <c r="K61" s="2"/>
      <c r="L61" s="6">
        <f t="shared" si="31"/>
        <v>0</v>
      </c>
      <c r="M61" s="2"/>
      <c r="N61" s="7">
        <f t="shared" si="32"/>
        <v>0</v>
      </c>
      <c r="O61" s="11"/>
      <c r="P61" s="6">
        <v>23.6</v>
      </c>
      <c r="Q61" s="2"/>
      <c r="R61" s="7">
        <f t="shared" si="33"/>
        <v>5.3193671395644156E-5</v>
      </c>
      <c r="S61" s="2"/>
      <c r="T61" s="6">
        <v>23.6</v>
      </c>
      <c r="U61" s="2"/>
      <c r="V61" s="7">
        <f t="shared" si="34"/>
        <v>5.6922814903723388E-6</v>
      </c>
      <c r="W61" s="2"/>
      <c r="X61" s="6">
        <f t="shared" si="35"/>
        <v>0</v>
      </c>
      <c r="Y61" s="2"/>
      <c r="Z61" s="7">
        <f t="shared" si="36"/>
        <v>0</v>
      </c>
    </row>
    <row r="62" spans="1:26" s="29" customFormat="1" outlineLevel="1" collapsed="1" x14ac:dyDescent="0.25">
      <c r="A62" s="27"/>
      <c r="B62" s="14" t="str">
        <f>CONCATENATE("     ","R/H Commissions                                   ")</f>
        <v xml:space="preserve">     R/H Commissions                                   </v>
      </c>
      <c r="C62" s="14"/>
      <c r="D62" s="1">
        <f>SUM(OSRRefD22_11x_0)</f>
        <v>12242.68</v>
      </c>
      <c r="E62" s="1"/>
      <c r="F62" s="5">
        <f t="shared" si="29"/>
        <v>8.0464107916079594E-2</v>
      </c>
      <c r="G62" s="1"/>
      <c r="H62" s="1">
        <f>SUM(OSRRefH22_11x_0)</f>
        <v>130766.15000000001</v>
      </c>
      <c r="I62" s="1"/>
      <c r="J62" s="5">
        <f t="shared" si="30"/>
        <v>7.8272760402516406E-2</v>
      </c>
      <c r="K62" s="1"/>
      <c r="L62" s="1">
        <f t="shared" si="31"/>
        <v>-118523.47</v>
      </c>
      <c r="M62" s="1"/>
      <c r="N62" s="5">
        <f t="shared" si="32"/>
        <v>-0.90637730024169094</v>
      </c>
      <c r="O62" s="14"/>
      <c r="P62" s="1">
        <f>SUM(OSRRefP22_11x_0)</f>
        <v>28720.2</v>
      </c>
      <c r="Q62" s="1"/>
      <c r="R62" s="5">
        <f t="shared" si="33"/>
        <v>6.4734444119372E-2</v>
      </c>
      <c r="S62" s="1"/>
      <c r="T62" s="1">
        <f>SUM(OSRRefT22_11x_0)</f>
        <v>318687.43</v>
      </c>
      <c r="U62" s="1"/>
      <c r="V62" s="5">
        <f t="shared" si="34"/>
        <v>7.6866888093361452E-2</v>
      </c>
      <c r="W62" s="1"/>
      <c r="X62" s="1">
        <f t="shared" si="35"/>
        <v>-289967.23</v>
      </c>
      <c r="Y62" s="1"/>
      <c r="Z62" s="5">
        <f t="shared" si="36"/>
        <v>-0.90987972133070949</v>
      </c>
    </row>
    <row r="63" spans="1:26" s="24" customFormat="1" hidden="1" outlineLevel="2" x14ac:dyDescent="0.25">
      <c r="A63" s="28"/>
      <c r="B63" s="11" t="str">
        <f>CONCATENATE("          ", "6387", " - ", "COMMISSION DUE HOUSING")</f>
        <v xml:space="preserve">          6387 - COMMISSION DUE HOUSING</v>
      </c>
      <c r="C63" s="11"/>
      <c r="D63" s="6">
        <v>12242.68</v>
      </c>
      <c r="E63" s="2"/>
      <c r="F63" s="7">
        <f t="shared" si="29"/>
        <v>8.0464107916079594E-2</v>
      </c>
      <c r="G63" s="2"/>
      <c r="H63" s="6">
        <v>130766.15000000001</v>
      </c>
      <c r="I63" s="2"/>
      <c r="J63" s="7">
        <f t="shared" si="30"/>
        <v>7.8272760402516406E-2</v>
      </c>
      <c r="K63" s="2"/>
      <c r="L63" s="6">
        <f t="shared" si="31"/>
        <v>-118523.47</v>
      </c>
      <c r="M63" s="2"/>
      <c r="N63" s="7">
        <f t="shared" si="32"/>
        <v>-0.90637730024169094</v>
      </c>
      <c r="O63" s="11"/>
      <c r="P63" s="6">
        <v>28720.2</v>
      </c>
      <c r="Q63" s="2"/>
      <c r="R63" s="7">
        <f t="shared" si="33"/>
        <v>6.4734444119372E-2</v>
      </c>
      <c r="S63" s="2"/>
      <c r="T63" s="6">
        <v>318687.43</v>
      </c>
      <c r="U63" s="2"/>
      <c r="V63" s="7">
        <f t="shared" si="34"/>
        <v>7.6866888093361452E-2</v>
      </c>
      <c r="W63" s="2"/>
      <c r="X63" s="6">
        <f t="shared" si="35"/>
        <v>-289967.23</v>
      </c>
      <c r="Y63" s="2"/>
      <c r="Z63" s="7">
        <f t="shared" si="36"/>
        <v>-0.90987972133070949</v>
      </c>
    </row>
    <row r="64" spans="1:26" s="29" customFormat="1" outlineLevel="1" collapsed="1" x14ac:dyDescent="0.25">
      <c r="A64" s="27"/>
      <c r="B64" s="14" t="str">
        <f>CONCATENATE("     ","Repair and Maintenance                            ")</f>
        <v xml:space="preserve">     Repair and Maintenance                            </v>
      </c>
      <c r="C64" s="14"/>
      <c r="D64" s="1">
        <f>SUM(OSRRefD22_12x_0)</f>
        <v>414.44</v>
      </c>
      <c r="E64" s="1"/>
      <c r="F64" s="5">
        <f t="shared" si="29"/>
        <v>2.7238762170325474E-3</v>
      </c>
      <c r="G64" s="1"/>
      <c r="H64" s="1">
        <f>SUM(OSRRefH22_12x_0)</f>
        <v>364.43</v>
      </c>
      <c r="I64" s="1"/>
      <c r="J64" s="5">
        <f t="shared" si="30"/>
        <v>2.1813704902598304E-4</v>
      </c>
      <c r="K64" s="1"/>
      <c r="L64" s="1">
        <f t="shared" si="31"/>
        <v>50.009999999999991</v>
      </c>
      <c r="M64" s="1"/>
      <c r="N64" s="5">
        <f t="shared" si="32"/>
        <v>0.13722799989023954</v>
      </c>
      <c r="O64" s="14"/>
      <c r="P64" s="1">
        <f>SUM(OSRRefP22_12x_0)</f>
        <v>3327.92</v>
      </c>
      <c r="Q64" s="1"/>
      <c r="R64" s="5">
        <f t="shared" si="33"/>
        <v>7.5010289369064446E-3</v>
      </c>
      <c r="S64" s="1"/>
      <c r="T64" s="1">
        <f>SUM(OSRRefT22_12x_0)</f>
        <v>6848.3600000000006</v>
      </c>
      <c r="U64" s="1"/>
      <c r="V64" s="5">
        <f t="shared" si="34"/>
        <v>1.6518132570934878E-3</v>
      </c>
      <c r="W64" s="1"/>
      <c r="X64" s="1">
        <f t="shared" si="35"/>
        <v>-3520.4400000000005</v>
      </c>
      <c r="Y64" s="1"/>
      <c r="Z64" s="5">
        <f t="shared" si="36"/>
        <v>-0.5140559199574789</v>
      </c>
    </row>
    <row r="65" spans="1:26" s="24" customFormat="1" hidden="1" outlineLevel="2" x14ac:dyDescent="0.25">
      <c r="A65" s="28"/>
      <c r="B65" s="11" t="str">
        <f>CONCATENATE("          ", "6371", " - ", "COMPUTER SOFTWARE MAINTENANCE")</f>
        <v xml:space="preserve">          6371 - COMPUTER SOFTWARE MAINTENANCE</v>
      </c>
      <c r="C65" s="11"/>
      <c r="D65" s="6"/>
      <c r="E65" s="2"/>
      <c r="F65" s="7">
        <f t="shared" si="29"/>
        <v>0</v>
      </c>
      <c r="G65" s="2"/>
      <c r="H65" s="6"/>
      <c r="I65" s="2"/>
      <c r="J65" s="7">
        <f t="shared" si="30"/>
        <v>0</v>
      </c>
      <c r="K65" s="2"/>
      <c r="L65" s="6">
        <f t="shared" si="31"/>
        <v>0</v>
      </c>
      <c r="M65" s="2"/>
      <c r="N65" s="7">
        <f t="shared" si="32"/>
        <v>0</v>
      </c>
      <c r="O65" s="11"/>
      <c r="P65" s="6"/>
      <c r="Q65" s="2"/>
      <c r="R65" s="7">
        <f t="shared" si="33"/>
        <v>0</v>
      </c>
      <c r="S65" s="2"/>
      <c r="T65" s="6">
        <v>6340.43</v>
      </c>
      <c r="U65" s="2"/>
      <c r="V65" s="7">
        <f t="shared" si="34"/>
        <v>1.5293013699153174E-3</v>
      </c>
      <c r="W65" s="2"/>
      <c r="X65" s="6">
        <f t="shared" si="35"/>
        <v>-6340.43</v>
      </c>
      <c r="Y65" s="2"/>
      <c r="Z65" s="7">
        <f t="shared" si="36"/>
        <v>-1</v>
      </c>
    </row>
    <row r="66" spans="1:26" s="24" customFormat="1" hidden="1" outlineLevel="2" x14ac:dyDescent="0.25">
      <c r="A66" s="28"/>
      <c r="B66" s="11" t="str">
        <f>CONCATENATE("          ", "6373", " - ", "MAINTENANCE CONTRACTS")</f>
        <v xml:space="preserve">          6373 - MAINTENANCE CONTRACTS</v>
      </c>
      <c r="C66" s="11"/>
      <c r="D66" s="6">
        <v>17.82</v>
      </c>
      <c r="E66" s="2"/>
      <c r="F66" s="7">
        <f t="shared" si="29"/>
        <v>1.1712063070051153E-4</v>
      </c>
      <c r="G66" s="2"/>
      <c r="H66" s="6">
        <v>212.65</v>
      </c>
      <c r="I66" s="2"/>
      <c r="J66" s="7">
        <f t="shared" si="30"/>
        <v>1.2728601782338253E-4</v>
      </c>
      <c r="K66" s="2"/>
      <c r="L66" s="6">
        <f t="shared" si="31"/>
        <v>-194.83</v>
      </c>
      <c r="M66" s="2"/>
      <c r="N66" s="7">
        <f t="shared" si="32"/>
        <v>-0.91620032917940286</v>
      </c>
      <c r="O66" s="11"/>
      <c r="P66" s="6">
        <v>2726.3</v>
      </c>
      <c r="Q66" s="2"/>
      <c r="R66" s="7">
        <f t="shared" si="33"/>
        <v>6.1449960307603671E-3</v>
      </c>
      <c r="S66" s="2"/>
      <c r="T66" s="6">
        <v>250.66</v>
      </c>
      <c r="U66" s="2"/>
      <c r="V66" s="7">
        <f t="shared" si="34"/>
        <v>6.0458782982064848E-5</v>
      </c>
      <c r="W66" s="2"/>
      <c r="X66" s="6">
        <f t="shared" si="35"/>
        <v>2475.6400000000003</v>
      </c>
      <c r="Y66" s="2"/>
      <c r="Z66" s="7">
        <f t="shared" si="36"/>
        <v>9.8764860767573612</v>
      </c>
    </row>
    <row r="67" spans="1:26" s="24" customFormat="1" hidden="1" outlineLevel="2" x14ac:dyDescent="0.25">
      <c r="A67" s="28"/>
      <c r="B67" s="11" t="str">
        <f>CONCATENATE("          ", "6375", " - ", "OUTSIDE REPAIRS &amp; MAINTENANCE")</f>
        <v xml:space="preserve">          6375 - OUTSIDE REPAIRS &amp; MAINTENANCE</v>
      </c>
      <c r="C67" s="11"/>
      <c r="D67" s="6">
        <v>396.62</v>
      </c>
      <c r="E67" s="2"/>
      <c r="F67" s="7">
        <f t="shared" si="29"/>
        <v>2.606755586332036E-3</v>
      </c>
      <c r="G67" s="2"/>
      <c r="H67" s="6">
        <v>151.78</v>
      </c>
      <c r="I67" s="2"/>
      <c r="J67" s="7">
        <f t="shared" si="30"/>
        <v>9.0851031202600509E-5</v>
      </c>
      <c r="K67" s="2"/>
      <c r="L67" s="6">
        <f t="shared" si="31"/>
        <v>244.84</v>
      </c>
      <c r="M67" s="2"/>
      <c r="N67" s="7">
        <f t="shared" si="32"/>
        <v>1.6131242587956252</v>
      </c>
      <c r="O67" s="11"/>
      <c r="P67" s="6">
        <v>601.62</v>
      </c>
      <c r="Q67" s="2"/>
      <c r="R67" s="7">
        <f t="shared" si="33"/>
        <v>1.3560329061460777E-3</v>
      </c>
      <c r="S67" s="2"/>
      <c r="T67" s="6">
        <v>257.27</v>
      </c>
      <c r="U67" s="2"/>
      <c r="V67" s="7">
        <f t="shared" si="34"/>
        <v>6.2053104196105571E-5</v>
      </c>
      <c r="W67" s="2"/>
      <c r="X67" s="6">
        <f t="shared" si="35"/>
        <v>344.35</v>
      </c>
      <c r="Y67" s="2"/>
      <c r="Z67" s="7">
        <f t="shared" si="36"/>
        <v>1.3384770863295372</v>
      </c>
    </row>
    <row r="68" spans="1:26" s="29" customFormat="1" outlineLevel="1" collapsed="1" x14ac:dyDescent="0.25">
      <c r="A68" s="27"/>
      <c r="B68" s="14" t="str">
        <f>CONCATENATE("     ","Services                                          ")</f>
        <v xml:space="preserve">     Services                                          </v>
      </c>
      <c r="C68" s="14"/>
      <c r="D68" s="1">
        <f>SUM(OSRRefD22_13x_0)</f>
        <v>11898.099999999999</v>
      </c>
      <c r="E68" s="1"/>
      <c r="F68" s="5">
        <f t="shared" ref="F68:F71" si="37">IF(D$12=0,0,D68/D$12)</f>
        <v>7.8199381376978447E-2</v>
      </c>
      <c r="G68" s="1"/>
      <c r="H68" s="1">
        <f>SUM(OSRRefH22_13x_0)</f>
        <v>18883.71</v>
      </c>
      <c r="I68" s="1"/>
      <c r="J68" s="5">
        <f t="shared" ref="J68:J71" si="38">IF(H$12=0,0,H68/H$12)</f>
        <v>1.1303231825213199E-2</v>
      </c>
      <c r="K68" s="1"/>
      <c r="L68" s="1">
        <f t="shared" ref="L68:L71" si="39">+D68-H68</f>
        <v>-6985.6100000000006</v>
      </c>
      <c r="M68" s="1"/>
      <c r="N68" s="5">
        <f t="shared" ref="N68:N71" si="40">IF(H68=0,0,L68/H68)</f>
        <v>-0.36992783727350192</v>
      </c>
      <c r="O68" s="14"/>
      <c r="P68" s="1">
        <f>SUM(OSRRefP22_13x_0)</f>
        <v>43664.350000000006</v>
      </c>
      <c r="Q68" s="1"/>
      <c r="R68" s="5">
        <f t="shared" ref="R68:R71" si="41">IF(P$12=0,0,P68/P$12)</f>
        <v>9.8418096847643854E-2</v>
      </c>
      <c r="S68" s="1"/>
      <c r="T68" s="1">
        <f>SUM(OSRRefT22_13x_0)</f>
        <v>78089.78</v>
      </c>
      <c r="U68" s="1"/>
      <c r="V68" s="5">
        <f t="shared" ref="V68:V71" si="42">IF(T$12=0,0,T68/T$12)</f>
        <v>1.883512751191729E-2</v>
      </c>
      <c r="W68" s="1"/>
      <c r="X68" s="1">
        <f t="shared" ref="X68:X71" si="43">+P68-T68</f>
        <v>-34425.429999999993</v>
      </c>
      <c r="Y68" s="1"/>
      <c r="Z68" s="5">
        <f t="shared" ref="Z68:Z71" si="44">IF(T68=0,0,X68/T68)</f>
        <v>-0.44084424363854008</v>
      </c>
    </row>
    <row r="69" spans="1:26" s="24" customFormat="1" hidden="1" outlineLevel="2" x14ac:dyDescent="0.25">
      <c r="A69" s="28"/>
      <c r="B69" s="11" t="str">
        <f>CONCATENATE("          ", "6282", " - ", "JANITORIAL/EXTERMINATOR EXPENS")</f>
        <v xml:space="preserve">          6282 - JANITORIAL/EXTERMINATOR EXPENS</v>
      </c>
      <c r="C69" s="11"/>
      <c r="D69" s="6">
        <v>1625.9</v>
      </c>
      <c r="E69" s="2"/>
      <c r="F69" s="7">
        <f t="shared" si="37"/>
        <v>1.068610737687776E-2</v>
      </c>
      <c r="G69" s="2"/>
      <c r="H69" s="6">
        <v>1508.3</v>
      </c>
      <c r="I69" s="2"/>
      <c r="J69" s="7">
        <f t="shared" si="38"/>
        <v>9.0282389223140299E-4</v>
      </c>
      <c r="K69" s="2"/>
      <c r="L69" s="6">
        <f t="shared" si="39"/>
        <v>117.60000000000014</v>
      </c>
      <c r="M69" s="2"/>
      <c r="N69" s="7">
        <f t="shared" si="40"/>
        <v>7.7968573891135803E-2</v>
      </c>
      <c r="O69" s="11"/>
      <c r="P69" s="6">
        <v>3758.01</v>
      </c>
      <c r="Q69" s="2"/>
      <c r="R69" s="7">
        <f t="shared" si="41"/>
        <v>8.4704385187095218E-3</v>
      </c>
      <c r="S69" s="2"/>
      <c r="T69" s="6">
        <v>6303.2</v>
      </c>
      <c r="U69" s="2"/>
      <c r="V69" s="7">
        <f t="shared" si="42"/>
        <v>1.5203215546658866E-3</v>
      </c>
      <c r="W69" s="2"/>
      <c r="X69" s="6">
        <f t="shared" si="43"/>
        <v>-2545.1899999999996</v>
      </c>
      <c r="Y69" s="2"/>
      <c r="Z69" s="7">
        <f t="shared" si="44"/>
        <v>-0.4037933113339256</v>
      </c>
    </row>
    <row r="70" spans="1:26" s="24" customFormat="1" hidden="1" outlineLevel="2" x14ac:dyDescent="0.25">
      <c r="A70" s="28"/>
      <c r="B70" s="11" t="str">
        <f>CONCATENATE("          ", "6285", " - ", "JANITORIAL SERVICES")</f>
        <v xml:space="preserve">          6285 - JANITORIAL SERVICES</v>
      </c>
      <c r="C70" s="11"/>
      <c r="D70" s="6">
        <v>8351.15</v>
      </c>
      <c r="E70" s="2"/>
      <c r="F70" s="7">
        <f t="shared" si="37"/>
        <v>5.4887315099583431E-2</v>
      </c>
      <c r="G70" s="2"/>
      <c r="H70" s="6">
        <v>11438.01</v>
      </c>
      <c r="I70" s="2"/>
      <c r="J70" s="7">
        <f t="shared" si="38"/>
        <v>6.8464554184059605E-3</v>
      </c>
      <c r="K70" s="2"/>
      <c r="L70" s="6">
        <f t="shared" si="39"/>
        <v>-3086.8600000000006</v>
      </c>
      <c r="M70" s="2"/>
      <c r="N70" s="7">
        <f t="shared" si="40"/>
        <v>-0.26987736503115495</v>
      </c>
      <c r="O70" s="11"/>
      <c r="P70" s="6">
        <v>32599.68</v>
      </c>
      <c r="Q70" s="2"/>
      <c r="R70" s="7">
        <f t="shared" si="41"/>
        <v>7.3478672267930201E-2</v>
      </c>
      <c r="S70" s="2"/>
      <c r="T70" s="6">
        <v>51209</v>
      </c>
      <c r="U70" s="2"/>
      <c r="V70" s="7">
        <f t="shared" si="42"/>
        <v>1.2351527239003266E-2</v>
      </c>
      <c r="W70" s="2"/>
      <c r="X70" s="6">
        <f t="shared" si="43"/>
        <v>-18609.32</v>
      </c>
      <c r="Y70" s="2"/>
      <c r="Z70" s="7">
        <f t="shared" si="44"/>
        <v>-0.36339940244878827</v>
      </c>
    </row>
    <row r="71" spans="1:26" s="24" customFormat="1" hidden="1" outlineLevel="2" x14ac:dyDescent="0.25">
      <c r="A71" s="28"/>
      <c r="B71" s="11" t="str">
        <f>CONCATENATE("          ", "6286", " - ", "LAUNDRY EXPENSE")</f>
        <v xml:space="preserve">          6286 - LAUNDRY EXPENSE</v>
      </c>
      <c r="C71" s="11"/>
      <c r="D71" s="6">
        <v>1921.05</v>
      </c>
      <c r="E71" s="2"/>
      <c r="F71" s="7">
        <f t="shared" si="37"/>
        <v>1.2625958900517265E-2</v>
      </c>
      <c r="G71" s="2"/>
      <c r="H71" s="6">
        <v>5937.4</v>
      </c>
      <c r="I71" s="2"/>
      <c r="J71" s="7">
        <f t="shared" si="38"/>
        <v>3.553952514575835E-3</v>
      </c>
      <c r="K71" s="2"/>
      <c r="L71" s="6">
        <f t="shared" si="39"/>
        <v>-4016.3499999999995</v>
      </c>
      <c r="M71" s="2"/>
      <c r="N71" s="7">
        <f t="shared" si="40"/>
        <v>-0.67644928756694844</v>
      </c>
      <c r="O71" s="11"/>
      <c r="P71" s="6">
        <v>7306.66</v>
      </c>
      <c r="Q71" s="2"/>
      <c r="R71" s="7">
        <f t="shared" si="41"/>
        <v>1.6468986061004123E-2</v>
      </c>
      <c r="S71" s="2"/>
      <c r="T71" s="6">
        <v>20577.580000000002</v>
      </c>
      <c r="U71" s="2"/>
      <c r="V71" s="7">
        <f t="shared" si="42"/>
        <v>4.963278718248137E-3</v>
      </c>
      <c r="W71" s="2"/>
      <c r="X71" s="6">
        <f t="shared" si="43"/>
        <v>-13270.920000000002</v>
      </c>
      <c r="Y71" s="2"/>
      <c r="Z71" s="7">
        <f t="shared" si="44"/>
        <v>-0.64492131727831947</v>
      </c>
    </row>
    <row r="72" spans="1:26" s="29" customFormat="1" outlineLevel="1" collapsed="1" x14ac:dyDescent="0.25">
      <c r="A72" s="27"/>
      <c r="B72" s="14" t="str">
        <f>CONCATENATE("     ","Supplies                                          ")</f>
        <v xml:space="preserve">     Supplies                                          </v>
      </c>
      <c r="C72" s="14"/>
      <c r="D72" s="1">
        <f>SUM(OSRRefD22_14x_0)</f>
        <v>19578.689999999999</v>
      </c>
      <c r="E72" s="1"/>
      <c r="F72" s="5">
        <f t="shared" ref="F72:F81" si="45">IF(D$12=0,0,D72/D$12)</f>
        <v>0.128679490521313</v>
      </c>
      <c r="G72" s="1"/>
      <c r="H72" s="1">
        <f>SUM(OSRRefH22_14x_0)</f>
        <v>31094.059999999998</v>
      </c>
      <c r="I72" s="1"/>
      <c r="J72" s="5">
        <f t="shared" ref="J72:J81" si="46">IF(H$12=0,0,H72/H$12)</f>
        <v>1.8611987187215261E-2</v>
      </c>
      <c r="K72" s="1"/>
      <c r="L72" s="1">
        <f t="shared" ref="L72:L81" si="47">+D72-H72</f>
        <v>-11515.369999999999</v>
      </c>
      <c r="M72" s="1"/>
      <c r="N72" s="5">
        <f t="shared" ref="N72:N81" si="48">IF(H72=0,0,L72/H72)</f>
        <v>-0.37033986555631526</v>
      </c>
      <c r="O72" s="14"/>
      <c r="P72" s="1">
        <f>SUM(OSRRefP22_14x_0)</f>
        <v>54612.909999999996</v>
      </c>
      <c r="Q72" s="1"/>
      <c r="R72" s="5">
        <f t="shared" ref="R72:R81" si="49">IF(P$12=0,0,P72/P$12)</f>
        <v>0.12309581307202917</v>
      </c>
      <c r="S72" s="1"/>
      <c r="T72" s="1">
        <f>SUM(OSRRefT22_14x_0)</f>
        <v>106662.84</v>
      </c>
      <c r="U72" s="1"/>
      <c r="V72" s="5">
        <f t="shared" ref="V72:V81" si="50">IF(T$12=0,0,T72/T$12)</f>
        <v>2.5726902959429927E-2</v>
      </c>
      <c r="W72" s="1"/>
      <c r="X72" s="1">
        <f t="shared" ref="X72:X81" si="51">+P72-T72</f>
        <v>-52049.93</v>
      </c>
      <c r="Y72" s="1"/>
      <c r="Z72" s="5">
        <f t="shared" ref="Z72:Z81" si="52">IF(T72=0,0,X72/T72)</f>
        <v>-0.48798560023340837</v>
      </c>
    </row>
    <row r="73" spans="1:26" s="24" customFormat="1" hidden="1" outlineLevel="2" x14ac:dyDescent="0.25">
      <c r="A73" s="28"/>
      <c r="B73" s="11" t="str">
        <f>CONCATENATE("          ", "6234", " - ", "EXPENDABLE SUPPLIES &amp; EQUIPMEN")</f>
        <v xml:space="preserve">          6234 - EXPENDABLE SUPPLIES &amp; EQUIPMEN</v>
      </c>
      <c r="C73" s="11"/>
      <c r="D73" s="6"/>
      <c r="E73" s="2"/>
      <c r="F73" s="7">
        <f t="shared" si="45"/>
        <v>0</v>
      </c>
      <c r="G73" s="2"/>
      <c r="H73" s="6">
        <v>100</v>
      </c>
      <c r="I73" s="2"/>
      <c r="J73" s="7">
        <f t="shared" si="46"/>
        <v>5.9857050469495661E-5</v>
      </c>
      <c r="K73" s="2"/>
      <c r="L73" s="6">
        <f t="shared" si="47"/>
        <v>-100</v>
      </c>
      <c r="M73" s="2"/>
      <c r="N73" s="7">
        <f t="shared" si="48"/>
        <v>-1</v>
      </c>
      <c r="O73" s="11"/>
      <c r="P73" s="6"/>
      <c r="Q73" s="2"/>
      <c r="R73" s="7">
        <f t="shared" si="49"/>
        <v>0</v>
      </c>
      <c r="S73" s="2"/>
      <c r="T73" s="6">
        <v>100</v>
      </c>
      <c r="U73" s="2"/>
      <c r="V73" s="7">
        <f t="shared" si="50"/>
        <v>2.4119836823611606E-5</v>
      </c>
      <c r="W73" s="2"/>
      <c r="X73" s="6">
        <f t="shared" si="51"/>
        <v>-100</v>
      </c>
      <c r="Y73" s="2"/>
      <c r="Z73" s="7">
        <f t="shared" si="52"/>
        <v>-1</v>
      </c>
    </row>
    <row r="74" spans="1:26" s="24" customFormat="1" hidden="1" outlineLevel="2" x14ac:dyDescent="0.25">
      <c r="A74" s="28"/>
      <c r="B74" s="11" t="str">
        <f>CONCATENATE("          ", "6235", " - ", "COVID-19 EXPENSES")</f>
        <v xml:space="preserve">          6235 - COVID-19 EXPENSES</v>
      </c>
      <c r="C74" s="11"/>
      <c r="D74" s="6">
        <v>13495.55</v>
      </c>
      <c r="E74" s="2"/>
      <c r="F74" s="7">
        <f t="shared" si="45"/>
        <v>8.8698503235145235E-2</v>
      </c>
      <c r="G74" s="2"/>
      <c r="H74" s="6"/>
      <c r="I74" s="2"/>
      <c r="J74" s="7">
        <f t="shared" si="46"/>
        <v>0</v>
      </c>
      <c r="K74" s="2"/>
      <c r="L74" s="6">
        <f t="shared" si="47"/>
        <v>13495.55</v>
      </c>
      <c r="M74" s="2"/>
      <c r="N74" s="7">
        <f t="shared" si="48"/>
        <v>0</v>
      </c>
      <c r="O74" s="11"/>
      <c r="P74" s="6">
        <v>31086.649999999998</v>
      </c>
      <c r="Q74" s="2"/>
      <c r="R74" s="7">
        <f t="shared" si="49"/>
        <v>7.0068349359805132E-2</v>
      </c>
      <c r="S74" s="2"/>
      <c r="T74" s="6"/>
      <c r="U74" s="2"/>
      <c r="V74" s="7">
        <f t="shared" si="50"/>
        <v>0</v>
      </c>
      <c r="W74" s="2"/>
      <c r="X74" s="6">
        <f t="shared" si="51"/>
        <v>31086.649999999998</v>
      </c>
      <c r="Y74" s="2"/>
      <c r="Z74" s="7">
        <f t="shared" si="52"/>
        <v>0</v>
      </c>
    </row>
    <row r="75" spans="1:26" s="24" customFormat="1" hidden="1" outlineLevel="2" x14ac:dyDescent="0.25">
      <c r="A75" s="28"/>
      <c r="B75" s="11" t="str">
        <f>CONCATENATE("          ", "6237", " - ", "JANITORIAL SUPPLIES")</f>
        <v xml:space="preserve">          6237 - JANITORIAL SUPPLIES</v>
      </c>
      <c r="C75" s="11"/>
      <c r="D75" s="6">
        <v>1798.45</v>
      </c>
      <c r="E75" s="2"/>
      <c r="F75" s="7">
        <f t="shared" si="45"/>
        <v>1.1820179477179291E-2</v>
      </c>
      <c r="G75" s="2"/>
      <c r="H75" s="6">
        <v>14057.36</v>
      </c>
      <c r="I75" s="2"/>
      <c r="J75" s="7">
        <f t="shared" si="46"/>
        <v>8.4143210698786955E-3</v>
      </c>
      <c r="K75" s="2"/>
      <c r="L75" s="6">
        <f t="shared" si="47"/>
        <v>-12258.91</v>
      </c>
      <c r="M75" s="2"/>
      <c r="N75" s="7">
        <f t="shared" si="48"/>
        <v>-0.87206345999533341</v>
      </c>
      <c r="O75" s="11"/>
      <c r="P75" s="6">
        <v>7892.16</v>
      </c>
      <c r="Q75" s="2"/>
      <c r="R75" s="7">
        <f t="shared" si="49"/>
        <v>1.7788684984824023E-2</v>
      </c>
      <c r="S75" s="2"/>
      <c r="T75" s="6">
        <v>37146.400000000001</v>
      </c>
      <c r="U75" s="2"/>
      <c r="V75" s="7">
        <f t="shared" si="50"/>
        <v>8.959651065846062E-3</v>
      </c>
      <c r="W75" s="2"/>
      <c r="X75" s="6">
        <f t="shared" si="51"/>
        <v>-29254.240000000002</v>
      </c>
      <c r="Y75" s="2"/>
      <c r="Z75" s="7">
        <f t="shared" si="52"/>
        <v>-0.78753903473822495</v>
      </c>
    </row>
    <row r="76" spans="1:26" s="24" customFormat="1" hidden="1" outlineLevel="2" x14ac:dyDescent="0.25">
      <c r="A76" s="28"/>
      <c r="B76" s="11" t="str">
        <f>CONCATENATE("          ", "6239", " - ", "KITCHEN SUPPLIES")</f>
        <v xml:space="preserve">          6239 - KITCHEN SUPPLIES</v>
      </c>
      <c r="C76" s="11"/>
      <c r="D76" s="6">
        <v>1244.3599999999999</v>
      </c>
      <c r="E76" s="2"/>
      <c r="F76" s="7">
        <f t="shared" si="45"/>
        <v>8.1784639741014874E-3</v>
      </c>
      <c r="G76" s="2"/>
      <c r="H76" s="6">
        <v>3787.67</v>
      </c>
      <c r="I76" s="2"/>
      <c r="J76" s="7">
        <f t="shared" si="46"/>
        <v>2.2671875435179463E-3</v>
      </c>
      <c r="K76" s="2"/>
      <c r="L76" s="6">
        <f t="shared" si="47"/>
        <v>-2543.3100000000004</v>
      </c>
      <c r="M76" s="2"/>
      <c r="N76" s="7">
        <f t="shared" si="48"/>
        <v>-0.6714708514733333</v>
      </c>
      <c r="O76" s="11"/>
      <c r="P76" s="6">
        <v>4171.68</v>
      </c>
      <c r="Q76" s="2"/>
      <c r="R76" s="7">
        <f t="shared" si="49"/>
        <v>9.4028379274483393E-3</v>
      </c>
      <c r="S76" s="2"/>
      <c r="T76" s="6">
        <v>18968.439999999999</v>
      </c>
      <c r="U76" s="2"/>
      <c r="V76" s="7">
        <f t="shared" si="50"/>
        <v>4.5751567759846727E-3</v>
      </c>
      <c r="W76" s="2"/>
      <c r="X76" s="6">
        <f t="shared" si="51"/>
        <v>-14796.759999999998</v>
      </c>
      <c r="Y76" s="2"/>
      <c r="Z76" s="7">
        <f t="shared" si="52"/>
        <v>-0.78007258372327926</v>
      </c>
    </row>
    <row r="77" spans="1:26" s="24" customFormat="1" hidden="1" outlineLevel="2" x14ac:dyDescent="0.25">
      <c r="A77" s="28"/>
      <c r="B77" s="11" t="str">
        <f>CONCATENATE("          ", "6241", " - ", "OFFICE EXPENSE")</f>
        <v xml:space="preserve">          6241 - OFFICE EXPENSE</v>
      </c>
      <c r="C77" s="11"/>
      <c r="D77" s="6">
        <v>407.69</v>
      </c>
      <c r="E77" s="2"/>
      <c r="F77" s="7">
        <f t="shared" si="45"/>
        <v>2.679512341767202E-3</v>
      </c>
      <c r="G77" s="2"/>
      <c r="H77" s="6">
        <v>882.69</v>
      </c>
      <c r="I77" s="2"/>
      <c r="J77" s="7">
        <f t="shared" si="46"/>
        <v>5.2835219878919132E-4</v>
      </c>
      <c r="K77" s="2"/>
      <c r="L77" s="6">
        <f t="shared" si="47"/>
        <v>-475.00000000000006</v>
      </c>
      <c r="M77" s="2"/>
      <c r="N77" s="7">
        <f t="shared" si="48"/>
        <v>-0.5381277685257565</v>
      </c>
      <c r="O77" s="11"/>
      <c r="P77" s="6">
        <v>1354.93</v>
      </c>
      <c r="Q77" s="2"/>
      <c r="R77" s="7">
        <f t="shared" si="49"/>
        <v>3.0539703891567854E-3</v>
      </c>
      <c r="S77" s="2"/>
      <c r="T77" s="6">
        <v>24549.11</v>
      </c>
      <c r="U77" s="2"/>
      <c r="V77" s="7">
        <f t="shared" si="50"/>
        <v>5.9212052736489192E-3</v>
      </c>
      <c r="W77" s="2"/>
      <c r="X77" s="6">
        <f t="shared" si="51"/>
        <v>-23194.18</v>
      </c>
      <c r="Y77" s="2"/>
      <c r="Z77" s="7">
        <f t="shared" si="52"/>
        <v>-0.94480736776200847</v>
      </c>
    </row>
    <row r="78" spans="1:26" s="24" customFormat="1" hidden="1" outlineLevel="2" x14ac:dyDescent="0.25">
      <c r="A78" s="28"/>
      <c r="B78" s="11" t="str">
        <f>CONCATENATE("          ", "6243", " - ", "PAPER SUPPLIES")</f>
        <v xml:space="preserve">          6243 - PAPER SUPPLIES</v>
      </c>
      <c r="C78" s="11"/>
      <c r="D78" s="6">
        <v>2632.64</v>
      </c>
      <c r="E78" s="2"/>
      <c r="F78" s="7">
        <f t="shared" si="45"/>
        <v>1.7302831493119789E-2</v>
      </c>
      <c r="G78" s="2"/>
      <c r="H78" s="6">
        <v>12127.52</v>
      </c>
      <c r="I78" s="2"/>
      <c r="J78" s="7">
        <f t="shared" si="46"/>
        <v>7.2591757670981806E-3</v>
      </c>
      <c r="K78" s="2"/>
      <c r="L78" s="6">
        <f t="shared" si="47"/>
        <v>-9494.880000000001</v>
      </c>
      <c r="M78" s="2"/>
      <c r="N78" s="7">
        <f t="shared" si="48"/>
        <v>-0.7829201683443936</v>
      </c>
      <c r="O78" s="11"/>
      <c r="P78" s="6">
        <v>6292.81</v>
      </c>
      <c r="Q78" s="2"/>
      <c r="R78" s="7">
        <f t="shared" si="49"/>
        <v>1.4183799461662013E-2</v>
      </c>
      <c r="S78" s="2"/>
      <c r="T78" s="6">
        <v>28486.47</v>
      </c>
      <c r="U78" s="2"/>
      <c r="V78" s="7">
        <f t="shared" si="50"/>
        <v>6.870890080807073E-3</v>
      </c>
      <c r="W78" s="2"/>
      <c r="X78" s="6">
        <f t="shared" si="51"/>
        <v>-22193.66</v>
      </c>
      <c r="Y78" s="2"/>
      <c r="Z78" s="7">
        <f t="shared" si="52"/>
        <v>-0.7790947772749659</v>
      </c>
    </row>
    <row r="79" spans="1:26" s="24" customFormat="1" hidden="1" outlineLevel="2" x14ac:dyDescent="0.25">
      <c r="A79" s="28"/>
      <c r="B79" s="11" t="str">
        <f>CONCATENATE("          ", "6245", " - ", "PRINTING")</f>
        <v xml:space="preserve">          6245 - PRINTING</v>
      </c>
      <c r="C79" s="11"/>
      <c r="D79" s="6"/>
      <c r="E79" s="2"/>
      <c r="F79" s="7">
        <f t="shared" si="45"/>
        <v>0</v>
      </c>
      <c r="G79" s="2"/>
      <c r="H79" s="6">
        <v>28.44</v>
      </c>
      <c r="I79" s="2"/>
      <c r="J79" s="7">
        <f t="shared" si="46"/>
        <v>1.7023345153524566E-5</v>
      </c>
      <c r="K79" s="2"/>
      <c r="L79" s="6">
        <f t="shared" si="47"/>
        <v>-28.44</v>
      </c>
      <c r="M79" s="2"/>
      <c r="N79" s="7">
        <f t="shared" si="48"/>
        <v>-1</v>
      </c>
      <c r="O79" s="11"/>
      <c r="P79" s="6"/>
      <c r="Q79" s="2"/>
      <c r="R79" s="7">
        <f t="shared" si="49"/>
        <v>0</v>
      </c>
      <c r="S79" s="2"/>
      <c r="T79" s="6">
        <v>1351.44</v>
      </c>
      <c r="U79" s="2"/>
      <c r="V79" s="7">
        <f t="shared" si="50"/>
        <v>3.2596512276901669E-4</v>
      </c>
      <c r="W79" s="2"/>
      <c r="X79" s="6">
        <f t="shared" si="51"/>
        <v>-1351.44</v>
      </c>
      <c r="Y79" s="2"/>
      <c r="Z79" s="7">
        <f t="shared" si="52"/>
        <v>-1</v>
      </c>
    </row>
    <row r="80" spans="1:26" s="24" customFormat="1" hidden="1" outlineLevel="2" x14ac:dyDescent="0.25">
      <c r="A80" s="28"/>
      <c r="B80" s="11" t="str">
        <f>CONCATENATE("          ", "6247", " - ", "STORE SUPPLIES")</f>
        <v xml:space="preserve">          6247 - STORE SUPPLIES</v>
      </c>
      <c r="C80" s="11"/>
      <c r="D80" s="6"/>
      <c r="E80" s="2"/>
      <c r="F80" s="7">
        <f t="shared" si="45"/>
        <v>0</v>
      </c>
      <c r="G80" s="2"/>
      <c r="H80" s="6">
        <v>110.38</v>
      </c>
      <c r="I80" s="2"/>
      <c r="J80" s="7">
        <f t="shared" si="46"/>
        <v>6.6070212308229302E-5</v>
      </c>
      <c r="K80" s="2"/>
      <c r="L80" s="6">
        <f t="shared" si="47"/>
        <v>-110.38</v>
      </c>
      <c r="M80" s="2"/>
      <c r="N80" s="7">
        <f t="shared" si="48"/>
        <v>-1</v>
      </c>
      <c r="O80" s="11"/>
      <c r="P80" s="6"/>
      <c r="Q80" s="2"/>
      <c r="R80" s="7">
        <f t="shared" si="49"/>
        <v>0</v>
      </c>
      <c r="S80" s="2"/>
      <c r="T80" s="6">
        <v>516.73</v>
      </c>
      <c r="U80" s="2"/>
      <c r="V80" s="7">
        <f t="shared" si="50"/>
        <v>1.2463443281864826E-4</v>
      </c>
      <c r="W80" s="2"/>
      <c r="X80" s="6">
        <f t="shared" si="51"/>
        <v>-516.73</v>
      </c>
      <c r="Y80" s="2"/>
      <c r="Z80" s="7">
        <f t="shared" si="52"/>
        <v>-1</v>
      </c>
    </row>
    <row r="81" spans="1:26" s="24" customFormat="1" hidden="1" outlineLevel="2" x14ac:dyDescent="0.25">
      <c r="A81" s="28"/>
      <c r="B81" s="11" t="str">
        <f>CONCATENATE("          ", "6248", " - ", "UNIFORMS")</f>
        <v xml:space="preserve">          6248 - UNIFORMS</v>
      </c>
      <c r="C81" s="11"/>
      <c r="D81" s="6"/>
      <c r="E81" s="2"/>
      <c r="F81" s="7">
        <f t="shared" si="45"/>
        <v>0</v>
      </c>
      <c r="G81" s="2"/>
      <c r="H81" s="6"/>
      <c r="I81" s="2"/>
      <c r="J81" s="7">
        <f t="shared" si="46"/>
        <v>0</v>
      </c>
      <c r="K81" s="2"/>
      <c r="L81" s="6">
        <f t="shared" si="47"/>
        <v>0</v>
      </c>
      <c r="M81" s="2"/>
      <c r="N81" s="7">
        <f t="shared" si="48"/>
        <v>0</v>
      </c>
      <c r="O81" s="11"/>
      <c r="P81" s="6">
        <v>3814.68</v>
      </c>
      <c r="Q81" s="2"/>
      <c r="R81" s="7">
        <f t="shared" si="49"/>
        <v>8.5981709491328735E-3</v>
      </c>
      <c r="S81" s="2"/>
      <c r="T81" s="6">
        <v>-4455.75</v>
      </c>
      <c r="U81" s="2"/>
      <c r="V81" s="7">
        <f t="shared" si="50"/>
        <v>-1.0747196292680741E-3</v>
      </c>
      <c r="W81" s="2"/>
      <c r="X81" s="6">
        <f t="shared" si="51"/>
        <v>8270.43</v>
      </c>
      <c r="Y81" s="2"/>
      <c r="Z81" s="7">
        <f t="shared" si="52"/>
        <v>-1.8561252314425181</v>
      </c>
    </row>
    <row r="82" spans="1:26" s="29" customFormat="1" outlineLevel="1" collapsed="1" x14ac:dyDescent="0.25">
      <c r="A82" s="27"/>
      <c r="B82" s="14" t="str">
        <f>CONCATENATE("     ","Telephone/Data Lines                              ")</f>
        <v xml:space="preserve">     Telephone/Data Lines                              </v>
      </c>
      <c r="C82" s="14"/>
      <c r="D82" s="1">
        <f>SUM(OSRRefD22_15x_0)</f>
        <v>547.32000000000005</v>
      </c>
      <c r="E82" s="1"/>
      <c r="F82" s="5">
        <f t="shared" ref="F82:F87" si="53">IF(D$12=0,0,D82/D$12)</f>
        <v>3.5972201792931523E-3</v>
      </c>
      <c r="G82" s="1"/>
      <c r="H82" s="1">
        <f>SUM(OSRRefH22_15x_0)</f>
        <v>745.25</v>
      </c>
      <c r="I82" s="1"/>
      <c r="J82" s="5">
        <f t="shared" ref="J82:J87" si="54">IF(H$12=0,0,H82/H$12)</f>
        <v>4.460846686239164E-4</v>
      </c>
      <c r="K82" s="1"/>
      <c r="L82" s="1">
        <f t="shared" ref="L82:L87" si="55">+D82-H82</f>
        <v>-197.92999999999995</v>
      </c>
      <c r="M82" s="1"/>
      <c r="N82" s="5">
        <f t="shared" ref="N82:N87" si="56">IF(H82=0,0,L82/H82)</f>
        <v>-0.26558872861455879</v>
      </c>
      <c r="O82" s="14"/>
      <c r="P82" s="1">
        <f>SUM(OSRRefP22_15x_0)</f>
        <v>2787.32</v>
      </c>
      <c r="Q82" s="1"/>
      <c r="R82" s="5">
        <f t="shared" ref="R82:R87" si="57">IF(P$12=0,0,P82/P$12)</f>
        <v>6.2825332268858841E-3</v>
      </c>
      <c r="S82" s="1"/>
      <c r="T82" s="1">
        <f>SUM(OSRRefT22_15x_0)</f>
        <v>2212.4</v>
      </c>
      <c r="U82" s="1"/>
      <c r="V82" s="5">
        <f t="shared" ref="V82:V87" si="58">IF(T$12=0,0,T82/T$12)</f>
        <v>5.3362726988558313E-4</v>
      </c>
      <c r="W82" s="1"/>
      <c r="X82" s="1">
        <f t="shared" ref="X82:X87" si="59">+P82-T82</f>
        <v>574.92000000000007</v>
      </c>
      <c r="Y82" s="1"/>
      <c r="Z82" s="5">
        <f t="shared" ref="Z82:Z87" si="60">IF(T82=0,0,X82/T82)</f>
        <v>0.25986259265955525</v>
      </c>
    </row>
    <row r="83" spans="1:26" s="24" customFormat="1" hidden="1" outlineLevel="2" x14ac:dyDescent="0.25">
      <c r="A83" s="28"/>
      <c r="B83" s="11" t="str">
        <f>CONCATENATE("          ", "6309", " - ", "TELEPHONE")</f>
        <v xml:space="preserve">          6309 - TELEPHONE</v>
      </c>
      <c r="C83" s="11"/>
      <c r="D83" s="6">
        <v>547.32000000000005</v>
      </c>
      <c r="E83" s="2"/>
      <c r="F83" s="7">
        <f t="shared" si="53"/>
        <v>3.5972201792931523E-3</v>
      </c>
      <c r="G83" s="2"/>
      <c r="H83" s="6">
        <v>745.25</v>
      </c>
      <c r="I83" s="2"/>
      <c r="J83" s="7">
        <f t="shared" si="54"/>
        <v>4.460846686239164E-4</v>
      </c>
      <c r="K83" s="2"/>
      <c r="L83" s="6">
        <f t="shared" si="55"/>
        <v>-197.92999999999995</v>
      </c>
      <c r="M83" s="2"/>
      <c r="N83" s="7">
        <f t="shared" si="56"/>
        <v>-0.26558872861455879</v>
      </c>
      <c r="O83" s="11"/>
      <c r="P83" s="6">
        <v>2787.32</v>
      </c>
      <c r="Q83" s="2"/>
      <c r="R83" s="7">
        <f t="shared" si="57"/>
        <v>6.2825332268858841E-3</v>
      </c>
      <c r="S83" s="2"/>
      <c r="T83" s="6">
        <v>2212.4</v>
      </c>
      <c r="U83" s="2"/>
      <c r="V83" s="7">
        <f t="shared" si="58"/>
        <v>5.3362726988558313E-4</v>
      </c>
      <c r="W83" s="2"/>
      <c r="X83" s="6">
        <f t="shared" si="59"/>
        <v>574.92000000000007</v>
      </c>
      <c r="Y83" s="2"/>
      <c r="Z83" s="7">
        <f t="shared" si="60"/>
        <v>0.25986259265955525</v>
      </c>
    </row>
    <row r="84" spans="1:26" s="29" customFormat="1" outlineLevel="1" collapsed="1" x14ac:dyDescent="0.25">
      <c r="A84" s="27"/>
      <c r="B84" s="14" t="str">
        <f>CONCATENATE("     ","Training                                          ")</f>
        <v xml:space="preserve">     Training                                          </v>
      </c>
      <c r="C84" s="14"/>
      <c r="D84" s="1">
        <f>SUM(OSRRefD22_16x_0)</f>
        <v>385</v>
      </c>
      <c r="E84" s="1"/>
      <c r="F84" s="5">
        <f t="shared" si="53"/>
        <v>2.5303839966159896E-3</v>
      </c>
      <c r="G84" s="1"/>
      <c r="H84" s="1">
        <f>SUM(OSRRefH22_16x_0)</f>
        <v>144</v>
      </c>
      <c r="I84" s="1"/>
      <c r="J84" s="5">
        <f t="shared" si="54"/>
        <v>8.6194152676073751E-5</v>
      </c>
      <c r="K84" s="1"/>
      <c r="L84" s="1">
        <f t="shared" si="55"/>
        <v>241</v>
      </c>
      <c r="M84" s="1"/>
      <c r="N84" s="5">
        <f t="shared" si="56"/>
        <v>1.6736111111111112</v>
      </c>
      <c r="O84" s="14"/>
      <c r="P84" s="1">
        <f>SUM(OSRRefP22_16x_0)</f>
        <v>735</v>
      </c>
      <c r="Q84" s="1"/>
      <c r="R84" s="5">
        <f t="shared" si="57"/>
        <v>1.6566673082965447E-3</v>
      </c>
      <c r="S84" s="1"/>
      <c r="T84" s="1">
        <f>SUM(OSRRefT22_16x_0)</f>
        <v>3732.27</v>
      </c>
      <c r="U84" s="1"/>
      <c r="V84" s="5">
        <f t="shared" si="58"/>
        <v>9.0021743381660886E-4</v>
      </c>
      <c r="W84" s="1"/>
      <c r="X84" s="1">
        <f t="shared" si="59"/>
        <v>-2997.27</v>
      </c>
      <c r="Y84" s="1"/>
      <c r="Z84" s="5">
        <f t="shared" si="60"/>
        <v>-0.80306890980556067</v>
      </c>
    </row>
    <row r="85" spans="1:26" s="24" customFormat="1" hidden="1" outlineLevel="2" x14ac:dyDescent="0.25">
      <c r="A85" s="28"/>
      <c r="B85" s="11" t="str">
        <f>CONCATENATE("          ", "6376", " - ", "TRAINING")</f>
        <v xml:space="preserve">          6376 - TRAINING</v>
      </c>
      <c r="C85" s="11"/>
      <c r="D85" s="6">
        <v>385</v>
      </c>
      <c r="E85" s="2"/>
      <c r="F85" s="7">
        <f t="shared" si="53"/>
        <v>2.5303839966159896E-3</v>
      </c>
      <c r="G85" s="2"/>
      <c r="H85" s="6">
        <v>144</v>
      </c>
      <c r="I85" s="2"/>
      <c r="J85" s="7">
        <f t="shared" si="54"/>
        <v>8.6194152676073751E-5</v>
      </c>
      <c r="K85" s="2"/>
      <c r="L85" s="6">
        <f t="shared" si="55"/>
        <v>241</v>
      </c>
      <c r="M85" s="2"/>
      <c r="N85" s="7">
        <f t="shared" si="56"/>
        <v>1.6736111111111112</v>
      </c>
      <c r="O85" s="11"/>
      <c r="P85" s="6">
        <v>735</v>
      </c>
      <c r="Q85" s="2"/>
      <c r="R85" s="7">
        <f t="shared" si="57"/>
        <v>1.6566673082965447E-3</v>
      </c>
      <c r="S85" s="2"/>
      <c r="T85" s="6">
        <v>3732.27</v>
      </c>
      <c r="U85" s="2"/>
      <c r="V85" s="7">
        <f t="shared" si="58"/>
        <v>9.0021743381660886E-4</v>
      </c>
      <c r="W85" s="2"/>
      <c r="X85" s="6">
        <f t="shared" si="59"/>
        <v>-2997.27</v>
      </c>
      <c r="Y85" s="2"/>
      <c r="Z85" s="7">
        <f t="shared" si="60"/>
        <v>-0.80306890980556067</v>
      </c>
    </row>
    <row r="86" spans="1:26" s="29" customFormat="1" outlineLevel="1" collapsed="1" x14ac:dyDescent="0.25">
      <c r="A86" s="27"/>
      <c r="B86" s="14" t="str">
        <f>CONCATENATE("     ","Travel                                            ")</f>
        <v xml:space="preserve">     Travel                                            </v>
      </c>
      <c r="C86" s="14"/>
      <c r="D86" s="1">
        <f>SUM(OSRRefD22_17x_0)</f>
        <v>0</v>
      </c>
      <c r="E86" s="1"/>
      <c r="F86" s="5">
        <f t="shared" si="53"/>
        <v>0</v>
      </c>
      <c r="G86" s="1"/>
      <c r="H86" s="1">
        <f>SUM(OSRRefH22_17x_0)</f>
        <v>291.26</v>
      </c>
      <c r="I86" s="1"/>
      <c r="J86" s="5">
        <f t="shared" si="54"/>
        <v>1.7433964519745305E-4</v>
      </c>
      <c r="K86" s="1"/>
      <c r="L86" s="1">
        <f t="shared" si="55"/>
        <v>-291.26</v>
      </c>
      <c r="M86" s="1"/>
      <c r="N86" s="5">
        <f t="shared" si="56"/>
        <v>-1</v>
      </c>
      <c r="O86" s="14"/>
      <c r="P86" s="1">
        <f>SUM(OSRRefP22_17x_0)</f>
        <v>0</v>
      </c>
      <c r="Q86" s="1"/>
      <c r="R86" s="5">
        <f t="shared" si="57"/>
        <v>0</v>
      </c>
      <c r="S86" s="1"/>
      <c r="T86" s="1">
        <f>SUM(OSRRefT22_17x_0)</f>
        <v>1979.67</v>
      </c>
      <c r="U86" s="1"/>
      <c r="V86" s="5">
        <f t="shared" si="58"/>
        <v>4.774931736459919E-4</v>
      </c>
      <c r="W86" s="1"/>
      <c r="X86" s="1">
        <f t="shared" si="59"/>
        <v>-1979.67</v>
      </c>
      <c r="Y86" s="1"/>
      <c r="Z86" s="5">
        <f t="shared" si="60"/>
        <v>-1</v>
      </c>
    </row>
    <row r="87" spans="1:26" s="24" customFormat="1" hidden="1" outlineLevel="2" x14ac:dyDescent="0.25">
      <c r="A87" s="28"/>
      <c r="B87" s="11" t="str">
        <f>CONCATENATE("          ", "6292", " - ", "TRAVEL/CONFERENCE")</f>
        <v xml:space="preserve">          6292 - TRAVEL/CONFERENCE</v>
      </c>
      <c r="C87" s="11"/>
      <c r="D87" s="6"/>
      <c r="E87" s="2"/>
      <c r="F87" s="7">
        <f t="shared" si="53"/>
        <v>0</v>
      </c>
      <c r="G87" s="2"/>
      <c r="H87" s="6">
        <v>291.26</v>
      </c>
      <c r="I87" s="2"/>
      <c r="J87" s="7">
        <f t="shared" si="54"/>
        <v>1.7433964519745305E-4</v>
      </c>
      <c r="K87" s="2"/>
      <c r="L87" s="6">
        <f t="shared" si="55"/>
        <v>-291.26</v>
      </c>
      <c r="M87" s="2"/>
      <c r="N87" s="7">
        <f t="shared" si="56"/>
        <v>-1</v>
      </c>
      <c r="O87" s="11"/>
      <c r="P87" s="6"/>
      <c r="Q87" s="2"/>
      <c r="R87" s="7">
        <f t="shared" si="57"/>
        <v>0</v>
      </c>
      <c r="S87" s="2"/>
      <c r="T87" s="6">
        <v>1979.67</v>
      </c>
      <c r="U87" s="2"/>
      <c r="V87" s="7">
        <f t="shared" si="58"/>
        <v>4.774931736459919E-4</v>
      </c>
      <c r="W87" s="2"/>
      <c r="X87" s="6">
        <f t="shared" si="59"/>
        <v>-1979.67</v>
      </c>
      <c r="Y87" s="2"/>
      <c r="Z87" s="7">
        <f t="shared" si="60"/>
        <v>-1</v>
      </c>
    </row>
    <row r="88" spans="1:26" s="57" customFormat="1" x14ac:dyDescent="0.25">
      <c r="A88" s="37"/>
      <c r="B88" s="37"/>
      <c r="C88" s="37"/>
      <c r="D88" s="1"/>
      <c r="E88" s="1"/>
      <c r="F88" s="5"/>
      <c r="G88" s="1"/>
      <c r="H88" s="1"/>
      <c r="I88" s="1"/>
      <c r="J88" s="5"/>
      <c r="K88" s="1"/>
      <c r="L88" s="1"/>
      <c r="M88" s="1"/>
      <c r="N88" s="5"/>
      <c r="O88" s="37"/>
      <c r="P88" s="1"/>
      <c r="Q88" s="1"/>
      <c r="R88" s="5"/>
      <c r="S88" s="1"/>
      <c r="T88" s="1"/>
      <c r="U88" s="1"/>
      <c r="V88" s="5"/>
      <c r="W88" s="1"/>
      <c r="X88" s="1"/>
      <c r="Y88" s="1"/>
      <c r="Z88" s="5"/>
    </row>
    <row r="89" spans="1:26" s="23" customFormat="1" x14ac:dyDescent="0.25">
      <c r="A89" s="10"/>
      <c r="B89" s="26" t="s">
        <v>0</v>
      </c>
      <c r="C89" s="10"/>
      <c r="D89" s="4">
        <f>SUM(0)</f>
        <v>0</v>
      </c>
      <c r="E89" s="4"/>
      <c r="F89" s="12">
        <f>IF(D$12=0,0,D89/D$12)</f>
        <v>0</v>
      </c>
      <c r="G89" s="4"/>
      <c r="H89" s="4">
        <f>SUM(0)</f>
        <v>0</v>
      </c>
      <c r="I89" s="4"/>
      <c r="J89" s="12">
        <f>IF(H$12=0,0,H89/H$12)</f>
        <v>0</v>
      </c>
      <c r="K89" s="4"/>
      <c r="L89" s="4">
        <f>+D89-H89</f>
        <v>0</v>
      </c>
      <c r="M89" s="4"/>
      <c r="N89" s="12">
        <f>IF(H89=0,0,L89/H89)</f>
        <v>0</v>
      </c>
      <c r="O89" s="10"/>
      <c r="P89" s="4">
        <f>SUM(0)</f>
        <v>0</v>
      </c>
      <c r="Q89" s="4"/>
      <c r="R89" s="12">
        <f>IF(P$12=0,0,P89/P$12)</f>
        <v>0</v>
      </c>
      <c r="S89" s="4"/>
      <c r="T89" s="4">
        <f>SUM(0)</f>
        <v>0</v>
      </c>
      <c r="U89" s="4"/>
      <c r="V89" s="12">
        <f>IF(T$12=0,0,T89/T$12)</f>
        <v>0</v>
      </c>
      <c r="W89" s="4"/>
      <c r="X89" s="4">
        <f>+P89-T89</f>
        <v>0</v>
      </c>
      <c r="Y89" s="4"/>
      <c r="Z89" s="12">
        <f>IF(T89=0,0,X89/T89)</f>
        <v>0</v>
      </c>
    </row>
    <row r="90" spans="1:26" x14ac:dyDescent="0.25">
      <c r="A90" s="9"/>
      <c r="B90" s="10"/>
      <c r="C90" s="10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O90" s="10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x14ac:dyDescent="0.25">
      <c r="A91" s="10"/>
      <c r="B91" s="25" t="s">
        <v>3</v>
      </c>
      <c r="C91" s="25"/>
      <c r="D91" s="20">
        <f>+D23-D25+D89</f>
        <v>-209343.61999999997</v>
      </c>
      <c r="E91" s="13"/>
      <c r="F91" s="21">
        <f>IF(D$12=0,0,D91/D$12)</f>
        <v>-1.3758954437445687</v>
      </c>
      <c r="G91" s="13"/>
      <c r="H91" s="20">
        <f>+H23-H25+H89</f>
        <v>598942.00999999966</v>
      </c>
      <c r="I91" s="13"/>
      <c r="J91" s="21">
        <f>IF(H$12=0,0,H91/H$12)</f>
        <v>0.35850902120871153</v>
      </c>
      <c r="K91" s="15"/>
      <c r="L91" s="20">
        <f>+D91-H91</f>
        <v>-808285.62999999966</v>
      </c>
      <c r="M91" s="15"/>
      <c r="N91" s="21">
        <f>IF(H91=0,0,L91/H91)</f>
        <v>-1.3495223519218498</v>
      </c>
      <c r="O91" s="26"/>
      <c r="P91" s="20">
        <f>+P23-P25+P89</f>
        <v>-645168.41000000027</v>
      </c>
      <c r="Q91" s="13"/>
      <c r="R91" s="21">
        <f>IF(P$12=0,0,P91/P$12)</f>
        <v>-1.4541896778131456</v>
      </c>
      <c r="S91" s="13"/>
      <c r="T91" s="20">
        <f>+T23-T25+T89</f>
        <v>1120511.2100000009</v>
      </c>
      <c r="U91" s="13"/>
      <c r="V91" s="21">
        <f>IF(T$12=0,0,T91/T$12)</f>
        <v>0.27026547544227619</v>
      </c>
      <c r="W91" s="15"/>
      <c r="X91" s="20">
        <f>+P91-T91</f>
        <v>-1765679.620000001</v>
      </c>
      <c r="Y91" s="15"/>
      <c r="Z91" s="21">
        <f>IF(T91=0,0,X91/T91)</f>
        <v>-1.5757804154409125</v>
      </c>
    </row>
    <row r="92" spans="1:26" x14ac:dyDescent="0.25">
      <c r="A92" s="9"/>
      <c r="B92" s="10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x14ac:dyDescent="0.25">
      <c r="A93" s="51"/>
      <c r="B93" s="10" t="s">
        <v>13</v>
      </c>
      <c r="C93" s="10"/>
      <c r="D93" s="4">
        <v>42102.83</v>
      </c>
      <c r="E93" s="4"/>
      <c r="F93" s="12">
        <f>IF(D$12=0,0,D93/D$12)</f>
        <v>0.27671773310193143</v>
      </c>
      <c r="G93" s="4"/>
      <c r="H93" s="4">
        <v>151461.47999999998</v>
      </c>
      <c r="I93" s="4"/>
      <c r="J93" s="12">
        <f>IF(H$12=0,0,H93/H$12)</f>
        <v>9.0660374525445064E-2</v>
      </c>
      <c r="K93" s="4"/>
      <c r="L93" s="4">
        <f>+D93-H93</f>
        <v>-109358.64999999998</v>
      </c>
      <c r="M93" s="4"/>
      <c r="N93" s="12">
        <f>IF(H93=0,0,L93/H93)</f>
        <v>-0.72202285359947616</v>
      </c>
      <c r="O93" s="10"/>
      <c r="P93" s="4">
        <v>96106.69</v>
      </c>
      <c r="Q93" s="4"/>
      <c r="R93" s="12">
        <f>IF(P$12=0,0,P93/P$12)</f>
        <v>0.21662151215182374</v>
      </c>
      <c r="S93" s="4"/>
      <c r="T93" s="4">
        <v>417343.43</v>
      </c>
      <c r="U93" s="4"/>
      <c r="V93" s="12">
        <f>IF(T$12=0,0,T93/T$12)</f>
        <v>0.10066255431006373</v>
      </c>
      <c r="W93" s="4"/>
      <c r="X93" s="4">
        <f>+P93-T93</f>
        <v>-321236.74</v>
      </c>
      <c r="Y93" s="4"/>
      <c r="Z93" s="12">
        <f>IF(T93=0,0,X93/T93)</f>
        <v>-0.76971797543332598</v>
      </c>
    </row>
    <row r="94" spans="1:26" x14ac:dyDescent="0.25">
      <c r="A94" s="9"/>
      <c r="B94" s="10"/>
      <c r="C94" s="10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O94" s="10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ht="15.75" thickBot="1" x14ac:dyDescent="0.3">
      <c r="A95" s="10"/>
      <c r="B95" s="25" t="s">
        <v>4</v>
      </c>
      <c r="C95" s="25"/>
      <c r="D95" s="30">
        <f>+D91-D93</f>
        <v>-251446.44999999995</v>
      </c>
      <c r="E95" s="13"/>
      <c r="F95" s="33">
        <f>IF(D$12=0,0,D95/D$12)</f>
        <v>-1.6526131768465</v>
      </c>
      <c r="G95" s="13"/>
      <c r="H95" s="30">
        <f>+H91-H93</f>
        <v>447480.52999999968</v>
      </c>
      <c r="I95" s="13"/>
      <c r="J95" s="33">
        <f>IF(H$12=0,0,H95/H$12)</f>
        <v>0.26784864668326647</v>
      </c>
      <c r="K95" s="15"/>
      <c r="L95" s="30">
        <f>D95-H95</f>
        <v>-698926.97999999963</v>
      </c>
      <c r="M95" s="15"/>
      <c r="N95" s="33">
        <f>IF(H95=0,0,L95/H95)</f>
        <v>-1.5619159564327862</v>
      </c>
      <c r="O95" s="26"/>
      <c r="P95" s="30">
        <f>+P91-P93</f>
        <v>-741275.10000000033</v>
      </c>
      <c r="Q95" s="13"/>
      <c r="R95" s="33">
        <f>IF(P$12=0,0,P95/P$12)</f>
        <v>-1.6708111899649694</v>
      </c>
      <c r="S95" s="13"/>
      <c r="T95" s="30">
        <f>+T91-T93</f>
        <v>703167.78000000096</v>
      </c>
      <c r="U95" s="13"/>
      <c r="V95" s="33">
        <f>IF(T$12=0,0,T95/T$12)</f>
        <v>0.16960292113221248</v>
      </c>
      <c r="W95" s="15"/>
      <c r="X95" s="30">
        <f>P95-T95</f>
        <v>-1444442.8800000013</v>
      </c>
      <c r="Y95" s="15"/>
      <c r="Z95" s="33">
        <f>IF(T95=0,0,X95/T95)</f>
        <v>-2.0541937800392378</v>
      </c>
    </row>
    <row r="96" spans="1:26" ht="15.75" thickTop="1" x14ac:dyDescent="0.25">
      <c r="A96" s="9"/>
      <c r="B96" s="9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x14ac:dyDescent="0.2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ht="15.75" thickBot="1" x14ac:dyDescent="0.3">
      <c r="A98" s="10"/>
      <c r="B98" s="25" t="s">
        <v>5</v>
      </c>
      <c r="C98" s="25"/>
      <c r="D98" s="34">
        <f>SUM(D95:D97)</f>
        <v>-251446.44999999995</v>
      </c>
      <c r="E98" s="13"/>
      <c r="F98" s="35">
        <f>IF(D$12=0,0,D98/D$12)</f>
        <v>-1.6526131768465</v>
      </c>
      <c r="G98" s="13"/>
      <c r="H98" s="34">
        <f>SUM(H95:H97)</f>
        <v>447480.52999999968</v>
      </c>
      <c r="I98" s="13"/>
      <c r="J98" s="35">
        <f>IF(H$12=0,0,H98/H$12)</f>
        <v>0.26784864668326647</v>
      </c>
      <c r="K98" s="15"/>
      <c r="L98" s="34">
        <f>+D98-H98</f>
        <v>-698926.97999999963</v>
      </c>
      <c r="M98" s="15"/>
      <c r="N98" s="35">
        <f>IF(H98=0,0,L98/H98)</f>
        <v>-1.5619159564327862</v>
      </c>
      <c r="O98" s="26"/>
      <c r="P98" s="34">
        <f>SUM(P95:P97)</f>
        <v>-741275.10000000033</v>
      </c>
      <c r="Q98" s="13"/>
      <c r="R98" s="35">
        <f>IF(P$12=0,0,P98/P$12)</f>
        <v>-1.6708111899649694</v>
      </c>
      <c r="S98" s="13"/>
      <c r="T98" s="34">
        <f>SUM(T95:T97)</f>
        <v>703167.78000000096</v>
      </c>
      <c r="U98" s="13"/>
      <c r="V98" s="35">
        <f>IF(T$12=0,0,T98/T$12)</f>
        <v>0.16960292113221248</v>
      </c>
      <c r="W98" s="15"/>
      <c r="X98" s="34">
        <f>+P98-T98</f>
        <v>-1444442.8800000013</v>
      </c>
      <c r="Y98" s="15"/>
      <c r="Z98" s="35">
        <f>IF(T98=0,0,X98/T98)</f>
        <v>-2.0541937800392378</v>
      </c>
    </row>
    <row r="99" spans="1:26" ht="15.75" thickTop="1" x14ac:dyDescent="0.25">
      <c r="A99" s="9"/>
      <c r="C99" s="9"/>
      <c r="D99" s="18"/>
      <c r="E99" s="18"/>
      <c r="G99" s="18"/>
      <c r="H99" s="18"/>
      <c r="I99" s="18"/>
      <c r="J99" s="43"/>
      <c r="K99" s="18"/>
      <c r="L99" s="18"/>
      <c r="M99" s="18"/>
      <c r="P99" s="18"/>
      <c r="Q99" s="18"/>
      <c r="R99" s="43"/>
      <c r="S99" s="18"/>
      <c r="T99" s="18"/>
      <c r="U99" s="18"/>
      <c r="V99" s="43"/>
      <c r="W99" s="18"/>
      <c r="X99" s="18"/>
    </row>
    <row r="100" spans="1:26" x14ac:dyDescent="0.25">
      <c r="A100" s="9"/>
      <c r="B100" s="56">
        <v>44151.572072418981</v>
      </c>
      <c r="D100" s="18"/>
      <c r="E100" s="18"/>
      <c r="G100" s="18"/>
      <c r="H100" s="18"/>
      <c r="I100" s="18"/>
      <c r="J100" s="43"/>
      <c r="K100" s="18"/>
      <c r="L100" s="18"/>
      <c r="M100" s="18"/>
      <c r="P100" s="18"/>
      <c r="Q100" s="18"/>
      <c r="R100" s="43"/>
      <c r="S100" s="18"/>
      <c r="T100" s="18"/>
      <c r="U100" s="18"/>
      <c r="V100" s="43"/>
      <c r="W100" s="18"/>
      <c r="X100" s="18"/>
    </row>
    <row r="101" spans="1:26" x14ac:dyDescent="0.25">
      <c r="A101" s="9"/>
      <c r="B101" s="62" t="s">
        <v>313</v>
      </c>
      <c r="D101" s="18"/>
      <c r="E101" s="18"/>
      <c r="G101" s="18"/>
      <c r="H101" s="18"/>
      <c r="I101" s="18"/>
      <c r="J101" s="43"/>
      <c r="K101" s="18"/>
      <c r="L101" s="18"/>
      <c r="M101" s="18"/>
      <c r="P101" s="18"/>
      <c r="Q101" s="18"/>
      <c r="R101" s="43"/>
      <c r="S101" s="18"/>
      <c r="T101" s="18"/>
      <c r="U101" s="18"/>
      <c r="V101" s="43"/>
      <c r="W101" s="18"/>
      <c r="X101" s="18"/>
    </row>
    <row r="102" spans="1:26" x14ac:dyDescent="0.25">
      <c r="A102" s="9"/>
      <c r="B102" s="54"/>
      <c r="D102" s="18"/>
      <c r="E102" s="18"/>
      <c r="G102" s="18"/>
      <c r="H102" s="18"/>
      <c r="I102" s="18"/>
      <c r="J102" s="43"/>
      <c r="K102" s="18"/>
      <c r="L102" s="18"/>
      <c r="M102" s="18"/>
      <c r="P102" s="18"/>
      <c r="Q102" s="18"/>
      <c r="R102" s="43"/>
      <c r="S102" s="18"/>
      <c r="T102" s="18"/>
      <c r="U102" s="18"/>
      <c r="V102" s="43"/>
      <c r="W102" s="18"/>
      <c r="X102" s="18"/>
    </row>
    <row r="103" spans="1:26" x14ac:dyDescent="0.25">
      <c r="D103" s="18"/>
      <c r="E103" s="18"/>
      <c r="G103" s="18"/>
      <c r="H103" s="18"/>
      <c r="I103" s="18"/>
      <c r="J103" s="43"/>
      <c r="K103" s="18"/>
      <c r="L103" s="18"/>
      <c r="M103" s="18"/>
      <c r="P103" s="18"/>
      <c r="Q103" s="18"/>
      <c r="R103" s="43"/>
      <c r="S103" s="18"/>
      <c r="T103" s="18"/>
      <c r="U103" s="18"/>
      <c r="V103" s="43"/>
      <c r="W103" s="18"/>
      <c r="X103" s="18"/>
    </row>
  </sheetData>
  <pageMargins left="0.25" right="0.25" top="0.75" bottom="0.75" header="0.3" footer="0.3"/>
  <pageSetup scale="55" fitToWidth="2" orientation="landscape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5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",RIGHT(202104,2),", ",2021)</f>
        <v>Period 04,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44135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","430", " - ", "Res Hall Management")</f>
        <v>Department 430 - Res Hall Management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61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50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50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2"/>
      <c r="F10" s="31" t="s">
        <v>14</v>
      </c>
      <c r="G10" s="32"/>
      <c r="H10" s="49" t="s">
        <v>306</v>
      </c>
      <c r="I10" s="32"/>
      <c r="J10" s="31" t="s">
        <v>14</v>
      </c>
      <c r="K10" s="10"/>
      <c r="L10" s="42" t="s">
        <v>11</v>
      </c>
      <c r="M10" s="10"/>
      <c r="N10" s="31" t="s">
        <v>15</v>
      </c>
      <c r="O10" s="10"/>
      <c r="P10" s="59" t="s">
        <v>10</v>
      </c>
      <c r="Q10" s="32"/>
      <c r="R10" s="31" t="s">
        <v>14</v>
      </c>
      <c r="S10" s="32"/>
      <c r="T10" s="49" t="s">
        <v>306</v>
      </c>
      <c r="U10" s="32"/>
      <c r="V10" s="31" t="s">
        <v>14</v>
      </c>
      <c r="W10" s="10"/>
      <c r="X10" s="42" t="s">
        <v>11</v>
      </c>
      <c r="Y10" s="10"/>
      <c r="Z10" s="31" t="s">
        <v>15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6</v>
      </c>
      <c r="C16" s="25"/>
      <c r="D16" s="20">
        <f>D12-D14</f>
        <v>0</v>
      </c>
      <c r="E16" s="13"/>
      <c r="F16" s="21">
        <f>IF(D$12=0,0,D16/D$12)</f>
        <v>0</v>
      </c>
      <c r="G16" s="13"/>
      <c r="H16" s="20">
        <f>H12-H14</f>
        <v>0</v>
      </c>
      <c r="I16" s="13"/>
      <c r="J16" s="21">
        <f>IF(H$12=0,0,H16/H$12)</f>
        <v>0</v>
      </c>
      <c r="K16" s="15"/>
      <c r="L16" s="20">
        <f>+D16-H16</f>
        <v>0</v>
      </c>
      <c r="M16" s="15"/>
      <c r="N16" s="21">
        <f>IF(H16=0,0,L16/H16)</f>
        <v>0</v>
      </c>
      <c r="O16" s="26"/>
      <c r="P16" s="20">
        <f>P12-P14</f>
        <v>0</v>
      </c>
      <c r="Q16" s="13"/>
      <c r="R16" s="21">
        <f>IF(P$12=0,0,P16/P$12)</f>
        <v>0</v>
      </c>
      <c r="S16" s="13"/>
      <c r="T16" s="20">
        <f>T12-T14</f>
        <v>0</v>
      </c>
      <c r="U16" s="13"/>
      <c r="V16" s="21">
        <f>IF(T$12=0,0,T16/T$12)</f>
        <v>0</v>
      </c>
      <c r="W16" s="15"/>
      <c r="X16" s="20">
        <f>+P16-T16</f>
        <v>0</v>
      </c>
      <c r="Y16" s="15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9</v>
      </c>
      <c r="C18" s="10"/>
      <c r="D18" s="22">
        <f>SUM(OSRRefD22x_0)</f>
        <v>18225.39</v>
      </c>
      <c r="E18" s="22"/>
      <c r="F18" s="36">
        <f t="shared" ref="F18:F27" si="0">IF(D$12=0,0,D18/D$12)</f>
        <v>0</v>
      </c>
      <c r="G18" s="22"/>
      <c r="H18" s="22">
        <f>SUM(OSRRefH22x_0)</f>
        <v>16308.98</v>
      </c>
      <c r="I18" s="22"/>
      <c r="J18" s="36">
        <f t="shared" ref="J18:J27" si="1">IF(H$12=0,0,H18/H$12)</f>
        <v>0</v>
      </c>
      <c r="K18" s="4"/>
      <c r="L18" s="22">
        <f t="shared" ref="L18:L27" si="2">+D18-H18</f>
        <v>1916.4099999999999</v>
      </c>
      <c r="M18" s="4"/>
      <c r="N18" s="36">
        <f t="shared" ref="N18:N27" si="3">IF(H18=0,0,L18/H18)</f>
        <v>0.11750642897348576</v>
      </c>
      <c r="O18" s="10"/>
      <c r="P18" s="22">
        <f>SUM(OSRRefP22x_0)</f>
        <v>65455.35</v>
      </c>
      <c r="Q18" s="22"/>
      <c r="R18" s="36">
        <f t="shared" ref="R18:R27" si="4">IF(P$12=0,0,P18/P$12)</f>
        <v>0</v>
      </c>
      <c r="S18" s="22"/>
      <c r="T18" s="22">
        <f>SUM(OSRRefT22x_0)</f>
        <v>64008.999999999993</v>
      </c>
      <c r="U18" s="22"/>
      <c r="V18" s="36">
        <f t="shared" ref="V18:V27" si="5">IF(T$12=0,0,T18/T$12)</f>
        <v>0</v>
      </c>
      <c r="W18" s="4"/>
      <c r="X18" s="22">
        <f t="shared" ref="X18:X27" si="6">+P18-T18</f>
        <v>1446.3500000000058</v>
      </c>
      <c r="Y18" s="4"/>
      <c r="Z18" s="36">
        <f t="shared" ref="Z18:Z27" si="7">IF(T18=0,0,X18/T18)</f>
        <v>2.2596041181708916E-2</v>
      </c>
    </row>
    <row r="19" spans="1:26" s="29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6976.08</v>
      </c>
      <c r="E19" s="1"/>
      <c r="F19" s="5">
        <f t="shared" si="0"/>
        <v>0</v>
      </c>
      <c r="G19" s="1"/>
      <c r="H19" s="1">
        <f>SUM(OSRRefH22_0x_0)</f>
        <v>7141.42</v>
      </c>
      <c r="I19" s="1"/>
      <c r="J19" s="5">
        <f t="shared" si="1"/>
        <v>0</v>
      </c>
      <c r="K19" s="1"/>
      <c r="L19" s="1">
        <f t="shared" si="2"/>
        <v>-165.34000000000015</v>
      </c>
      <c r="M19" s="1"/>
      <c r="N19" s="5">
        <f t="shared" si="3"/>
        <v>-2.3152258234356772E-2</v>
      </c>
      <c r="O19" s="14"/>
      <c r="P19" s="1">
        <f>SUM(OSRRefP22_0x_0)</f>
        <v>23480.39</v>
      </c>
      <c r="Q19" s="1"/>
      <c r="R19" s="5">
        <f t="shared" si="4"/>
        <v>0</v>
      </c>
      <c r="S19" s="1"/>
      <c r="T19" s="1">
        <f>SUM(OSRRefT22_0x_0)</f>
        <v>24301.05</v>
      </c>
      <c r="U19" s="1"/>
      <c r="V19" s="5">
        <f t="shared" si="5"/>
        <v>0</v>
      </c>
      <c r="W19" s="1"/>
      <c r="X19" s="1">
        <f t="shared" si="6"/>
        <v>-820.65999999999985</v>
      </c>
      <c r="Y19" s="1"/>
      <c r="Z19" s="5">
        <f t="shared" si="7"/>
        <v>-3.3770557239296242E-2</v>
      </c>
    </row>
    <row r="20" spans="1:26" s="24" customFormat="1" hidden="1" outlineLevel="2" x14ac:dyDescent="0.25">
      <c r="A20" s="28"/>
      <c r="B20" s="11" t="str">
        <f>CONCATENATE("          ", "6111", " - ", "F.I.C.A.")</f>
        <v xml:space="preserve">          6111 - F.I.C.A.</v>
      </c>
      <c r="C20" s="11"/>
      <c r="D20" s="6">
        <v>1228.6099999999999</v>
      </c>
      <c r="E20" s="2"/>
      <c r="F20" s="7">
        <f t="shared" si="0"/>
        <v>0</v>
      </c>
      <c r="G20" s="2"/>
      <c r="H20" s="6">
        <v>1785.17</v>
      </c>
      <c r="I20" s="2"/>
      <c r="J20" s="7">
        <f t="shared" si="1"/>
        <v>0</v>
      </c>
      <c r="K20" s="2"/>
      <c r="L20" s="6">
        <f t="shared" si="2"/>
        <v>-556.56000000000017</v>
      </c>
      <c r="M20" s="2"/>
      <c r="N20" s="7">
        <f t="shared" si="3"/>
        <v>-0.31176862707753333</v>
      </c>
      <c r="O20" s="11"/>
      <c r="P20" s="6">
        <v>3284.87</v>
      </c>
      <c r="Q20" s="2"/>
      <c r="R20" s="7">
        <f t="shared" si="4"/>
        <v>0</v>
      </c>
      <c r="S20" s="2"/>
      <c r="T20" s="6">
        <v>3654.47</v>
      </c>
      <c r="U20" s="2"/>
      <c r="V20" s="7">
        <f t="shared" si="5"/>
        <v>0</v>
      </c>
      <c r="W20" s="2"/>
      <c r="X20" s="6">
        <f t="shared" si="6"/>
        <v>-369.59999999999991</v>
      </c>
      <c r="Y20" s="2"/>
      <c r="Z20" s="7">
        <f t="shared" si="7"/>
        <v>-0.10113641649815155</v>
      </c>
    </row>
    <row r="21" spans="1:26" s="24" customFormat="1" hidden="1" outlineLevel="2" x14ac:dyDescent="0.25">
      <c r="A21" s="28"/>
      <c r="B21" s="11" t="str">
        <f>CONCATENATE("          ", "6112", " - ", "COMPENSATION INSURANCE")</f>
        <v xml:space="preserve">          6112 - COMPENSATION INSURANCE</v>
      </c>
      <c r="C21" s="11"/>
      <c r="D21" s="6">
        <v>384.36</v>
      </c>
      <c r="E21" s="2"/>
      <c r="F21" s="7">
        <f t="shared" si="0"/>
        <v>0</v>
      </c>
      <c r="G21" s="2"/>
      <c r="H21" s="6">
        <v>164.59</v>
      </c>
      <c r="I21" s="2"/>
      <c r="J21" s="7">
        <f t="shared" si="1"/>
        <v>0</v>
      </c>
      <c r="K21" s="2"/>
      <c r="L21" s="6">
        <f t="shared" si="2"/>
        <v>219.77</v>
      </c>
      <c r="M21" s="2"/>
      <c r="N21" s="7">
        <f t="shared" si="3"/>
        <v>1.3352573060331734</v>
      </c>
      <c r="O21" s="11"/>
      <c r="P21" s="6">
        <v>1537.44</v>
      </c>
      <c r="Q21" s="2"/>
      <c r="R21" s="7">
        <f t="shared" si="4"/>
        <v>0</v>
      </c>
      <c r="S21" s="2"/>
      <c r="T21" s="6">
        <v>1112.68</v>
      </c>
      <c r="U21" s="2"/>
      <c r="V21" s="7">
        <f t="shared" si="5"/>
        <v>0</v>
      </c>
      <c r="W21" s="2"/>
      <c r="X21" s="6">
        <f t="shared" si="6"/>
        <v>424.76</v>
      </c>
      <c r="Y21" s="2"/>
      <c r="Z21" s="7">
        <f t="shared" si="7"/>
        <v>0.38174497609375557</v>
      </c>
    </row>
    <row r="22" spans="1:26" s="24" customFormat="1" hidden="1" outlineLevel="2" x14ac:dyDescent="0.25">
      <c r="A22" s="28"/>
      <c r="B22" s="11" t="str">
        <f>CONCATENATE("          ", "6113", " - ", "GROUP INSURANCE")</f>
        <v xml:space="preserve">          6113 - GROUP INSURANCE</v>
      </c>
      <c r="C22" s="11"/>
      <c r="D22" s="6">
        <v>2737.9</v>
      </c>
      <c r="E22" s="2"/>
      <c r="F22" s="7">
        <f t="shared" si="0"/>
        <v>0</v>
      </c>
      <c r="G22" s="2"/>
      <c r="H22" s="6">
        <v>2730.6</v>
      </c>
      <c r="I22" s="2"/>
      <c r="J22" s="7">
        <f t="shared" si="1"/>
        <v>0</v>
      </c>
      <c r="K22" s="2"/>
      <c r="L22" s="6">
        <f t="shared" si="2"/>
        <v>7.3000000000001819</v>
      </c>
      <c r="M22" s="2"/>
      <c r="N22" s="7">
        <f t="shared" si="3"/>
        <v>2.6734051124295694E-3</v>
      </c>
      <c r="O22" s="11"/>
      <c r="P22" s="6">
        <v>10951.6</v>
      </c>
      <c r="Q22" s="2"/>
      <c r="R22" s="7">
        <f t="shared" si="4"/>
        <v>0</v>
      </c>
      <c r="S22" s="2"/>
      <c r="T22" s="6">
        <v>10922.4</v>
      </c>
      <c r="U22" s="2"/>
      <c r="V22" s="7">
        <f t="shared" si="5"/>
        <v>0</v>
      </c>
      <c r="W22" s="2"/>
      <c r="X22" s="6">
        <f t="shared" si="6"/>
        <v>29.200000000000728</v>
      </c>
      <c r="Y22" s="2"/>
      <c r="Z22" s="7">
        <f t="shared" si="7"/>
        <v>2.6734051124295694E-3</v>
      </c>
    </row>
    <row r="23" spans="1:26" s="24" customFormat="1" hidden="1" outlineLevel="2" x14ac:dyDescent="0.25">
      <c r="A23" s="28"/>
      <c r="B23" s="11" t="str">
        <f>CONCATENATE("          ", "6114", " - ", "STATE UNEMPLOYMENT INSURANCE")</f>
        <v xml:space="preserve">          6114 - STATE UNEMPLOYMENT INSURANCE</v>
      </c>
      <c r="C23" s="11"/>
      <c r="D23" s="6">
        <v>23.29</v>
      </c>
      <c r="E23" s="2"/>
      <c r="F23" s="7">
        <f t="shared" si="0"/>
        <v>0</v>
      </c>
      <c r="G23" s="2"/>
      <c r="H23" s="6">
        <v>50.08</v>
      </c>
      <c r="I23" s="2"/>
      <c r="J23" s="7">
        <f t="shared" si="1"/>
        <v>0</v>
      </c>
      <c r="K23" s="2"/>
      <c r="L23" s="6">
        <f t="shared" si="2"/>
        <v>-26.79</v>
      </c>
      <c r="M23" s="2"/>
      <c r="N23" s="7">
        <f t="shared" si="3"/>
        <v>-0.534944089456869</v>
      </c>
      <c r="O23" s="11"/>
      <c r="P23" s="6">
        <v>93.16</v>
      </c>
      <c r="Q23" s="2"/>
      <c r="R23" s="7">
        <f t="shared" si="4"/>
        <v>0</v>
      </c>
      <c r="S23" s="2"/>
      <c r="T23" s="6">
        <v>113.62</v>
      </c>
      <c r="U23" s="2"/>
      <c r="V23" s="7">
        <f t="shared" si="5"/>
        <v>0</v>
      </c>
      <c r="W23" s="2"/>
      <c r="X23" s="6">
        <f t="shared" si="6"/>
        <v>-20.460000000000008</v>
      </c>
      <c r="Y23" s="2"/>
      <c r="Z23" s="7">
        <f t="shared" si="7"/>
        <v>-0.1800739306460131</v>
      </c>
    </row>
    <row r="24" spans="1:26" s="24" customFormat="1" hidden="1" outlineLevel="2" x14ac:dyDescent="0.25">
      <c r="A24" s="28"/>
      <c r="B24" s="11" t="str">
        <f>CONCATENATE("          ", "6115", " - ", "P.E.R.S.")</f>
        <v xml:space="preserve">          6115 - P.E.R.S.</v>
      </c>
      <c r="C24" s="11"/>
      <c r="D24" s="6">
        <v>692.57</v>
      </c>
      <c r="E24" s="2"/>
      <c r="F24" s="7">
        <f t="shared" si="0"/>
        <v>0</v>
      </c>
      <c r="G24" s="2"/>
      <c r="H24" s="6">
        <v>568.92999999999995</v>
      </c>
      <c r="I24" s="2"/>
      <c r="J24" s="7">
        <f t="shared" si="1"/>
        <v>0</v>
      </c>
      <c r="K24" s="2"/>
      <c r="L24" s="6">
        <f t="shared" si="2"/>
        <v>123.6400000000001</v>
      </c>
      <c r="M24" s="2"/>
      <c r="N24" s="7">
        <f t="shared" si="3"/>
        <v>0.21732023271755771</v>
      </c>
      <c r="O24" s="11"/>
      <c r="P24" s="6">
        <v>3116.57</v>
      </c>
      <c r="Q24" s="2"/>
      <c r="R24" s="7">
        <f t="shared" si="4"/>
        <v>0</v>
      </c>
      <c r="S24" s="2"/>
      <c r="T24" s="6">
        <v>2275.7199999999998</v>
      </c>
      <c r="U24" s="2"/>
      <c r="V24" s="7">
        <f t="shared" si="5"/>
        <v>0</v>
      </c>
      <c r="W24" s="2"/>
      <c r="X24" s="6">
        <f t="shared" si="6"/>
        <v>840.85000000000036</v>
      </c>
      <c r="Y24" s="2"/>
      <c r="Z24" s="7">
        <f t="shared" si="7"/>
        <v>0.36948745891410212</v>
      </c>
    </row>
    <row r="25" spans="1:26" s="24" customFormat="1" hidden="1" outlineLevel="2" x14ac:dyDescent="0.25">
      <c r="A25" s="28"/>
      <c r="B25" s="11" t="str">
        <f>CONCATENATE("          ", "6118", " - ", "VACATION")</f>
        <v xml:space="preserve">          6118 - VACATION</v>
      </c>
      <c r="C25" s="11"/>
      <c r="D25" s="6">
        <v>1241.46</v>
      </c>
      <c r="E25" s="2"/>
      <c r="F25" s="7">
        <f t="shared" si="0"/>
        <v>0</v>
      </c>
      <c r="G25" s="2"/>
      <c r="H25" s="6">
        <v>1128.5999999999999</v>
      </c>
      <c r="I25" s="2"/>
      <c r="J25" s="7">
        <f t="shared" si="1"/>
        <v>0</v>
      </c>
      <c r="K25" s="2"/>
      <c r="L25" s="6">
        <f t="shared" si="2"/>
        <v>112.86000000000013</v>
      </c>
      <c r="M25" s="2"/>
      <c r="N25" s="7">
        <f t="shared" si="3"/>
        <v>0.10000000000000012</v>
      </c>
      <c r="O25" s="11"/>
      <c r="P25" s="6">
        <v>2517.08</v>
      </c>
      <c r="Q25" s="2"/>
      <c r="R25" s="7">
        <f t="shared" si="4"/>
        <v>0</v>
      </c>
      <c r="S25" s="2"/>
      <c r="T25" s="6">
        <v>3726.25</v>
      </c>
      <c r="U25" s="2"/>
      <c r="V25" s="7">
        <f t="shared" si="5"/>
        <v>0</v>
      </c>
      <c r="W25" s="2"/>
      <c r="X25" s="6">
        <f t="shared" si="6"/>
        <v>-1209.17</v>
      </c>
      <c r="Y25" s="2"/>
      <c r="Z25" s="7">
        <f t="shared" si="7"/>
        <v>-0.32450050318685009</v>
      </c>
    </row>
    <row r="26" spans="1:26" s="24" customFormat="1" hidden="1" outlineLevel="2" x14ac:dyDescent="0.25">
      <c r="A26" s="28"/>
      <c r="B26" s="11" t="str">
        <f>CONCATENATE("          ", "6119", " - ", "SICK LEAVE")</f>
        <v xml:space="preserve">          6119 - SICK LEAVE</v>
      </c>
      <c r="C26" s="11"/>
      <c r="D26" s="6">
        <v>619.89</v>
      </c>
      <c r="E26" s="2"/>
      <c r="F26" s="7">
        <f t="shared" si="0"/>
        <v>0</v>
      </c>
      <c r="G26" s="2"/>
      <c r="H26" s="6">
        <v>563.52</v>
      </c>
      <c r="I26" s="2"/>
      <c r="J26" s="7">
        <f t="shared" si="1"/>
        <v>0</v>
      </c>
      <c r="K26" s="2"/>
      <c r="L26" s="6">
        <f t="shared" si="2"/>
        <v>56.370000000000005</v>
      </c>
      <c r="M26" s="2"/>
      <c r="N26" s="7">
        <f t="shared" si="3"/>
        <v>0.10003194207836458</v>
      </c>
      <c r="O26" s="11"/>
      <c r="P26" s="6">
        <v>1859.67</v>
      </c>
      <c r="Q26" s="2"/>
      <c r="R26" s="7">
        <f t="shared" si="4"/>
        <v>0</v>
      </c>
      <c r="S26" s="2"/>
      <c r="T26" s="6">
        <v>1921.06</v>
      </c>
      <c r="U26" s="2"/>
      <c r="V26" s="7">
        <f t="shared" si="5"/>
        <v>0</v>
      </c>
      <c r="W26" s="2"/>
      <c r="X26" s="6">
        <f t="shared" si="6"/>
        <v>-61.389999999999873</v>
      </c>
      <c r="Y26" s="2"/>
      <c r="Z26" s="7">
        <f t="shared" si="7"/>
        <v>-3.1956315783994188E-2</v>
      </c>
    </row>
    <row r="27" spans="1:26" s="24" customFormat="1" hidden="1" outlineLevel="2" x14ac:dyDescent="0.25">
      <c r="A27" s="28"/>
      <c r="B27" s="11" t="str">
        <f>CONCATENATE("          ", "6156", " - ", "EMPLOYEE MEALS")</f>
        <v xml:space="preserve">          6156 - EMPLOYEE MEALS</v>
      </c>
      <c r="C27" s="11"/>
      <c r="D27" s="6">
        <v>48</v>
      </c>
      <c r="E27" s="2"/>
      <c r="F27" s="7">
        <f t="shared" si="0"/>
        <v>0</v>
      </c>
      <c r="G27" s="2"/>
      <c r="H27" s="6">
        <v>149.93</v>
      </c>
      <c r="I27" s="2"/>
      <c r="J27" s="7">
        <f t="shared" si="1"/>
        <v>0</v>
      </c>
      <c r="K27" s="2"/>
      <c r="L27" s="6">
        <f t="shared" si="2"/>
        <v>-101.93</v>
      </c>
      <c r="M27" s="2"/>
      <c r="N27" s="7">
        <f t="shared" si="3"/>
        <v>-0.67985059694524108</v>
      </c>
      <c r="O27" s="11"/>
      <c r="P27" s="6">
        <v>120</v>
      </c>
      <c r="Q27" s="2"/>
      <c r="R27" s="7">
        <f t="shared" si="4"/>
        <v>0</v>
      </c>
      <c r="S27" s="2"/>
      <c r="T27" s="6">
        <v>574.85</v>
      </c>
      <c r="U27" s="2"/>
      <c r="V27" s="7">
        <f t="shared" si="5"/>
        <v>0</v>
      </c>
      <c r="W27" s="2"/>
      <c r="X27" s="6">
        <f t="shared" si="6"/>
        <v>-454.85</v>
      </c>
      <c r="Y27" s="2"/>
      <c r="Z27" s="7">
        <f t="shared" si="7"/>
        <v>-0.791249891275985</v>
      </c>
    </row>
    <row r="28" spans="1:26" s="29" customFormat="1" outlineLevel="1" collapsed="1" x14ac:dyDescent="0.25">
      <c r="A28" s="27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SUM(OSRRefD22_1x_0)</f>
        <v>11199.31</v>
      </c>
      <c r="E28" s="1"/>
      <c r="F28" s="5">
        <f t="shared" ref="F28:F36" si="8">IF(D$12=0,0,D28/D$12)</f>
        <v>0</v>
      </c>
      <c r="G28" s="1"/>
      <c r="H28" s="1">
        <f>SUM(OSRRefH22_1x_0)</f>
        <v>8959.81</v>
      </c>
      <c r="I28" s="1"/>
      <c r="J28" s="5">
        <f t="shared" ref="J28:J36" si="9">IF(H$12=0,0,H28/H$12)</f>
        <v>0</v>
      </c>
      <c r="K28" s="1"/>
      <c r="L28" s="1">
        <f t="shared" ref="L28:L36" si="10">+D28-H28</f>
        <v>2239.5</v>
      </c>
      <c r="M28" s="1"/>
      <c r="N28" s="5">
        <f t="shared" ref="N28:N36" si="11">IF(H28=0,0,L28/H28)</f>
        <v>0.24994949669691657</v>
      </c>
      <c r="O28" s="14"/>
      <c r="P28" s="1">
        <f>SUM(OSRRefP22_1x_0)</f>
        <v>36734.11</v>
      </c>
      <c r="Q28" s="1"/>
      <c r="R28" s="5">
        <f t="shared" ref="R28:R36" si="12">IF(P$12=0,0,P28/P$12)</f>
        <v>0</v>
      </c>
      <c r="S28" s="1"/>
      <c r="T28" s="1">
        <f>SUM(OSRRefT22_1x_0)</f>
        <v>30136.659999999996</v>
      </c>
      <c r="U28" s="1"/>
      <c r="V28" s="5">
        <f t="shared" ref="V28:V36" si="13">IF(T$12=0,0,T28/T$12)</f>
        <v>0</v>
      </c>
      <c r="W28" s="1"/>
      <c r="X28" s="1">
        <f t="shared" ref="X28:X36" si="14">+P28-T28</f>
        <v>6597.4500000000044</v>
      </c>
      <c r="Y28" s="1"/>
      <c r="Z28" s="5">
        <f t="shared" ref="Z28:Z36" si="15">IF(T28=0,0,X28/T28)</f>
        <v>0.21891775664589258</v>
      </c>
    </row>
    <row r="29" spans="1:26" s="24" customFormat="1" hidden="1" outlineLevel="2" x14ac:dyDescent="0.25">
      <c r="A29" s="28"/>
      <c r="B29" s="11" t="str">
        <f>CONCATENATE("          ", "6001", " - ", "ADMINISTRATIVE SALARIES")</f>
        <v xml:space="preserve">          6001 - ADMINISTRATIVE SALARIES</v>
      </c>
      <c r="C29" s="11"/>
      <c r="D29" s="6">
        <v>11199.31</v>
      </c>
      <c r="E29" s="2"/>
      <c r="F29" s="7">
        <f t="shared" si="8"/>
        <v>0</v>
      </c>
      <c r="G29" s="2"/>
      <c r="H29" s="6">
        <v>8959.81</v>
      </c>
      <c r="I29" s="2"/>
      <c r="J29" s="7">
        <f t="shared" si="9"/>
        <v>0</v>
      </c>
      <c r="K29" s="2"/>
      <c r="L29" s="6">
        <f t="shared" si="10"/>
        <v>2239.5</v>
      </c>
      <c r="M29" s="2"/>
      <c r="N29" s="7">
        <f t="shared" si="11"/>
        <v>0.24994949669691657</v>
      </c>
      <c r="O29" s="11"/>
      <c r="P29" s="6">
        <v>36734.11</v>
      </c>
      <c r="Q29" s="2"/>
      <c r="R29" s="7">
        <f t="shared" si="12"/>
        <v>0</v>
      </c>
      <c r="S29" s="2"/>
      <c r="T29" s="6">
        <v>30136.659999999996</v>
      </c>
      <c r="U29" s="2"/>
      <c r="V29" s="7">
        <f t="shared" si="13"/>
        <v>0</v>
      </c>
      <c r="W29" s="2"/>
      <c r="X29" s="6">
        <f t="shared" si="14"/>
        <v>6597.4500000000044</v>
      </c>
      <c r="Y29" s="2"/>
      <c r="Z29" s="7">
        <f t="shared" si="15"/>
        <v>0.21891775664589258</v>
      </c>
    </row>
    <row r="30" spans="1:26" s="29" customFormat="1" outlineLevel="1" collapsed="1" x14ac:dyDescent="0.25">
      <c r="A30" s="27"/>
      <c r="B30" s="14" t="str">
        <f>CONCATENATE("     ","General                                           ")</f>
        <v xml:space="preserve">     General                                           </v>
      </c>
      <c r="C30" s="14"/>
      <c r="D30" s="1">
        <f>SUM(OSRRefD22_2x_0)</f>
        <v>0</v>
      </c>
      <c r="E30" s="1"/>
      <c r="F30" s="5">
        <f t="shared" si="8"/>
        <v>0</v>
      </c>
      <c r="G30" s="1"/>
      <c r="H30" s="1">
        <f>SUM(OSRRefH22_2x_0)</f>
        <v>0</v>
      </c>
      <c r="I30" s="1"/>
      <c r="J30" s="5">
        <f t="shared" si="9"/>
        <v>0</v>
      </c>
      <c r="K30" s="1"/>
      <c r="L30" s="1">
        <f t="shared" si="10"/>
        <v>0</v>
      </c>
      <c r="M30" s="1"/>
      <c r="N30" s="5">
        <f t="shared" si="11"/>
        <v>0</v>
      </c>
      <c r="O30" s="14"/>
      <c r="P30" s="1">
        <f>SUM(OSRRefP22_2x_0)</f>
        <v>1.65</v>
      </c>
      <c r="Q30" s="1"/>
      <c r="R30" s="5">
        <f t="shared" si="12"/>
        <v>0</v>
      </c>
      <c r="S30" s="1"/>
      <c r="T30" s="1">
        <f>SUM(OSRRefT22_2x_0)</f>
        <v>127.55</v>
      </c>
      <c r="U30" s="1"/>
      <c r="V30" s="5">
        <f t="shared" si="13"/>
        <v>0</v>
      </c>
      <c r="W30" s="1"/>
      <c r="X30" s="1">
        <f t="shared" si="14"/>
        <v>-125.89999999999999</v>
      </c>
      <c r="Y30" s="1"/>
      <c r="Z30" s="5">
        <f t="shared" si="15"/>
        <v>-0.98706389651117199</v>
      </c>
    </row>
    <row r="31" spans="1:26" s="24" customFormat="1" hidden="1" outlineLevel="2" x14ac:dyDescent="0.25">
      <c r="A31" s="28"/>
      <c r="B31" s="11" t="str">
        <f>CONCATENATE("          ", "6279", " - ", "GENERAL EXPENSE")</f>
        <v xml:space="preserve">          6279 - GENERAL EXPENSE</v>
      </c>
      <c r="C31" s="11"/>
      <c r="D31" s="6"/>
      <c r="E31" s="2"/>
      <c r="F31" s="7">
        <f t="shared" si="8"/>
        <v>0</v>
      </c>
      <c r="G31" s="2"/>
      <c r="H31" s="6"/>
      <c r="I31" s="2"/>
      <c r="J31" s="7">
        <f t="shared" si="9"/>
        <v>0</v>
      </c>
      <c r="K31" s="2"/>
      <c r="L31" s="6">
        <f t="shared" si="10"/>
        <v>0</v>
      </c>
      <c r="M31" s="2"/>
      <c r="N31" s="7">
        <f t="shared" si="11"/>
        <v>0</v>
      </c>
      <c r="O31" s="11"/>
      <c r="P31" s="6">
        <v>1.65</v>
      </c>
      <c r="Q31" s="2"/>
      <c r="R31" s="7">
        <f t="shared" si="12"/>
        <v>0</v>
      </c>
      <c r="S31" s="2"/>
      <c r="T31" s="6">
        <v>127.55</v>
      </c>
      <c r="U31" s="2"/>
      <c r="V31" s="7">
        <f t="shared" si="13"/>
        <v>0</v>
      </c>
      <c r="W31" s="2"/>
      <c r="X31" s="6">
        <f t="shared" si="14"/>
        <v>-125.89999999999999</v>
      </c>
      <c r="Y31" s="2"/>
      <c r="Z31" s="7">
        <f t="shared" si="15"/>
        <v>-0.98706389651117199</v>
      </c>
    </row>
    <row r="32" spans="1:26" s="29" customFormat="1" outlineLevel="1" collapsed="1" x14ac:dyDescent="0.25">
      <c r="A32" s="27"/>
      <c r="B32" s="14" t="str">
        <f>CONCATENATE("     ","Repair and Maintenance                            ")</f>
        <v xml:space="preserve">     Repair and Maintenance                            </v>
      </c>
      <c r="C32" s="14"/>
      <c r="D32" s="1">
        <f>SUM(OSRRefD22_3x_0)</f>
        <v>0</v>
      </c>
      <c r="E32" s="1"/>
      <c r="F32" s="5">
        <f t="shared" si="8"/>
        <v>0</v>
      </c>
      <c r="G32" s="1"/>
      <c r="H32" s="1">
        <f>SUM(OSRRefH22_3x_0)</f>
        <v>0</v>
      </c>
      <c r="I32" s="1"/>
      <c r="J32" s="5">
        <f t="shared" si="9"/>
        <v>0</v>
      </c>
      <c r="K32" s="1"/>
      <c r="L32" s="1">
        <f t="shared" si="10"/>
        <v>0</v>
      </c>
      <c r="M32" s="1"/>
      <c r="N32" s="5">
        <f t="shared" si="11"/>
        <v>0</v>
      </c>
      <c r="O32" s="14"/>
      <c r="P32" s="1">
        <f>SUM(OSRRefP22_3x_0)</f>
        <v>0</v>
      </c>
      <c r="Q32" s="1"/>
      <c r="R32" s="5">
        <f t="shared" si="12"/>
        <v>0</v>
      </c>
      <c r="S32" s="1"/>
      <c r="T32" s="1">
        <f>SUM(OSRRefT22_3x_0)</f>
        <v>6340.43</v>
      </c>
      <c r="U32" s="1"/>
      <c r="V32" s="5">
        <f t="shared" si="13"/>
        <v>0</v>
      </c>
      <c r="W32" s="1"/>
      <c r="X32" s="1">
        <f t="shared" si="14"/>
        <v>-6340.43</v>
      </c>
      <c r="Y32" s="1"/>
      <c r="Z32" s="5">
        <f t="shared" si="15"/>
        <v>-1</v>
      </c>
    </row>
    <row r="33" spans="1:26" s="24" customFormat="1" hidden="1" outlineLevel="2" x14ac:dyDescent="0.25">
      <c r="A33" s="28"/>
      <c r="B33" s="11" t="str">
        <f>CONCATENATE("          ", "6371", " - ", "COMPUTER SOFTWARE MAINTENANCE")</f>
        <v xml:space="preserve">          6371 - COMPUTER SOFTWARE MAINTENANCE</v>
      </c>
      <c r="C33" s="11"/>
      <c r="D33" s="6"/>
      <c r="E33" s="2"/>
      <c r="F33" s="7">
        <f t="shared" si="8"/>
        <v>0</v>
      </c>
      <c r="G33" s="2"/>
      <c r="H33" s="6"/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/>
      <c r="Q33" s="2"/>
      <c r="R33" s="7">
        <f t="shared" si="12"/>
        <v>0</v>
      </c>
      <c r="S33" s="2"/>
      <c r="T33" s="6">
        <v>6340.43</v>
      </c>
      <c r="U33" s="2"/>
      <c r="V33" s="7">
        <f t="shared" si="13"/>
        <v>0</v>
      </c>
      <c r="W33" s="2"/>
      <c r="X33" s="6">
        <f t="shared" si="14"/>
        <v>-6340.43</v>
      </c>
      <c r="Y33" s="2"/>
      <c r="Z33" s="7">
        <f t="shared" si="15"/>
        <v>-1</v>
      </c>
    </row>
    <row r="34" spans="1:26" s="29" customFormat="1" outlineLevel="1" collapsed="1" x14ac:dyDescent="0.25">
      <c r="A34" s="27"/>
      <c r="B34" s="14" t="str">
        <f>CONCATENATE("     ","Supplies                                          ")</f>
        <v xml:space="preserve">     Supplies                                          </v>
      </c>
      <c r="C34" s="14"/>
      <c r="D34" s="1">
        <f>SUM(OSRRefD22_4x_0)</f>
        <v>0</v>
      </c>
      <c r="E34" s="1"/>
      <c r="F34" s="5">
        <f t="shared" si="8"/>
        <v>0</v>
      </c>
      <c r="G34" s="1"/>
      <c r="H34" s="1">
        <f>SUM(OSRRefH22_4x_0)</f>
        <v>133.77000000000001</v>
      </c>
      <c r="I34" s="1"/>
      <c r="J34" s="5">
        <f t="shared" si="9"/>
        <v>0</v>
      </c>
      <c r="K34" s="1"/>
      <c r="L34" s="1">
        <f t="shared" si="10"/>
        <v>-133.77000000000001</v>
      </c>
      <c r="M34" s="1"/>
      <c r="N34" s="5">
        <f t="shared" si="11"/>
        <v>-1</v>
      </c>
      <c r="O34" s="14"/>
      <c r="P34" s="1">
        <f>SUM(OSRRefP22_4x_0)</f>
        <v>4939.2</v>
      </c>
      <c r="Q34" s="1"/>
      <c r="R34" s="5">
        <f t="shared" si="12"/>
        <v>0</v>
      </c>
      <c r="S34" s="1"/>
      <c r="T34" s="1">
        <f>SUM(OSRRefT22_4x_0)</f>
        <v>2338.31</v>
      </c>
      <c r="U34" s="1"/>
      <c r="V34" s="5">
        <f t="shared" si="13"/>
        <v>0</v>
      </c>
      <c r="W34" s="1"/>
      <c r="X34" s="1">
        <f t="shared" si="14"/>
        <v>2600.89</v>
      </c>
      <c r="Y34" s="1"/>
      <c r="Z34" s="5">
        <f t="shared" si="15"/>
        <v>1.1122947769970619</v>
      </c>
    </row>
    <row r="35" spans="1:26" s="24" customFormat="1" hidden="1" outlineLevel="2" x14ac:dyDescent="0.25">
      <c r="A35" s="28"/>
      <c r="B35" s="11" t="str">
        <f>CONCATENATE("          ", "6235", " - ", "COVID-19 EXPENSES")</f>
        <v xml:space="preserve">          6235 - COVID-19 EXPENSES</v>
      </c>
      <c r="C35" s="11"/>
      <c r="D35" s="6"/>
      <c r="E35" s="2"/>
      <c r="F35" s="7">
        <f t="shared" si="8"/>
        <v>0</v>
      </c>
      <c r="G35" s="2"/>
      <c r="H35" s="6"/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>
        <v>4939.2</v>
      </c>
      <c r="Q35" s="2"/>
      <c r="R35" s="7">
        <f t="shared" si="12"/>
        <v>0</v>
      </c>
      <c r="S35" s="2"/>
      <c r="T35" s="6"/>
      <c r="U35" s="2"/>
      <c r="V35" s="7">
        <f t="shared" si="13"/>
        <v>0</v>
      </c>
      <c r="W35" s="2"/>
      <c r="X35" s="6">
        <f t="shared" si="14"/>
        <v>4939.2</v>
      </c>
      <c r="Y35" s="2"/>
      <c r="Z35" s="7">
        <f t="shared" si="15"/>
        <v>0</v>
      </c>
    </row>
    <row r="36" spans="1:26" s="24" customFormat="1" hidden="1" outlineLevel="2" x14ac:dyDescent="0.25">
      <c r="A36" s="28"/>
      <c r="B36" s="11" t="str">
        <f>CONCATENATE("          ", "6241", " - ", "OFFICE EXPENSE")</f>
        <v xml:space="preserve">          6241 - OFFICE EXPENSE</v>
      </c>
      <c r="C36" s="11"/>
      <c r="D36" s="6"/>
      <c r="E36" s="2"/>
      <c r="F36" s="7">
        <f t="shared" si="8"/>
        <v>0</v>
      </c>
      <c r="G36" s="2"/>
      <c r="H36" s="6">
        <v>133.77000000000001</v>
      </c>
      <c r="I36" s="2"/>
      <c r="J36" s="7">
        <f t="shared" si="9"/>
        <v>0</v>
      </c>
      <c r="K36" s="2"/>
      <c r="L36" s="6">
        <f t="shared" si="10"/>
        <v>-133.77000000000001</v>
      </c>
      <c r="M36" s="2"/>
      <c r="N36" s="7">
        <f t="shared" si="11"/>
        <v>-1</v>
      </c>
      <c r="O36" s="11"/>
      <c r="P36" s="6"/>
      <c r="Q36" s="2"/>
      <c r="R36" s="7">
        <f t="shared" si="12"/>
        <v>0</v>
      </c>
      <c r="S36" s="2"/>
      <c r="T36" s="6">
        <v>2338.31</v>
      </c>
      <c r="U36" s="2"/>
      <c r="V36" s="7">
        <f t="shared" si="13"/>
        <v>0</v>
      </c>
      <c r="W36" s="2"/>
      <c r="X36" s="6">
        <f t="shared" si="14"/>
        <v>-2338.31</v>
      </c>
      <c r="Y36" s="2"/>
      <c r="Z36" s="7">
        <f t="shared" si="15"/>
        <v>-1</v>
      </c>
    </row>
    <row r="37" spans="1:26" s="29" customFormat="1" outlineLevel="1" collapsed="1" x14ac:dyDescent="0.25">
      <c r="A37" s="27"/>
      <c r="B37" s="14" t="str">
        <f>CONCATENATE("     ","Telephone/Data Lines                              ")</f>
        <v xml:space="preserve">     Telephone/Data Lines                              </v>
      </c>
      <c r="C37" s="14"/>
      <c r="D37" s="1">
        <f>SUM(OSRRefD22_5x_0)</f>
        <v>50</v>
      </c>
      <c r="E37" s="1"/>
      <c r="F37" s="5">
        <f t="shared" ref="F37:F42" si="16">IF(D$12=0,0,D37/D$12)</f>
        <v>0</v>
      </c>
      <c r="G37" s="1"/>
      <c r="H37" s="1">
        <f>SUM(OSRRefH22_5x_0)</f>
        <v>50</v>
      </c>
      <c r="I37" s="1"/>
      <c r="J37" s="5">
        <f t="shared" ref="J37:J42" si="17">IF(H$12=0,0,H37/H$12)</f>
        <v>0</v>
      </c>
      <c r="K37" s="1"/>
      <c r="L37" s="1">
        <f t="shared" ref="L37:L42" si="18">+D37-H37</f>
        <v>0</v>
      </c>
      <c r="M37" s="1"/>
      <c r="N37" s="5">
        <f t="shared" ref="N37:N42" si="19">IF(H37=0,0,L37/H37)</f>
        <v>0</v>
      </c>
      <c r="O37" s="14"/>
      <c r="P37" s="1">
        <f>SUM(OSRRefP22_5x_0)</f>
        <v>300</v>
      </c>
      <c r="Q37" s="1"/>
      <c r="R37" s="5">
        <f t="shared" ref="R37:R42" si="20">IF(P$12=0,0,P37/P$12)</f>
        <v>0</v>
      </c>
      <c r="S37" s="1"/>
      <c r="T37" s="1">
        <f>SUM(OSRRefT22_5x_0)</f>
        <v>-700</v>
      </c>
      <c r="U37" s="1"/>
      <c r="V37" s="5">
        <f t="shared" ref="V37:V42" si="21">IF(T$12=0,0,T37/T$12)</f>
        <v>0</v>
      </c>
      <c r="W37" s="1"/>
      <c r="X37" s="1">
        <f t="shared" ref="X37:X42" si="22">+P37-T37</f>
        <v>1000</v>
      </c>
      <c r="Y37" s="1"/>
      <c r="Z37" s="5">
        <f t="shared" ref="Z37:Z42" si="23">IF(T37=0,0,X37/T37)</f>
        <v>-1.4285714285714286</v>
      </c>
    </row>
    <row r="38" spans="1:26" s="24" customFormat="1" hidden="1" outlineLevel="2" x14ac:dyDescent="0.25">
      <c r="A38" s="28"/>
      <c r="B38" s="11" t="str">
        <f>CONCATENATE("          ", "6309", " - ", "TELEPHONE")</f>
        <v xml:space="preserve">          6309 - TELEPHONE</v>
      </c>
      <c r="C38" s="11"/>
      <c r="D38" s="6">
        <v>50</v>
      </c>
      <c r="E38" s="2"/>
      <c r="F38" s="7">
        <f t="shared" si="16"/>
        <v>0</v>
      </c>
      <c r="G38" s="2"/>
      <c r="H38" s="6">
        <v>50</v>
      </c>
      <c r="I38" s="2"/>
      <c r="J38" s="7">
        <f t="shared" si="17"/>
        <v>0</v>
      </c>
      <c r="K38" s="2"/>
      <c r="L38" s="6">
        <f t="shared" si="18"/>
        <v>0</v>
      </c>
      <c r="M38" s="2"/>
      <c r="N38" s="7">
        <f t="shared" si="19"/>
        <v>0</v>
      </c>
      <c r="O38" s="11"/>
      <c r="P38" s="6">
        <v>300</v>
      </c>
      <c r="Q38" s="2"/>
      <c r="R38" s="7">
        <f t="shared" si="20"/>
        <v>0</v>
      </c>
      <c r="S38" s="2"/>
      <c r="T38" s="6">
        <v>-700</v>
      </c>
      <c r="U38" s="2"/>
      <c r="V38" s="7">
        <f t="shared" si="21"/>
        <v>0</v>
      </c>
      <c r="W38" s="2"/>
      <c r="X38" s="6">
        <f t="shared" si="22"/>
        <v>1000</v>
      </c>
      <c r="Y38" s="2"/>
      <c r="Z38" s="7">
        <f t="shared" si="23"/>
        <v>-1.4285714285714286</v>
      </c>
    </row>
    <row r="39" spans="1:26" s="29" customFormat="1" outlineLevel="1" collapsed="1" x14ac:dyDescent="0.25">
      <c r="A39" s="27"/>
      <c r="B39" s="14" t="str">
        <f>CONCATENATE("     ","Training                                          ")</f>
        <v xml:space="preserve">     Training                                          </v>
      </c>
      <c r="C39" s="14"/>
      <c r="D39" s="1">
        <f>SUM(OSRRefD22_6x_0)</f>
        <v>0</v>
      </c>
      <c r="E39" s="1"/>
      <c r="F39" s="5">
        <f t="shared" si="16"/>
        <v>0</v>
      </c>
      <c r="G39" s="1"/>
      <c r="H39" s="1">
        <f>SUM(OSRRefH22_6x_0)</f>
        <v>0</v>
      </c>
      <c r="I39" s="1"/>
      <c r="J39" s="5">
        <f t="shared" si="17"/>
        <v>0</v>
      </c>
      <c r="K39" s="1"/>
      <c r="L39" s="1">
        <f t="shared" si="18"/>
        <v>0</v>
      </c>
      <c r="M39" s="1"/>
      <c r="N39" s="5">
        <f t="shared" si="19"/>
        <v>0</v>
      </c>
      <c r="O39" s="14"/>
      <c r="P39" s="1">
        <f>SUM(OSRRefP22_6x_0)</f>
        <v>0</v>
      </c>
      <c r="Q39" s="1"/>
      <c r="R39" s="5">
        <f t="shared" si="20"/>
        <v>0</v>
      </c>
      <c r="S39" s="1"/>
      <c r="T39" s="1">
        <f>SUM(OSRRefT22_6x_0)</f>
        <v>1321.12</v>
      </c>
      <c r="U39" s="1"/>
      <c r="V39" s="5">
        <f t="shared" si="21"/>
        <v>0</v>
      </c>
      <c r="W39" s="1"/>
      <c r="X39" s="1">
        <f t="shared" si="22"/>
        <v>-1321.12</v>
      </c>
      <c r="Y39" s="1"/>
      <c r="Z39" s="5">
        <f t="shared" si="23"/>
        <v>-1</v>
      </c>
    </row>
    <row r="40" spans="1:26" s="24" customFormat="1" hidden="1" outlineLevel="2" x14ac:dyDescent="0.25">
      <c r="A40" s="28"/>
      <c r="B40" s="11" t="str">
        <f>CONCATENATE("          ", "6376", " - ", "TRAINING")</f>
        <v xml:space="preserve">          6376 - TRAINING</v>
      </c>
      <c r="C40" s="11"/>
      <c r="D40" s="6"/>
      <c r="E40" s="2"/>
      <c r="F40" s="7">
        <f t="shared" si="16"/>
        <v>0</v>
      </c>
      <c r="G40" s="2"/>
      <c r="H40" s="6"/>
      <c r="I40" s="2"/>
      <c r="J40" s="7">
        <f t="shared" si="17"/>
        <v>0</v>
      </c>
      <c r="K40" s="2"/>
      <c r="L40" s="6">
        <f t="shared" si="18"/>
        <v>0</v>
      </c>
      <c r="M40" s="2"/>
      <c r="N40" s="7">
        <f t="shared" si="19"/>
        <v>0</v>
      </c>
      <c r="O40" s="11"/>
      <c r="P40" s="6"/>
      <c r="Q40" s="2"/>
      <c r="R40" s="7">
        <f t="shared" si="20"/>
        <v>0</v>
      </c>
      <c r="S40" s="2"/>
      <c r="T40" s="6">
        <v>1321.12</v>
      </c>
      <c r="U40" s="2"/>
      <c r="V40" s="7">
        <f t="shared" si="21"/>
        <v>0</v>
      </c>
      <c r="W40" s="2"/>
      <c r="X40" s="6">
        <f t="shared" si="22"/>
        <v>-1321.12</v>
      </c>
      <c r="Y40" s="2"/>
      <c r="Z40" s="7">
        <f t="shared" si="23"/>
        <v>-1</v>
      </c>
    </row>
    <row r="41" spans="1:26" s="29" customFormat="1" outlineLevel="1" collapsed="1" x14ac:dyDescent="0.25">
      <c r="A41" s="27"/>
      <c r="B41" s="14" t="str">
        <f>CONCATENATE("     ","Travel                                            ")</f>
        <v xml:space="preserve">     Travel                                            </v>
      </c>
      <c r="C41" s="14"/>
      <c r="D41" s="1">
        <f>SUM(OSRRefD22_7x_0)</f>
        <v>0</v>
      </c>
      <c r="E41" s="1"/>
      <c r="F41" s="5">
        <f t="shared" si="16"/>
        <v>0</v>
      </c>
      <c r="G41" s="1"/>
      <c r="H41" s="1">
        <f>SUM(OSRRefH22_7x_0)</f>
        <v>23.98</v>
      </c>
      <c r="I41" s="1"/>
      <c r="J41" s="5">
        <f t="shared" si="17"/>
        <v>0</v>
      </c>
      <c r="K41" s="1"/>
      <c r="L41" s="1">
        <f t="shared" si="18"/>
        <v>-23.98</v>
      </c>
      <c r="M41" s="1"/>
      <c r="N41" s="5">
        <f t="shared" si="19"/>
        <v>-1</v>
      </c>
      <c r="O41" s="14"/>
      <c r="P41" s="1">
        <f>SUM(OSRRefP22_7x_0)</f>
        <v>0</v>
      </c>
      <c r="Q41" s="1"/>
      <c r="R41" s="5">
        <f t="shared" si="20"/>
        <v>0</v>
      </c>
      <c r="S41" s="1"/>
      <c r="T41" s="1">
        <f>SUM(OSRRefT22_7x_0)</f>
        <v>143.88</v>
      </c>
      <c r="U41" s="1"/>
      <c r="V41" s="5">
        <f t="shared" si="21"/>
        <v>0</v>
      </c>
      <c r="W41" s="1"/>
      <c r="X41" s="1">
        <f t="shared" si="22"/>
        <v>-143.88</v>
      </c>
      <c r="Y41" s="1"/>
      <c r="Z41" s="5">
        <f t="shared" si="23"/>
        <v>-1</v>
      </c>
    </row>
    <row r="42" spans="1:26" s="24" customFormat="1" hidden="1" outlineLevel="2" x14ac:dyDescent="0.25">
      <c r="A42" s="28"/>
      <c r="B42" s="11" t="str">
        <f>CONCATENATE("          ", "6292", " - ", "TRAVEL/CONFERENCE")</f>
        <v xml:space="preserve">          6292 - TRAVEL/CONFERENCE</v>
      </c>
      <c r="C42" s="11"/>
      <c r="D42" s="6"/>
      <c r="E42" s="2"/>
      <c r="F42" s="7">
        <f t="shared" si="16"/>
        <v>0</v>
      </c>
      <c r="G42" s="2"/>
      <c r="H42" s="6">
        <v>23.98</v>
      </c>
      <c r="I42" s="2"/>
      <c r="J42" s="7">
        <f t="shared" si="17"/>
        <v>0</v>
      </c>
      <c r="K42" s="2"/>
      <c r="L42" s="6">
        <f t="shared" si="18"/>
        <v>-23.98</v>
      </c>
      <c r="M42" s="2"/>
      <c r="N42" s="7">
        <f t="shared" si="19"/>
        <v>-1</v>
      </c>
      <c r="O42" s="11"/>
      <c r="P42" s="6"/>
      <c r="Q42" s="2"/>
      <c r="R42" s="7">
        <f t="shared" si="20"/>
        <v>0</v>
      </c>
      <c r="S42" s="2"/>
      <c r="T42" s="6">
        <v>143.88</v>
      </c>
      <c r="U42" s="2"/>
      <c r="V42" s="7">
        <f t="shared" si="21"/>
        <v>0</v>
      </c>
      <c r="W42" s="2"/>
      <c r="X42" s="6">
        <f t="shared" si="22"/>
        <v>-143.88</v>
      </c>
      <c r="Y42" s="2"/>
      <c r="Z42" s="7">
        <f t="shared" si="23"/>
        <v>-1</v>
      </c>
    </row>
    <row r="43" spans="1:26" s="57" customFormat="1" x14ac:dyDescent="0.25">
      <c r="A43" s="37"/>
      <c r="B43" s="37"/>
      <c r="C43" s="37"/>
      <c r="D43" s="1"/>
      <c r="E43" s="1"/>
      <c r="F43" s="5"/>
      <c r="G43" s="1"/>
      <c r="H43" s="1"/>
      <c r="I43" s="1"/>
      <c r="J43" s="5"/>
      <c r="K43" s="1"/>
      <c r="L43" s="1"/>
      <c r="M43" s="1"/>
      <c r="N43" s="5"/>
      <c r="O43" s="37"/>
      <c r="P43" s="1"/>
      <c r="Q43" s="1"/>
      <c r="R43" s="5"/>
      <c r="S43" s="1"/>
      <c r="T43" s="1"/>
      <c r="U43" s="1"/>
      <c r="V43" s="5"/>
      <c r="W43" s="1"/>
      <c r="X43" s="1"/>
      <c r="Y43" s="1"/>
      <c r="Z43" s="5"/>
    </row>
    <row r="44" spans="1:26" s="23" customFormat="1" x14ac:dyDescent="0.25">
      <c r="A44" s="10"/>
      <c r="B44" s="26" t="s">
        <v>0</v>
      </c>
      <c r="C44" s="10"/>
      <c r="D44" s="4">
        <f>SUM(0)</f>
        <v>0</v>
      </c>
      <c r="E44" s="4"/>
      <c r="F44" s="12">
        <f>IF(D$12=0,0,D44/D$12)</f>
        <v>0</v>
      </c>
      <c r="G44" s="4"/>
      <c r="H44" s="4">
        <f>SUM(0)</f>
        <v>0</v>
      </c>
      <c r="I44" s="4"/>
      <c r="J44" s="12">
        <f>IF(H$12=0,0,H44/H$12)</f>
        <v>0</v>
      </c>
      <c r="K44" s="4"/>
      <c r="L44" s="4">
        <f>+D44-H44</f>
        <v>0</v>
      </c>
      <c r="M44" s="4"/>
      <c r="N44" s="12">
        <f>IF(H44=0,0,L44/H44)</f>
        <v>0</v>
      </c>
      <c r="O44" s="10"/>
      <c r="P44" s="4">
        <f>SUM(0)</f>
        <v>0</v>
      </c>
      <c r="Q44" s="4"/>
      <c r="R44" s="12">
        <f>IF(P$12=0,0,P44/P$12)</f>
        <v>0</v>
      </c>
      <c r="S44" s="4"/>
      <c r="T44" s="4">
        <f>SUM(0)</f>
        <v>0</v>
      </c>
      <c r="U44" s="4"/>
      <c r="V44" s="12">
        <f>IF(T$12=0,0,T44/T$12)</f>
        <v>0</v>
      </c>
      <c r="W44" s="4"/>
      <c r="X44" s="4">
        <f>+P44-T44</f>
        <v>0</v>
      </c>
      <c r="Y44" s="4"/>
      <c r="Z44" s="12">
        <f>IF(T44=0,0,X44/T44)</f>
        <v>0</v>
      </c>
    </row>
    <row r="45" spans="1:26" x14ac:dyDescent="0.25">
      <c r="A45" s="9"/>
      <c r="B45" s="10"/>
      <c r="C45" s="10"/>
      <c r="D45" s="3"/>
      <c r="E45" s="3"/>
      <c r="F45" s="8"/>
      <c r="G45" s="3"/>
      <c r="H45" s="3"/>
      <c r="I45" s="3"/>
      <c r="J45" s="8"/>
      <c r="K45" s="3"/>
      <c r="L45" s="3"/>
      <c r="M45" s="3"/>
      <c r="N45" s="8"/>
      <c r="O45" s="10"/>
      <c r="P45" s="3"/>
      <c r="Q45" s="3"/>
      <c r="R45" s="8"/>
      <c r="S45" s="3"/>
      <c r="T45" s="3"/>
      <c r="U45" s="3"/>
      <c r="V45" s="8"/>
      <c r="W45" s="3"/>
      <c r="X45" s="3"/>
      <c r="Y45" s="3"/>
      <c r="Z45" s="8"/>
    </row>
    <row r="46" spans="1:26" s="23" customFormat="1" x14ac:dyDescent="0.25">
      <c r="A46" s="10"/>
      <c r="B46" s="25" t="s">
        <v>3</v>
      </c>
      <c r="C46" s="25"/>
      <c r="D46" s="20">
        <f>+D16-D18+D44</f>
        <v>-18225.39</v>
      </c>
      <c r="E46" s="13"/>
      <c r="F46" s="21">
        <f>IF(D$12=0,0,D46/D$12)</f>
        <v>0</v>
      </c>
      <c r="G46" s="13"/>
      <c r="H46" s="20">
        <f>+H16-H18+H44</f>
        <v>-16308.98</v>
      </c>
      <c r="I46" s="13"/>
      <c r="J46" s="21">
        <f>IF(H$12=0,0,H46/H$12)</f>
        <v>0</v>
      </c>
      <c r="K46" s="15"/>
      <c r="L46" s="20">
        <f>+D46-H46</f>
        <v>-1916.4099999999999</v>
      </c>
      <c r="M46" s="15"/>
      <c r="N46" s="21">
        <f>IF(H46=0,0,L46/H46)</f>
        <v>0.11750642897348576</v>
      </c>
      <c r="O46" s="26"/>
      <c r="P46" s="20">
        <f>+P16-P18+P44</f>
        <v>-65455.35</v>
      </c>
      <c r="Q46" s="13"/>
      <c r="R46" s="21">
        <f>IF(P$12=0,0,P46/P$12)</f>
        <v>0</v>
      </c>
      <c r="S46" s="13"/>
      <c r="T46" s="20">
        <f>+T16-T18+T44</f>
        <v>-64008.999999999993</v>
      </c>
      <c r="U46" s="13"/>
      <c r="V46" s="21">
        <f>IF(T$12=0,0,T46/T$12)</f>
        <v>0</v>
      </c>
      <c r="W46" s="15"/>
      <c r="X46" s="20">
        <f>+P46-T46</f>
        <v>-1446.3500000000058</v>
      </c>
      <c r="Y46" s="15"/>
      <c r="Z46" s="21">
        <f>IF(T46=0,0,X46/T46)</f>
        <v>2.2596041181708916E-2</v>
      </c>
    </row>
    <row r="47" spans="1:26" x14ac:dyDescent="0.25">
      <c r="A47" s="9"/>
      <c r="B47" s="10"/>
      <c r="C47" s="9"/>
      <c r="D47" s="3"/>
      <c r="E47" s="3"/>
      <c r="F47" s="8"/>
      <c r="G47" s="3"/>
      <c r="H47" s="3"/>
      <c r="I47" s="3"/>
      <c r="J47" s="8"/>
      <c r="K47" s="3"/>
      <c r="L47" s="3"/>
      <c r="M47" s="3"/>
      <c r="N47" s="8"/>
      <c r="P47" s="3"/>
      <c r="Q47" s="3"/>
      <c r="R47" s="8"/>
      <c r="S47" s="3"/>
      <c r="T47" s="3"/>
      <c r="U47" s="3"/>
      <c r="V47" s="8"/>
      <c r="W47" s="3"/>
      <c r="X47" s="3"/>
      <c r="Y47" s="3"/>
      <c r="Z47" s="8"/>
    </row>
    <row r="48" spans="1:26" s="23" customFormat="1" x14ac:dyDescent="0.25">
      <c r="A48" s="51"/>
      <c r="B48" s="10" t="s">
        <v>13</v>
      </c>
      <c r="C48" s="10"/>
      <c r="D48" s="4"/>
      <c r="E48" s="4"/>
      <c r="F48" s="12">
        <f>IF(D$12=0,0,D48/D$12)</f>
        <v>0</v>
      </c>
      <c r="G48" s="4"/>
      <c r="H48" s="4"/>
      <c r="I48" s="4"/>
      <c r="J48" s="12">
        <f>IF(H$12=0,0,H48/H$12)</f>
        <v>0</v>
      </c>
      <c r="K48" s="4"/>
      <c r="L48" s="4">
        <f>+D48-H48</f>
        <v>0</v>
      </c>
      <c r="M48" s="4"/>
      <c r="N48" s="12">
        <f>IF(H48=0,0,L48/H48)</f>
        <v>0</v>
      </c>
      <c r="O48" s="10"/>
      <c r="P48" s="4"/>
      <c r="Q48" s="4"/>
      <c r="R48" s="12">
        <f>IF(P$12=0,0,P48/P$12)</f>
        <v>0</v>
      </c>
      <c r="S48" s="4"/>
      <c r="T48" s="4"/>
      <c r="U48" s="4"/>
      <c r="V48" s="12">
        <f>IF(T$12=0,0,T48/T$12)</f>
        <v>0</v>
      </c>
      <c r="W48" s="4"/>
      <c r="X48" s="4">
        <f>+P48-T48</f>
        <v>0</v>
      </c>
      <c r="Y48" s="4"/>
      <c r="Z48" s="12">
        <f>IF(T48=0,0,X48/T48)</f>
        <v>0</v>
      </c>
    </row>
    <row r="49" spans="1:26" x14ac:dyDescent="0.25">
      <c r="A49" s="9"/>
      <c r="B49" s="10"/>
      <c r="C49" s="10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O49" s="10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ht="15.75" thickBot="1" x14ac:dyDescent="0.3">
      <c r="A50" s="10"/>
      <c r="B50" s="25" t="s">
        <v>4</v>
      </c>
      <c r="C50" s="25"/>
      <c r="D50" s="30">
        <f>+D46-D48</f>
        <v>-18225.39</v>
      </c>
      <c r="E50" s="13"/>
      <c r="F50" s="33">
        <f>IF(D$12=0,0,D50/D$12)</f>
        <v>0</v>
      </c>
      <c r="G50" s="13"/>
      <c r="H50" s="30">
        <f>+H46-H48</f>
        <v>-16308.98</v>
      </c>
      <c r="I50" s="13"/>
      <c r="J50" s="33">
        <f>IF(H$12=0,0,H50/H$12)</f>
        <v>0</v>
      </c>
      <c r="K50" s="15"/>
      <c r="L50" s="30">
        <f>D50-H50</f>
        <v>-1916.4099999999999</v>
      </c>
      <c r="M50" s="15"/>
      <c r="N50" s="33">
        <f>IF(H50=0,0,L50/H50)</f>
        <v>0.11750642897348576</v>
      </c>
      <c r="O50" s="26"/>
      <c r="P50" s="30">
        <f>+P46-P48</f>
        <v>-65455.35</v>
      </c>
      <c r="Q50" s="13"/>
      <c r="R50" s="33">
        <f>IF(P$12=0,0,P50/P$12)</f>
        <v>0</v>
      </c>
      <c r="S50" s="13"/>
      <c r="T50" s="30">
        <f>+T46-T48</f>
        <v>-64008.999999999993</v>
      </c>
      <c r="U50" s="13"/>
      <c r="V50" s="33">
        <f>IF(T$12=0,0,T50/T$12)</f>
        <v>0</v>
      </c>
      <c r="W50" s="15"/>
      <c r="X50" s="30">
        <f>P50-T50</f>
        <v>-1446.3500000000058</v>
      </c>
      <c r="Y50" s="15"/>
      <c r="Z50" s="33">
        <f>IF(T50=0,0,X50/T50)</f>
        <v>2.2596041181708916E-2</v>
      </c>
    </row>
    <row r="51" spans="1:26" ht="15.75" thickTop="1" x14ac:dyDescent="0.25">
      <c r="A51" s="9"/>
      <c r="B51" s="9"/>
      <c r="C51" s="9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x14ac:dyDescent="0.25">
      <c r="A52" s="9"/>
      <c r="B52" s="9"/>
      <c r="C52" s="9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ht="15.75" thickBot="1" x14ac:dyDescent="0.3">
      <c r="A53" s="10"/>
      <c r="B53" s="25" t="s">
        <v>5</v>
      </c>
      <c r="C53" s="25"/>
      <c r="D53" s="34">
        <f>SUM(D50:D52)</f>
        <v>-18225.39</v>
      </c>
      <c r="E53" s="13"/>
      <c r="F53" s="35">
        <f>IF(D$12=0,0,D53/D$12)</f>
        <v>0</v>
      </c>
      <c r="G53" s="13"/>
      <c r="H53" s="34">
        <f>SUM(H50:H52)</f>
        <v>-16308.98</v>
      </c>
      <c r="I53" s="13"/>
      <c r="J53" s="35">
        <f>IF(H$12=0,0,H53/H$12)</f>
        <v>0</v>
      </c>
      <c r="K53" s="15"/>
      <c r="L53" s="34">
        <f>+D53-H53</f>
        <v>-1916.4099999999999</v>
      </c>
      <c r="M53" s="15"/>
      <c r="N53" s="35">
        <f>IF(H53=0,0,L53/H53)</f>
        <v>0.11750642897348576</v>
      </c>
      <c r="O53" s="26"/>
      <c r="P53" s="34">
        <f>SUM(P50:P52)</f>
        <v>-65455.35</v>
      </c>
      <c r="Q53" s="13"/>
      <c r="R53" s="35">
        <f>IF(P$12=0,0,P53/P$12)</f>
        <v>0</v>
      </c>
      <c r="S53" s="13"/>
      <c r="T53" s="34">
        <f>SUM(T50:T52)</f>
        <v>-64008.999999999993</v>
      </c>
      <c r="U53" s="13"/>
      <c r="V53" s="35">
        <f>IF(T$12=0,0,T53/T$12)</f>
        <v>0</v>
      </c>
      <c r="W53" s="15"/>
      <c r="X53" s="34">
        <f>+P53-T53</f>
        <v>-1446.3500000000058</v>
      </c>
      <c r="Y53" s="15"/>
      <c r="Z53" s="35">
        <f>IF(T53=0,0,X53/T53)</f>
        <v>2.2596041181708916E-2</v>
      </c>
    </row>
    <row r="54" spans="1:26" ht="15.75" thickTop="1" x14ac:dyDescent="0.25">
      <c r="A54" s="9"/>
      <c r="C54" s="9"/>
      <c r="D54" s="18"/>
      <c r="E54" s="18"/>
      <c r="G54" s="18"/>
      <c r="H54" s="18"/>
      <c r="I54" s="18"/>
      <c r="J54" s="43"/>
      <c r="K54" s="18"/>
      <c r="L54" s="18"/>
      <c r="M54" s="18"/>
      <c r="P54" s="18"/>
      <c r="Q54" s="18"/>
      <c r="R54" s="43"/>
      <c r="S54" s="18"/>
      <c r="T54" s="18"/>
      <c r="U54" s="18"/>
      <c r="V54" s="43"/>
      <c r="W54" s="18"/>
      <c r="X54" s="18"/>
    </row>
    <row r="55" spans="1:26" x14ac:dyDescent="0.25">
      <c r="A55" s="9"/>
      <c r="B55" s="56">
        <v>44151.57293584491</v>
      </c>
      <c r="D55" s="18"/>
      <c r="E55" s="18"/>
      <c r="G55" s="18"/>
      <c r="H55" s="18"/>
      <c r="I55" s="18"/>
      <c r="J55" s="43"/>
      <c r="K55" s="18"/>
      <c r="L55" s="18"/>
      <c r="M55" s="18"/>
      <c r="P55" s="18"/>
      <c r="Q55" s="18"/>
      <c r="R55" s="43"/>
      <c r="S55" s="18"/>
      <c r="T55" s="18"/>
      <c r="U55" s="18"/>
      <c r="V55" s="43"/>
      <c r="W55" s="18"/>
      <c r="X55" s="18"/>
    </row>
    <row r="56" spans="1:26" x14ac:dyDescent="0.25">
      <c r="A56" s="9"/>
      <c r="B56" s="62" t="s">
        <v>313</v>
      </c>
      <c r="D56" s="18"/>
      <c r="E56" s="18"/>
      <c r="G56" s="18"/>
      <c r="H56" s="18"/>
      <c r="I56" s="18"/>
      <c r="J56" s="43"/>
      <c r="K56" s="18"/>
      <c r="L56" s="18"/>
      <c r="M56" s="18"/>
      <c r="P56" s="18"/>
      <c r="Q56" s="18"/>
      <c r="R56" s="43"/>
      <c r="S56" s="18"/>
      <c r="T56" s="18"/>
      <c r="U56" s="18"/>
      <c r="V56" s="43"/>
      <c r="W56" s="18"/>
      <c r="X56" s="18"/>
    </row>
    <row r="57" spans="1:26" x14ac:dyDescent="0.25">
      <c r="A57" s="9"/>
      <c r="B57" s="54"/>
      <c r="D57" s="18"/>
      <c r="E57" s="18"/>
      <c r="G57" s="18"/>
      <c r="H57" s="18"/>
      <c r="I57" s="18"/>
      <c r="J57" s="43"/>
      <c r="K57" s="18"/>
      <c r="L57" s="18"/>
      <c r="M57" s="18"/>
      <c r="P57" s="18"/>
      <c r="Q57" s="18"/>
      <c r="R57" s="43"/>
      <c r="S57" s="18"/>
      <c r="T57" s="18"/>
      <c r="U57" s="18"/>
      <c r="V57" s="43"/>
      <c r="W57" s="18"/>
      <c r="X57" s="18"/>
    </row>
    <row r="58" spans="1:26" x14ac:dyDescent="0.25">
      <c r="D58" s="18"/>
      <c r="E58" s="18"/>
      <c r="G58" s="18"/>
      <c r="H58" s="18"/>
      <c r="I58" s="18"/>
      <c r="J58" s="43"/>
      <c r="K58" s="18"/>
      <c r="L58" s="18"/>
      <c r="M58" s="18"/>
      <c r="P58" s="18"/>
      <c r="Q58" s="18"/>
      <c r="R58" s="43"/>
      <c r="S58" s="18"/>
      <c r="T58" s="18"/>
      <c r="U58" s="18"/>
      <c r="V58" s="43"/>
      <c r="W58" s="18"/>
      <c r="X58" s="18"/>
    </row>
  </sheetData>
  <pageMargins left="0.25" right="0.25" top="0.75" bottom="0.75" header="0.3" footer="0.3"/>
  <pageSetup scale="55" fitToWidth="2" orientation="landscape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",RIGHT(202104,2),", ",2021)</f>
        <v>Period 04,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44135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","433", " - ", "Hillside Dining Hall")</f>
        <v>Department 433 - Hillside Dining Hall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61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50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50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2"/>
      <c r="F10" s="31" t="s">
        <v>14</v>
      </c>
      <c r="G10" s="32"/>
      <c r="H10" s="49" t="s">
        <v>306</v>
      </c>
      <c r="I10" s="32"/>
      <c r="J10" s="31" t="s">
        <v>14</v>
      </c>
      <c r="K10" s="10"/>
      <c r="L10" s="42" t="s">
        <v>11</v>
      </c>
      <c r="M10" s="10"/>
      <c r="N10" s="31" t="s">
        <v>15</v>
      </c>
      <c r="O10" s="10"/>
      <c r="P10" s="59" t="s">
        <v>10</v>
      </c>
      <c r="Q10" s="32"/>
      <c r="R10" s="31" t="s">
        <v>14</v>
      </c>
      <c r="S10" s="32"/>
      <c r="T10" s="49" t="s">
        <v>306</v>
      </c>
      <c r="U10" s="32"/>
      <c r="V10" s="31" t="s">
        <v>14</v>
      </c>
      <c r="W10" s="10"/>
      <c r="X10" s="42" t="s">
        <v>11</v>
      </c>
      <c r="Y10" s="10"/>
      <c r="Z10" s="31" t="s">
        <v>15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-24093.05</v>
      </c>
      <c r="E12" s="4"/>
      <c r="F12" s="12"/>
      <c r="G12" s="4"/>
      <c r="H12" s="4">
        <f>SUM(OSRRefH13x_0)</f>
        <v>656256.06999999995</v>
      </c>
      <c r="I12" s="4"/>
      <c r="J12" s="12"/>
      <c r="K12" s="4"/>
      <c r="L12" s="4">
        <f t="shared" ref="L12:L15" si="0">+D12-H12</f>
        <v>-680349.12</v>
      </c>
      <c r="M12" s="4"/>
      <c r="N12" s="12">
        <f t="shared" ref="N12:N15" si="1">IF(H12=0,0,L12/H12)</f>
        <v>-1.0367128794709664</v>
      </c>
      <c r="O12" s="10"/>
      <c r="P12" s="4">
        <f>SUM(OSRRefP13x_0)</f>
        <v>23802.12</v>
      </c>
      <c r="Q12" s="4"/>
      <c r="R12" s="12"/>
      <c r="S12" s="4"/>
      <c r="T12" s="4">
        <f>SUM(OSRRefT13x_0)</f>
        <v>1721506.65</v>
      </c>
      <c r="U12" s="4"/>
      <c r="V12" s="12"/>
      <c r="W12" s="4"/>
      <c r="X12" s="4">
        <f t="shared" ref="X12:X15" si="2">+P12-T12</f>
        <v>-1697704.5299999998</v>
      </c>
      <c r="Y12" s="4"/>
      <c r="Z12" s="12">
        <f t="shared" ref="Z12:Z15" si="3">IF(T12=0,0,X12/T12)</f>
        <v>-0.98617366944240381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0</f>
        <v>0</v>
      </c>
      <c r="E13" s="2"/>
      <c r="F13" s="19"/>
      <c r="G13" s="2"/>
      <c r="H13" s="2">
        <f>--5537.86</f>
        <v>5537.86</v>
      </c>
      <c r="I13" s="2"/>
      <c r="J13" s="19"/>
      <c r="K13" s="2"/>
      <c r="L13" s="2">
        <f t="shared" si="0"/>
        <v>-5537.86</v>
      </c>
      <c r="M13" s="2"/>
      <c r="N13" s="19">
        <f t="shared" si="1"/>
        <v>-1</v>
      </c>
      <c r="O13" s="11"/>
      <c r="P13" s="2">
        <f>--217.65</f>
        <v>217.65</v>
      </c>
      <c r="Q13" s="2"/>
      <c r="R13" s="19"/>
      <c r="S13" s="2"/>
      <c r="T13" s="2">
        <f>--7524.95</f>
        <v>7524.95</v>
      </c>
      <c r="U13" s="2"/>
      <c r="V13" s="19"/>
      <c r="W13" s="2"/>
      <c r="X13" s="2">
        <f t="shared" si="2"/>
        <v>-7307.3</v>
      </c>
      <c r="Y13" s="2"/>
      <c r="Z13" s="19">
        <f t="shared" si="3"/>
        <v>-0.9710762197755467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-12094.25</f>
        <v>-12094.25</v>
      </c>
      <c r="E14" s="2"/>
      <c r="F14" s="19"/>
      <c r="G14" s="2"/>
      <c r="H14" s="2">
        <f>--627986.26</f>
        <v>627986.26</v>
      </c>
      <c r="I14" s="2"/>
      <c r="J14" s="19"/>
      <c r="K14" s="2"/>
      <c r="L14" s="2">
        <f t="shared" si="0"/>
        <v>-640080.51</v>
      </c>
      <c r="M14" s="2"/>
      <c r="N14" s="19">
        <f t="shared" si="1"/>
        <v>-1.0192587812351181</v>
      </c>
      <c r="O14" s="11"/>
      <c r="P14" s="2">
        <f>--16096</f>
        <v>16096</v>
      </c>
      <c r="Q14" s="2"/>
      <c r="R14" s="19"/>
      <c r="S14" s="2"/>
      <c r="T14" s="2">
        <f>--1558168.79</f>
        <v>1558168.79</v>
      </c>
      <c r="U14" s="2"/>
      <c r="V14" s="19"/>
      <c r="W14" s="2"/>
      <c r="X14" s="2">
        <f t="shared" si="2"/>
        <v>-1542072.79</v>
      </c>
      <c r="Y14" s="2"/>
      <c r="Z14" s="19">
        <f t="shared" si="3"/>
        <v>-0.98966992529737419</v>
      </c>
    </row>
    <row r="15" spans="1:26" s="24" customFormat="1" hidden="1" outlineLevel="1" x14ac:dyDescent="0.25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>-11998.8</f>
        <v>-11998.8</v>
      </c>
      <c r="E15" s="2"/>
      <c r="F15" s="19"/>
      <c r="G15" s="2"/>
      <c r="H15" s="2">
        <f>--22731.95</f>
        <v>22731.95</v>
      </c>
      <c r="I15" s="2"/>
      <c r="J15" s="19"/>
      <c r="K15" s="2"/>
      <c r="L15" s="2">
        <f t="shared" si="0"/>
        <v>-34730.75</v>
      </c>
      <c r="M15" s="2"/>
      <c r="N15" s="19">
        <f t="shared" si="1"/>
        <v>-1.5278385708221247</v>
      </c>
      <c r="O15" s="11"/>
      <c r="P15" s="2">
        <f>--7488.47</f>
        <v>7488.47</v>
      </c>
      <c r="Q15" s="2"/>
      <c r="R15" s="19"/>
      <c r="S15" s="2"/>
      <c r="T15" s="2">
        <f>--155812.91</f>
        <v>155812.91</v>
      </c>
      <c r="U15" s="2"/>
      <c r="V15" s="19"/>
      <c r="W15" s="2"/>
      <c r="X15" s="2">
        <f t="shared" si="2"/>
        <v>-148324.44</v>
      </c>
      <c r="Y15" s="2"/>
      <c r="Z15" s="19">
        <f t="shared" si="3"/>
        <v>-0.95193934828635185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6" t="s">
        <v>8</v>
      </c>
      <c r="C17" s="10"/>
      <c r="D17" s="4">
        <f>SUM(OSRRefD16x_0)</f>
        <v>206</v>
      </c>
      <c r="E17" s="4"/>
      <c r="F17" s="12">
        <f t="shared" ref="F17:F19" si="4">IF(D$12=0,0,D17/D$12)</f>
        <v>-8.5501835591591767E-3</v>
      </c>
      <c r="G17" s="4"/>
      <c r="H17" s="4">
        <f>SUM(OSRRefH16x_0)</f>
        <v>159318.32999999999</v>
      </c>
      <c r="I17" s="4"/>
      <c r="J17" s="12">
        <f t="shared" ref="J17:J19" si="5">IF(H$12=0,0,H17/H$12)</f>
        <v>0.24276854307800916</v>
      </c>
      <c r="K17" s="4"/>
      <c r="L17" s="4">
        <f t="shared" ref="L17:L19" si="6">+D17-H17</f>
        <v>-159112.32999999999</v>
      </c>
      <c r="M17" s="4"/>
      <c r="N17" s="12">
        <f t="shared" ref="N17:N19" si="7">IF(H17=0,0,L17/H17)</f>
        <v>-0.99870699121689266</v>
      </c>
      <c r="O17" s="10"/>
      <c r="P17" s="4">
        <f>SUM(OSRRefP16x_0)</f>
        <v>25322.92</v>
      </c>
      <c r="Q17" s="4"/>
      <c r="R17" s="12">
        <f t="shared" ref="R17:R19" si="8">IF(P$12=0,0,P17/P$12)</f>
        <v>1.0638934683129067</v>
      </c>
      <c r="S17" s="4"/>
      <c r="T17" s="4">
        <f>SUM(OSRRefT16x_0)</f>
        <v>408740.18</v>
      </c>
      <c r="U17" s="4"/>
      <c r="V17" s="12">
        <f t="shared" ref="V17:V19" si="9">IF(T$12=0,0,T17/T$12)</f>
        <v>0.23743165906445962</v>
      </c>
      <c r="W17" s="4"/>
      <c r="X17" s="4">
        <f t="shared" ref="X17:X19" si="10">+P17-T17</f>
        <v>-383417.26</v>
      </c>
      <c r="Y17" s="4"/>
      <c r="Z17" s="12">
        <f t="shared" ref="Z17:Z19" si="11">IF(T17=0,0,X17/T17)</f>
        <v>-0.93804641373891851</v>
      </c>
    </row>
    <row r="18" spans="1:26" s="24" customFormat="1" hidden="1" outlineLevel="1" x14ac:dyDescent="0.25">
      <c r="A18" s="44"/>
      <c r="B18" s="11" t="str">
        <f>CONCATENATE("          ", "5053", " - ", "PURCHASES @ COST-FOOD")</f>
        <v xml:space="preserve">          5053 - PURCHASES @ COST-FOOD</v>
      </c>
      <c r="C18" s="11"/>
      <c r="D18" s="2">
        <v>206</v>
      </c>
      <c r="E18" s="2"/>
      <c r="F18" s="19">
        <f t="shared" si="4"/>
        <v>-8.5501835591591767E-3</v>
      </c>
      <c r="G18" s="2"/>
      <c r="H18" s="2">
        <v>160994.82999999999</v>
      </c>
      <c r="I18" s="2"/>
      <c r="J18" s="19">
        <f t="shared" si="5"/>
        <v>0.24532318611544424</v>
      </c>
      <c r="K18" s="2"/>
      <c r="L18" s="2">
        <f t="shared" si="6"/>
        <v>-160788.82999999999</v>
      </c>
      <c r="M18" s="2"/>
      <c r="N18" s="19">
        <f t="shared" si="7"/>
        <v>-0.99872045580594104</v>
      </c>
      <c r="O18" s="11"/>
      <c r="P18" s="2">
        <v>14410.92</v>
      </c>
      <c r="Q18" s="2"/>
      <c r="R18" s="19">
        <f t="shared" si="8"/>
        <v>0.60544690977106241</v>
      </c>
      <c r="S18" s="2"/>
      <c r="T18" s="2">
        <v>417890.93</v>
      </c>
      <c r="U18" s="2"/>
      <c r="V18" s="19">
        <f t="shared" si="9"/>
        <v>0.24274720634974023</v>
      </c>
      <c r="W18" s="2"/>
      <c r="X18" s="2">
        <f t="shared" si="10"/>
        <v>-403480.01</v>
      </c>
      <c r="Y18" s="2"/>
      <c r="Z18" s="19">
        <f t="shared" si="11"/>
        <v>-0.96551511658795752</v>
      </c>
    </row>
    <row r="19" spans="1:26" s="24" customFormat="1" hidden="1" outlineLevel="1" x14ac:dyDescent="0.25">
      <c r="A19" s="44"/>
      <c r="B19" s="11" t="str">
        <f>CONCATENATE("          ", "5059", " - ", "PURCHASES @ COST-FOOD")</f>
        <v xml:space="preserve">          5059 - PURCHASES @ COST-FOOD</v>
      </c>
      <c r="C19" s="11"/>
      <c r="D19" s="2"/>
      <c r="E19" s="2"/>
      <c r="F19" s="19">
        <f t="shared" si="4"/>
        <v>0</v>
      </c>
      <c r="G19" s="2"/>
      <c r="H19" s="2">
        <v>-1676.5</v>
      </c>
      <c r="I19" s="2"/>
      <c r="J19" s="19">
        <f t="shared" si="5"/>
        <v>-2.5546430374350673E-3</v>
      </c>
      <c r="K19" s="2"/>
      <c r="L19" s="2">
        <f t="shared" si="6"/>
        <v>1676.5</v>
      </c>
      <c r="M19" s="2"/>
      <c r="N19" s="19">
        <f t="shared" si="7"/>
        <v>-1</v>
      </c>
      <c r="O19" s="11"/>
      <c r="P19" s="2">
        <v>10912</v>
      </c>
      <c r="Q19" s="2"/>
      <c r="R19" s="19">
        <f t="shared" si="8"/>
        <v>0.45844655854184418</v>
      </c>
      <c r="S19" s="2"/>
      <c r="T19" s="2">
        <v>-9150.75</v>
      </c>
      <c r="U19" s="2"/>
      <c r="V19" s="19">
        <f t="shared" si="9"/>
        <v>-5.3155472852806007E-3</v>
      </c>
      <c r="W19" s="2"/>
      <c r="X19" s="2">
        <f t="shared" si="10"/>
        <v>20062.75</v>
      </c>
      <c r="Y19" s="2"/>
      <c r="Z19" s="19">
        <f t="shared" si="11"/>
        <v>-2.1924705625221979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5" t="s">
        <v>6</v>
      </c>
      <c r="C21" s="25"/>
      <c r="D21" s="20">
        <f>D12-D17</f>
        <v>-24299.05</v>
      </c>
      <c r="E21" s="13"/>
      <c r="F21" s="21">
        <f>IF(D$12=0,0,D21/D$12)</f>
        <v>1.0085501835591593</v>
      </c>
      <c r="G21" s="13"/>
      <c r="H21" s="20">
        <f>H12-H17</f>
        <v>496937.74</v>
      </c>
      <c r="I21" s="13"/>
      <c r="J21" s="21">
        <f>IF(H$12=0,0,H21/H$12)</f>
        <v>0.7572314569219909</v>
      </c>
      <c r="K21" s="15"/>
      <c r="L21" s="20">
        <f>+D21-H21</f>
        <v>-521236.79</v>
      </c>
      <c r="M21" s="15"/>
      <c r="N21" s="21">
        <f>IF(H21=0,0,L21/H21)</f>
        <v>-1.0488975741709614</v>
      </c>
      <c r="O21" s="26"/>
      <c r="P21" s="20">
        <f>P12-P17</f>
        <v>-1520.7999999999993</v>
      </c>
      <c r="Q21" s="13"/>
      <c r="R21" s="21">
        <f>IF(P$12=0,0,P21/P$12)</f>
        <v>-6.3893468312906557E-2</v>
      </c>
      <c r="S21" s="13"/>
      <c r="T21" s="20">
        <f>T12-T17</f>
        <v>1312766.47</v>
      </c>
      <c r="U21" s="13"/>
      <c r="V21" s="21">
        <f>IF(T$12=0,0,T21/T$12)</f>
        <v>0.76256834093554038</v>
      </c>
      <c r="W21" s="15"/>
      <c r="X21" s="20">
        <f>+P21-T21</f>
        <v>-1314287.27</v>
      </c>
      <c r="Y21" s="15"/>
      <c r="Z21" s="21">
        <f>IF(T21=0,0,X21/T21)</f>
        <v>-1.0011584695638973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6" t="s">
        <v>9</v>
      </c>
      <c r="C23" s="10"/>
      <c r="D23" s="22">
        <f>SUM(OSRRefD22x_0)</f>
        <v>55891.359999999993</v>
      </c>
      <c r="E23" s="22"/>
      <c r="F23" s="36">
        <f t="shared" ref="F23:F33" si="12">IF(D$12=0,0,D23/D$12)</f>
        <v>-2.319812560053625</v>
      </c>
      <c r="G23" s="22"/>
      <c r="H23" s="22">
        <f>SUM(OSRRefH22x_0)</f>
        <v>229211.44000000006</v>
      </c>
      <c r="I23" s="22"/>
      <c r="J23" s="36">
        <f t="shared" ref="J23:J33" si="13">IF(H$12=0,0,H23/H$12)</f>
        <v>0.34927134464447707</v>
      </c>
      <c r="K23" s="4"/>
      <c r="L23" s="22">
        <f t="shared" ref="L23:L33" si="14">+D23-H23</f>
        <v>-173320.08000000007</v>
      </c>
      <c r="M23" s="4"/>
      <c r="N23" s="36">
        <f t="shared" ref="N23:N33" si="15">IF(H23=0,0,L23/H23)</f>
        <v>-0.75615806959722442</v>
      </c>
      <c r="O23" s="10"/>
      <c r="P23" s="22">
        <f>SUM(OSRRefP22x_0)</f>
        <v>221306.29000000004</v>
      </c>
      <c r="Q23" s="22"/>
      <c r="R23" s="36">
        <f t="shared" ref="R23:R33" si="16">IF(P$12=0,0,P23/P$12)</f>
        <v>9.2977554100223028</v>
      </c>
      <c r="S23" s="22"/>
      <c r="T23" s="22">
        <f>SUM(OSRRefT22x_0)</f>
        <v>691171.21000000008</v>
      </c>
      <c r="U23" s="22"/>
      <c r="V23" s="36">
        <f t="shared" ref="V23:V33" si="17">IF(T$12=0,0,T23/T$12)</f>
        <v>0.40149203606038936</v>
      </c>
      <c r="W23" s="4"/>
      <c r="X23" s="22">
        <f t="shared" ref="X23:X33" si="18">+P23-T23</f>
        <v>-469864.92000000004</v>
      </c>
      <c r="Y23" s="4"/>
      <c r="Z23" s="36">
        <f t="shared" ref="Z23:Z33" si="19">IF(T23=0,0,X23/T23)</f>
        <v>-0.67980973918169996</v>
      </c>
    </row>
    <row r="24" spans="1:26" s="29" customFormat="1" outlineLevel="1" collapsed="1" x14ac:dyDescent="0.25">
      <c r="A24" s="27"/>
      <c r="B24" s="14" t="str">
        <f>CONCATENATE("     ","*Benefits                                         ")</f>
        <v xml:space="preserve">     *Benefits                                         </v>
      </c>
      <c r="C24" s="14"/>
      <c r="D24" s="1">
        <f>SUM(OSRRefD22_0x_0)</f>
        <v>23269.629999999997</v>
      </c>
      <c r="E24" s="1"/>
      <c r="F24" s="5">
        <f t="shared" si="12"/>
        <v>-0.96582333909571427</v>
      </c>
      <c r="G24" s="1"/>
      <c r="H24" s="1">
        <f>SUM(OSRRefH22_0x_0)</f>
        <v>28145.74</v>
      </c>
      <c r="I24" s="1"/>
      <c r="J24" s="5">
        <f t="shared" si="13"/>
        <v>4.2888349969852475E-2</v>
      </c>
      <c r="K24" s="1"/>
      <c r="L24" s="1">
        <f t="shared" si="14"/>
        <v>-4876.1100000000042</v>
      </c>
      <c r="M24" s="1"/>
      <c r="N24" s="5">
        <f t="shared" si="15"/>
        <v>-0.17324504525374013</v>
      </c>
      <c r="O24" s="14"/>
      <c r="P24" s="1">
        <f>SUM(OSRRefP22_0x_0)</f>
        <v>83689.260000000009</v>
      </c>
      <c r="Q24" s="1"/>
      <c r="R24" s="5">
        <f t="shared" si="16"/>
        <v>3.5160422685038144</v>
      </c>
      <c r="S24" s="1"/>
      <c r="T24" s="1">
        <f>SUM(OSRRefT22_0x_0)</f>
        <v>112637.24</v>
      </c>
      <c r="U24" s="1"/>
      <c r="V24" s="5">
        <f t="shared" si="17"/>
        <v>6.5429453903067994E-2</v>
      </c>
      <c r="W24" s="1"/>
      <c r="X24" s="1">
        <f t="shared" si="18"/>
        <v>-28947.979999999996</v>
      </c>
      <c r="Y24" s="1"/>
      <c r="Z24" s="5">
        <f t="shared" si="19"/>
        <v>-0.25700185835519401</v>
      </c>
    </row>
    <row r="25" spans="1:26" s="24" customFormat="1" hidden="1" outlineLevel="2" x14ac:dyDescent="0.25">
      <c r="A25" s="28"/>
      <c r="B25" s="11" t="str">
        <f>CONCATENATE("          ", "6111", " - ", "F.I.C.A.")</f>
        <v xml:space="preserve">          6111 - F.I.C.A.</v>
      </c>
      <c r="C25" s="11"/>
      <c r="D25" s="6">
        <v>3012.34</v>
      </c>
      <c r="E25" s="2"/>
      <c r="F25" s="7">
        <f t="shared" si="12"/>
        <v>-0.12502941719707553</v>
      </c>
      <c r="G25" s="2"/>
      <c r="H25" s="6">
        <v>6572.71</v>
      </c>
      <c r="I25" s="2"/>
      <c r="J25" s="7">
        <f t="shared" si="13"/>
        <v>1.0015465456951889E-2</v>
      </c>
      <c r="K25" s="2"/>
      <c r="L25" s="6">
        <f t="shared" si="14"/>
        <v>-3560.37</v>
      </c>
      <c r="M25" s="2"/>
      <c r="N25" s="7">
        <f t="shared" si="15"/>
        <v>-0.54168980527058086</v>
      </c>
      <c r="O25" s="11"/>
      <c r="P25" s="6">
        <v>8915.56</v>
      </c>
      <c r="Q25" s="2"/>
      <c r="R25" s="7">
        <f t="shared" si="16"/>
        <v>0.37456999628604509</v>
      </c>
      <c r="S25" s="2"/>
      <c r="T25" s="6">
        <v>19799.769999999997</v>
      </c>
      <c r="U25" s="2"/>
      <c r="V25" s="7">
        <f t="shared" si="17"/>
        <v>1.1501419410723739E-2</v>
      </c>
      <c r="W25" s="2"/>
      <c r="X25" s="6">
        <f t="shared" si="18"/>
        <v>-10884.209999999997</v>
      </c>
      <c r="Y25" s="2"/>
      <c r="Z25" s="7">
        <f t="shared" si="19"/>
        <v>-0.54971396132379313</v>
      </c>
    </row>
    <row r="26" spans="1:26" s="24" customFormat="1" hidden="1" outlineLevel="2" x14ac:dyDescent="0.25">
      <c r="A26" s="28"/>
      <c r="B26" s="11" t="str">
        <f>CONCATENATE("          ", "6112", " - ", "COMPENSATION INSURANCE")</f>
        <v xml:space="preserve">          6112 - COMPENSATION INSURANCE</v>
      </c>
      <c r="C26" s="11"/>
      <c r="D26" s="6">
        <v>1070.6099999999999</v>
      </c>
      <c r="E26" s="2"/>
      <c r="F26" s="7">
        <f t="shared" si="12"/>
        <v>-4.4436466117822357E-2</v>
      </c>
      <c r="G26" s="2"/>
      <c r="H26" s="6">
        <v>-728.59</v>
      </c>
      <c r="I26" s="2"/>
      <c r="J26" s="7">
        <f t="shared" si="13"/>
        <v>-1.1102221119265229E-3</v>
      </c>
      <c r="K26" s="2"/>
      <c r="L26" s="6">
        <f t="shared" si="14"/>
        <v>1799.1999999999998</v>
      </c>
      <c r="M26" s="2"/>
      <c r="N26" s="7">
        <f t="shared" si="15"/>
        <v>-2.4694272498936298</v>
      </c>
      <c r="O26" s="11"/>
      <c r="P26" s="6">
        <v>4374.1899999999996</v>
      </c>
      <c r="Q26" s="2"/>
      <c r="R26" s="7">
        <f t="shared" si="16"/>
        <v>0.18377312609128935</v>
      </c>
      <c r="S26" s="2"/>
      <c r="T26" s="6">
        <v>7594.37</v>
      </c>
      <c r="U26" s="2"/>
      <c r="V26" s="7">
        <f t="shared" si="17"/>
        <v>4.4114671296796911E-3</v>
      </c>
      <c r="W26" s="2"/>
      <c r="X26" s="6">
        <f t="shared" si="18"/>
        <v>-3220.1800000000003</v>
      </c>
      <c r="Y26" s="2"/>
      <c r="Z26" s="7">
        <f t="shared" si="19"/>
        <v>-0.424022005775331</v>
      </c>
    </row>
    <row r="27" spans="1:26" s="24" customFormat="1" hidden="1" outlineLevel="2" x14ac:dyDescent="0.25">
      <c r="A27" s="28"/>
      <c r="B27" s="11" t="str">
        <f>CONCATENATE("          ", "6113", " - ", "GROUP INSURANCE")</f>
        <v xml:space="preserve">          6113 - GROUP INSURANCE</v>
      </c>
      <c r="C27" s="11"/>
      <c r="D27" s="6">
        <v>12526.51</v>
      </c>
      <c r="E27" s="2"/>
      <c r="F27" s="7">
        <f t="shared" si="12"/>
        <v>-0.51992213522156805</v>
      </c>
      <c r="G27" s="2"/>
      <c r="H27" s="6">
        <v>12745.03</v>
      </c>
      <c r="I27" s="2"/>
      <c r="J27" s="7">
        <f t="shared" si="13"/>
        <v>1.9420818461915335E-2</v>
      </c>
      <c r="K27" s="2"/>
      <c r="L27" s="6">
        <f t="shared" si="14"/>
        <v>-218.52000000000044</v>
      </c>
      <c r="M27" s="2"/>
      <c r="N27" s="7">
        <f t="shared" si="15"/>
        <v>-1.7145506915244642E-2</v>
      </c>
      <c r="O27" s="11"/>
      <c r="P27" s="6">
        <v>47406.11</v>
      </c>
      <c r="Q27" s="2"/>
      <c r="R27" s="7">
        <f t="shared" si="16"/>
        <v>1.9916759515538953</v>
      </c>
      <c r="S27" s="2"/>
      <c r="T27" s="6">
        <v>50826.11</v>
      </c>
      <c r="U27" s="2"/>
      <c r="V27" s="7">
        <f t="shared" si="17"/>
        <v>2.9524201954142903E-2</v>
      </c>
      <c r="W27" s="2"/>
      <c r="X27" s="6">
        <f t="shared" si="18"/>
        <v>-3420</v>
      </c>
      <c r="Y27" s="2"/>
      <c r="Z27" s="7">
        <f t="shared" si="19"/>
        <v>-6.7288250074617154E-2</v>
      </c>
    </row>
    <row r="28" spans="1:26" s="24" customFormat="1" hidden="1" outlineLevel="2" x14ac:dyDescent="0.25">
      <c r="A28" s="28"/>
      <c r="B28" s="11" t="str">
        <f>CONCATENATE("          ", "6114", " - ", "STATE UNEMPLOYMENT INSURANCE")</f>
        <v xml:space="preserve">          6114 - STATE UNEMPLOYMENT INSURANCE</v>
      </c>
      <c r="C28" s="11"/>
      <c r="D28" s="6">
        <v>64.89</v>
      </c>
      <c r="E28" s="2"/>
      <c r="F28" s="7">
        <f t="shared" si="12"/>
        <v>-2.6933078211351406E-3</v>
      </c>
      <c r="G28" s="2"/>
      <c r="H28" s="6">
        <v>262.42</v>
      </c>
      <c r="I28" s="2"/>
      <c r="J28" s="7">
        <f t="shared" si="13"/>
        <v>3.9987439659034323E-4</v>
      </c>
      <c r="K28" s="2"/>
      <c r="L28" s="6">
        <f t="shared" si="14"/>
        <v>-197.53000000000003</v>
      </c>
      <c r="M28" s="2"/>
      <c r="N28" s="7">
        <f t="shared" si="15"/>
        <v>-0.75272463989025229</v>
      </c>
      <c r="O28" s="11"/>
      <c r="P28" s="6">
        <v>265.10000000000002</v>
      </c>
      <c r="Q28" s="2"/>
      <c r="R28" s="7">
        <f t="shared" si="16"/>
        <v>1.1137663367800853E-2</v>
      </c>
      <c r="S28" s="2"/>
      <c r="T28" s="6">
        <v>820.13</v>
      </c>
      <c r="U28" s="2"/>
      <c r="V28" s="7">
        <f t="shared" si="17"/>
        <v>4.7640245827688206E-4</v>
      </c>
      <c r="W28" s="2"/>
      <c r="X28" s="6">
        <f t="shared" si="18"/>
        <v>-555.03</v>
      </c>
      <c r="Y28" s="2"/>
      <c r="Z28" s="7">
        <f t="shared" si="19"/>
        <v>-0.67675856266689427</v>
      </c>
    </row>
    <row r="29" spans="1:26" s="24" customFormat="1" hidden="1" outlineLevel="2" x14ac:dyDescent="0.25">
      <c r="A29" s="28"/>
      <c r="B29" s="11" t="str">
        <f>CONCATENATE("          ", "6115", " - ", "P.E.R.S.")</f>
        <v xml:space="preserve">          6115 - P.E.R.S.</v>
      </c>
      <c r="C29" s="11"/>
      <c r="D29" s="6">
        <v>950.04</v>
      </c>
      <c r="E29" s="2"/>
      <c r="F29" s="7">
        <f t="shared" si="12"/>
        <v>-3.9432118390988272E-2</v>
      </c>
      <c r="G29" s="2"/>
      <c r="H29" s="6">
        <v>1630.79</v>
      </c>
      <c r="I29" s="2"/>
      <c r="J29" s="7">
        <f t="shared" si="13"/>
        <v>2.4849903483559399E-3</v>
      </c>
      <c r="K29" s="2"/>
      <c r="L29" s="6">
        <f t="shared" si="14"/>
        <v>-680.75</v>
      </c>
      <c r="M29" s="2"/>
      <c r="N29" s="7">
        <f t="shared" si="15"/>
        <v>-0.41743572133751128</v>
      </c>
      <c r="O29" s="11"/>
      <c r="P29" s="6">
        <v>4275.17</v>
      </c>
      <c r="Q29" s="2"/>
      <c r="R29" s="7">
        <f t="shared" si="16"/>
        <v>0.17961299245613416</v>
      </c>
      <c r="S29" s="2"/>
      <c r="T29" s="6">
        <v>5282.72</v>
      </c>
      <c r="U29" s="2"/>
      <c r="V29" s="7">
        <f t="shared" si="17"/>
        <v>3.0686608152225266E-3</v>
      </c>
      <c r="W29" s="2"/>
      <c r="X29" s="6">
        <f t="shared" si="18"/>
        <v>-1007.5500000000002</v>
      </c>
      <c r="Y29" s="2"/>
      <c r="Z29" s="7">
        <f t="shared" si="19"/>
        <v>-0.19072561104885363</v>
      </c>
    </row>
    <row r="30" spans="1:26" s="24" customFormat="1" hidden="1" outlineLevel="2" x14ac:dyDescent="0.25">
      <c r="A30" s="28"/>
      <c r="B30" s="11" t="str">
        <f>CONCATENATE("          ", "6117", " - ", "RETIREMENT STAFF HOURLY")</f>
        <v xml:space="preserve">          6117 - RETIREMENT STAFF HOURLY</v>
      </c>
      <c r="C30" s="11"/>
      <c r="D30" s="6">
        <v>385.64</v>
      </c>
      <c r="E30" s="2"/>
      <c r="F30" s="7">
        <f t="shared" si="12"/>
        <v>-1.6006275668709442E-2</v>
      </c>
      <c r="G30" s="2"/>
      <c r="H30" s="6">
        <v>452.39</v>
      </c>
      <c r="I30" s="2"/>
      <c r="J30" s="7">
        <f t="shared" si="13"/>
        <v>6.8934981431866991E-4</v>
      </c>
      <c r="K30" s="2"/>
      <c r="L30" s="6">
        <f t="shared" si="14"/>
        <v>-66.75</v>
      </c>
      <c r="M30" s="2"/>
      <c r="N30" s="7">
        <f t="shared" si="15"/>
        <v>-0.14754968058533566</v>
      </c>
      <c r="O30" s="11"/>
      <c r="P30" s="6">
        <v>1633.21</v>
      </c>
      <c r="Q30" s="2"/>
      <c r="R30" s="7">
        <f t="shared" si="16"/>
        <v>6.8616156880143456E-2</v>
      </c>
      <c r="S30" s="2"/>
      <c r="T30" s="6">
        <v>1680.7</v>
      </c>
      <c r="U30" s="2"/>
      <c r="V30" s="7">
        <f t="shared" si="17"/>
        <v>9.7629596725635657E-4</v>
      </c>
      <c r="W30" s="2"/>
      <c r="X30" s="6">
        <f t="shared" si="18"/>
        <v>-47.490000000000009</v>
      </c>
      <c r="Y30" s="2"/>
      <c r="Z30" s="7">
        <f t="shared" si="19"/>
        <v>-2.8256083774617722E-2</v>
      </c>
    </row>
    <row r="31" spans="1:26" s="24" customFormat="1" hidden="1" outlineLevel="2" x14ac:dyDescent="0.25">
      <c r="A31" s="28"/>
      <c r="B31" s="11" t="str">
        <f>CONCATENATE("          ", "6118", " - ", "VACATION")</f>
        <v xml:space="preserve">          6118 - VACATION</v>
      </c>
      <c r="C31" s="11"/>
      <c r="D31" s="6">
        <v>2578.59</v>
      </c>
      <c r="E31" s="2"/>
      <c r="F31" s="7">
        <f t="shared" si="12"/>
        <v>-0.10702630011559351</v>
      </c>
      <c r="G31" s="2"/>
      <c r="H31" s="6">
        <v>3431.36</v>
      </c>
      <c r="I31" s="2"/>
      <c r="J31" s="7">
        <f t="shared" si="13"/>
        <v>5.2286906847200674E-3</v>
      </c>
      <c r="K31" s="2"/>
      <c r="L31" s="6">
        <f t="shared" si="14"/>
        <v>-852.77</v>
      </c>
      <c r="M31" s="2"/>
      <c r="N31" s="7">
        <f t="shared" si="15"/>
        <v>-0.24852245173925205</v>
      </c>
      <c r="O31" s="11"/>
      <c r="P31" s="6">
        <v>8183.77</v>
      </c>
      <c r="Q31" s="2"/>
      <c r="R31" s="7">
        <f t="shared" si="16"/>
        <v>0.3438252559015752</v>
      </c>
      <c r="S31" s="2"/>
      <c r="T31" s="6">
        <v>11287.02</v>
      </c>
      <c r="U31" s="2"/>
      <c r="V31" s="7">
        <f t="shared" si="17"/>
        <v>6.5564777225809731E-3</v>
      </c>
      <c r="W31" s="2"/>
      <c r="X31" s="6">
        <f t="shared" si="18"/>
        <v>-3103.25</v>
      </c>
      <c r="Y31" s="2"/>
      <c r="Z31" s="7">
        <f t="shared" si="19"/>
        <v>-0.27493970950702662</v>
      </c>
    </row>
    <row r="32" spans="1:26" s="24" customFormat="1" hidden="1" outlineLevel="2" x14ac:dyDescent="0.25">
      <c r="A32" s="28"/>
      <c r="B32" s="11" t="str">
        <f>CONCATENATE("          ", "6119", " - ", "SICK LEAVE")</f>
        <v xml:space="preserve">          6119 - SICK LEAVE</v>
      </c>
      <c r="C32" s="11"/>
      <c r="D32" s="6">
        <v>1686.01</v>
      </c>
      <c r="E32" s="2"/>
      <c r="F32" s="7">
        <f t="shared" si="12"/>
        <v>-6.9979101857174583E-2</v>
      </c>
      <c r="G32" s="2"/>
      <c r="H32" s="6">
        <v>2413.02</v>
      </c>
      <c r="I32" s="2"/>
      <c r="J32" s="7">
        <f t="shared" si="13"/>
        <v>3.6769488471169497E-3</v>
      </c>
      <c r="K32" s="2"/>
      <c r="L32" s="6">
        <f t="shared" si="14"/>
        <v>-727.01</v>
      </c>
      <c r="M32" s="2"/>
      <c r="N32" s="7">
        <f t="shared" si="15"/>
        <v>-0.30128635485822747</v>
      </c>
      <c r="O32" s="11"/>
      <c r="P32" s="6">
        <v>5330.35</v>
      </c>
      <c r="Q32" s="2"/>
      <c r="R32" s="7">
        <f t="shared" si="16"/>
        <v>0.22394433773126093</v>
      </c>
      <c r="S32" s="2"/>
      <c r="T32" s="6">
        <v>11466.98</v>
      </c>
      <c r="U32" s="2"/>
      <c r="V32" s="7">
        <f t="shared" si="17"/>
        <v>6.6610140599805412E-3</v>
      </c>
      <c r="W32" s="2"/>
      <c r="X32" s="6">
        <f t="shared" si="18"/>
        <v>-6136.6299999999992</v>
      </c>
      <c r="Y32" s="2"/>
      <c r="Z32" s="7">
        <f t="shared" si="19"/>
        <v>-0.53515659746506927</v>
      </c>
    </row>
    <row r="33" spans="1:26" s="24" customFormat="1" hidden="1" outlineLevel="2" x14ac:dyDescent="0.25">
      <c r="A33" s="28"/>
      <c r="B33" s="11" t="str">
        <f>CONCATENATE("          ", "6156", " - ", "EMPLOYEE MEALS")</f>
        <v xml:space="preserve">          6156 - EMPLOYEE MEALS</v>
      </c>
      <c r="C33" s="11"/>
      <c r="D33" s="6">
        <v>995</v>
      </c>
      <c r="E33" s="2"/>
      <c r="F33" s="7">
        <f t="shared" si="12"/>
        <v>-4.1298216705647484E-2</v>
      </c>
      <c r="G33" s="2"/>
      <c r="H33" s="6">
        <v>1366.61</v>
      </c>
      <c r="I33" s="2"/>
      <c r="J33" s="7">
        <f t="shared" si="13"/>
        <v>2.0824340718098044E-3</v>
      </c>
      <c r="K33" s="2"/>
      <c r="L33" s="6">
        <f t="shared" si="14"/>
        <v>-371.6099999999999</v>
      </c>
      <c r="M33" s="2"/>
      <c r="N33" s="7">
        <f t="shared" si="15"/>
        <v>-0.27192103087201169</v>
      </c>
      <c r="O33" s="11"/>
      <c r="P33" s="6">
        <v>3305.8</v>
      </c>
      <c r="Q33" s="2"/>
      <c r="R33" s="7">
        <f t="shared" si="16"/>
        <v>0.13888678823566977</v>
      </c>
      <c r="S33" s="2"/>
      <c r="T33" s="6">
        <v>3879.44</v>
      </c>
      <c r="U33" s="2"/>
      <c r="V33" s="7">
        <f t="shared" si="17"/>
        <v>2.2535143852043791E-3</v>
      </c>
      <c r="W33" s="2"/>
      <c r="X33" s="6">
        <f t="shared" si="18"/>
        <v>-573.63999999999987</v>
      </c>
      <c r="Y33" s="2"/>
      <c r="Z33" s="7">
        <f t="shared" si="19"/>
        <v>-0.14786670241065716</v>
      </c>
    </row>
    <row r="34" spans="1:26" s="29" customFormat="1" outlineLevel="1" collapsed="1" x14ac:dyDescent="0.25">
      <c r="A34" s="27"/>
      <c r="B34" s="14" t="str">
        <f>CONCATENATE("     ","*Payroll                                          ")</f>
        <v xml:space="preserve">     *Payroll                                          </v>
      </c>
      <c r="C34" s="14"/>
      <c r="D34" s="1">
        <f>SUM(OSRRefD22_1x_0)</f>
        <v>25913.300000000003</v>
      </c>
      <c r="E34" s="1"/>
      <c r="F34" s="5">
        <f t="shared" ref="F34:F40" si="20">IF(D$12=0,0,D34/D$12)</f>
        <v>-1.0755508331240753</v>
      </c>
      <c r="G34" s="1"/>
      <c r="H34" s="1">
        <f>SUM(OSRRefH22_1x_0)</f>
        <v>116498.82</v>
      </c>
      <c r="I34" s="1"/>
      <c r="J34" s="5">
        <f t="shared" ref="J34:J40" si="21">IF(H$12=0,0,H34/H$12)</f>
        <v>0.17752036944968755</v>
      </c>
      <c r="K34" s="1"/>
      <c r="L34" s="1">
        <f t="shared" ref="L34:L40" si="22">+D34-H34</f>
        <v>-90585.52</v>
      </c>
      <c r="M34" s="1"/>
      <c r="N34" s="5">
        <f t="shared" ref="N34:N40" si="23">IF(H34=0,0,L34/H34)</f>
        <v>-0.77756598736364879</v>
      </c>
      <c r="O34" s="14"/>
      <c r="P34" s="1">
        <f>SUM(OSRRefP22_1x_0)</f>
        <v>94786.459999999992</v>
      </c>
      <c r="Q34" s="1"/>
      <c r="R34" s="5">
        <f t="shared" ref="R34:R40" si="24">IF(P$12=0,0,P34/P$12)</f>
        <v>3.9822696465692968</v>
      </c>
      <c r="S34" s="1"/>
      <c r="T34" s="1">
        <f>SUM(OSRRefT22_1x_0)</f>
        <v>351081.57999999996</v>
      </c>
      <c r="U34" s="1"/>
      <c r="V34" s="5">
        <f t="shared" ref="V34:V40" si="25">IF(T$12=0,0,T34/T$12)</f>
        <v>0.20393855579936329</v>
      </c>
      <c r="W34" s="1"/>
      <c r="X34" s="1">
        <f t="shared" ref="X34:X40" si="26">+P34-T34</f>
        <v>-256295.11999999997</v>
      </c>
      <c r="Y34" s="1"/>
      <c r="Z34" s="5">
        <f t="shared" ref="Z34:Z40" si="27">IF(T34=0,0,X34/T34)</f>
        <v>-0.73001585557408055</v>
      </c>
    </row>
    <row r="35" spans="1:26" s="24" customFormat="1" hidden="1" outlineLevel="2" x14ac:dyDescent="0.25">
      <c r="A35" s="28"/>
      <c r="B35" s="11" t="str">
        <f>CONCATENATE("          ", "6002", " - ", "STAFF SALARIES")</f>
        <v xml:space="preserve">          6002 - STAFF SALARIES</v>
      </c>
      <c r="C35" s="11"/>
      <c r="D35" s="6">
        <v>11354.63</v>
      </c>
      <c r="E35" s="2"/>
      <c r="F35" s="7">
        <f t="shared" si="20"/>
        <v>-0.47128238226376484</v>
      </c>
      <c r="G35" s="2"/>
      <c r="H35" s="6">
        <v>16527.080000000002</v>
      </c>
      <c r="I35" s="2"/>
      <c r="J35" s="7">
        <f t="shared" si="21"/>
        <v>2.5183888965781304E-2</v>
      </c>
      <c r="K35" s="2"/>
      <c r="L35" s="6">
        <f t="shared" si="22"/>
        <v>-5172.4500000000025</v>
      </c>
      <c r="M35" s="2"/>
      <c r="N35" s="7">
        <f t="shared" si="23"/>
        <v>-0.3129681710259769</v>
      </c>
      <c r="O35" s="11"/>
      <c r="P35" s="6">
        <v>40072.89</v>
      </c>
      <c r="Q35" s="2"/>
      <c r="R35" s="7">
        <f t="shared" si="24"/>
        <v>1.6835849075628557</v>
      </c>
      <c r="S35" s="2"/>
      <c r="T35" s="6">
        <v>60667.590000000004</v>
      </c>
      <c r="U35" s="2"/>
      <c r="V35" s="7">
        <f t="shared" si="25"/>
        <v>3.5240984982544216E-2</v>
      </c>
      <c r="W35" s="2"/>
      <c r="X35" s="6">
        <f t="shared" si="26"/>
        <v>-20594.700000000004</v>
      </c>
      <c r="Y35" s="2"/>
      <c r="Z35" s="7">
        <f t="shared" si="27"/>
        <v>-0.33946791029609058</v>
      </c>
    </row>
    <row r="36" spans="1:26" s="24" customFormat="1" hidden="1" outlineLevel="2" x14ac:dyDescent="0.25">
      <c r="A36" s="28"/>
      <c r="B36" s="11" t="str">
        <f>CONCATENATE("          ", "6004", " - ", "STAFF HOURLY")</f>
        <v xml:space="preserve">          6004 - STAFF HOURLY</v>
      </c>
      <c r="C36" s="11"/>
      <c r="D36" s="6">
        <v>17760.670000000002</v>
      </c>
      <c r="E36" s="2"/>
      <c r="F36" s="7">
        <f t="shared" si="20"/>
        <v>-0.737169847736173</v>
      </c>
      <c r="G36" s="2"/>
      <c r="H36" s="6">
        <v>29811.79</v>
      </c>
      <c r="I36" s="2"/>
      <c r="J36" s="7">
        <f t="shared" si="21"/>
        <v>4.5427069345050024E-2</v>
      </c>
      <c r="K36" s="2"/>
      <c r="L36" s="6">
        <f t="shared" si="22"/>
        <v>-12051.119999999999</v>
      </c>
      <c r="M36" s="2"/>
      <c r="N36" s="7">
        <f t="shared" si="23"/>
        <v>-0.40424006743640684</v>
      </c>
      <c r="O36" s="11"/>
      <c r="P36" s="6">
        <v>54713.57</v>
      </c>
      <c r="Q36" s="2"/>
      <c r="R36" s="7">
        <f t="shared" si="24"/>
        <v>2.2986847390064415</v>
      </c>
      <c r="S36" s="2"/>
      <c r="T36" s="6">
        <v>72618.81</v>
      </c>
      <c r="U36" s="2"/>
      <c r="V36" s="7">
        <f t="shared" si="25"/>
        <v>4.2183287528979339E-2</v>
      </c>
      <c r="W36" s="2"/>
      <c r="X36" s="6">
        <f t="shared" si="26"/>
        <v>-17905.239999999998</v>
      </c>
      <c r="Y36" s="2"/>
      <c r="Z36" s="7">
        <f t="shared" si="27"/>
        <v>-0.24656476744799313</v>
      </c>
    </row>
    <row r="37" spans="1:26" s="24" customFormat="1" hidden="1" outlineLevel="2" x14ac:dyDescent="0.25">
      <c r="A37" s="28"/>
      <c r="B37" s="11" t="str">
        <f>CONCATENATE("          ", "6005", " - ", "TEMPORARY WAGES-HOURLY")</f>
        <v xml:space="preserve">          6005 - TEMPORARY WAGES-HOURLY</v>
      </c>
      <c r="C37" s="11"/>
      <c r="D37" s="6"/>
      <c r="E37" s="2"/>
      <c r="F37" s="7">
        <f t="shared" si="20"/>
        <v>0</v>
      </c>
      <c r="G37" s="2"/>
      <c r="H37" s="6">
        <v>21276.43</v>
      </c>
      <c r="I37" s="2"/>
      <c r="J37" s="7">
        <f t="shared" si="21"/>
        <v>3.2420926788532416E-2</v>
      </c>
      <c r="K37" s="2"/>
      <c r="L37" s="6">
        <f t="shared" si="22"/>
        <v>-21276.43</v>
      </c>
      <c r="M37" s="2"/>
      <c r="N37" s="7">
        <f t="shared" si="23"/>
        <v>-1</v>
      </c>
      <c r="O37" s="11"/>
      <c r="P37" s="6"/>
      <c r="Q37" s="2"/>
      <c r="R37" s="7">
        <f t="shared" si="24"/>
        <v>0</v>
      </c>
      <c r="S37" s="2"/>
      <c r="T37" s="6">
        <v>61894.009999999995</v>
      </c>
      <c r="U37" s="2"/>
      <c r="V37" s="7">
        <f t="shared" si="25"/>
        <v>3.5953395823362051E-2</v>
      </c>
      <c r="W37" s="2"/>
      <c r="X37" s="6">
        <f t="shared" si="26"/>
        <v>-61894.009999999995</v>
      </c>
      <c r="Y37" s="2"/>
      <c r="Z37" s="7">
        <f t="shared" si="27"/>
        <v>-1</v>
      </c>
    </row>
    <row r="38" spans="1:26" s="24" customFormat="1" hidden="1" outlineLevel="2" x14ac:dyDescent="0.25">
      <c r="A38" s="28"/>
      <c r="B38" s="11" t="str">
        <f>CONCATENATE("          ", "6006", " - ", "TEMPORARY PART TIME")</f>
        <v xml:space="preserve">          6006 - TEMPORARY PART TIME</v>
      </c>
      <c r="C38" s="11"/>
      <c r="D38" s="6"/>
      <c r="E38" s="2"/>
      <c r="F38" s="7">
        <f t="shared" si="20"/>
        <v>0</v>
      </c>
      <c r="G38" s="2"/>
      <c r="H38" s="6">
        <v>1806</v>
      </c>
      <c r="I38" s="2"/>
      <c r="J38" s="7">
        <f t="shared" si="21"/>
        <v>2.7519745455459178E-3</v>
      </c>
      <c r="K38" s="2"/>
      <c r="L38" s="6">
        <f t="shared" si="22"/>
        <v>-1806</v>
      </c>
      <c r="M38" s="2"/>
      <c r="N38" s="7">
        <f t="shared" si="23"/>
        <v>-1</v>
      </c>
      <c r="O38" s="11"/>
      <c r="P38" s="6"/>
      <c r="Q38" s="2"/>
      <c r="R38" s="7">
        <f t="shared" si="24"/>
        <v>0</v>
      </c>
      <c r="S38" s="2"/>
      <c r="T38" s="6">
        <v>8513.07</v>
      </c>
      <c r="U38" s="2"/>
      <c r="V38" s="7">
        <f t="shared" si="25"/>
        <v>4.9451275718278521E-3</v>
      </c>
      <c r="W38" s="2"/>
      <c r="X38" s="6">
        <f t="shared" si="26"/>
        <v>-8513.07</v>
      </c>
      <c r="Y38" s="2"/>
      <c r="Z38" s="7">
        <f t="shared" si="27"/>
        <v>-1</v>
      </c>
    </row>
    <row r="39" spans="1:26" s="24" customFormat="1" hidden="1" outlineLevel="2" x14ac:dyDescent="0.25">
      <c r="A39" s="28"/>
      <c r="B39" s="11" t="str">
        <f>CONCATENATE("          ", "6007", " - ", "STUDENT HOURLY")</f>
        <v xml:space="preserve">          6007 - STUDENT HOURLY</v>
      </c>
      <c r="C39" s="11"/>
      <c r="D39" s="6">
        <v>-3202</v>
      </c>
      <c r="E39" s="2"/>
      <c r="F39" s="7">
        <f t="shared" si="20"/>
        <v>0.13290139687586255</v>
      </c>
      <c r="G39" s="2"/>
      <c r="H39" s="6">
        <v>42141.020000000004</v>
      </c>
      <c r="I39" s="2"/>
      <c r="J39" s="7">
        <f t="shared" si="21"/>
        <v>6.4214293667409439E-2</v>
      </c>
      <c r="K39" s="2"/>
      <c r="L39" s="6">
        <f t="shared" si="22"/>
        <v>-45343.020000000004</v>
      </c>
      <c r="M39" s="2"/>
      <c r="N39" s="7">
        <f t="shared" si="23"/>
        <v>-1.0759829733594488</v>
      </c>
      <c r="O39" s="11"/>
      <c r="P39" s="6">
        <v>0</v>
      </c>
      <c r="Q39" s="2"/>
      <c r="R39" s="7">
        <f t="shared" si="24"/>
        <v>0</v>
      </c>
      <c r="S39" s="2"/>
      <c r="T39" s="6">
        <v>136021.1</v>
      </c>
      <c r="U39" s="2"/>
      <c r="V39" s="7">
        <f t="shared" si="25"/>
        <v>7.9012822866527999E-2</v>
      </c>
      <c r="W39" s="2"/>
      <c r="X39" s="6">
        <f t="shared" si="26"/>
        <v>-136021.1</v>
      </c>
      <c r="Y39" s="2"/>
      <c r="Z39" s="7">
        <f t="shared" si="27"/>
        <v>-1</v>
      </c>
    </row>
    <row r="40" spans="1:26" s="24" customFormat="1" hidden="1" outlineLevel="2" x14ac:dyDescent="0.25">
      <c r="A40" s="28"/>
      <c r="B40" s="11" t="str">
        <f>CONCATENATE("          ", "6008", " - ", "STUDENT HOURLY-FICA EXEMPT")</f>
        <v xml:space="preserve">          6008 - STUDENT HOURLY-FICA EXEMPT</v>
      </c>
      <c r="C40" s="11"/>
      <c r="D40" s="6"/>
      <c r="E40" s="2"/>
      <c r="F40" s="7">
        <f t="shared" si="20"/>
        <v>0</v>
      </c>
      <c r="G40" s="2"/>
      <c r="H40" s="6">
        <v>4936.5</v>
      </c>
      <c r="I40" s="2"/>
      <c r="J40" s="7">
        <f t="shared" si="21"/>
        <v>7.5222161373684517E-3</v>
      </c>
      <c r="K40" s="2"/>
      <c r="L40" s="6">
        <f t="shared" si="22"/>
        <v>-4936.5</v>
      </c>
      <c r="M40" s="2"/>
      <c r="N40" s="7">
        <f t="shared" si="23"/>
        <v>-1</v>
      </c>
      <c r="O40" s="11"/>
      <c r="P40" s="6"/>
      <c r="Q40" s="2"/>
      <c r="R40" s="7">
        <f t="shared" si="24"/>
        <v>0</v>
      </c>
      <c r="S40" s="2"/>
      <c r="T40" s="6">
        <v>11367</v>
      </c>
      <c r="U40" s="2"/>
      <c r="V40" s="7">
        <f t="shared" si="25"/>
        <v>6.602937026121857E-3</v>
      </c>
      <c r="W40" s="2"/>
      <c r="X40" s="6">
        <f t="shared" si="26"/>
        <v>-11367</v>
      </c>
      <c r="Y40" s="2"/>
      <c r="Z40" s="7">
        <f t="shared" si="27"/>
        <v>-1</v>
      </c>
    </row>
    <row r="41" spans="1:26" s="29" customFormat="1" outlineLevel="1" collapsed="1" x14ac:dyDescent="0.25">
      <c r="A41" s="27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SUM(OSRRefD22_2x_0)</f>
        <v>0</v>
      </c>
      <c r="E41" s="1"/>
      <c r="F41" s="5">
        <f t="shared" ref="F41:F61" si="28">IF(D$12=0,0,D41/D$12)</f>
        <v>0</v>
      </c>
      <c r="G41" s="1"/>
      <c r="H41" s="1">
        <f>SUM(OSRRefH22_2x_0)</f>
        <v>474</v>
      </c>
      <c r="I41" s="1"/>
      <c r="J41" s="5">
        <f t="shared" ref="J41:J61" si="29">IF(H$12=0,0,H41/H$12)</f>
        <v>7.2227903354859645E-4</v>
      </c>
      <c r="K41" s="1"/>
      <c r="L41" s="1">
        <f t="shared" ref="L41:L61" si="30">+D41-H41</f>
        <v>-474</v>
      </c>
      <c r="M41" s="1"/>
      <c r="N41" s="5">
        <f t="shared" ref="N41:N61" si="31">IF(H41=0,0,L41/H41)</f>
        <v>-1</v>
      </c>
      <c r="O41" s="14"/>
      <c r="P41" s="1">
        <f>SUM(OSRRefP22_2x_0)</f>
        <v>204.75</v>
      </c>
      <c r="Q41" s="1"/>
      <c r="R41" s="5">
        <f t="shared" ref="R41:R61" si="32">IF(P$12=0,0,P41/P$12)</f>
        <v>8.6021749323169534E-3</v>
      </c>
      <c r="S41" s="1"/>
      <c r="T41" s="1">
        <f>SUM(OSRRefT22_2x_0)</f>
        <v>2543.6799999999998</v>
      </c>
      <c r="U41" s="1"/>
      <c r="V41" s="5">
        <f t="shared" ref="V41:V61" si="33">IF(T$12=0,0,T41/T$12)</f>
        <v>1.4775894127391259E-3</v>
      </c>
      <c r="W41" s="1"/>
      <c r="X41" s="1">
        <f t="shared" ref="X41:X61" si="34">+P41-T41</f>
        <v>-2338.9299999999998</v>
      </c>
      <c r="Y41" s="1"/>
      <c r="Z41" s="5">
        <f t="shared" ref="Z41:Z61" si="35">IF(T41=0,0,X41/T41)</f>
        <v>-0.91950638445087429</v>
      </c>
    </row>
    <row r="42" spans="1:26" s="24" customFormat="1" hidden="1" outlineLevel="2" x14ac:dyDescent="0.25">
      <c r="A42" s="28"/>
      <c r="B42" s="11" t="str">
        <f>CONCATENATE("          ", "6362", " - ", "ADVERTISING EXPENSE")</f>
        <v xml:space="preserve">          6362 - ADVERTISING EXPENSE</v>
      </c>
      <c r="C42" s="11"/>
      <c r="D42" s="6"/>
      <c r="E42" s="2"/>
      <c r="F42" s="7">
        <f t="shared" si="28"/>
        <v>0</v>
      </c>
      <c r="G42" s="2"/>
      <c r="H42" s="6">
        <v>474</v>
      </c>
      <c r="I42" s="2"/>
      <c r="J42" s="7">
        <f t="shared" si="29"/>
        <v>7.2227903354859645E-4</v>
      </c>
      <c r="K42" s="2"/>
      <c r="L42" s="6">
        <f t="shared" si="30"/>
        <v>-474</v>
      </c>
      <c r="M42" s="2"/>
      <c r="N42" s="7">
        <f t="shared" si="31"/>
        <v>-1</v>
      </c>
      <c r="O42" s="11"/>
      <c r="P42" s="6">
        <v>204.75</v>
      </c>
      <c r="Q42" s="2"/>
      <c r="R42" s="7">
        <f t="shared" si="32"/>
        <v>8.6021749323169534E-3</v>
      </c>
      <c r="S42" s="2"/>
      <c r="T42" s="6">
        <v>2543.6799999999998</v>
      </c>
      <c r="U42" s="2"/>
      <c r="V42" s="7">
        <f t="shared" si="33"/>
        <v>1.4775894127391259E-3</v>
      </c>
      <c r="W42" s="2"/>
      <c r="X42" s="6">
        <f t="shared" si="34"/>
        <v>-2338.9299999999998</v>
      </c>
      <c r="Y42" s="2"/>
      <c r="Z42" s="7">
        <f t="shared" si="35"/>
        <v>-0.91950638445087429</v>
      </c>
    </row>
    <row r="43" spans="1:26" s="29" customFormat="1" outlineLevel="1" collapsed="1" x14ac:dyDescent="0.25">
      <c r="A43" s="27"/>
      <c r="B43" s="14" t="str">
        <f>CONCATENATE("     ","Bad Debts/Over/Short                              ")</f>
        <v xml:space="preserve">     Bad Debts/Over/Short                              </v>
      </c>
      <c r="C43" s="14"/>
      <c r="D43" s="1">
        <f>SUM(OSRRefD22_3x_0)</f>
        <v>0</v>
      </c>
      <c r="E43" s="1"/>
      <c r="F43" s="5">
        <f t="shared" si="28"/>
        <v>0</v>
      </c>
      <c r="G43" s="1"/>
      <c r="H43" s="1">
        <f>SUM(OSRRefH22_3x_0)</f>
        <v>0</v>
      </c>
      <c r="I43" s="1"/>
      <c r="J43" s="5">
        <f t="shared" si="29"/>
        <v>0</v>
      </c>
      <c r="K43" s="1"/>
      <c r="L43" s="1">
        <f t="shared" si="30"/>
        <v>0</v>
      </c>
      <c r="M43" s="1"/>
      <c r="N43" s="5">
        <f t="shared" si="31"/>
        <v>0</v>
      </c>
      <c r="O43" s="14"/>
      <c r="P43" s="1">
        <f>SUM(OSRRefP22_3x_0)</f>
        <v>0</v>
      </c>
      <c r="Q43" s="1"/>
      <c r="R43" s="5">
        <f t="shared" si="32"/>
        <v>0</v>
      </c>
      <c r="S43" s="1"/>
      <c r="T43" s="1">
        <f>SUM(OSRRefT22_3x_0)</f>
        <v>1</v>
      </c>
      <c r="U43" s="1"/>
      <c r="V43" s="5">
        <f t="shared" si="33"/>
        <v>5.8088651589001999E-7</v>
      </c>
      <c r="W43" s="1"/>
      <c r="X43" s="1">
        <f t="shared" si="34"/>
        <v>-1</v>
      </c>
      <c r="Y43" s="1"/>
      <c r="Z43" s="5">
        <f t="shared" si="35"/>
        <v>-1</v>
      </c>
    </row>
    <row r="44" spans="1:26" s="24" customFormat="1" hidden="1" outlineLevel="2" x14ac:dyDescent="0.25">
      <c r="A44" s="28"/>
      <c r="B44" s="11" t="str">
        <f>CONCATENATE("          ", "6272", " - ", "CASH (OVER/SHORT)")</f>
        <v xml:space="preserve">          6272 - CASH (OVER/SHORT)</v>
      </c>
      <c r="C44" s="11"/>
      <c r="D44" s="6"/>
      <c r="E44" s="2"/>
      <c r="F44" s="7">
        <f t="shared" si="28"/>
        <v>0</v>
      </c>
      <c r="G44" s="2"/>
      <c r="H44" s="6"/>
      <c r="I44" s="2"/>
      <c r="J44" s="7">
        <f t="shared" si="29"/>
        <v>0</v>
      </c>
      <c r="K44" s="2"/>
      <c r="L44" s="6">
        <f t="shared" si="30"/>
        <v>0</v>
      </c>
      <c r="M44" s="2"/>
      <c r="N44" s="7">
        <f t="shared" si="31"/>
        <v>0</v>
      </c>
      <c r="O44" s="11"/>
      <c r="P44" s="6"/>
      <c r="Q44" s="2"/>
      <c r="R44" s="7">
        <f t="shared" si="32"/>
        <v>0</v>
      </c>
      <c r="S44" s="2"/>
      <c r="T44" s="6">
        <v>1</v>
      </c>
      <c r="U44" s="2"/>
      <c r="V44" s="7">
        <f t="shared" si="33"/>
        <v>5.8088651589001999E-7</v>
      </c>
      <c r="W44" s="2"/>
      <c r="X44" s="6">
        <f t="shared" si="34"/>
        <v>-1</v>
      </c>
      <c r="Y44" s="2"/>
      <c r="Z44" s="7">
        <f t="shared" si="35"/>
        <v>-1</v>
      </c>
    </row>
    <row r="45" spans="1:26" s="29" customFormat="1" outlineLevel="1" collapsed="1" x14ac:dyDescent="0.25">
      <c r="A45" s="27"/>
      <c r="B45" s="14" t="str">
        <f>CONCATENATE("     ","Bank/card Fees                                    ")</f>
        <v xml:space="preserve">     Bank/card Fees                                    </v>
      </c>
      <c r="C45" s="14"/>
      <c r="D45" s="1">
        <f>SUM(OSRRefD22_4x_0)</f>
        <v>0</v>
      </c>
      <c r="E45" s="1"/>
      <c r="F45" s="5">
        <f t="shared" si="28"/>
        <v>0</v>
      </c>
      <c r="G45" s="1"/>
      <c r="H45" s="1">
        <f>SUM(OSRRefH22_4x_0)</f>
        <v>510.6</v>
      </c>
      <c r="I45" s="1"/>
      <c r="J45" s="5">
        <f t="shared" si="29"/>
        <v>7.7804994626564001E-4</v>
      </c>
      <c r="K45" s="1"/>
      <c r="L45" s="1">
        <f t="shared" si="30"/>
        <v>-510.6</v>
      </c>
      <c r="M45" s="1"/>
      <c r="N45" s="5">
        <f t="shared" si="31"/>
        <v>-1</v>
      </c>
      <c r="O45" s="14"/>
      <c r="P45" s="1">
        <f>SUM(OSRRefP22_4x_0)</f>
        <v>0</v>
      </c>
      <c r="Q45" s="1"/>
      <c r="R45" s="5">
        <f t="shared" si="32"/>
        <v>0</v>
      </c>
      <c r="S45" s="1"/>
      <c r="T45" s="1">
        <f>SUM(OSRRefT22_4x_0)</f>
        <v>926.87</v>
      </c>
      <c r="U45" s="1"/>
      <c r="V45" s="5">
        <f t="shared" si="33"/>
        <v>5.384062849829828E-4</v>
      </c>
      <c r="W45" s="1"/>
      <c r="X45" s="1">
        <f t="shared" si="34"/>
        <v>-926.87</v>
      </c>
      <c r="Y45" s="1"/>
      <c r="Z45" s="5">
        <f t="shared" si="35"/>
        <v>-1</v>
      </c>
    </row>
    <row r="46" spans="1:26" s="24" customFormat="1" hidden="1" outlineLevel="2" x14ac:dyDescent="0.25">
      <c r="A46" s="28"/>
      <c r="B46" s="11" t="str">
        <f>CONCATENATE("          ", "6381", " - ", "BANK/CREDIT CARD FEES")</f>
        <v xml:space="preserve">          6381 - BANK/CREDIT CARD FEES</v>
      </c>
      <c r="C46" s="11"/>
      <c r="D46" s="6"/>
      <c r="E46" s="2"/>
      <c r="F46" s="7">
        <f t="shared" si="28"/>
        <v>0</v>
      </c>
      <c r="G46" s="2"/>
      <c r="H46" s="6">
        <v>510.6</v>
      </c>
      <c r="I46" s="2"/>
      <c r="J46" s="7">
        <f t="shared" si="29"/>
        <v>7.7804994626564001E-4</v>
      </c>
      <c r="K46" s="2"/>
      <c r="L46" s="6">
        <f t="shared" si="30"/>
        <v>-510.6</v>
      </c>
      <c r="M46" s="2"/>
      <c r="N46" s="7">
        <f t="shared" si="31"/>
        <v>-1</v>
      </c>
      <c r="O46" s="11"/>
      <c r="P46" s="6"/>
      <c r="Q46" s="2"/>
      <c r="R46" s="7">
        <f t="shared" si="32"/>
        <v>0</v>
      </c>
      <c r="S46" s="2"/>
      <c r="T46" s="6">
        <v>926.87</v>
      </c>
      <c r="U46" s="2"/>
      <c r="V46" s="7">
        <f t="shared" si="33"/>
        <v>5.384062849829828E-4</v>
      </c>
      <c r="W46" s="2"/>
      <c r="X46" s="6">
        <f t="shared" si="34"/>
        <v>-926.87</v>
      </c>
      <c r="Y46" s="2"/>
      <c r="Z46" s="7">
        <f t="shared" si="35"/>
        <v>-1</v>
      </c>
    </row>
    <row r="47" spans="1:26" s="29" customFormat="1" outlineLevel="1" collapsed="1" x14ac:dyDescent="0.25">
      <c r="A47" s="27"/>
      <c r="B47" s="14" t="str">
        <f>CONCATENATE("     ","Depreciation                                      ")</f>
        <v xml:space="preserve">     Depreciation                                      </v>
      </c>
      <c r="C47" s="14"/>
      <c r="D47" s="1">
        <f>SUM(OSRRefD22_5x_0)</f>
        <v>272.74</v>
      </c>
      <c r="E47" s="1"/>
      <c r="F47" s="5">
        <f t="shared" si="28"/>
        <v>-1.132027700934502E-2</v>
      </c>
      <c r="G47" s="1"/>
      <c r="H47" s="1">
        <f>SUM(OSRRefH22_5x_0)</f>
        <v>0</v>
      </c>
      <c r="I47" s="1"/>
      <c r="J47" s="5">
        <f t="shared" si="29"/>
        <v>0</v>
      </c>
      <c r="K47" s="1"/>
      <c r="L47" s="1">
        <f t="shared" si="30"/>
        <v>272.74</v>
      </c>
      <c r="M47" s="1"/>
      <c r="N47" s="5">
        <f t="shared" si="31"/>
        <v>0</v>
      </c>
      <c r="O47" s="14"/>
      <c r="P47" s="1">
        <f>SUM(OSRRefP22_5x_0)</f>
        <v>826.74</v>
      </c>
      <c r="Q47" s="1"/>
      <c r="R47" s="5">
        <f t="shared" si="32"/>
        <v>3.4733880847588369E-2</v>
      </c>
      <c r="S47" s="1"/>
      <c r="T47" s="1">
        <f>SUM(OSRRefT22_5x_0)</f>
        <v>0</v>
      </c>
      <c r="U47" s="1"/>
      <c r="V47" s="5">
        <f t="shared" si="33"/>
        <v>0</v>
      </c>
      <c r="W47" s="1"/>
      <c r="X47" s="1">
        <f t="shared" si="34"/>
        <v>826.74</v>
      </c>
      <c r="Y47" s="1"/>
      <c r="Z47" s="5">
        <f t="shared" si="35"/>
        <v>0</v>
      </c>
    </row>
    <row r="48" spans="1:26" s="24" customFormat="1" hidden="1" outlineLevel="2" x14ac:dyDescent="0.25">
      <c r="A48" s="28"/>
      <c r="B48" s="11" t="str">
        <f>CONCATENATE("          ", "6322", " - ", "EQUIPMENT DEPRECIATION EXPENSE")</f>
        <v xml:space="preserve">          6322 - EQUIPMENT DEPRECIATION EXPENSE</v>
      </c>
      <c r="C48" s="11"/>
      <c r="D48" s="6">
        <v>272.74</v>
      </c>
      <c r="E48" s="2"/>
      <c r="F48" s="7">
        <f t="shared" si="28"/>
        <v>-1.132027700934502E-2</v>
      </c>
      <c r="G48" s="2"/>
      <c r="H48" s="6"/>
      <c r="I48" s="2"/>
      <c r="J48" s="7">
        <f t="shared" si="29"/>
        <v>0</v>
      </c>
      <c r="K48" s="2"/>
      <c r="L48" s="6">
        <f t="shared" si="30"/>
        <v>272.74</v>
      </c>
      <c r="M48" s="2"/>
      <c r="N48" s="7">
        <f t="shared" si="31"/>
        <v>0</v>
      </c>
      <c r="O48" s="11"/>
      <c r="P48" s="6">
        <v>826.74</v>
      </c>
      <c r="Q48" s="2"/>
      <c r="R48" s="7">
        <f t="shared" si="32"/>
        <v>3.4733880847588369E-2</v>
      </c>
      <c r="S48" s="2"/>
      <c r="T48" s="6"/>
      <c r="U48" s="2"/>
      <c r="V48" s="7">
        <f t="shared" si="33"/>
        <v>0</v>
      </c>
      <c r="W48" s="2"/>
      <c r="X48" s="6">
        <f t="shared" si="34"/>
        <v>826.74</v>
      </c>
      <c r="Y48" s="2"/>
      <c r="Z48" s="7">
        <f t="shared" si="35"/>
        <v>0</v>
      </c>
    </row>
    <row r="49" spans="1:26" s="29" customFormat="1" outlineLevel="1" collapsed="1" x14ac:dyDescent="0.25">
      <c r="A49" s="27"/>
      <c r="B49" s="14" t="str">
        <f>CONCATENATE("     ","Donations                                         ")</f>
        <v xml:space="preserve">     Donations                                         </v>
      </c>
      <c r="C49" s="14"/>
      <c r="D49" s="1">
        <f>SUM(OSRRefD22_6x_0)</f>
        <v>0</v>
      </c>
      <c r="E49" s="1"/>
      <c r="F49" s="5">
        <f t="shared" si="28"/>
        <v>0</v>
      </c>
      <c r="G49" s="1"/>
      <c r="H49" s="1">
        <f>SUM(OSRRefH22_6x_0)</f>
        <v>14351.21</v>
      </c>
      <c r="I49" s="1"/>
      <c r="J49" s="5">
        <f t="shared" si="29"/>
        <v>2.1868308204753061E-2</v>
      </c>
      <c r="K49" s="1"/>
      <c r="L49" s="1">
        <f t="shared" si="30"/>
        <v>-14351.21</v>
      </c>
      <c r="M49" s="1"/>
      <c r="N49" s="5">
        <f t="shared" si="31"/>
        <v>-1</v>
      </c>
      <c r="O49" s="14"/>
      <c r="P49" s="1">
        <f>SUM(OSRRefP22_6x_0)</f>
        <v>0</v>
      </c>
      <c r="Q49" s="1"/>
      <c r="R49" s="5">
        <f t="shared" si="32"/>
        <v>0</v>
      </c>
      <c r="S49" s="1"/>
      <c r="T49" s="1">
        <f>SUM(OSRRefT22_6x_0)</f>
        <v>29729</v>
      </c>
      <c r="U49" s="1"/>
      <c r="V49" s="5">
        <f t="shared" si="33"/>
        <v>1.7269175230894405E-2</v>
      </c>
      <c r="W49" s="1"/>
      <c r="X49" s="1">
        <f t="shared" si="34"/>
        <v>-29729</v>
      </c>
      <c r="Y49" s="1"/>
      <c r="Z49" s="5">
        <f t="shared" si="35"/>
        <v>-1</v>
      </c>
    </row>
    <row r="50" spans="1:26" s="24" customFormat="1" hidden="1" outlineLevel="2" x14ac:dyDescent="0.25">
      <c r="A50" s="28"/>
      <c r="B50" s="11" t="str">
        <f>CONCATENATE("          ", "6399", " - ", "DONATION-ON CAMPUS")</f>
        <v xml:space="preserve">          6399 - DONATION-ON CAMPUS</v>
      </c>
      <c r="C50" s="11"/>
      <c r="D50" s="6"/>
      <c r="E50" s="2"/>
      <c r="F50" s="7">
        <f t="shared" si="28"/>
        <v>0</v>
      </c>
      <c r="G50" s="2"/>
      <c r="H50" s="6">
        <v>14351.21</v>
      </c>
      <c r="I50" s="2"/>
      <c r="J50" s="7">
        <f t="shared" si="29"/>
        <v>2.1868308204753061E-2</v>
      </c>
      <c r="K50" s="2"/>
      <c r="L50" s="6">
        <f t="shared" si="30"/>
        <v>-14351.21</v>
      </c>
      <c r="M50" s="2"/>
      <c r="N50" s="7">
        <f t="shared" si="31"/>
        <v>-1</v>
      </c>
      <c r="O50" s="11"/>
      <c r="P50" s="6"/>
      <c r="Q50" s="2"/>
      <c r="R50" s="7">
        <f t="shared" si="32"/>
        <v>0</v>
      </c>
      <c r="S50" s="2"/>
      <c r="T50" s="6">
        <v>29729</v>
      </c>
      <c r="U50" s="2"/>
      <c r="V50" s="7">
        <f t="shared" si="33"/>
        <v>1.7269175230894405E-2</v>
      </c>
      <c r="W50" s="2"/>
      <c r="X50" s="6">
        <f t="shared" si="34"/>
        <v>-29729</v>
      </c>
      <c r="Y50" s="2"/>
      <c r="Z50" s="7">
        <f t="shared" si="35"/>
        <v>-1</v>
      </c>
    </row>
    <row r="51" spans="1:26" s="29" customFormat="1" outlineLevel="1" collapsed="1" x14ac:dyDescent="0.25">
      <c r="A51" s="27"/>
      <c r="B51" s="14" t="str">
        <f>CONCATENATE("     ","Employees' Appreciation                           ")</f>
        <v xml:space="preserve">     Employees' Appreciation                           </v>
      </c>
      <c r="C51" s="14"/>
      <c r="D51" s="1">
        <f>SUM(OSRRefD22_7x_0)</f>
        <v>0</v>
      </c>
      <c r="E51" s="1"/>
      <c r="F51" s="5">
        <f t="shared" si="28"/>
        <v>0</v>
      </c>
      <c r="G51" s="1"/>
      <c r="H51" s="1">
        <f>SUM(OSRRefH22_7x_0)</f>
        <v>0</v>
      </c>
      <c r="I51" s="1"/>
      <c r="J51" s="5">
        <f t="shared" si="29"/>
        <v>0</v>
      </c>
      <c r="K51" s="1"/>
      <c r="L51" s="1">
        <f t="shared" si="30"/>
        <v>0</v>
      </c>
      <c r="M51" s="1"/>
      <c r="N51" s="5">
        <f t="shared" si="31"/>
        <v>0</v>
      </c>
      <c r="O51" s="14"/>
      <c r="P51" s="1">
        <f>SUM(OSRRefP22_7x_0)</f>
        <v>0</v>
      </c>
      <c r="Q51" s="1"/>
      <c r="R51" s="5">
        <f t="shared" si="32"/>
        <v>0</v>
      </c>
      <c r="S51" s="1"/>
      <c r="T51" s="1">
        <f>SUM(OSRRefT22_7x_0)</f>
        <v>21.33</v>
      </c>
      <c r="U51" s="1"/>
      <c r="V51" s="5">
        <f t="shared" si="33"/>
        <v>1.2390309383934124E-5</v>
      </c>
      <c r="W51" s="1"/>
      <c r="X51" s="1">
        <f t="shared" si="34"/>
        <v>-21.33</v>
      </c>
      <c r="Y51" s="1"/>
      <c r="Z51" s="5">
        <f t="shared" si="35"/>
        <v>-1</v>
      </c>
    </row>
    <row r="52" spans="1:26" s="24" customFormat="1" hidden="1" outlineLevel="2" x14ac:dyDescent="0.25">
      <c r="A52" s="28"/>
      <c r="B52" s="11" t="str">
        <f>CONCATENATE("          ", "6277", " - ", "EMPLOYEE APPRECIATION")</f>
        <v xml:space="preserve">          6277 - EMPLOYEE APPRECIATION</v>
      </c>
      <c r="C52" s="11"/>
      <c r="D52" s="6"/>
      <c r="E52" s="2"/>
      <c r="F52" s="7">
        <f t="shared" si="28"/>
        <v>0</v>
      </c>
      <c r="G52" s="2"/>
      <c r="H52" s="6"/>
      <c r="I52" s="2"/>
      <c r="J52" s="7">
        <f t="shared" si="29"/>
        <v>0</v>
      </c>
      <c r="K52" s="2"/>
      <c r="L52" s="6">
        <f t="shared" si="30"/>
        <v>0</v>
      </c>
      <c r="M52" s="2"/>
      <c r="N52" s="7">
        <f t="shared" si="31"/>
        <v>0</v>
      </c>
      <c r="O52" s="11"/>
      <c r="P52" s="6"/>
      <c r="Q52" s="2"/>
      <c r="R52" s="7">
        <f t="shared" si="32"/>
        <v>0</v>
      </c>
      <c r="S52" s="2"/>
      <c r="T52" s="6">
        <v>21.33</v>
      </c>
      <c r="U52" s="2"/>
      <c r="V52" s="7">
        <f t="shared" si="33"/>
        <v>1.2390309383934124E-5</v>
      </c>
      <c r="W52" s="2"/>
      <c r="X52" s="6">
        <f t="shared" si="34"/>
        <v>-21.33</v>
      </c>
      <c r="Y52" s="2"/>
      <c r="Z52" s="7">
        <f t="shared" si="35"/>
        <v>-1</v>
      </c>
    </row>
    <row r="53" spans="1:26" s="29" customFormat="1" outlineLevel="1" collapsed="1" x14ac:dyDescent="0.25">
      <c r="A53" s="27"/>
      <c r="B53" s="14" t="str">
        <f>CONCATENATE("     ","Equipment Rental                                  ")</f>
        <v xml:space="preserve">     Equipment Rental                                  </v>
      </c>
      <c r="C53" s="14"/>
      <c r="D53" s="1">
        <f>SUM(OSRRefD22_8x_0)</f>
        <v>368.19</v>
      </c>
      <c r="E53" s="1"/>
      <c r="F53" s="5">
        <f t="shared" si="28"/>
        <v>-1.528200041090688E-2</v>
      </c>
      <c r="G53" s="1"/>
      <c r="H53" s="1">
        <f>SUM(OSRRefH22_8x_0)</f>
        <v>83.78</v>
      </c>
      <c r="I53" s="1"/>
      <c r="J53" s="5">
        <f t="shared" si="29"/>
        <v>1.2766358107742912E-4</v>
      </c>
      <c r="K53" s="1"/>
      <c r="L53" s="1">
        <f t="shared" si="30"/>
        <v>284.40999999999997</v>
      </c>
      <c r="M53" s="1"/>
      <c r="N53" s="5">
        <f t="shared" si="31"/>
        <v>3.3947242778706133</v>
      </c>
      <c r="O53" s="14"/>
      <c r="P53" s="1">
        <f>SUM(OSRRefP22_8x_0)</f>
        <v>971.13</v>
      </c>
      <c r="Q53" s="1"/>
      <c r="R53" s="5">
        <f t="shared" si="32"/>
        <v>4.0800147213777595E-2</v>
      </c>
      <c r="S53" s="1"/>
      <c r="T53" s="1">
        <f>SUM(OSRRefT22_8x_0)</f>
        <v>628.66</v>
      </c>
      <c r="U53" s="1"/>
      <c r="V53" s="5">
        <f t="shared" si="33"/>
        <v>3.6518011707941994E-4</v>
      </c>
      <c r="W53" s="1"/>
      <c r="X53" s="1">
        <f t="shared" si="34"/>
        <v>342.47</v>
      </c>
      <c r="Y53" s="1"/>
      <c r="Z53" s="5">
        <f t="shared" si="35"/>
        <v>0.54476187446314395</v>
      </c>
    </row>
    <row r="54" spans="1:26" s="24" customFormat="1" hidden="1" outlineLevel="2" x14ac:dyDescent="0.25">
      <c r="A54" s="28"/>
      <c r="B54" s="11" t="str">
        <f>CONCATENATE("          ", "6351", " - ", "EQUIPMENT RENTAL")</f>
        <v xml:space="preserve">          6351 - EQUIPMENT RENTAL</v>
      </c>
      <c r="C54" s="11"/>
      <c r="D54" s="6">
        <v>368.19</v>
      </c>
      <c r="E54" s="2"/>
      <c r="F54" s="7">
        <f t="shared" si="28"/>
        <v>-1.528200041090688E-2</v>
      </c>
      <c r="G54" s="2"/>
      <c r="H54" s="6">
        <v>83.78</v>
      </c>
      <c r="I54" s="2"/>
      <c r="J54" s="7">
        <f t="shared" si="29"/>
        <v>1.2766358107742912E-4</v>
      </c>
      <c r="K54" s="2"/>
      <c r="L54" s="6">
        <f t="shared" si="30"/>
        <v>284.40999999999997</v>
      </c>
      <c r="M54" s="2"/>
      <c r="N54" s="7">
        <f t="shared" si="31"/>
        <v>3.3947242778706133</v>
      </c>
      <c r="O54" s="11"/>
      <c r="P54" s="6">
        <v>971.13</v>
      </c>
      <c r="Q54" s="2"/>
      <c r="R54" s="7">
        <f t="shared" si="32"/>
        <v>4.0800147213777595E-2</v>
      </c>
      <c r="S54" s="2"/>
      <c r="T54" s="6">
        <v>628.66</v>
      </c>
      <c r="U54" s="2"/>
      <c r="V54" s="7">
        <f t="shared" si="33"/>
        <v>3.6518011707941994E-4</v>
      </c>
      <c r="W54" s="2"/>
      <c r="X54" s="6">
        <f t="shared" si="34"/>
        <v>342.47</v>
      </c>
      <c r="Y54" s="2"/>
      <c r="Z54" s="7">
        <f t="shared" si="35"/>
        <v>0.54476187446314395</v>
      </c>
    </row>
    <row r="55" spans="1:26" s="29" customFormat="1" outlineLevel="1" collapsed="1" x14ac:dyDescent="0.25">
      <c r="A55" s="27"/>
      <c r="B55" s="14" t="str">
        <f>CONCATENATE("     ","General                                           ")</f>
        <v xml:space="preserve">     General                                           </v>
      </c>
      <c r="C55" s="14"/>
      <c r="D55" s="1">
        <f>SUM(OSRRefD22_9x_0)</f>
        <v>0</v>
      </c>
      <c r="E55" s="1"/>
      <c r="F55" s="5">
        <f t="shared" si="28"/>
        <v>0</v>
      </c>
      <c r="G55" s="1"/>
      <c r="H55" s="1">
        <f>SUM(OSRRefH22_9x_0)</f>
        <v>0</v>
      </c>
      <c r="I55" s="1"/>
      <c r="J55" s="5">
        <f t="shared" si="29"/>
        <v>0</v>
      </c>
      <c r="K55" s="1"/>
      <c r="L55" s="1">
        <f t="shared" si="30"/>
        <v>0</v>
      </c>
      <c r="M55" s="1"/>
      <c r="N55" s="5">
        <f t="shared" si="31"/>
        <v>0</v>
      </c>
      <c r="O55" s="14"/>
      <c r="P55" s="1">
        <f>SUM(OSRRefP22_9x_0)</f>
        <v>3500.2</v>
      </c>
      <c r="Q55" s="1"/>
      <c r="R55" s="5">
        <f t="shared" si="32"/>
        <v>0.14705412795162784</v>
      </c>
      <c r="S55" s="1"/>
      <c r="T55" s="1">
        <f>SUM(OSRRefT22_9x_0)</f>
        <v>1499.55</v>
      </c>
      <c r="U55" s="1"/>
      <c r="V55" s="5">
        <f t="shared" si="33"/>
        <v>8.7106837490287937E-4</v>
      </c>
      <c r="W55" s="1"/>
      <c r="X55" s="1">
        <f t="shared" si="34"/>
        <v>2000.6499999999999</v>
      </c>
      <c r="Y55" s="1"/>
      <c r="Z55" s="5">
        <f t="shared" si="35"/>
        <v>1.3341669167416892</v>
      </c>
    </row>
    <row r="56" spans="1:26" s="24" customFormat="1" hidden="1" outlineLevel="2" x14ac:dyDescent="0.25">
      <c r="A56" s="28"/>
      <c r="B56" s="11" t="str">
        <f>CONCATENATE("          ", "6279", " - ", "GENERAL EXPENSE")</f>
        <v xml:space="preserve">          6279 - GENERAL EXPENSE</v>
      </c>
      <c r="C56" s="11"/>
      <c r="D56" s="6"/>
      <c r="E56" s="2"/>
      <c r="F56" s="7">
        <f t="shared" si="28"/>
        <v>0</v>
      </c>
      <c r="G56" s="2"/>
      <c r="H56" s="6"/>
      <c r="I56" s="2"/>
      <c r="J56" s="7">
        <f t="shared" si="29"/>
        <v>0</v>
      </c>
      <c r="K56" s="2"/>
      <c r="L56" s="6">
        <f t="shared" si="30"/>
        <v>0</v>
      </c>
      <c r="M56" s="2"/>
      <c r="N56" s="7">
        <f t="shared" si="31"/>
        <v>0</v>
      </c>
      <c r="O56" s="11"/>
      <c r="P56" s="6">
        <v>3500.2</v>
      </c>
      <c r="Q56" s="2"/>
      <c r="R56" s="7">
        <f t="shared" si="32"/>
        <v>0.14705412795162784</v>
      </c>
      <c r="S56" s="2"/>
      <c r="T56" s="6">
        <v>1499.55</v>
      </c>
      <c r="U56" s="2"/>
      <c r="V56" s="7">
        <f t="shared" si="33"/>
        <v>8.7106837490287937E-4</v>
      </c>
      <c r="W56" s="2"/>
      <c r="X56" s="6">
        <f t="shared" si="34"/>
        <v>2000.6499999999999</v>
      </c>
      <c r="Y56" s="2"/>
      <c r="Z56" s="7">
        <f t="shared" si="35"/>
        <v>1.3341669167416892</v>
      </c>
    </row>
    <row r="57" spans="1:26" s="29" customFormat="1" outlineLevel="1" collapsed="1" x14ac:dyDescent="0.25">
      <c r="A57" s="27"/>
      <c r="B57" s="14" t="str">
        <f>CONCATENATE("     ","R/H Commissions                                   ")</f>
        <v xml:space="preserve">     R/H Commissions                                   </v>
      </c>
      <c r="C57" s="14"/>
      <c r="D57" s="1">
        <f>SUM(OSRRefD22_10x_0)</f>
        <v>619.49</v>
      </c>
      <c r="E57" s="1"/>
      <c r="F57" s="5">
        <f t="shared" si="28"/>
        <v>-2.5712394238172419E-2</v>
      </c>
      <c r="G57" s="1"/>
      <c r="H57" s="1">
        <f>SUM(OSRRefH22_10x_0)</f>
        <v>51274.86</v>
      </c>
      <c r="I57" s="1"/>
      <c r="J57" s="5">
        <f t="shared" si="29"/>
        <v>7.8132397312530771E-2</v>
      </c>
      <c r="K57" s="1"/>
      <c r="L57" s="1">
        <f t="shared" si="30"/>
        <v>-50655.37</v>
      </c>
      <c r="M57" s="1"/>
      <c r="N57" s="5">
        <f t="shared" si="31"/>
        <v>-0.98791825077630635</v>
      </c>
      <c r="O57" s="14"/>
      <c r="P57" s="1">
        <f>SUM(OSRRefP22_10x_0)</f>
        <v>1915.17</v>
      </c>
      <c r="Q57" s="1"/>
      <c r="R57" s="5">
        <f t="shared" si="32"/>
        <v>8.0462160513433259E-2</v>
      </c>
      <c r="S57" s="1"/>
      <c r="T57" s="1">
        <f>SUM(OSRRefT22_10x_0)</f>
        <v>131719.14000000001</v>
      </c>
      <c r="U57" s="1"/>
      <c r="V57" s="5">
        <f t="shared" si="33"/>
        <v>7.6513872310629769E-2</v>
      </c>
      <c r="W57" s="1"/>
      <c r="X57" s="1">
        <f t="shared" si="34"/>
        <v>-129803.97000000002</v>
      </c>
      <c r="Y57" s="1"/>
      <c r="Z57" s="5">
        <f t="shared" si="35"/>
        <v>-0.98546019963385734</v>
      </c>
    </row>
    <row r="58" spans="1:26" s="24" customFormat="1" hidden="1" outlineLevel="2" x14ac:dyDescent="0.25">
      <c r="A58" s="28"/>
      <c r="B58" s="11" t="str">
        <f>CONCATENATE("          ", "6387", " - ", "COMMISSION DUE HOUSING")</f>
        <v xml:space="preserve">          6387 - COMMISSION DUE HOUSING</v>
      </c>
      <c r="C58" s="11"/>
      <c r="D58" s="6">
        <v>619.49</v>
      </c>
      <c r="E58" s="2"/>
      <c r="F58" s="7">
        <f t="shared" si="28"/>
        <v>-2.5712394238172419E-2</v>
      </c>
      <c r="G58" s="2"/>
      <c r="H58" s="6">
        <v>51274.86</v>
      </c>
      <c r="I58" s="2"/>
      <c r="J58" s="7">
        <f t="shared" si="29"/>
        <v>7.8132397312530771E-2</v>
      </c>
      <c r="K58" s="2"/>
      <c r="L58" s="6">
        <f t="shared" si="30"/>
        <v>-50655.37</v>
      </c>
      <c r="M58" s="2"/>
      <c r="N58" s="7">
        <f t="shared" si="31"/>
        <v>-0.98791825077630635</v>
      </c>
      <c r="O58" s="11"/>
      <c r="P58" s="6">
        <v>1915.17</v>
      </c>
      <c r="Q58" s="2"/>
      <c r="R58" s="7">
        <f t="shared" si="32"/>
        <v>8.0462160513433259E-2</v>
      </c>
      <c r="S58" s="2"/>
      <c r="T58" s="6">
        <v>131719.14000000001</v>
      </c>
      <c r="U58" s="2"/>
      <c r="V58" s="7">
        <f t="shared" si="33"/>
        <v>7.6513872310629769E-2</v>
      </c>
      <c r="W58" s="2"/>
      <c r="X58" s="6">
        <f t="shared" si="34"/>
        <v>-129803.97000000002</v>
      </c>
      <c r="Y58" s="2"/>
      <c r="Z58" s="7">
        <f t="shared" si="35"/>
        <v>-0.98546019963385734</v>
      </c>
    </row>
    <row r="59" spans="1:26" s="29" customFormat="1" outlineLevel="1" collapsed="1" x14ac:dyDescent="0.25">
      <c r="A59" s="27"/>
      <c r="B59" s="14" t="str">
        <f>CONCATENATE("     ","Repair and Maintenance                            ")</f>
        <v xml:space="preserve">     Repair and Maintenance                            </v>
      </c>
      <c r="C59" s="14"/>
      <c r="D59" s="1">
        <f>SUM(OSRRefD22_11x_0)</f>
        <v>0</v>
      </c>
      <c r="E59" s="1"/>
      <c r="F59" s="5">
        <f t="shared" si="28"/>
        <v>0</v>
      </c>
      <c r="G59" s="1"/>
      <c r="H59" s="1">
        <f>SUM(OSRRefH22_11x_0)</f>
        <v>220.26</v>
      </c>
      <c r="I59" s="1"/>
      <c r="J59" s="5">
        <f t="shared" si="29"/>
        <v>3.3563118128568321E-4</v>
      </c>
      <c r="K59" s="1"/>
      <c r="L59" s="1">
        <f t="shared" si="30"/>
        <v>-220.26</v>
      </c>
      <c r="M59" s="1"/>
      <c r="N59" s="5">
        <f t="shared" si="31"/>
        <v>-1</v>
      </c>
      <c r="O59" s="14"/>
      <c r="P59" s="1">
        <f>SUM(OSRRefP22_11x_0)</f>
        <v>1157.45</v>
      </c>
      <c r="Q59" s="1"/>
      <c r="R59" s="5">
        <f t="shared" si="32"/>
        <v>4.8628021369525071E-2</v>
      </c>
      <c r="S59" s="1"/>
      <c r="T59" s="1">
        <f>SUM(OSRRefT22_11x_0)</f>
        <v>220.26</v>
      </c>
      <c r="U59" s="1"/>
      <c r="V59" s="5">
        <f t="shared" si="33"/>
        <v>1.2794606398993578E-4</v>
      </c>
      <c r="W59" s="1"/>
      <c r="X59" s="1">
        <f t="shared" si="34"/>
        <v>937.19</v>
      </c>
      <c r="Y59" s="1"/>
      <c r="Z59" s="5">
        <f t="shared" si="35"/>
        <v>4.2549259965495327</v>
      </c>
    </row>
    <row r="60" spans="1:26" s="24" customFormat="1" hidden="1" outlineLevel="2" x14ac:dyDescent="0.25">
      <c r="A60" s="28"/>
      <c r="B60" s="11" t="str">
        <f>CONCATENATE("          ", "6373", " - ", "MAINTENANCE CONTRACTS")</f>
        <v xml:space="preserve">          6373 - MAINTENANCE CONTRACTS</v>
      </c>
      <c r="C60" s="11"/>
      <c r="D60" s="6"/>
      <c r="E60" s="2"/>
      <c r="F60" s="7">
        <f t="shared" si="28"/>
        <v>0</v>
      </c>
      <c r="G60" s="2"/>
      <c r="H60" s="6">
        <v>68.48</v>
      </c>
      <c r="I60" s="2"/>
      <c r="J60" s="7">
        <f t="shared" si="29"/>
        <v>1.0434951100718963E-4</v>
      </c>
      <c r="K60" s="2"/>
      <c r="L60" s="6">
        <f t="shared" si="30"/>
        <v>-68.48</v>
      </c>
      <c r="M60" s="2"/>
      <c r="N60" s="7">
        <f t="shared" si="31"/>
        <v>-1</v>
      </c>
      <c r="O60" s="11"/>
      <c r="P60" s="6">
        <v>1157.45</v>
      </c>
      <c r="Q60" s="2"/>
      <c r="R60" s="7">
        <f t="shared" si="32"/>
        <v>4.8628021369525071E-2</v>
      </c>
      <c r="S60" s="2"/>
      <c r="T60" s="6">
        <v>68.48</v>
      </c>
      <c r="U60" s="2"/>
      <c r="V60" s="7">
        <f t="shared" si="33"/>
        <v>3.977910860814857E-5</v>
      </c>
      <c r="W60" s="2"/>
      <c r="X60" s="6">
        <f t="shared" si="34"/>
        <v>1088.97</v>
      </c>
      <c r="Y60" s="2"/>
      <c r="Z60" s="7">
        <f t="shared" si="35"/>
        <v>15.902015186915888</v>
      </c>
    </row>
    <row r="61" spans="1:26" s="24" customFormat="1" hidden="1" outlineLevel="2" x14ac:dyDescent="0.25">
      <c r="A61" s="28"/>
      <c r="B61" s="11" t="str">
        <f>CONCATENATE("          ", "6375", " - ", "OUTSIDE REPAIRS &amp; MAINTENANCE")</f>
        <v xml:space="preserve">          6375 - OUTSIDE REPAIRS &amp; MAINTENANCE</v>
      </c>
      <c r="C61" s="11"/>
      <c r="D61" s="6"/>
      <c r="E61" s="2"/>
      <c r="F61" s="7">
        <f t="shared" si="28"/>
        <v>0</v>
      </c>
      <c r="G61" s="2"/>
      <c r="H61" s="6">
        <v>151.78</v>
      </c>
      <c r="I61" s="2"/>
      <c r="J61" s="7">
        <f t="shared" si="29"/>
        <v>2.3128167027849361E-4</v>
      </c>
      <c r="K61" s="2"/>
      <c r="L61" s="6">
        <f t="shared" si="30"/>
        <v>-151.78</v>
      </c>
      <c r="M61" s="2"/>
      <c r="N61" s="7">
        <f t="shared" si="31"/>
        <v>-1</v>
      </c>
      <c r="O61" s="11"/>
      <c r="P61" s="6"/>
      <c r="Q61" s="2"/>
      <c r="R61" s="7">
        <f t="shared" si="32"/>
        <v>0</v>
      </c>
      <c r="S61" s="2"/>
      <c r="T61" s="6">
        <v>151.78</v>
      </c>
      <c r="U61" s="2"/>
      <c r="V61" s="7">
        <f t="shared" si="33"/>
        <v>8.8166955381787228E-5</v>
      </c>
      <c r="W61" s="2"/>
      <c r="X61" s="6">
        <f t="shared" si="34"/>
        <v>-151.78</v>
      </c>
      <c r="Y61" s="2"/>
      <c r="Z61" s="7">
        <f t="shared" si="35"/>
        <v>-1</v>
      </c>
    </row>
    <row r="62" spans="1:26" s="29" customFormat="1" outlineLevel="1" collapsed="1" x14ac:dyDescent="0.25">
      <c r="A62" s="27"/>
      <c r="B62" s="14" t="str">
        <f>CONCATENATE("     ","Services                                          ")</f>
        <v xml:space="preserve">     Services                                          </v>
      </c>
      <c r="C62" s="14"/>
      <c r="D62" s="1">
        <f>SUM(OSRRefD22_12x_0)</f>
        <v>5309.01</v>
      </c>
      <c r="E62" s="1"/>
      <c r="F62" s="5">
        <f t="shared" ref="F62:F65" si="36">IF(D$12=0,0,D62/D$12)</f>
        <v>-0.22035441756025079</v>
      </c>
      <c r="G62" s="1"/>
      <c r="H62" s="1">
        <f>SUM(OSRRefH22_12x_0)</f>
        <v>6495.56</v>
      </c>
      <c r="I62" s="1"/>
      <c r="J62" s="5">
        <f t="shared" ref="J62:J65" si="37">IF(H$12=0,0,H62/H$12)</f>
        <v>9.8979046395715631E-3</v>
      </c>
      <c r="K62" s="1"/>
      <c r="L62" s="1">
        <f t="shared" ref="L62:L65" si="38">+D62-H62</f>
        <v>-1186.5500000000002</v>
      </c>
      <c r="M62" s="1"/>
      <c r="N62" s="5">
        <f t="shared" ref="N62:N65" si="39">IF(H62=0,0,L62/H62)</f>
        <v>-0.18267093214441868</v>
      </c>
      <c r="O62" s="14"/>
      <c r="P62" s="1">
        <f>SUM(OSRRefP22_12x_0)</f>
        <v>25626.739999999998</v>
      </c>
      <c r="Q62" s="1"/>
      <c r="R62" s="5">
        <f t="shared" ref="R62:R65" si="40">IF(P$12=0,0,P62/P$12)</f>
        <v>1.0766578775335978</v>
      </c>
      <c r="S62" s="1"/>
      <c r="T62" s="1">
        <f>SUM(OSRRefT22_12x_0)</f>
        <v>26403.63</v>
      </c>
      <c r="U62" s="1"/>
      <c r="V62" s="5">
        <f t="shared" ref="V62:V65" si="41">IF(T$12=0,0,T62/T$12)</f>
        <v>1.5337512637549209E-2</v>
      </c>
      <c r="W62" s="1"/>
      <c r="X62" s="1">
        <f t="shared" ref="X62:X65" si="42">+P62-T62</f>
        <v>-776.89000000000306</v>
      </c>
      <c r="Y62" s="1"/>
      <c r="Z62" s="5">
        <f t="shared" ref="Z62:Z65" si="43">IF(T62=0,0,X62/T62)</f>
        <v>-2.9423605769358343E-2</v>
      </c>
    </row>
    <row r="63" spans="1:26" s="24" customFormat="1" hidden="1" outlineLevel="2" x14ac:dyDescent="0.25">
      <c r="A63" s="28"/>
      <c r="B63" s="11" t="str">
        <f>CONCATENATE("          ", "6282", " - ", "JANITORIAL/EXTERMINATOR EXPENS")</f>
        <v xml:space="preserve">          6282 - JANITORIAL/EXTERMINATOR EXPENS</v>
      </c>
      <c r="C63" s="11"/>
      <c r="D63" s="6">
        <v>286.62</v>
      </c>
      <c r="E63" s="2"/>
      <c r="F63" s="7">
        <f t="shared" si="36"/>
        <v>-1.1896376755952443E-2</v>
      </c>
      <c r="G63" s="2"/>
      <c r="H63" s="6">
        <v>417.32</v>
      </c>
      <c r="I63" s="2"/>
      <c r="J63" s="7">
        <f t="shared" si="37"/>
        <v>6.359103086086503E-4</v>
      </c>
      <c r="K63" s="2"/>
      <c r="L63" s="6">
        <f t="shared" si="38"/>
        <v>-130.69999999999999</v>
      </c>
      <c r="M63" s="2"/>
      <c r="N63" s="7">
        <f t="shared" si="39"/>
        <v>-0.31318891977379465</v>
      </c>
      <c r="O63" s="11"/>
      <c r="P63" s="6">
        <v>834.64</v>
      </c>
      <c r="Q63" s="2"/>
      <c r="R63" s="7">
        <f t="shared" si="40"/>
        <v>3.5065784056210123E-2</v>
      </c>
      <c r="S63" s="2"/>
      <c r="T63" s="6">
        <v>1789.28</v>
      </c>
      <c r="U63" s="2"/>
      <c r="V63" s="7">
        <f t="shared" si="41"/>
        <v>1.0393686251516949E-3</v>
      </c>
      <c r="W63" s="2"/>
      <c r="X63" s="6">
        <f t="shared" si="42"/>
        <v>-954.64</v>
      </c>
      <c r="Y63" s="2"/>
      <c r="Z63" s="7">
        <f t="shared" si="43"/>
        <v>-0.53353304122328538</v>
      </c>
    </row>
    <row r="64" spans="1:26" s="24" customFormat="1" hidden="1" outlineLevel="2" x14ac:dyDescent="0.25">
      <c r="A64" s="28"/>
      <c r="B64" s="11" t="str">
        <f>CONCATENATE("          ", "6285", " - ", "JANITORIAL SERVICES")</f>
        <v xml:space="preserve">          6285 - JANITORIAL SERVICES</v>
      </c>
      <c r="C64" s="11"/>
      <c r="D64" s="6">
        <v>4157.05</v>
      </c>
      <c r="E64" s="2"/>
      <c r="F64" s="7">
        <f t="shared" si="36"/>
        <v>-0.17254145905146923</v>
      </c>
      <c r="G64" s="2"/>
      <c r="H64" s="6">
        <v>3882.07</v>
      </c>
      <c r="I64" s="2"/>
      <c r="J64" s="7">
        <f t="shared" si="37"/>
        <v>5.915480522717299E-3</v>
      </c>
      <c r="K64" s="2"/>
      <c r="L64" s="6">
        <f t="shared" si="38"/>
        <v>274.98</v>
      </c>
      <c r="M64" s="2"/>
      <c r="N64" s="7">
        <f t="shared" si="39"/>
        <v>7.0833344066438778E-2</v>
      </c>
      <c r="O64" s="11"/>
      <c r="P64" s="6">
        <v>20785.25</v>
      </c>
      <c r="Q64" s="2"/>
      <c r="R64" s="7">
        <f t="shared" si="40"/>
        <v>0.87325204645636612</v>
      </c>
      <c r="S64" s="2"/>
      <c r="T64" s="6">
        <v>16785.240000000002</v>
      </c>
      <c r="U64" s="2"/>
      <c r="V64" s="7">
        <f t="shared" si="41"/>
        <v>9.7503195819777996E-3</v>
      </c>
      <c r="W64" s="2"/>
      <c r="X64" s="6">
        <f t="shared" si="42"/>
        <v>4000.0099999999984</v>
      </c>
      <c r="Y64" s="2"/>
      <c r="Z64" s="7">
        <f t="shared" si="43"/>
        <v>0.23830520147462878</v>
      </c>
    </row>
    <row r="65" spans="1:26" s="24" customFormat="1" hidden="1" outlineLevel="2" x14ac:dyDescent="0.25">
      <c r="A65" s="28"/>
      <c r="B65" s="11" t="str">
        <f>CONCATENATE("          ", "6286", " - ", "LAUNDRY EXPENSE")</f>
        <v xml:space="preserve">          6286 - LAUNDRY EXPENSE</v>
      </c>
      <c r="C65" s="11"/>
      <c r="D65" s="6">
        <v>865.34</v>
      </c>
      <c r="E65" s="2"/>
      <c r="F65" s="7">
        <f t="shared" si="36"/>
        <v>-3.5916581752829135E-2</v>
      </c>
      <c r="G65" s="2"/>
      <c r="H65" s="6">
        <v>2196.17</v>
      </c>
      <c r="I65" s="2"/>
      <c r="J65" s="7">
        <f t="shared" si="37"/>
        <v>3.3465138082456138E-3</v>
      </c>
      <c r="K65" s="2"/>
      <c r="L65" s="6">
        <f t="shared" si="38"/>
        <v>-1330.83</v>
      </c>
      <c r="M65" s="2"/>
      <c r="N65" s="7">
        <f t="shared" si="39"/>
        <v>-0.60597767932354962</v>
      </c>
      <c r="O65" s="11"/>
      <c r="P65" s="6">
        <v>4006.85</v>
      </c>
      <c r="Q65" s="2"/>
      <c r="R65" s="7">
        <f t="shared" si="40"/>
        <v>0.16834004702102165</v>
      </c>
      <c r="S65" s="2"/>
      <c r="T65" s="6">
        <v>7829.11</v>
      </c>
      <c r="U65" s="2"/>
      <c r="V65" s="7">
        <f t="shared" si="41"/>
        <v>4.5478244304197144E-3</v>
      </c>
      <c r="W65" s="2"/>
      <c r="X65" s="6">
        <f t="shared" si="42"/>
        <v>-3822.2599999999998</v>
      </c>
      <c r="Y65" s="2"/>
      <c r="Z65" s="7">
        <f t="shared" si="43"/>
        <v>-0.48821130371140525</v>
      </c>
    </row>
    <row r="66" spans="1:26" s="29" customFormat="1" outlineLevel="1" collapsed="1" x14ac:dyDescent="0.25">
      <c r="A66" s="27"/>
      <c r="B66" s="14" t="str">
        <f>CONCATENATE("     ","Supplies                                          ")</f>
        <v xml:space="preserve">     Supplies                                          </v>
      </c>
      <c r="C66" s="14"/>
      <c r="D66" s="1">
        <f>SUM(OSRRefD22_13x_0)</f>
        <v>0</v>
      </c>
      <c r="E66" s="1"/>
      <c r="F66" s="5">
        <f t="shared" ref="F66:F73" si="44">IF(D$12=0,0,D66/D$12)</f>
        <v>0</v>
      </c>
      <c r="G66" s="1"/>
      <c r="H66" s="1">
        <f>SUM(OSRRefH22_13x_0)</f>
        <v>10919.51</v>
      </c>
      <c r="I66" s="1"/>
      <c r="J66" s="5">
        <f t="shared" ref="J66:J73" si="45">IF(H$12=0,0,H66/H$12)</f>
        <v>1.6639099429586992E-2</v>
      </c>
      <c r="K66" s="1"/>
      <c r="L66" s="1">
        <f t="shared" ref="L66:L73" si="46">+D66-H66</f>
        <v>-10919.51</v>
      </c>
      <c r="M66" s="1"/>
      <c r="N66" s="5">
        <f t="shared" ref="N66:N73" si="47">IF(H66=0,0,L66/H66)</f>
        <v>-1</v>
      </c>
      <c r="O66" s="14"/>
      <c r="P66" s="1">
        <f>SUM(OSRRefP22_13x_0)</f>
        <v>7986.3899999999994</v>
      </c>
      <c r="Q66" s="1"/>
      <c r="R66" s="5">
        <f t="shared" ref="R66:R73" si="48">IF(P$12=0,0,P66/P$12)</f>
        <v>0.33553271725375722</v>
      </c>
      <c r="S66" s="1"/>
      <c r="T66" s="1">
        <f>SUM(OSRRefT22_13x_0)</f>
        <v>30967.64</v>
      </c>
      <c r="U66" s="1"/>
      <c r="V66" s="5">
        <f t="shared" ref="V66:V73" si="49">IF(T$12=0,0,T66/T$12)</f>
        <v>1.7988684504936417E-2</v>
      </c>
      <c r="W66" s="1"/>
      <c r="X66" s="1">
        <f t="shared" ref="X66:X73" si="50">+P66-T66</f>
        <v>-22981.25</v>
      </c>
      <c r="Y66" s="1"/>
      <c r="Z66" s="5">
        <f t="shared" ref="Z66:Z73" si="51">IF(T66=0,0,X66/T66)</f>
        <v>-0.74210530734663671</v>
      </c>
    </row>
    <row r="67" spans="1:26" s="24" customFormat="1" hidden="1" outlineLevel="2" x14ac:dyDescent="0.25">
      <c r="A67" s="28"/>
      <c r="B67" s="11" t="str">
        <f>CONCATENATE("          ", "6235", " - ", "COVID-19 EXPENSES")</f>
        <v xml:space="preserve">          6235 - COVID-19 EXPENSES</v>
      </c>
      <c r="C67" s="11"/>
      <c r="D67" s="6"/>
      <c r="E67" s="2"/>
      <c r="F67" s="7">
        <f t="shared" si="44"/>
        <v>0</v>
      </c>
      <c r="G67" s="2"/>
      <c r="H67" s="6"/>
      <c r="I67" s="2"/>
      <c r="J67" s="7">
        <f t="shared" si="45"/>
        <v>0</v>
      </c>
      <c r="K67" s="2"/>
      <c r="L67" s="6">
        <f t="shared" si="46"/>
        <v>0</v>
      </c>
      <c r="M67" s="2"/>
      <c r="N67" s="7">
        <f t="shared" si="47"/>
        <v>0</v>
      </c>
      <c r="O67" s="11"/>
      <c r="P67" s="6">
        <v>1375.08</v>
      </c>
      <c r="Q67" s="2"/>
      <c r="R67" s="7">
        <f t="shared" si="48"/>
        <v>5.7771324571088627E-2</v>
      </c>
      <c r="S67" s="2"/>
      <c r="T67" s="6"/>
      <c r="U67" s="2"/>
      <c r="V67" s="7">
        <f t="shared" si="49"/>
        <v>0</v>
      </c>
      <c r="W67" s="2"/>
      <c r="X67" s="6">
        <f t="shared" si="50"/>
        <v>1375.08</v>
      </c>
      <c r="Y67" s="2"/>
      <c r="Z67" s="7">
        <f t="shared" si="51"/>
        <v>0</v>
      </c>
    </row>
    <row r="68" spans="1:26" s="24" customFormat="1" hidden="1" outlineLevel="2" x14ac:dyDescent="0.25">
      <c r="A68" s="28"/>
      <c r="B68" s="11" t="str">
        <f>CONCATENATE("          ", "6237", " - ", "JANITORIAL SUPPLIES")</f>
        <v xml:space="preserve">          6237 - JANITORIAL SUPPLIES</v>
      </c>
      <c r="C68" s="11"/>
      <c r="D68" s="6"/>
      <c r="E68" s="2"/>
      <c r="F68" s="7">
        <f t="shared" si="44"/>
        <v>0</v>
      </c>
      <c r="G68" s="2"/>
      <c r="H68" s="6">
        <v>5326.32</v>
      </c>
      <c r="I68" s="2"/>
      <c r="J68" s="7">
        <f t="shared" si="45"/>
        <v>8.1162220716678481E-3</v>
      </c>
      <c r="K68" s="2"/>
      <c r="L68" s="6">
        <f t="shared" si="46"/>
        <v>-5326.32</v>
      </c>
      <c r="M68" s="2"/>
      <c r="N68" s="7">
        <f t="shared" si="47"/>
        <v>-1</v>
      </c>
      <c r="O68" s="11"/>
      <c r="P68" s="6">
        <v>2550.9899999999998</v>
      </c>
      <c r="Q68" s="2"/>
      <c r="R68" s="7">
        <f t="shared" si="48"/>
        <v>0.10717490710911465</v>
      </c>
      <c r="S68" s="2"/>
      <c r="T68" s="6">
        <v>13602.08</v>
      </c>
      <c r="U68" s="2"/>
      <c r="V68" s="7">
        <f t="shared" si="49"/>
        <v>7.9012648600573221E-3</v>
      </c>
      <c r="W68" s="2"/>
      <c r="X68" s="6">
        <f t="shared" si="50"/>
        <v>-11051.09</v>
      </c>
      <c r="Y68" s="2"/>
      <c r="Z68" s="7">
        <f t="shared" si="51"/>
        <v>-0.81245588909931421</v>
      </c>
    </row>
    <row r="69" spans="1:26" s="24" customFormat="1" hidden="1" outlineLevel="2" x14ac:dyDescent="0.25">
      <c r="A69" s="28"/>
      <c r="B69" s="11" t="str">
        <f>CONCATENATE("          ", "6239", " - ", "KITCHEN SUPPLIES")</f>
        <v xml:space="preserve">          6239 - KITCHEN SUPPLIES</v>
      </c>
      <c r="C69" s="11"/>
      <c r="D69" s="6"/>
      <c r="E69" s="2"/>
      <c r="F69" s="7">
        <f t="shared" si="44"/>
        <v>0</v>
      </c>
      <c r="G69" s="2"/>
      <c r="H69" s="6">
        <v>273.88</v>
      </c>
      <c r="I69" s="2"/>
      <c r="J69" s="7">
        <f t="shared" si="45"/>
        <v>4.1733709221158141E-4</v>
      </c>
      <c r="K69" s="2"/>
      <c r="L69" s="6">
        <f t="shared" si="46"/>
        <v>-273.88</v>
      </c>
      <c r="M69" s="2"/>
      <c r="N69" s="7">
        <f t="shared" si="47"/>
        <v>-1</v>
      </c>
      <c r="O69" s="11"/>
      <c r="P69" s="6">
        <v>1031.07</v>
      </c>
      <c r="Q69" s="2"/>
      <c r="R69" s="7">
        <f t="shared" si="48"/>
        <v>4.3318410292864672E-2</v>
      </c>
      <c r="S69" s="2"/>
      <c r="T69" s="6">
        <v>2805.65</v>
      </c>
      <c r="U69" s="2"/>
      <c r="V69" s="7">
        <f t="shared" si="49"/>
        <v>1.6297642533068346E-3</v>
      </c>
      <c r="W69" s="2"/>
      <c r="X69" s="6">
        <f t="shared" si="50"/>
        <v>-1774.5800000000002</v>
      </c>
      <c r="Y69" s="2"/>
      <c r="Z69" s="7">
        <f t="shared" si="51"/>
        <v>-0.63250227220073785</v>
      </c>
    </row>
    <row r="70" spans="1:26" s="24" customFormat="1" hidden="1" outlineLevel="2" x14ac:dyDescent="0.25">
      <c r="A70" s="28"/>
      <c r="B70" s="11" t="str">
        <f>CONCATENATE("          ", "6241", " - ", "OFFICE EXPENSE")</f>
        <v xml:space="preserve">          6241 - OFFICE EXPENSE</v>
      </c>
      <c r="C70" s="11"/>
      <c r="D70" s="6"/>
      <c r="E70" s="2"/>
      <c r="F70" s="7">
        <f t="shared" si="44"/>
        <v>0</v>
      </c>
      <c r="G70" s="2"/>
      <c r="H70" s="6">
        <v>28.6</v>
      </c>
      <c r="I70" s="2"/>
      <c r="J70" s="7">
        <f t="shared" si="45"/>
        <v>4.3580549281624172E-5</v>
      </c>
      <c r="K70" s="2"/>
      <c r="L70" s="6">
        <f t="shared" si="46"/>
        <v>-28.6</v>
      </c>
      <c r="M70" s="2"/>
      <c r="N70" s="7">
        <f t="shared" si="47"/>
        <v>-1</v>
      </c>
      <c r="O70" s="11"/>
      <c r="P70" s="6">
        <v>19.7</v>
      </c>
      <c r="Q70" s="2"/>
      <c r="R70" s="7">
        <f t="shared" si="48"/>
        <v>8.2765736833525757E-4</v>
      </c>
      <c r="S70" s="2"/>
      <c r="T70" s="6">
        <v>1151.5</v>
      </c>
      <c r="U70" s="2"/>
      <c r="V70" s="7">
        <f t="shared" si="49"/>
        <v>6.6889082304735802E-4</v>
      </c>
      <c r="W70" s="2"/>
      <c r="X70" s="6">
        <f t="shared" si="50"/>
        <v>-1131.8</v>
      </c>
      <c r="Y70" s="2"/>
      <c r="Z70" s="7">
        <f t="shared" si="51"/>
        <v>-0.98289188015631779</v>
      </c>
    </row>
    <row r="71" spans="1:26" s="24" customFormat="1" hidden="1" outlineLevel="2" x14ac:dyDescent="0.25">
      <c r="A71" s="28"/>
      <c r="B71" s="11" t="str">
        <f>CONCATENATE("          ", "6243", " - ", "PAPER SUPPLIES")</f>
        <v xml:space="preserve">          6243 - PAPER SUPPLIES</v>
      </c>
      <c r="C71" s="11"/>
      <c r="D71" s="6"/>
      <c r="E71" s="2"/>
      <c r="F71" s="7">
        <f t="shared" si="44"/>
        <v>0</v>
      </c>
      <c r="G71" s="2"/>
      <c r="H71" s="6">
        <v>5290.71</v>
      </c>
      <c r="I71" s="2"/>
      <c r="J71" s="7">
        <f t="shared" si="45"/>
        <v>8.0619597164259382E-3</v>
      </c>
      <c r="K71" s="2"/>
      <c r="L71" s="6">
        <f t="shared" si="46"/>
        <v>-5290.71</v>
      </c>
      <c r="M71" s="2"/>
      <c r="N71" s="7">
        <f t="shared" si="47"/>
        <v>-1</v>
      </c>
      <c r="O71" s="11"/>
      <c r="P71" s="6">
        <v>3009.55</v>
      </c>
      <c r="Q71" s="2"/>
      <c r="R71" s="7">
        <f t="shared" si="48"/>
        <v>0.12644041791235403</v>
      </c>
      <c r="S71" s="2"/>
      <c r="T71" s="6">
        <v>11744.99</v>
      </c>
      <c r="U71" s="2"/>
      <c r="V71" s="7">
        <f t="shared" si="49"/>
        <v>6.8225063202631258E-3</v>
      </c>
      <c r="W71" s="2"/>
      <c r="X71" s="6">
        <f t="shared" si="50"/>
        <v>-8735.4399999999987</v>
      </c>
      <c r="Y71" s="2"/>
      <c r="Z71" s="7">
        <f t="shared" si="51"/>
        <v>-0.743758828232293</v>
      </c>
    </row>
    <row r="72" spans="1:26" s="24" customFormat="1" hidden="1" outlineLevel="2" x14ac:dyDescent="0.25">
      <c r="A72" s="28"/>
      <c r="B72" s="11" t="str">
        <f>CONCATENATE("          ", "6245", " - ", "PRINTING")</f>
        <v xml:space="preserve">          6245 - PRINTING</v>
      </c>
      <c r="C72" s="11"/>
      <c r="D72" s="6"/>
      <c r="E72" s="2"/>
      <c r="F72" s="7">
        <f t="shared" si="44"/>
        <v>0</v>
      </c>
      <c r="G72" s="2"/>
      <c r="H72" s="6"/>
      <c r="I72" s="2"/>
      <c r="J72" s="7">
        <f t="shared" si="45"/>
        <v>0</v>
      </c>
      <c r="K72" s="2"/>
      <c r="L72" s="6">
        <f t="shared" si="46"/>
        <v>0</v>
      </c>
      <c r="M72" s="2"/>
      <c r="N72" s="7">
        <f t="shared" si="47"/>
        <v>0</v>
      </c>
      <c r="O72" s="11"/>
      <c r="P72" s="6"/>
      <c r="Q72" s="2"/>
      <c r="R72" s="7">
        <f t="shared" si="48"/>
        <v>0</v>
      </c>
      <c r="S72" s="2"/>
      <c r="T72" s="6">
        <v>441</v>
      </c>
      <c r="U72" s="2"/>
      <c r="V72" s="7">
        <f t="shared" si="49"/>
        <v>2.5617095350749882E-4</v>
      </c>
      <c r="W72" s="2"/>
      <c r="X72" s="6">
        <f t="shared" si="50"/>
        <v>-441</v>
      </c>
      <c r="Y72" s="2"/>
      <c r="Z72" s="7">
        <f t="shared" si="51"/>
        <v>-1</v>
      </c>
    </row>
    <row r="73" spans="1:26" s="24" customFormat="1" hidden="1" outlineLevel="2" x14ac:dyDescent="0.25">
      <c r="A73" s="28"/>
      <c r="B73" s="11" t="str">
        <f>CONCATENATE("          ", "6248", " - ", "UNIFORMS")</f>
        <v xml:space="preserve">          6248 - UNIFORMS</v>
      </c>
      <c r="C73" s="11"/>
      <c r="D73" s="6"/>
      <c r="E73" s="2"/>
      <c r="F73" s="7">
        <f t="shared" si="44"/>
        <v>0</v>
      </c>
      <c r="G73" s="2"/>
      <c r="H73" s="6"/>
      <c r="I73" s="2"/>
      <c r="J73" s="7">
        <f t="shared" si="45"/>
        <v>0</v>
      </c>
      <c r="K73" s="2"/>
      <c r="L73" s="6">
        <f t="shared" si="46"/>
        <v>0</v>
      </c>
      <c r="M73" s="2"/>
      <c r="N73" s="7">
        <f t="shared" si="47"/>
        <v>0</v>
      </c>
      <c r="O73" s="11"/>
      <c r="P73" s="6"/>
      <c r="Q73" s="2"/>
      <c r="R73" s="7">
        <f t="shared" si="48"/>
        <v>0</v>
      </c>
      <c r="S73" s="2"/>
      <c r="T73" s="6">
        <v>1222.42</v>
      </c>
      <c r="U73" s="2"/>
      <c r="V73" s="7">
        <f t="shared" si="49"/>
        <v>7.1008729475427826E-4</v>
      </c>
      <c r="W73" s="2"/>
      <c r="X73" s="6">
        <f t="shared" si="50"/>
        <v>-1222.42</v>
      </c>
      <c r="Y73" s="2"/>
      <c r="Z73" s="7">
        <f t="shared" si="51"/>
        <v>-1</v>
      </c>
    </row>
    <row r="74" spans="1:26" s="29" customFormat="1" outlineLevel="1" collapsed="1" x14ac:dyDescent="0.25">
      <c r="A74" s="27"/>
      <c r="B74" s="14" t="str">
        <f>CONCATENATE("     ","Telephone/Data Lines                              ")</f>
        <v xml:space="preserve">     Telephone/Data Lines                              </v>
      </c>
      <c r="C74" s="14"/>
      <c r="D74" s="1">
        <f>SUM(OSRRefD22_14x_0)</f>
        <v>139</v>
      </c>
      <c r="E74" s="1"/>
      <c r="F74" s="5">
        <f t="shared" ref="F74:F79" si="52">IF(D$12=0,0,D74/D$12)</f>
        <v>-5.7692986151608042E-3</v>
      </c>
      <c r="G74" s="1"/>
      <c r="H74" s="1">
        <f>SUM(OSRRefH22_14x_0)</f>
        <v>189.1</v>
      </c>
      <c r="I74" s="1"/>
      <c r="J74" s="5">
        <f t="shared" ref="J74:J79" si="53">IF(H$12=0,0,H74/H$12)</f>
        <v>2.8814971570472484E-4</v>
      </c>
      <c r="K74" s="1"/>
      <c r="L74" s="1">
        <f t="shared" ref="L74:L79" si="54">+D74-H74</f>
        <v>-50.099999999999994</v>
      </c>
      <c r="M74" s="1"/>
      <c r="N74" s="5">
        <f t="shared" ref="N74:N79" si="55">IF(H74=0,0,L74/H74)</f>
        <v>-0.2649391856160761</v>
      </c>
      <c r="O74" s="14"/>
      <c r="P74" s="1">
        <f>SUM(OSRRefP22_14x_0)</f>
        <v>642</v>
      </c>
      <c r="Q74" s="1"/>
      <c r="R74" s="5">
        <f t="shared" ref="R74:R79" si="56">IF(P$12=0,0,P74/P$12)</f>
        <v>2.6972387333565245E-2</v>
      </c>
      <c r="S74" s="1"/>
      <c r="T74" s="1">
        <f>SUM(OSRRefT22_14x_0)</f>
        <v>744.4</v>
      </c>
      <c r="U74" s="1"/>
      <c r="V74" s="5">
        <f t="shared" ref="V74:V79" si="57">IF(T$12=0,0,T74/T$12)</f>
        <v>4.3241192242853086E-4</v>
      </c>
      <c r="W74" s="1"/>
      <c r="X74" s="1">
        <f t="shared" ref="X74:X79" si="58">+P74-T74</f>
        <v>-102.39999999999998</v>
      </c>
      <c r="Y74" s="1"/>
      <c r="Z74" s="5">
        <f t="shared" ref="Z74:Z79" si="59">IF(T74=0,0,X74/T74)</f>
        <v>-0.13756045137023104</v>
      </c>
    </row>
    <row r="75" spans="1:26" s="24" customFormat="1" hidden="1" outlineLevel="2" x14ac:dyDescent="0.25">
      <c r="A75" s="28"/>
      <c r="B75" s="11" t="str">
        <f>CONCATENATE("          ", "6309", " - ", "TELEPHONE")</f>
        <v xml:space="preserve">          6309 - TELEPHONE</v>
      </c>
      <c r="C75" s="11"/>
      <c r="D75" s="6">
        <v>139</v>
      </c>
      <c r="E75" s="2"/>
      <c r="F75" s="7">
        <f t="shared" si="52"/>
        <v>-5.7692986151608042E-3</v>
      </c>
      <c r="G75" s="2"/>
      <c r="H75" s="6">
        <v>189.1</v>
      </c>
      <c r="I75" s="2"/>
      <c r="J75" s="7">
        <f t="shared" si="53"/>
        <v>2.8814971570472484E-4</v>
      </c>
      <c r="K75" s="2"/>
      <c r="L75" s="6">
        <f t="shared" si="54"/>
        <v>-50.099999999999994</v>
      </c>
      <c r="M75" s="2"/>
      <c r="N75" s="7">
        <f t="shared" si="55"/>
        <v>-0.2649391856160761</v>
      </c>
      <c r="O75" s="11"/>
      <c r="P75" s="6">
        <v>642</v>
      </c>
      <c r="Q75" s="2"/>
      <c r="R75" s="7">
        <f t="shared" si="56"/>
        <v>2.6972387333565245E-2</v>
      </c>
      <c r="S75" s="2"/>
      <c r="T75" s="6">
        <v>744.4</v>
      </c>
      <c r="U75" s="2"/>
      <c r="V75" s="7">
        <f t="shared" si="57"/>
        <v>4.3241192242853086E-4</v>
      </c>
      <c r="W75" s="2"/>
      <c r="X75" s="6">
        <f t="shared" si="58"/>
        <v>-102.39999999999998</v>
      </c>
      <c r="Y75" s="2"/>
      <c r="Z75" s="7">
        <f t="shared" si="59"/>
        <v>-0.13756045137023104</v>
      </c>
    </row>
    <row r="76" spans="1:26" s="29" customFormat="1" outlineLevel="1" collapsed="1" x14ac:dyDescent="0.25">
      <c r="A76" s="27"/>
      <c r="B76" s="14" t="str">
        <f>CONCATENATE("     ","Training                                          ")</f>
        <v xml:space="preserve">     Training                                          </v>
      </c>
      <c r="C76" s="14"/>
      <c r="D76" s="1">
        <f>SUM(OSRRefD22_15x_0)</f>
        <v>0</v>
      </c>
      <c r="E76" s="1"/>
      <c r="F76" s="5">
        <f t="shared" si="52"/>
        <v>0</v>
      </c>
      <c r="G76" s="1"/>
      <c r="H76" s="1">
        <f>SUM(OSRRefH22_15x_0)</f>
        <v>48</v>
      </c>
      <c r="I76" s="1"/>
      <c r="J76" s="5">
        <f t="shared" si="53"/>
        <v>7.3142180612516098E-5</v>
      </c>
      <c r="K76" s="1"/>
      <c r="L76" s="1">
        <f t="shared" si="54"/>
        <v>-48</v>
      </c>
      <c r="M76" s="1"/>
      <c r="N76" s="5">
        <f t="shared" si="55"/>
        <v>-1</v>
      </c>
      <c r="O76" s="14"/>
      <c r="P76" s="1">
        <f>SUM(OSRRefP22_15x_0)</f>
        <v>0</v>
      </c>
      <c r="Q76" s="1"/>
      <c r="R76" s="5">
        <f t="shared" si="56"/>
        <v>0</v>
      </c>
      <c r="S76" s="1"/>
      <c r="T76" s="1">
        <f>SUM(OSRRefT22_15x_0)</f>
        <v>617.37</v>
      </c>
      <c r="U76" s="1"/>
      <c r="V76" s="5">
        <f t="shared" si="57"/>
        <v>3.5862190831502161E-4</v>
      </c>
      <c r="W76" s="1"/>
      <c r="X76" s="1">
        <f t="shared" si="58"/>
        <v>-617.37</v>
      </c>
      <c r="Y76" s="1"/>
      <c r="Z76" s="5">
        <f t="shared" si="59"/>
        <v>-1</v>
      </c>
    </row>
    <row r="77" spans="1:26" s="24" customFormat="1" hidden="1" outlineLevel="2" x14ac:dyDescent="0.25">
      <c r="A77" s="28"/>
      <c r="B77" s="11" t="str">
        <f>CONCATENATE("          ", "6376", " - ", "TRAINING")</f>
        <v xml:space="preserve">          6376 - TRAINING</v>
      </c>
      <c r="C77" s="11"/>
      <c r="D77" s="6"/>
      <c r="E77" s="2"/>
      <c r="F77" s="7">
        <f t="shared" si="52"/>
        <v>0</v>
      </c>
      <c r="G77" s="2"/>
      <c r="H77" s="6">
        <v>48</v>
      </c>
      <c r="I77" s="2"/>
      <c r="J77" s="7">
        <f t="shared" si="53"/>
        <v>7.3142180612516098E-5</v>
      </c>
      <c r="K77" s="2"/>
      <c r="L77" s="6">
        <f t="shared" si="54"/>
        <v>-48</v>
      </c>
      <c r="M77" s="2"/>
      <c r="N77" s="7">
        <f t="shared" si="55"/>
        <v>-1</v>
      </c>
      <c r="O77" s="11"/>
      <c r="P77" s="6"/>
      <c r="Q77" s="2"/>
      <c r="R77" s="7">
        <f t="shared" si="56"/>
        <v>0</v>
      </c>
      <c r="S77" s="2"/>
      <c r="T77" s="6">
        <v>617.37</v>
      </c>
      <c r="U77" s="2"/>
      <c r="V77" s="7">
        <f t="shared" si="57"/>
        <v>3.5862190831502161E-4</v>
      </c>
      <c r="W77" s="2"/>
      <c r="X77" s="6">
        <f t="shared" si="58"/>
        <v>-617.37</v>
      </c>
      <c r="Y77" s="2"/>
      <c r="Z77" s="7">
        <f t="shared" si="59"/>
        <v>-1</v>
      </c>
    </row>
    <row r="78" spans="1:26" s="29" customFormat="1" outlineLevel="1" collapsed="1" x14ac:dyDescent="0.25">
      <c r="A78" s="27"/>
      <c r="B78" s="14" t="str">
        <f>CONCATENATE("     ","Travel                                            ")</f>
        <v xml:space="preserve">     Travel                                            </v>
      </c>
      <c r="C78" s="14"/>
      <c r="D78" s="1">
        <f>SUM(OSRRefD22_16x_0)</f>
        <v>0</v>
      </c>
      <c r="E78" s="1"/>
      <c r="F78" s="5">
        <f t="shared" si="52"/>
        <v>0</v>
      </c>
      <c r="G78" s="1"/>
      <c r="H78" s="1">
        <f>SUM(OSRRefH22_16x_0)</f>
        <v>0</v>
      </c>
      <c r="I78" s="1"/>
      <c r="J78" s="5">
        <f t="shared" si="53"/>
        <v>0</v>
      </c>
      <c r="K78" s="1"/>
      <c r="L78" s="1">
        <f t="shared" si="54"/>
        <v>0</v>
      </c>
      <c r="M78" s="1"/>
      <c r="N78" s="5">
        <f t="shared" si="55"/>
        <v>0</v>
      </c>
      <c r="O78" s="14"/>
      <c r="P78" s="1">
        <f>SUM(OSRRefP22_16x_0)</f>
        <v>0</v>
      </c>
      <c r="Q78" s="1"/>
      <c r="R78" s="5">
        <f t="shared" si="56"/>
        <v>0</v>
      </c>
      <c r="S78" s="1"/>
      <c r="T78" s="1">
        <f>SUM(OSRRefT22_16x_0)</f>
        <v>1429.86</v>
      </c>
      <c r="U78" s="1"/>
      <c r="V78" s="5">
        <f t="shared" si="57"/>
        <v>8.3058639361050391E-4</v>
      </c>
      <c r="W78" s="1"/>
      <c r="X78" s="1">
        <f t="shared" si="58"/>
        <v>-1429.86</v>
      </c>
      <c r="Y78" s="1"/>
      <c r="Z78" s="5">
        <f t="shared" si="59"/>
        <v>-1</v>
      </c>
    </row>
    <row r="79" spans="1:26" s="24" customFormat="1" hidden="1" outlineLevel="2" x14ac:dyDescent="0.25">
      <c r="A79" s="28"/>
      <c r="B79" s="11" t="str">
        <f>CONCATENATE("          ", "6292", " - ", "TRAVEL/CONFERENCE")</f>
        <v xml:space="preserve">          6292 - TRAVEL/CONFERENCE</v>
      </c>
      <c r="C79" s="11"/>
      <c r="D79" s="6"/>
      <c r="E79" s="2"/>
      <c r="F79" s="7">
        <f t="shared" si="52"/>
        <v>0</v>
      </c>
      <c r="G79" s="2"/>
      <c r="H79" s="6"/>
      <c r="I79" s="2"/>
      <c r="J79" s="7">
        <f t="shared" si="53"/>
        <v>0</v>
      </c>
      <c r="K79" s="2"/>
      <c r="L79" s="6">
        <f t="shared" si="54"/>
        <v>0</v>
      </c>
      <c r="M79" s="2"/>
      <c r="N79" s="7">
        <f t="shared" si="55"/>
        <v>0</v>
      </c>
      <c r="O79" s="11"/>
      <c r="P79" s="6"/>
      <c r="Q79" s="2"/>
      <c r="R79" s="7">
        <f t="shared" si="56"/>
        <v>0</v>
      </c>
      <c r="S79" s="2"/>
      <c r="T79" s="6">
        <v>1429.86</v>
      </c>
      <c r="U79" s="2"/>
      <c r="V79" s="7">
        <f t="shared" si="57"/>
        <v>8.3058639361050391E-4</v>
      </c>
      <c r="W79" s="2"/>
      <c r="X79" s="6">
        <f t="shared" si="58"/>
        <v>-1429.86</v>
      </c>
      <c r="Y79" s="2"/>
      <c r="Z79" s="7">
        <f t="shared" si="59"/>
        <v>-1</v>
      </c>
    </row>
    <row r="80" spans="1:26" s="57" customFormat="1" x14ac:dyDescent="0.25">
      <c r="A80" s="37"/>
      <c r="B80" s="37"/>
      <c r="C80" s="37"/>
      <c r="D80" s="1"/>
      <c r="E80" s="1"/>
      <c r="F80" s="5"/>
      <c r="G80" s="1"/>
      <c r="H80" s="1"/>
      <c r="I80" s="1"/>
      <c r="J80" s="5"/>
      <c r="K80" s="1"/>
      <c r="L80" s="1"/>
      <c r="M80" s="1"/>
      <c r="N80" s="5"/>
      <c r="O80" s="37"/>
      <c r="P80" s="1"/>
      <c r="Q80" s="1"/>
      <c r="R80" s="5"/>
      <c r="S80" s="1"/>
      <c r="T80" s="1"/>
      <c r="U80" s="1"/>
      <c r="V80" s="5"/>
      <c r="W80" s="1"/>
      <c r="X80" s="1"/>
      <c r="Y80" s="1"/>
      <c r="Z80" s="5"/>
    </row>
    <row r="81" spans="1:26" s="23" customFormat="1" x14ac:dyDescent="0.25">
      <c r="A81" s="10"/>
      <c r="B81" s="26" t="s">
        <v>0</v>
      </c>
      <c r="C81" s="10"/>
      <c r="D81" s="4">
        <f>SUM(0)</f>
        <v>0</v>
      </c>
      <c r="E81" s="4"/>
      <c r="F81" s="12">
        <f>IF(D$12=0,0,D81/D$12)</f>
        <v>0</v>
      </c>
      <c r="G81" s="4"/>
      <c r="H81" s="4">
        <f>SUM(0)</f>
        <v>0</v>
      </c>
      <c r="I81" s="4"/>
      <c r="J81" s="12">
        <f>IF(H$12=0,0,H81/H$12)</f>
        <v>0</v>
      </c>
      <c r="K81" s="4"/>
      <c r="L81" s="4">
        <f>+D81-H81</f>
        <v>0</v>
      </c>
      <c r="M81" s="4"/>
      <c r="N81" s="12">
        <f>IF(H81=0,0,L81/H81)</f>
        <v>0</v>
      </c>
      <c r="O81" s="10"/>
      <c r="P81" s="4">
        <f>SUM(0)</f>
        <v>0</v>
      </c>
      <c r="Q81" s="4"/>
      <c r="R81" s="12">
        <f>IF(P$12=0,0,P81/P$12)</f>
        <v>0</v>
      </c>
      <c r="S81" s="4"/>
      <c r="T81" s="4">
        <f>SUM(0)</f>
        <v>0</v>
      </c>
      <c r="U81" s="4"/>
      <c r="V81" s="12">
        <f>IF(T$12=0,0,T81/T$12)</f>
        <v>0</v>
      </c>
      <c r="W81" s="4"/>
      <c r="X81" s="4">
        <f>+P81-T81</f>
        <v>0</v>
      </c>
      <c r="Y81" s="4"/>
      <c r="Z81" s="12">
        <f>IF(T81=0,0,X81/T81)</f>
        <v>0</v>
      </c>
    </row>
    <row r="82" spans="1:26" x14ac:dyDescent="0.25">
      <c r="A82" s="9"/>
      <c r="B82" s="10"/>
      <c r="C82" s="10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0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x14ac:dyDescent="0.25">
      <c r="A83" s="10"/>
      <c r="B83" s="25" t="s">
        <v>3</v>
      </c>
      <c r="C83" s="25"/>
      <c r="D83" s="20">
        <f>+D21-D23+D81</f>
        <v>-80190.409999999989</v>
      </c>
      <c r="E83" s="13"/>
      <c r="F83" s="21">
        <f>IF(D$12=0,0,D83/D$12)</f>
        <v>3.3283627436127841</v>
      </c>
      <c r="G83" s="13"/>
      <c r="H83" s="20">
        <f>+H21-H23+H81</f>
        <v>267726.29999999993</v>
      </c>
      <c r="I83" s="13"/>
      <c r="J83" s="21">
        <f>IF(H$12=0,0,H83/H$12)</f>
        <v>0.40796011227751378</v>
      </c>
      <c r="K83" s="15"/>
      <c r="L83" s="20">
        <f>+D83-H83</f>
        <v>-347916.7099999999</v>
      </c>
      <c r="M83" s="15"/>
      <c r="N83" s="21">
        <f>IF(H83=0,0,L83/H83)</f>
        <v>-1.2995238420730424</v>
      </c>
      <c r="O83" s="26"/>
      <c r="P83" s="20">
        <f>+P21-P23+P81</f>
        <v>-222827.09000000003</v>
      </c>
      <c r="Q83" s="13"/>
      <c r="R83" s="21">
        <f>IF(P$12=0,0,P83/P$12)</f>
        <v>-9.3616488783352079</v>
      </c>
      <c r="S83" s="13"/>
      <c r="T83" s="20">
        <f>+T21-T23+T81</f>
        <v>621595.25999999989</v>
      </c>
      <c r="U83" s="13"/>
      <c r="V83" s="21">
        <f>IF(T$12=0,0,T83/T$12)</f>
        <v>0.36107630487515102</v>
      </c>
      <c r="W83" s="15"/>
      <c r="X83" s="20">
        <f>+P83-T83</f>
        <v>-844422.34999999986</v>
      </c>
      <c r="Y83" s="15"/>
      <c r="Z83" s="21">
        <f>IF(T83=0,0,X83/T83)</f>
        <v>-1.358476173064769</v>
      </c>
    </row>
    <row r="84" spans="1:26" x14ac:dyDescent="0.25">
      <c r="A84" s="9"/>
      <c r="B84" s="10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x14ac:dyDescent="0.25">
      <c r="A85" s="51"/>
      <c r="B85" s="10" t="s">
        <v>13</v>
      </c>
      <c r="C85" s="10"/>
      <c r="D85" s="4">
        <v>-3716.77</v>
      </c>
      <c r="E85" s="4"/>
      <c r="F85" s="12">
        <f>IF(D$12=0,0,D85/D$12)</f>
        <v>0.15426730945231093</v>
      </c>
      <c r="G85" s="4"/>
      <c r="H85" s="4">
        <v>58869.23</v>
      </c>
      <c r="I85" s="4"/>
      <c r="J85" s="12">
        <f>IF(H$12=0,0,H85/H$12)</f>
        <v>8.9704663607911475E-2</v>
      </c>
      <c r="K85" s="4"/>
      <c r="L85" s="4">
        <f>+D85-H85</f>
        <v>-62586</v>
      </c>
      <c r="M85" s="4"/>
      <c r="N85" s="12">
        <f>IF(H85=0,0,L85/H85)</f>
        <v>-1.063136038979956</v>
      </c>
      <c r="O85" s="10"/>
      <c r="P85" s="4">
        <v>5156.05</v>
      </c>
      <c r="Q85" s="4"/>
      <c r="R85" s="12">
        <f>IF(P$12=0,0,P85/P$12)</f>
        <v>0.21662146060939111</v>
      </c>
      <c r="S85" s="4"/>
      <c r="T85" s="4">
        <v>173291.25</v>
      </c>
      <c r="U85" s="4"/>
      <c r="V85" s="12">
        <f>IF(T$12=0,0,T85/T$12)</f>
        <v>0.10066255044672642</v>
      </c>
      <c r="W85" s="4"/>
      <c r="X85" s="4">
        <f>+P85-T85</f>
        <v>-168135.2</v>
      </c>
      <c r="Y85" s="4"/>
      <c r="Z85" s="12">
        <f>IF(T85=0,0,X85/T85)</f>
        <v>-0.97024633384547698</v>
      </c>
    </row>
    <row r="86" spans="1:26" x14ac:dyDescent="0.25">
      <c r="A86" s="9"/>
      <c r="B86" s="10"/>
      <c r="C86" s="10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O86" s="10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ht="15.75" thickBot="1" x14ac:dyDescent="0.3">
      <c r="A87" s="10"/>
      <c r="B87" s="25" t="s">
        <v>4</v>
      </c>
      <c r="C87" s="25"/>
      <c r="D87" s="30">
        <f>+D83-D85</f>
        <v>-76473.639999999985</v>
      </c>
      <c r="E87" s="13"/>
      <c r="F87" s="33">
        <f>IF(D$12=0,0,D87/D$12)</f>
        <v>3.1740954341604732</v>
      </c>
      <c r="G87" s="13"/>
      <c r="H87" s="30">
        <f>+H83-H85</f>
        <v>208857.06999999992</v>
      </c>
      <c r="I87" s="13"/>
      <c r="J87" s="33">
        <f>IF(H$12=0,0,H87/H$12)</f>
        <v>0.31825544866960231</v>
      </c>
      <c r="K87" s="15"/>
      <c r="L87" s="30">
        <f>D87-H87</f>
        <v>-285330.7099999999</v>
      </c>
      <c r="M87" s="15"/>
      <c r="N87" s="33">
        <f>IF(H87=0,0,L87/H87)</f>
        <v>-1.3661529868249134</v>
      </c>
      <c r="O87" s="26"/>
      <c r="P87" s="30">
        <f>+P83-P85</f>
        <v>-227983.14</v>
      </c>
      <c r="Q87" s="13"/>
      <c r="R87" s="33">
        <f>IF(P$12=0,0,P87/P$12)</f>
        <v>-9.5782703389445984</v>
      </c>
      <c r="S87" s="13"/>
      <c r="T87" s="30">
        <f>+T83-T85</f>
        <v>448304.00999999989</v>
      </c>
      <c r="U87" s="13"/>
      <c r="V87" s="33">
        <f>IF(T$12=0,0,T87/T$12)</f>
        <v>0.26041375442842463</v>
      </c>
      <c r="W87" s="15"/>
      <c r="X87" s="30">
        <f>P87-T87</f>
        <v>-676287.14999999991</v>
      </c>
      <c r="Y87" s="15"/>
      <c r="Z87" s="33">
        <f>IF(T87=0,0,X87/T87)</f>
        <v>-1.5085458414703898</v>
      </c>
    </row>
    <row r="88" spans="1:26" ht="15.75" thickTop="1" x14ac:dyDescent="0.25">
      <c r="A88" s="9"/>
      <c r="B88" s="9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x14ac:dyDescent="0.25">
      <c r="A89" s="9"/>
      <c r="B89" s="9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ht="15.75" thickBot="1" x14ac:dyDescent="0.3">
      <c r="A90" s="10"/>
      <c r="B90" s="25" t="s">
        <v>5</v>
      </c>
      <c r="C90" s="25"/>
      <c r="D90" s="34">
        <f>SUM(D87:D89)</f>
        <v>-76473.639999999985</v>
      </c>
      <c r="E90" s="13"/>
      <c r="F90" s="35">
        <f>IF(D$12=0,0,D90/D$12)</f>
        <v>3.1740954341604732</v>
      </c>
      <c r="G90" s="13"/>
      <c r="H90" s="34">
        <f>SUM(H87:H89)</f>
        <v>208857.06999999992</v>
      </c>
      <c r="I90" s="13"/>
      <c r="J90" s="35">
        <f>IF(H$12=0,0,H90/H$12)</f>
        <v>0.31825544866960231</v>
      </c>
      <c r="K90" s="15"/>
      <c r="L90" s="34">
        <f>+D90-H90</f>
        <v>-285330.7099999999</v>
      </c>
      <c r="M90" s="15"/>
      <c r="N90" s="35">
        <f>IF(H90=0,0,L90/H90)</f>
        <v>-1.3661529868249134</v>
      </c>
      <c r="O90" s="26"/>
      <c r="P90" s="34">
        <f>SUM(P87:P89)</f>
        <v>-227983.14</v>
      </c>
      <c r="Q90" s="13"/>
      <c r="R90" s="35">
        <f>IF(P$12=0,0,P90/P$12)</f>
        <v>-9.5782703389445984</v>
      </c>
      <c r="S90" s="13"/>
      <c r="T90" s="34">
        <f>SUM(T87:T89)</f>
        <v>448304.00999999989</v>
      </c>
      <c r="U90" s="13"/>
      <c r="V90" s="35">
        <f>IF(T$12=0,0,T90/T$12)</f>
        <v>0.26041375442842463</v>
      </c>
      <c r="W90" s="15"/>
      <c r="X90" s="34">
        <f>+P90-T90</f>
        <v>-676287.14999999991</v>
      </c>
      <c r="Y90" s="15"/>
      <c r="Z90" s="35">
        <f>IF(T90=0,0,X90/T90)</f>
        <v>-1.5085458414703898</v>
      </c>
    </row>
    <row r="91" spans="1:26" ht="15.75" thickTop="1" x14ac:dyDescent="0.25">
      <c r="A91" s="9"/>
      <c r="C91" s="9"/>
      <c r="D91" s="18"/>
      <c r="E91" s="18"/>
      <c r="G91" s="18"/>
      <c r="H91" s="18"/>
      <c r="I91" s="18"/>
      <c r="J91" s="43"/>
      <c r="K91" s="18"/>
      <c r="L91" s="18"/>
      <c r="M91" s="18"/>
      <c r="P91" s="18"/>
      <c r="Q91" s="18"/>
      <c r="R91" s="43"/>
      <c r="S91" s="18"/>
      <c r="T91" s="18"/>
      <c r="U91" s="18"/>
      <c r="V91" s="43"/>
      <c r="W91" s="18"/>
      <c r="X91" s="18"/>
    </row>
    <row r="92" spans="1:26" x14ac:dyDescent="0.25">
      <c r="A92" s="9"/>
      <c r="B92" s="56">
        <v>44151.572950694448</v>
      </c>
      <c r="D92" s="18"/>
      <c r="E92" s="18"/>
      <c r="G92" s="18"/>
      <c r="H92" s="18"/>
      <c r="I92" s="18"/>
      <c r="J92" s="43"/>
      <c r="K92" s="18"/>
      <c r="L92" s="18"/>
      <c r="M92" s="18"/>
      <c r="P92" s="18"/>
      <c r="Q92" s="18"/>
      <c r="R92" s="43"/>
      <c r="S92" s="18"/>
      <c r="T92" s="18"/>
      <c r="U92" s="18"/>
      <c r="V92" s="43"/>
      <c r="W92" s="18"/>
      <c r="X92" s="18"/>
    </row>
    <row r="93" spans="1:26" x14ac:dyDescent="0.25">
      <c r="A93" s="9"/>
      <c r="B93" s="62" t="s">
        <v>313</v>
      </c>
      <c r="D93" s="18"/>
      <c r="E93" s="18"/>
      <c r="G93" s="18"/>
      <c r="H93" s="18"/>
      <c r="I93" s="18"/>
      <c r="J93" s="43"/>
      <c r="K93" s="18"/>
      <c r="L93" s="18"/>
      <c r="M93" s="18"/>
      <c r="P93" s="18"/>
      <c r="Q93" s="18"/>
      <c r="R93" s="43"/>
      <c r="S93" s="18"/>
      <c r="T93" s="18"/>
      <c r="U93" s="18"/>
      <c r="V93" s="43"/>
      <c r="W93" s="18"/>
      <c r="X93" s="18"/>
    </row>
    <row r="94" spans="1:26" x14ac:dyDescent="0.25">
      <c r="A94" s="9"/>
      <c r="B94" s="54"/>
      <c r="D94" s="18"/>
      <c r="E94" s="18"/>
      <c r="G94" s="18"/>
      <c r="H94" s="18"/>
      <c r="I94" s="18"/>
      <c r="J94" s="43"/>
      <c r="K94" s="18"/>
      <c r="L94" s="18"/>
      <c r="M94" s="18"/>
      <c r="P94" s="18"/>
      <c r="Q94" s="18"/>
      <c r="R94" s="43"/>
      <c r="S94" s="18"/>
      <c r="T94" s="18"/>
      <c r="U94" s="18"/>
      <c r="V94" s="43"/>
      <c r="W94" s="18"/>
      <c r="X94" s="18"/>
    </row>
    <row r="95" spans="1:26" x14ac:dyDescent="0.25">
      <c r="D95" s="18"/>
      <c r="E95" s="18"/>
      <c r="G95" s="18"/>
      <c r="H95" s="18"/>
      <c r="I95" s="18"/>
      <c r="J95" s="43"/>
      <c r="K95" s="18"/>
      <c r="L95" s="18"/>
      <c r="M95" s="18"/>
      <c r="P95" s="18"/>
      <c r="Q95" s="18"/>
      <c r="R95" s="43"/>
      <c r="S95" s="18"/>
      <c r="T95" s="18"/>
      <c r="U95" s="18"/>
      <c r="V95" s="43"/>
      <c r="W95" s="18"/>
      <c r="X95" s="18"/>
    </row>
  </sheetData>
  <pageMargins left="0.25" right="0.25" top="0.75" bottom="0.75" header="0.3" footer="0.3"/>
  <pageSetup scale="55" fitToWidth="2" orientation="landscape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",RIGHT(202104,2),", ",2021)</f>
        <v>Period 04,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44135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","435", " - ", "Ground Floor Coffee House")</f>
        <v>Department 435 - Ground Floor Coffee House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61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50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50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2"/>
      <c r="F10" s="31" t="s">
        <v>14</v>
      </c>
      <c r="G10" s="32"/>
      <c r="H10" s="49" t="s">
        <v>306</v>
      </c>
      <c r="I10" s="32"/>
      <c r="J10" s="31" t="s">
        <v>14</v>
      </c>
      <c r="K10" s="10"/>
      <c r="L10" s="42" t="s">
        <v>11</v>
      </c>
      <c r="M10" s="10"/>
      <c r="N10" s="31" t="s">
        <v>15</v>
      </c>
      <c r="O10" s="10"/>
      <c r="P10" s="59" t="s">
        <v>10</v>
      </c>
      <c r="Q10" s="32"/>
      <c r="R10" s="31" t="s">
        <v>14</v>
      </c>
      <c r="S10" s="32"/>
      <c r="T10" s="49" t="s">
        <v>306</v>
      </c>
      <c r="U10" s="32"/>
      <c r="V10" s="31" t="s">
        <v>14</v>
      </c>
      <c r="W10" s="10"/>
      <c r="X10" s="42" t="s">
        <v>11</v>
      </c>
      <c r="Y10" s="10"/>
      <c r="Z10" s="31" t="s">
        <v>15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1755.17</v>
      </c>
      <c r="I12" s="4"/>
      <c r="J12" s="12"/>
      <c r="K12" s="4"/>
      <c r="L12" s="4">
        <f t="shared" ref="L12:L15" si="0">+D12-H12</f>
        <v>-1755.17</v>
      </c>
      <c r="M12" s="4"/>
      <c r="N12" s="12">
        <f t="shared" ref="N12:N15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3265.88</v>
      </c>
      <c r="U12" s="4"/>
      <c r="V12" s="12"/>
      <c r="W12" s="4"/>
      <c r="X12" s="4">
        <f t="shared" ref="X12:X15" si="2">+P12-T12</f>
        <v>-3265.88</v>
      </c>
      <c r="Y12" s="4"/>
      <c r="Z12" s="12">
        <f t="shared" ref="Z12:Z15" si="3">IF(T12=0,0,X12/T12)</f>
        <v>-1</v>
      </c>
    </row>
    <row r="13" spans="1:26" s="24" customFormat="1" hidden="1" outlineLevel="1" x14ac:dyDescent="0.25">
      <c r="A13" s="44"/>
      <c r="B13" s="11" t="str">
        <f>CONCATENATE("          ", "4055", " - ", "TAXABLE SALES-FOOD")</f>
        <v xml:space="preserve">          4055 - TAXABLE SALES-FOOD</v>
      </c>
      <c r="C13" s="11"/>
      <c r="D13" s="2">
        <f t="shared" ref="D13:D15" si="4">0</f>
        <v>0</v>
      </c>
      <c r="E13" s="2"/>
      <c r="F13" s="19"/>
      <c r="G13" s="2"/>
      <c r="H13" s="2">
        <f>--371.82</f>
        <v>371.82</v>
      </c>
      <c r="I13" s="2"/>
      <c r="J13" s="19"/>
      <c r="K13" s="2"/>
      <c r="L13" s="2">
        <f t="shared" si="0"/>
        <v>-371.82</v>
      </c>
      <c r="M13" s="2"/>
      <c r="N13" s="19">
        <f t="shared" si="1"/>
        <v>-1</v>
      </c>
      <c r="O13" s="11"/>
      <c r="P13" s="2">
        <f t="shared" ref="P13:P15" si="5">0</f>
        <v>0</v>
      </c>
      <c r="Q13" s="2"/>
      <c r="R13" s="19"/>
      <c r="S13" s="2"/>
      <c r="T13" s="2">
        <f>--651.14</f>
        <v>651.14</v>
      </c>
      <c r="U13" s="2"/>
      <c r="V13" s="19"/>
      <c r="W13" s="2"/>
      <c r="X13" s="2">
        <f t="shared" si="2"/>
        <v>-651.14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"4153", " - ", "NON-TAXABLE SALES-FOOD")</f>
        <v xml:space="preserve">          4153 - NON-TAXABLE SALES-FOOD</v>
      </c>
      <c r="C14" s="11"/>
      <c r="D14" s="2">
        <f t="shared" si="4"/>
        <v>0</v>
      </c>
      <c r="E14" s="2"/>
      <c r="F14" s="19"/>
      <c r="G14" s="2"/>
      <c r="H14" s="2">
        <f>--211.35</f>
        <v>211.35</v>
      </c>
      <c r="I14" s="2"/>
      <c r="J14" s="19"/>
      <c r="K14" s="2"/>
      <c r="L14" s="2">
        <f t="shared" si="0"/>
        <v>-211.35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f>--471.63</f>
        <v>471.63</v>
      </c>
      <c r="U14" s="2"/>
      <c r="V14" s="19"/>
      <c r="W14" s="2"/>
      <c r="X14" s="2">
        <f t="shared" si="2"/>
        <v>-471.63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"4155", " - ", "NON-TAXABLE SALES-FOOD")</f>
        <v xml:space="preserve">          4155 - NON-TAXABLE SALES-FOOD</v>
      </c>
      <c r="C15" s="11"/>
      <c r="D15" s="2">
        <f t="shared" si="4"/>
        <v>0</v>
      </c>
      <c r="E15" s="2"/>
      <c r="F15" s="19"/>
      <c r="G15" s="2"/>
      <c r="H15" s="2">
        <f>--1172</f>
        <v>1172</v>
      </c>
      <c r="I15" s="2"/>
      <c r="J15" s="19"/>
      <c r="K15" s="2"/>
      <c r="L15" s="2">
        <f t="shared" si="0"/>
        <v>-1172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--2143.11</f>
        <v>2143.11</v>
      </c>
      <c r="U15" s="2"/>
      <c r="V15" s="19"/>
      <c r="W15" s="2"/>
      <c r="X15" s="2">
        <f t="shared" si="2"/>
        <v>-2143.11</v>
      </c>
      <c r="Y15" s="2"/>
      <c r="Z15" s="19">
        <f t="shared" si="3"/>
        <v>-1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6" t="s">
        <v>8</v>
      </c>
      <c r="C17" s="10"/>
      <c r="D17" s="4">
        <f>SUM(OSRRefD16x_0)</f>
        <v>0</v>
      </c>
      <c r="E17" s="4"/>
      <c r="F17" s="12">
        <f t="shared" ref="F17:F19" si="6">IF(D$12=0,0,D17/D$12)</f>
        <v>0</v>
      </c>
      <c r="G17" s="4"/>
      <c r="H17" s="4">
        <f>SUM(OSRRefH16x_0)</f>
        <v>730.53</v>
      </c>
      <c r="I17" s="4"/>
      <c r="J17" s="12">
        <f t="shared" ref="J17:J19" si="7">IF(H$12=0,0,H17/H$12)</f>
        <v>0.41621609302802576</v>
      </c>
      <c r="K17" s="4"/>
      <c r="L17" s="4">
        <f t="shared" ref="L17:L19" si="8">+D17-H17</f>
        <v>-730.53</v>
      </c>
      <c r="M17" s="4"/>
      <c r="N17" s="12">
        <f t="shared" ref="N17:N19" si="9">IF(H17=0,0,L17/H17)</f>
        <v>-1</v>
      </c>
      <c r="O17" s="10"/>
      <c r="P17" s="4">
        <f>SUM(OSRRefP16x_0)</f>
        <v>0</v>
      </c>
      <c r="Q17" s="4"/>
      <c r="R17" s="12">
        <f t="shared" ref="R17:R19" si="10">IF(P$12=0,0,P17/P$12)</f>
        <v>0</v>
      </c>
      <c r="S17" s="4"/>
      <c r="T17" s="4">
        <f>SUM(OSRRefT16x_0)</f>
        <v>1171.1299999999997</v>
      </c>
      <c r="U17" s="4"/>
      <c r="V17" s="12">
        <f t="shared" ref="V17:V19" si="11">IF(T$12=0,0,T17/T$12)</f>
        <v>0.35859553933396193</v>
      </c>
      <c r="W17" s="4"/>
      <c r="X17" s="4">
        <f t="shared" ref="X17:X19" si="12">+P17-T17</f>
        <v>-1171.1299999999997</v>
      </c>
      <c r="Y17" s="4"/>
      <c r="Z17" s="12">
        <f t="shared" ref="Z17:Z19" si="13">IF(T17=0,0,X17/T17)</f>
        <v>-1</v>
      </c>
    </row>
    <row r="18" spans="1:26" s="24" customFormat="1" hidden="1" outlineLevel="1" x14ac:dyDescent="0.25">
      <c r="A18" s="44"/>
      <c r="B18" s="11" t="str">
        <f>CONCATENATE("          ", "5053", " - ", "PURCHASES @ COST-FOOD")</f>
        <v xml:space="preserve">          5053 - PURCHASES @ COST-FOOD</v>
      </c>
      <c r="C18" s="11"/>
      <c r="D18" s="2"/>
      <c r="E18" s="2"/>
      <c r="F18" s="19">
        <f t="shared" si="6"/>
        <v>0</v>
      </c>
      <c r="G18" s="2"/>
      <c r="H18" s="2">
        <v>1154.74</v>
      </c>
      <c r="I18" s="2"/>
      <c r="J18" s="19">
        <f t="shared" si="7"/>
        <v>0.65790778101266545</v>
      </c>
      <c r="K18" s="2"/>
      <c r="L18" s="2">
        <f t="shared" si="8"/>
        <v>-1154.74</v>
      </c>
      <c r="M18" s="2"/>
      <c r="N18" s="19">
        <f t="shared" si="9"/>
        <v>-1</v>
      </c>
      <c r="O18" s="11"/>
      <c r="P18" s="2"/>
      <c r="Q18" s="2"/>
      <c r="R18" s="19">
        <f t="shared" si="10"/>
        <v>0</v>
      </c>
      <c r="S18" s="2"/>
      <c r="T18" s="2">
        <v>3859.14</v>
      </c>
      <c r="U18" s="2"/>
      <c r="V18" s="19">
        <f t="shared" si="11"/>
        <v>1.1816539493184073</v>
      </c>
      <c r="W18" s="2"/>
      <c r="X18" s="2">
        <f t="shared" si="12"/>
        <v>-3859.14</v>
      </c>
      <c r="Y18" s="2"/>
      <c r="Z18" s="19">
        <f t="shared" si="13"/>
        <v>-1</v>
      </c>
    </row>
    <row r="19" spans="1:26" s="24" customFormat="1" hidden="1" outlineLevel="1" x14ac:dyDescent="0.25">
      <c r="A19" s="44"/>
      <c r="B19" s="11" t="str">
        <f>CONCATENATE("          ", "5059", " - ", "PURCHASES @ COST-FOOD")</f>
        <v xml:space="preserve">          5059 - PURCHASES @ COST-FOOD</v>
      </c>
      <c r="C19" s="11"/>
      <c r="D19" s="2"/>
      <c r="E19" s="2"/>
      <c r="F19" s="19">
        <f t="shared" si="6"/>
        <v>0</v>
      </c>
      <c r="G19" s="2"/>
      <c r="H19" s="2">
        <v>-424.21</v>
      </c>
      <c r="I19" s="2"/>
      <c r="J19" s="19">
        <f t="shared" si="7"/>
        <v>-0.24169168798463964</v>
      </c>
      <c r="K19" s="2"/>
      <c r="L19" s="2">
        <f t="shared" si="8"/>
        <v>424.21</v>
      </c>
      <c r="M19" s="2"/>
      <c r="N19" s="19">
        <f t="shared" si="9"/>
        <v>-1</v>
      </c>
      <c r="O19" s="11"/>
      <c r="P19" s="2"/>
      <c r="Q19" s="2"/>
      <c r="R19" s="19">
        <f t="shared" si="10"/>
        <v>0</v>
      </c>
      <c r="S19" s="2"/>
      <c r="T19" s="2">
        <v>-2688.01</v>
      </c>
      <c r="U19" s="2"/>
      <c r="V19" s="19">
        <f t="shared" si="11"/>
        <v>-0.82305840998444524</v>
      </c>
      <c r="W19" s="2"/>
      <c r="X19" s="2">
        <f t="shared" si="12"/>
        <v>2688.01</v>
      </c>
      <c r="Y19" s="2"/>
      <c r="Z19" s="19">
        <f t="shared" si="13"/>
        <v>-1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5" t="s">
        <v>6</v>
      </c>
      <c r="C21" s="25"/>
      <c r="D21" s="20">
        <f>D12-D17</f>
        <v>0</v>
      </c>
      <c r="E21" s="13"/>
      <c r="F21" s="21">
        <f>IF(D$12=0,0,D21/D$12)</f>
        <v>0</v>
      </c>
      <c r="G21" s="13"/>
      <c r="H21" s="20">
        <f>H12-H17</f>
        <v>1024.6400000000001</v>
      </c>
      <c r="I21" s="13"/>
      <c r="J21" s="21">
        <f>IF(H$12=0,0,H21/H$12)</f>
        <v>0.58378390697197424</v>
      </c>
      <c r="K21" s="15"/>
      <c r="L21" s="20">
        <f>+D21-H21</f>
        <v>-1024.6400000000001</v>
      </c>
      <c r="M21" s="15"/>
      <c r="N21" s="21">
        <f>IF(H21=0,0,L21/H21)</f>
        <v>-1</v>
      </c>
      <c r="O21" s="26"/>
      <c r="P21" s="20">
        <f>P12-P17</f>
        <v>0</v>
      </c>
      <c r="Q21" s="13"/>
      <c r="R21" s="21">
        <f>IF(P$12=0,0,P21/P$12)</f>
        <v>0</v>
      </c>
      <c r="S21" s="13"/>
      <c r="T21" s="20">
        <f>T12-T17</f>
        <v>2094.7500000000005</v>
      </c>
      <c r="U21" s="13"/>
      <c r="V21" s="21">
        <f>IF(T$12=0,0,T21/T$12)</f>
        <v>0.64140446066603807</v>
      </c>
      <c r="W21" s="15"/>
      <c r="X21" s="20">
        <f>+P21-T21</f>
        <v>-2094.7500000000005</v>
      </c>
      <c r="Y21" s="15"/>
      <c r="Z21" s="21">
        <f>IF(T21=0,0,X21/T21)</f>
        <v>-1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6" t="s">
        <v>9</v>
      </c>
      <c r="C23" s="10"/>
      <c r="D23" s="22">
        <f>SUM(OSRRefD22x_0)</f>
        <v>27.69</v>
      </c>
      <c r="E23" s="22"/>
      <c r="F23" s="36">
        <f t="shared" ref="F23:F27" si="14">IF(D$12=0,0,D23/D$12)</f>
        <v>0</v>
      </c>
      <c r="G23" s="22"/>
      <c r="H23" s="22">
        <f>SUM(OSRRefH22x_0)</f>
        <v>3621.0399999999995</v>
      </c>
      <c r="I23" s="22"/>
      <c r="J23" s="36">
        <f t="shared" ref="J23:J27" si="15">IF(H$12=0,0,H23/H$12)</f>
        <v>2.0630708136533777</v>
      </c>
      <c r="K23" s="4"/>
      <c r="L23" s="22">
        <f t="shared" ref="L23:L27" si="16">+D23-H23</f>
        <v>-3593.3499999999995</v>
      </c>
      <c r="M23" s="4"/>
      <c r="N23" s="36">
        <f t="shared" ref="N23:N27" si="17">IF(H23=0,0,L23/H23)</f>
        <v>-0.99235302565008943</v>
      </c>
      <c r="O23" s="10"/>
      <c r="P23" s="22">
        <f>SUM(OSRRefP22x_0)</f>
        <v>178.69</v>
      </c>
      <c r="Q23" s="22"/>
      <c r="R23" s="36">
        <f t="shared" ref="R23:R27" si="18">IF(P$12=0,0,P23/P$12)</f>
        <v>0</v>
      </c>
      <c r="S23" s="22"/>
      <c r="T23" s="22">
        <f>SUM(OSRRefT22x_0)</f>
        <v>10129.640000000001</v>
      </c>
      <c r="U23" s="22"/>
      <c r="V23" s="36">
        <f t="shared" ref="V23:V27" si="19">IF(T$12=0,0,T23/T$12)</f>
        <v>3.1016571337587422</v>
      </c>
      <c r="W23" s="4"/>
      <c r="X23" s="22">
        <f t="shared" ref="X23:X27" si="20">+P23-T23</f>
        <v>-9950.9500000000007</v>
      </c>
      <c r="Y23" s="4"/>
      <c r="Z23" s="36">
        <f t="shared" ref="Z23:Z27" si="21">IF(T23=0,0,X23/T23)</f>
        <v>-0.98235968899190884</v>
      </c>
    </row>
    <row r="24" spans="1:26" s="29" customFormat="1" outlineLevel="1" collapsed="1" x14ac:dyDescent="0.25">
      <c r="A24" s="27"/>
      <c r="B24" s="14" t="str">
        <f>CONCATENATE("     ","*Benefits                                         ")</f>
        <v xml:space="preserve">     *Benefits                                         </v>
      </c>
      <c r="C24" s="14"/>
      <c r="D24" s="1">
        <f>SUM(OSRRefD22_0x_0)</f>
        <v>0</v>
      </c>
      <c r="E24" s="1"/>
      <c r="F24" s="5">
        <f t="shared" si="14"/>
        <v>0</v>
      </c>
      <c r="G24" s="1"/>
      <c r="H24" s="1">
        <f>SUM(OSRRefH22_0x_0)</f>
        <v>217.45</v>
      </c>
      <c r="I24" s="1"/>
      <c r="J24" s="5">
        <f t="shared" si="15"/>
        <v>0.12389113305263877</v>
      </c>
      <c r="K24" s="1"/>
      <c r="L24" s="1">
        <f t="shared" si="16"/>
        <v>-217.45</v>
      </c>
      <c r="M24" s="1"/>
      <c r="N24" s="5">
        <f t="shared" si="17"/>
        <v>-1</v>
      </c>
      <c r="O24" s="14"/>
      <c r="P24" s="1">
        <f>SUM(OSRRefP22_0x_0)</f>
        <v>0</v>
      </c>
      <c r="Q24" s="1"/>
      <c r="R24" s="5">
        <f t="shared" si="18"/>
        <v>0</v>
      </c>
      <c r="S24" s="1"/>
      <c r="T24" s="1">
        <f>SUM(OSRRefT22_0x_0)</f>
        <v>485.15999999999997</v>
      </c>
      <c r="U24" s="1"/>
      <c r="V24" s="5">
        <f t="shared" si="19"/>
        <v>0.14855414160961208</v>
      </c>
      <c r="W24" s="1"/>
      <c r="X24" s="1">
        <f t="shared" si="20"/>
        <v>-485.15999999999997</v>
      </c>
      <c r="Y24" s="1"/>
      <c r="Z24" s="5">
        <f t="shared" si="21"/>
        <v>-1</v>
      </c>
    </row>
    <row r="25" spans="1:26" s="24" customFormat="1" hidden="1" outlineLevel="2" x14ac:dyDescent="0.25">
      <c r="A25" s="28"/>
      <c r="B25" s="11" t="str">
        <f>CONCATENATE("          ", "6111", " - ", "F.I.C.A.")</f>
        <v xml:space="preserve">          6111 - F.I.C.A.</v>
      </c>
      <c r="C25" s="11"/>
      <c r="D25" s="6"/>
      <c r="E25" s="2"/>
      <c r="F25" s="7">
        <f t="shared" si="14"/>
        <v>0</v>
      </c>
      <c r="G25" s="2"/>
      <c r="H25" s="6">
        <v>196.92</v>
      </c>
      <c r="I25" s="2"/>
      <c r="J25" s="7">
        <f t="shared" si="15"/>
        <v>0.11219426038503391</v>
      </c>
      <c r="K25" s="2"/>
      <c r="L25" s="6">
        <f t="shared" si="16"/>
        <v>-196.92</v>
      </c>
      <c r="M25" s="2"/>
      <c r="N25" s="7">
        <f t="shared" si="17"/>
        <v>-1</v>
      </c>
      <c r="O25" s="11"/>
      <c r="P25" s="6"/>
      <c r="Q25" s="2"/>
      <c r="R25" s="7">
        <f t="shared" si="18"/>
        <v>0</v>
      </c>
      <c r="S25" s="2"/>
      <c r="T25" s="6">
        <v>358.08</v>
      </c>
      <c r="U25" s="2"/>
      <c r="V25" s="7">
        <f t="shared" si="19"/>
        <v>0.10964273029015149</v>
      </c>
      <c r="W25" s="2"/>
      <c r="X25" s="6">
        <f t="shared" si="20"/>
        <v>-358.08</v>
      </c>
      <c r="Y25" s="2"/>
      <c r="Z25" s="7">
        <f t="shared" si="21"/>
        <v>-1</v>
      </c>
    </row>
    <row r="26" spans="1:26" s="24" customFormat="1" hidden="1" outlineLevel="2" x14ac:dyDescent="0.25">
      <c r="A26" s="28"/>
      <c r="B26" s="11" t="str">
        <f>CONCATENATE("          ", "6112", " - ", "COMPENSATION INSURANCE")</f>
        <v xml:space="preserve">          6112 - COMPENSATION INSURANCE</v>
      </c>
      <c r="C26" s="11"/>
      <c r="D26" s="6"/>
      <c r="E26" s="2"/>
      <c r="F26" s="7">
        <f t="shared" si="14"/>
        <v>0</v>
      </c>
      <c r="G26" s="2"/>
      <c r="H26" s="6">
        <v>13.99</v>
      </c>
      <c r="I26" s="2"/>
      <c r="J26" s="7">
        <f t="shared" si="15"/>
        <v>7.9707378772426608E-3</v>
      </c>
      <c r="K26" s="2"/>
      <c r="L26" s="6">
        <f t="shared" si="16"/>
        <v>-13.99</v>
      </c>
      <c r="M26" s="2"/>
      <c r="N26" s="7">
        <f t="shared" si="17"/>
        <v>-1</v>
      </c>
      <c r="O26" s="11"/>
      <c r="P26" s="6"/>
      <c r="Q26" s="2"/>
      <c r="R26" s="7">
        <f t="shared" si="18"/>
        <v>0</v>
      </c>
      <c r="S26" s="2"/>
      <c r="T26" s="6">
        <v>107.72</v>
      </c>
      <c r="U26" s="2"/>
      <c r="V26" s="7">
        <f t="shared" si="19"/>
        <v>3.2983453158107461E-2</v>
      </c>
      <c r="W26" s="2"/>
      <c r="X26" s="6">
        <f t="shared" si="20"/>
        <v>-107.72</v>
      </c>
      <c r="Y26" s="2"/>
      <c r="Z26" s="7">
        <f t="shared" si="21"/>
        <v>-1</v>
      </c>
    </row>
    <row r="27" spans="1:26" s="24" customFormat="1" hidden="1" outlineLevel="2" x14ac:dyDescent="0.25">
      <c r="A27" s="28"/>
      <c r="B27" s="11" t="str">
        <f>CONCATENATE("          ", "6114", " - ", "STATE UNEMPLOYMENT INSURANCE")</f>
        <v xml:space="preserve">          6114 - STATE UNEMPLOYMENT INSURANCE</v>
      </c>
      <c r="C27" s="11"/>
      <c r="D27" s="6"/>
      <c r="E27" s="2"/>
      <c r="F27" s="7">
        <f t="shared" si="14"/>
        <v>0</v>
      </c>
      <c r="G27" s="2"/>
      <c r="H27" s="6">
        <v>6.54</v>
      </c>
      <c r="I27" s="2"/>
      <c r="J27" s="7">
        <f t="shared" si="15"/>
        <v>3.726134790362187E-3</v>
      </c>
      <c r="K27" s="2"/>
      <c r="L27" s="6">
        <f t="shared" si="16"/>
        <v>-6.54</v>
      </c>
      <c r="M27" s="2"/>
      <c r="N27" s="7">
        <f t="shared" si="17"/>
        <v>-1</v>
      </c>
      <c r="O27" s="11"/>
      <c r="P27" s="6"/>
      <c r="Q27" s="2"/>
      <c r="R27" s="7">
        <f t="shared" si="18"/>
        <v>0</v>
      </c>
      <c r="S27" s="2"/>
      <c r="T27" s="6">
        <v>19.36</v>
      </c>
      <c r="U27" s="2"/>
      <c r="V27" s="7">
        <f t="shared" si="19"/>
        <v>5.9279581613531415E-3</v>
      </c>
      <c r="W27" s="2"/>
      <c r="X27" s="6">
        <f t="shared" si="20"/>
        <v>-19.36</v>
      </c>
      <c r="Y27" s="2"/>
      <c r="Z27" s="7">
        <f t="shared" si="21"/>
        <v>-1</v>
      </c>
    </row>
    <row r="28" spans="1:26" s="29" customFormat="1" outlineLevel="1" collapsed="1" x14ac:dyDescent="0.25">
      <c r="A28" s="27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SUM(OSRRefD22_1x_0)</f>
        <v>0</v>
      </c>
      <c r="E28" s="1"/>
      <c r="F28" s="5">
        <f t="shared" ref="F28:F30" si="22">IF(D$12=0,0,D28/D$12)</f>
        <v>0</v>
      </c>
      <c r="G28" s="1"/>
      <c r="H28" s="1">
        <f>SUM(OSRRefH22_1x_0)</f>
        <v>2955.97</v>
      </c>
      <c r="I28" s="1"/>
      <c r="J28" s="5">
        <f t="shared" ref="J28:J30" si="23">IF(H$12=0,0,H28/H$12)</f>
        <v>1.6841502532518215</v>
      </c>
      <c r="K28" s="1"/>
      <c r="L28" s="1">
        <f t="shared" ref="L28:L30" si="24">+D28-H28</f>
        <v>-2955.97</v>
      </c>
      <c r="M28" s="1"/>
      <c r="N28" s="5">
        <f t="shared" ref="N28:N30" si="25">IF(H28=0,0,L28/H28)</f>
        <v>-1</v>
      </c>
      <c r="O28" s="14"/>
      <c r="P28" s="1">
        <f>SUM(OSRRefP22_1x_0)</f>
        <v>0</v>
      </c>
      <c r="Q28" s="1"/>
      <c r="R28" s="5">
        <f t="shared" ref="R28:R30" si="26">IF(P$12=0,0,P28/P$12)</f>
        <v>0</v>
      </c>
      <c r="S28" s="1"/>
      <c r="T28" s="1">
        <f>SUM(OSRRefT22_1x_0)</f>
        <v>6378.63</v>
      </c>
      <c r="U28" s="1"/>
      <c r="V28" s="5">
        <f t="shared" ref="V28:V30" si="27">IF(T$12=0,0,T28/T$12)</f>
        <v>1.9531121780347103</v>
      </c>
      <c r="W28" s="1"/>
      <c r="X28" s="1">
        <f t="shared" ref="X28:X30" si="28">+P28-T28</f>
        <v>-6378.63</v>
      </c>
      <c r="Y28" s="1"/>
      <c r="Z28" s="5">
        <f t="shared" ref="Z28:Z30" si="29">IF(T28=0,0,X28/T28)</f>
        <v>-1</v>
      </c>
    </row>
    <row r="29" spans="1:26" s="24" customFormat="1" hidden="1" outlineLevel="2" x14ac:dyDescent="0.25">
      <c r="A29" s="28"/>
      <c r="B29" s="11" t="str">
        <f>CONCATENATE("          ", "6005", " - ", "TEMPORARY WAGES-HOURLY")</f>
        <v xml:space="preserve">          6005 - TEMPORARY WAGES-HOURLY</v>
      </c>
      <c r="C29" s="11"/>
      <c r="D29" s="6"/>
      <c r="E29" s="2"/>
      <c r="F29" s="7">
        <f t="shared" si="22"/>
        <v>0</v>
      </c>
      <c r="G29" s="2"/>
      <c r="H29" s="6">
        <v>2573.9699999999998</v>
      </c>
      <c r="I29" s="2"/>
      <c r="J29" s="7">
        <f t="shared" si="23"/>
        <v>1.4665075177902993</v>
      </c>
      <c r="K29" s="2"/>
      <c r="L29" s="6">
        <f t="shared" si="24"/>
        <v>-2573.9699999999998</v>
      </c>
      <c r="M29" s="2"/>
      <c r="N29" s="7">
        <f t="shared" si="25"/>
        <v>-1</v>
      </c>
      <c r="O29" s="11"/>
      <c r="P29" s="6"/>
      <c r="Q29" s="2"/>
      <c r="R29" s="7">
        <f t="shared" si="26"/>
        <v>0</v>
      </c>
      <c r="S29" s="2"/>
      <c r="T29" s="6">
        <v>4584.63</v>
      </c>
      <c r="U29" s="2"/>
      <c r="V29" s="7">
        <f t="shared" si="27"/>
        <v>1.4037962203142798</v>
      </c>
      <c r="W29" s="2"/>
      <c r="X29" s="6">
        <f t="shared" si="28"/>
        <v>-4584.63</v>
      </c>
      <c r="Y29" s="2"/>
      <c r="Z29" s="7">
        <f t="shared" si="29"/>
        <v>-1</v>
      </c>
    </row>
    <row r="30" spans="1:26" s="24" customFormat="1" hidden="1" outlineLevel="2" x14ac:dyDescent="0.25">
      <c r="A30" s="28"/>
      <c r="B30" s="11" t="str">
        <f>CONCATENATE("          ", "6007", " - ", "STUDENT HOURLY")</f>
        <v xml:space="preserve">          6007 - STUDENT HOURLY</v>
      </c>
      <c r="C30" s="11"/>
      <c r="D30" s="6"/>
      <c r="E30" s="2"/>
      <c r="F30" s="7">
        <f t="shared" si="22"/>
        <v>0</v>
      </c>
      <c r="G30" s="2"/>
      <c r="H30" s="6">
        <v>382</v>
      </c>
      <c r="I30" s="2"/>
      <c r="J30" s="7">
        <f t="shared" si="23"/>
        <v>0.21764273546152224</v>
      </c>
      <c r="K30" s="2"/>
      <c r="L30" s="6">
        <f t="shared" si="24"/>
        <v>-382</v>
      </c>
      <c r="M30" s="2"/>
      <c r="N30" s="7">
        <f t="shared" si="25"/>
        <v>-1</v>
      </c>
      <c r="O30" s="11"/>
      <c r="P30" s="6"/>
      <c r="Q30" s="2"/>
      <c r="R30" s="7">
        <f t="shared" si="26"/>
        <v>0</v>
      </c>
      <c r="S30" s="2"/>
      <c r="T30" s="6">
        <v>1794</v>
      </c>
      <c r="U30" s="2"/>
      <c r="V30" s="7">
        <f t="shared" si="27"/>
        <v>0.54931595772043063</v>
      </c>
      <c r="W30" s="2"/>
      <c r="X30" s="6">
        <f t="shared" si="28"/>
        <v>-1794</v>
      </c>
      <c r="Y30" s="2"/>
      <c r="Z30" s="7">
        <f t="shared" si="29"/>
        <v>-1</v>
      </c>
    </row>
    <row r="31" spans="1:26" s="29" customFormat="1" outlineLevel="1" collapsed="1" x14ac:dyDescent="0.25">
      <c r="A31" s="27"/>
      <c r="B31" s="14" t="str">
        <f>CONCATENATE("     ","Bad Debts/Over/Short                              ")</f>
        <v xml:space="preserve">     Bad Debts/Over/Short                              </v>
      </c>
      <c r="C31" s="14"/>
      <c r="D31" s="1">
        <f>SUM(OSRRefD22_2x_0)</f>
        <v>0</v>
      </c>
      <c r="E31" s="1"/>
      <c r="F31" s="5">
        <f t="shared" ref="F31:F42" si="30">IF(D$12=0,0,D31/D$12)</f>
        <v>0</v>
      </c>
      <c r="G31" s="1"/>
      <c r="H31" s="1">
        <f>SUM(OSRRefH22_2x_0)</f>
        <v>-0.55000000000000004</v>
      </c>
      <c r="I31" s="1"/>
      <c r="J31" s="5">
        <f t="shared" ref="J31:J42" si="31">IF(H$12=0,0,H31/H$12)</f>
        <v>-3.1335995943412891E-4</v>
      </c>
      <c r="K31" s="1"/>
      <c r="L31" s="1">
        <f t="shared" ref="L31:L42" si="32">+D31-H31</f>
        <v>0.55000000000000004</v>
      </c>
      <c r="M31" s="1"/>
      <c r="N31" s="5">
        <f t="shared" ref="N31:N42" si="33">IF(H31=0,0,L31/H31)</f>
        <v>-1</v>
      </c>
      <c r="O31" s="14"/>
      <c r="P31" s="1">
        <f>SUM(OSRRefP22_2x_0)</f>
        <v>0</v>
      </c>
      <c r="Q31" s="1"/>
      <c r="R31" s="5">
        <f t="shared" ref="R31:R42" si="34">IF(P$12=0,0,P31/P$12)</f>
        <v>0</v>
      </c>
      <c r="S31" s="1"/>
      <c r="T31" s="1">
        <f>SUM(OSRRefT22_2x_0)</f>
        <v>-0.86</v>
      </c>
      <c r="U31" s="1"/>
      <c r="V31" s="5">
        <f t="shared" ref="V31:V42" si="35">IF(T$12=0,0,T31/T$12)</f>
        <v>-2.6332871997746394E-4</v>
      </c>
      <c r="W31" s="1"/>
      <c r="X31" s="1">
        <f t="shared" ref="X31:X42" si="36">+P31-T31</f>
        <v>0.86</v>
      </c>
      <c r="Y31" s="1"/>
      <c r="Z31" s="5">
        <f t="shared" ref="Z31:Z42" si="37">IF(T31=0,0,X31/T31)</f>
        <v>-1</v>
      </c>
    </row>
    <row r="32" spans="1:26" s="24" customFormat="1" hidden="1" outlineLevel="2" x14ac:dyDescent="0.25">
      <c r="A32" s="28"/>
      <c r="B32" s="11" t="str">
        <f>CONCATENATE("          ", "6272", " - ", "CASH (OVER/SHORT)")</f>
        <v xml:space="preserve">          6272 - CASH (OVER/SHORT)</v>
      </c>
      <c r="C32" s="11"/>
      <c r="D32" s="6"/>
      <c r="E32" s="2"/>
      <c r="F32" s="7">
        <f t="shared" si="30"/>
        <v>0</v>
      </c>
      <c r="G32" s="2"/>
      <c r="H32" s="6">
        <v>-0.55000000000000004</v>
      </c>
      <c r="I32" s="2"/>
      <c r="J32" s="7">
        <f t="shared" si="31"/>
        <v>-3.1335995943412891E-4</v>
      </c>
      <c r="K32" s="2"/>
      <c r="L32" s="6">
        <f t="shared" si="32"/>
        <v>0.55000000000000004</v>
      </c>
      <c r="M32" s="2"/>
      <c r="N32" s="7">
        <f t="shared" si="33"/>
        <v>-1</v>
      </c>
      <c r="O32" s="11"/>
      <c r="P32" s="6"/>
      <c r="Q32" s="2"/>
      <c r="R32" s="7">
        <f t="shared" si="34"/>
        <v>0</v>
      </c>
      <c r="S32" s="2"/>
      <c r="T32" s="6">
        <v>-0.86</v>
      </c>
      <c r="U32" s="2"/>
      <c r="V32" s="7">
        <f t="shared" si="35"/>
        <v>-2.6332871997746394E-4</v>
      </c>
      <c r="W32" s="2"/>
      <c r="X32" s="6">
        <f t="shared" si="36"/>
        <v>0.86</v>
      </c>
      <c r="Y32" s="2"/>
      <c r="Z32" s="7">
        <f t="shared" si="37"/>
        <v>-1</v>
      </c>
    </row>
    <row r="33" spans="1:26" s="29" customFormat="1" outlineLevel="1" collapsed="1" x14ac:dyDescent="0.25">
      <c r="A33" s="27"/>
      <c r="B33" s="14" t="str">
        <f>CONCATENATE("     ","Bank/card Fees                                    ")</f>
        <v xml:space="preserve">     Bank/card Fees                                    </v>
      </c>
      <c r="C33" s="14"/>
      <c r="D33" s="1">
        <f>SUM(OSRRefD22_3x_0)</f>
        <v>0</v>
      </c>
      <c r="E33" s="1"/>
      <c r="F33" s="5">
        <f t="shared" si="30"/>
        <v>0</v>
      </c>
      <c r="G33" s="1"/>
      <c r="H33" s="1">
        <f>SUM(OSRRefH22_3x_0)</f>
        <v>41.75</v>
      </c>
      <c r="I33" s="1"/>
      <c r="J33" s="5">
        <f t="shared" si="31"/>
        <v>2.3786869647954328E-2</v>
      </c>
      <c r="K33" s="1"/>
      <c r="L33" s="1">
        <f t="shared" si="32"/>
        <v>-41.75</v>
      </c>
      <c r="M33" s="1"/>
      <c r="N33" s="5">
        <f t="shared" si="33"/>
        <v>-1</v>
      </c>
      <c r="O33" s="14"/>
      <c r="P33" s="1">
        <f>SUM(OSRRefP22_3x_0)</f>
        <v>0</v>
      </c>
      <c r="Q33" s="1"/>
      <c r="R33" s="5">
        <f t="shared" si="34"/>
        <v>0</v>
      </c>
      <c r="S33" s="1"/>
      <c r="T33" s="1">
        <f>SUM(OSRRefT22_3x_0)</f>
        <v>73.3</v>
      </c>
      <c r="U33" s="1"/>
      <c r="V33" s="5">
        <f t="shared" si="35"/>
        <v>2.2444180435288497E-2</v>
      </c>
      <c r="W33" s="1"/>
      <c r="X33" s="1">
        <f t="shared" si="36"/>
        <v>-73.3</v>
      </c>
      <c r="Y33" s="1"/>
      <c r="Z33" s="5">
        <f t="shared" si="37"/>
        <v>-1</v>
      </c>
    </row>
    <row r="34" spans="1:26" s="24" customFormat="1" hidden="1" outlineLevel="2" x14ac:dyDescent="0.25">
      <c r="A34" s="28"/>
      <c r="B34" s="11" t="str">
        <f>CONCATENATE("          ", "6381", " - ", "BANK/CREDIT CARD FEES")</f>
        <v xml:space="preserve">          6381 - BANK/CREDIT CARD FEES</v>
      </c>
      <c r="C34" s="11"/>
      <c r="D34" s="6"/>
      <c r="E34" s="2"/>
      <c r="F34" s="7">
        <f t="shared" si="30"/>
        <v>0</v>
      </c>
      <c r="G34" s="2"/>
      <c r="H34" s="6">
        <v>41.75</v>
      </c>
      <c r="I34" s="2"/>
      <c r="J34" s="7">
        <f t="shared" si="31"/>
        <v>2.3786869647954328E-2</v>
      </c>
      <c r="K34" s="2"/>
      <c r="L34" s="6">
        <f t="shared" si="32"/>
        <v>-41.75</v>
      </c>
      <c r="M34" s="2"/>
      <c r="N34" s="7">
        <f t="shared" si="33"/>
        <v>-1</v>
      </c>
      <c r="O34" s="11"/>
      <c r="P34" s="6"/>
      <c r="Q34" s="2"/>
      <c r="R34" s="7">
        <f t="shared" si="34"/>
        <v>0</v>
      </c>
      <c r="S34" s="2"/>
      <c r="T34" s="6">
        <v>73.3</v>
      </c>
      <c r="U34" s="2"/>
      <c r="V34" s="7">
        <f t="shared" si="35"/>
        <v>2.2444180435288497E-2</v>
      </c>
      <c r="W34" s="2"/>
      <c r="X34" s="6">
        <f t="shared" si="36"/>
        <v>-73.3</v>
      </c>
      <c r="Y34" s="2"/>
      <c r="Z34" s="7">
        <f t="shared" si="37"/>
        <v>-1</v>
      </c>
    </row>
    <row r="35" spans="1:26" s="29" customFormat="1" outlineLevel="1" collapsed="1" x14ac:dyDescent="0.25">
      <c r="A35" s="27"/>
      <c r="B35" s="14" t="str">
        <f>CONCATENATE("     ","General                                           ")</f>
        <v xml:space="preserve">     General                                           </v>
      </c>
      <c r="C35" s="14"/>
      <c r="D35" s="1">
        <f>SUM(OSRRefD22_4x_0)</f>
        <v>0</v>
      </c>
      <c r="E35" s="1"/>
      <c r="F35" s="5">
        <f t="shared" si="30"/>
        <v>0</v>
      </c>
      <c r="G35" s="1"/>
      <c r="H35" s="1">
        <f>SUM(OSRRefH22_4x_0)</f>
        <v>33</v>
      </c>
      <c r="I35" s="1"/>
      <c r="J35" s="5">
        <f t="shared" si="31"/>
        <v>1.8801597566047733E-2</v>
      </c>
      <c r="K35" s="1"/>
      <c r="L35" s="1">
        <f t="shared" si="32"/>
        <v>-33</v>
      </c>
      <c r="M35" s="1"/>
      <c r="N35" s="5">
        <f t="shared" si="33"/>
        <v>-1</v>
      </c>
      <c r="O35" s="14"/>
      <c r="P35" s="1">
        <f>SUM(OSRRefP22_4x_0)</f>
        <v>0</v>
      </c>
      <c r="Q35" s="1"/>
      <c r="R35" s="5">
        <f t="shared" si="34"/>
        <v>0</v>
      </c>
      <c r="S35" s="1"/>
      <c r="T35" s="1">
        <f>SUM(OSRRefT22_4x_0)</f>
        <v>1146.55</v>
      </c>
      <c r="U35" s="1"/>
      <c r="V35" s="5">
        <f t="shared" si="35"/>
        <v>0.35106923708158289</v>
      </c>
      <c r="W35" s="1"/>
      <c r="X35" s="1">
        <f t="shared" si="36"/>
        <v>-1146.55</v>
      </c>
      <c r="Y35" s="1"/>
      <c r="Z35" s="5">
        <f t="shared" si="37"/>
        <v>-1</v>
      </c>
    </row>
    <row r="36" spans="1:26" s="24" customFormat="1" hidden="1" outlineLevel="2" x14ac:dyDescent="0.25">
      <c r="A36" s="28"/>
      <c r="B36" s="11" t="str">
        <f>CONCATENATE("          ", "6279", " - ", "GENERAL EXPENSE")</f>
        <v xml:space="preserve">          6279 - GENERAL EXPENSE</v>
      </c>
      <c r="C36" s="11"/>
      <c r="D36" s="6"/>
      <c r="E36" s="2"/>
      <c r="F36" s="7">
        <f t="shared" si="30"/>
        <v>0</v>
      </c>
      <c r="G36" s="2"/>
      <c r="H36" s="6">
        <v>33</v>
      </c>
      <c r="I36" s="2"/>
      <c r="J36" s="7">
        <f t="shared" si="31"/>
        <v>1.8801597566047733E-2</v>
      </c>
      <c r="K36" s="2"/>
      <c r="L36" s="6">
        <f t="shared" si="32"/>
        <v>-33</v>
      </c>
      <c r="M36" s="2"/>
      <c r="N36" s="7">
        <f t="shared" si="33"/>
        <v>-1</v>
      </c>
      <c r="O36" s="11"/>
      <c r="P36" s="6"/>
      <c r="Q36" s="2"/>
      <c r="R36" s="7">
        <f t="shared" si="34"/>
        <v>0</v>
      </c>
      <c r="S36" s="2"/>
      <c r="T36" s="6">
        <v>1146.55</v>
      </c>
      <c r="U36" s="2"/>
      <c r="V36" s="7">
        <f t="shared" si="35"/>
        <v>0.35106923708158289</v>
      </c>
      <c r="W36" s="2"/>
      <c r="X36" s="6">
        <f t="shared" si="36"/>
        <v>-1146.55</v>
      </c>
      <c r="Y36" s="2"/>
      <c r="Z36" s="7">
        <f t="shared" si="37"/>
        <v>-1</v>
      </c>
    </row>
    <row r="37" spans="1:26" s="29" customFormat="1" outlineLevel="1" collapsed="1" x14ac:dyDescent="0.25">
      <c r="A37" s="27"/>
      <c r="B37" s="14" t="str">
        <f>CONCATENATE("     ","R/H Commissions                                   ")</f>
        <v xml:space="preserve">     R/H Commissions                                   </v>
      </c>
      <c r="C37" s="14"/>
      <c r="D37" s="1">
        <f>SUM(OSRRefD22_5x_0)</f>
        <v>0</v>
      </c>
      <c r="E37" s="1"/>
      <c r="F37" s="5">
        <f t="shared" si="30"/>
        <v>0</v>
      </c>
      <c r="G37" s="1"/>
      <c r="H37" s="1">
        <f>SUM(OSRRefH22_5x_0)</f>
        <v>140.41</v>
      </c>
      <c r="I37" s="1"/>
      <c r="J37" s="5">
        <f t="shared" si="31"/>
        <v>7.9997948916629147E-2</v>
      </c>
      <c r="K37" s="1"/>
      <c r="L37" s="1">
        <f t="shared" si="32"/>
        <v>-140.41</v>
      </c>
      <c r="M37" s="1"/>
      <c r="N37" s="5">
        <f t="shared" si="33"/>
        <v>-1</v>
      </c>
      <c r="O37" s="14"/>
      <c r="P37" s="1">
        <f>SUM(OSRRefP22_5x_0)</f>
        <v>0</v>
      </c>
      <c r="Q37" s="1"/>
      <c r="R37" s="5">
        <f t="shared" si="34"/>
        <v>0</v>
      </c>
      <c r="S37" s="1"/>
      <c r="T37" s="1">
        <f>SUM(OSRRefT22_5x_0)</f>
        <v>261.27</v>
      </c>
      <c r="U37" s="1"/>
      <c r="V37" s="5">
        <f t="shared" si="35"/>
        <v>7.9999877521525584E-2</v>
      </c>
      <c r="W37" s="1"/>
      <c r="X37" s="1">
        <f t="shared" si="36"/>
        <v>-261.27</v>
      </c>
      <c r="Y37" s="1"/>
      <c r="Z37" s="5">
        <f t="shared" si="37"/>
        <v>-1</v>
      </c>
    </row>
    <row r="38" spans="1:26" s="24" customFormat="1" hidden="1" outlineLevel="2" x14ac:dyDescent="0.25">
      <c r="A38" s="28"/>
      <c r="B38" s="11" t="str">
        <f>CONCATENATE("          ", "6387", " - ", "COMMISSION DUE HOUSING")</f>
        <v xml:space="preserve">          6387 - COMMISSION DUE HOUSING</v>
      </c>
      <c r="C38" s="11"/>
      <c r="D38" s="6"/>
      <c r="E38" s="2"/>
      <c r="F38" s="7">
        <f t="shared" si="30"/>
        <v>0</v>
      </c>
      <c r="G38" s="2"/>
      <c r="H38" s="6">
        <v>140.41</v>
      </c>
      <c r="I38" s="2"/>
      <c r="J38" s="7">
        <f t="shared" si="31"/>
        <v>7.9997948916629147E-2</v>
      </c>
      <c r="K38" s="2"/>
      <c r="L38" s="6">
        <f t="shared" si="32"/>
        <v>-140.41</v>
      </c>
      <c r="M38" s="2"/>
      <c r="N38" s="7">
        <f t="shared" si="33"/>
        <v>-1</v>
      </c>
      <c r="O38" s="11"/>
      <c r="P38" s="6"/>
      <c r="Q38" s="2"/>
      <c r="R38" s="7">
        <f t="shared" si="34"/>
        <v>0</v>
      </c>
      <c r="S38" s="2"/>
      <c r="T38" s="6">
        <v>261.27</v>
      </c>
      <c r="U38" s="2"/>
      <c r="V38" s="7">
        <f t="shared" si="35"/>
        <v>7.9999877521525584E-2</v>
      </c>
      <c r="W38" s="2"/>
      <c r="X38" s="6">
        <f t="shared" si="36"/>
        <v>-261.27</v>
      </c>
      <c r="Y38" s="2"/>
      <c r="Z38" s="7">
        <f t="shared" si="37"/>
        <v>-1</v>
      </c>
    </row>
    <row r="39" spans="1:26" s="29" customFormat="1" outlineLevel="1" collapsed="1" x14ac:dyDescent="0.25">
      <c r="A39" s="27"/>
      <c r="B39" s="14" t="str">
        <f>CONCATENATE("     ","Supplies                                          ")</f>
        <v xml:space="preserve">     Supplies                                          </v>
      </c>
      <c r="C39" s="14"/>
      <c r="D39" s="1">
        <f>SUM(OSRRefD22_6x_0)</f>
        <v>0</v>
      </c>
      <c r="E39" s="1"/>
      <c r="F39" s="5">
        <f t="shared" si="30"/>
        <v>0</v>
      </c>
      <c r="G39" s="1"/>
      <c r="H39" s="1">
        <f>SUM(OSRRefH22_6x_0)</f>
        <v>157.51</v>
      </c>
      <c r="I39" s="1"/>
      <c r="J39" s="5">
        <f t="shared" si="31"/>
        <v>8.974059492812661E-2</v>
      </c>
      <c r="K39" s="1"/>
      <c r="L39" s="1">
        <f t="shared" si="32"/>
        <v>-157.51</v>
      </c>
      <c r="M39" s="1"/>
      <c r="N39" s="5">
        <f t="shared" si="33"/>
        <v>-1</v>
      </c>
      <c r="O39" s="14"/>
      <c r="P39" s="1">
        <f>SUM(OSRRefP22_6x_0)</f>
        <v>0</v>
      </c>
      <c r="Q39" s="1"/>
      <c r="R39" s="5">
        <f t="shared" si="34"/>
        <v>0</v>
      </c>
      <c r="S39" s="1"/>
      <c r="T39" s="1">
        <f>SUM(OSRRefT22_6x_0)</f>
        <v>1523.59</v>
      </c>
      <c r="U39" s="1"/>
      <c r="V39" s="5">
        <f t="shared" si="35"/>
        <v>0.46651744705867937</v>
      </c>
      <c r="W39" s="1"/>
      <c r="X39" s="1">
        <f t="shared" si="36"/>
        <v>-1523.59</v>
      </c>
      <c r="Y39" s="1"/>
      <c r="Z39" s="5">
        <f t="shared" si="37"/>
        <v>-1</v>
      </c>
    </row>
    <row r="40" spans="1:26" s="24" customFormat="1" hidden="1" outlineLevel="2" x14ac:dyDescent="0.25">
      <c r="A40" s="28"/>
      <c r="B40" s="11" t="str">
        <f>CONCATENATE("          ", "6237", " - ", "JANITORIAL SUPPLIES")</f>
        <v xml:space="preserve">          6237 - JANITORIAL SUPPLIES</v>
      </c>
      <c r="C40" s="11"/>
      <c r="D40" s="6"/>
      <c r="E40" s="2"/>
      <c r="F40" s="7">
        <f t="shared" si="30"/>
        <v>0</v>
      </c>
      <c r="G40" s="2"/>
      <c r="H40" s="6">
        <v>47.13</v>
      </c>
      <c r="I40" s="2"/>
      <c r="J40" s="7">
        <f t="shared" si="31"/>
        <v>2.6852099796600901E-2</v>
      </c>
      <c r="K40" s="2"/>
      <c r="L40" s="6">
        <f t="shared" si="32"/>
        <v>-47.13</v>
      </c>
      <c r="M40" s="2"/>
      <c r="N40" s="7">
        <f t="shared" si="33"/>
        <v>-1</v>
      </c>
      <c r="O40" s="11"/>
      <c r="P40" s="6"/>
      <c r="Q40" s="2"/>
      <c r="R40" s="7">
        <f t="shared" si="34"/>
        <v>0</v>
      </c>
      <c r="S40" s="2"/>
      <c r="T40" s="6">
        <v>47.13</v>
      </c>
      <c r="U40" s="2"/>
      <c r="V40" s="7">
        <f t="shared" si="35"/>
        <v>1.4431026247137066E-2</v>
      </c>
      <c r="W40" s="2"/>
      <c r="X40" s="6">
        <f t="shared" si="36"/>
        <v>-47.13</v>
      </c>
      <c r="Y40" s="2"/>
      <c r="Z40" s="7">
        <f t="shared" si="37"/>
        <v>-1</v>
      </c>
    </row>
    <row r="41" spans="1:26" s="24" customFormat="1" hidden="1" outlineLevel="2" x14ac:dyDescent="0.25">
      <c r="A41" s="28"/>
      <c r="B41" s="11" t="str">
        <f>CONCATENATE("          ", "6247", " - ", "STORE SUPPLIES")</f>
        <v xml:space="preserve">          6247 - STORE SUPPLIES</v>
      </c>
      <c r="C41" s="11"/>
      <c r="D41" s="6"/>
      <c r="E41" s="2"/>
      <c r="F41" s="7">
        <f t="shared" si="30"/>
        <v>0</v>
      </c>
      <c r="G41" s="2"/>
      <c r="H41" s="6">
        <v>110.38</v>
      </c>
      <c r="I41" s="2"/>
      <c r="J41" s="7">
        <f t="shared" si="31"/>
        <v>6.288849513152571E-2</v>
      </c>
      <c r="K41" s="2"/>
      <c r="L41" s="6">
        <f t="shared" si="32"/>
        <v>-110.38</v>
      </c>
      <c r="M41" s="2"/>
      <c r="N41" s="7">
        <f t="shared" si="33"/>
        <v>-1</v>
      </c>
      <c r="O41" s="11"/>
      <c r="P41" s="6"/>
      <c r="Q41" s="2"/>
      <c r="R41" s="7">
        <f t="shared" si="34"/>
        <v>0</v>
      </c>
      <c r="S41" s="2"/>
      <c r="T41" s="6">
        <v>362.86</v>
      </c>
      <c r="U41" s="2"/>
      <c r="V41" s="7">
        <f t="shared" si="35"/>
        <v>0.11110634805932858</v>
      </c>
      <c r="W41" s="2"/>
      <c r="X41" s="6">
        <f t="shared" si="36"/>
        <v>-362.86</v>
      </c>
      <c r="Y41" s="2"/>
      <c r="Z41" s="7">
        <f t="shared" si="37"/>
        <v>-1</v>
      </c>
    </row>
    <row r="42" spans="1:26" s="24" customFormat="1" hidden="1" outlineLevel="2" x14ac:dyDescent="0.25">
      <c r="A42" s="28"/>
      <c r="B42" s="11" t="str">
        <f>CONCATENATE("          ", "6248", " - ", "UNIFORMS")</f>
        <v xml:space="preserve">          6248 - UNIFORMS</v>
      </c>
      <c r="C42" s="11"/>
      <c r="D42" s="6"/>
      <c r="E42" s="2"/>
      <c r="F42" s="7">
        <f t="shared" si="30"/>
        <v>0</v>
      </c>
      <c r="G42" s="2"/>
      <c r="H42" s="6"/>
      <c r="I42" s="2"/>
      <c r="J42" s="7">
        <f t="shared" si="31"/>
        <v>0</v>
      </c>
      <c r="K42" s="2"/>
      <c r="L42" s="6">
        <f t="shared" si="32"/>
        <v>0</v>
      </c>
      <c r="M42" s="2"/>
      <c r="N42" s="7">
        <f t="shared" si="33"/>
        <v>0</v>
      </c>
      <c r="O42" s="11"/>
      <c r="P42" s="6"/>
      <c r="Q42" s="2"/>
      <c r="R42" s="7">
        <f t="shared" si="34"/>
        <v>0</v>
      </c>
      <c r="S42" s="2"/>
      <c r="T42" s="6">
        <v>1113.5999999999999</v>
      </c>
      <c r="U42" s="2"/>
      <c r="V42" s="7">
        <f t="shared" si="35"/>
        <v>0.34098007275221376</v>
      </c>
      <c r="W42" s="2"/>
      <c r="X42" s="6">
        <f t="shared" si="36"/>
        <v>-1113.5999999999999</v>
      </c>
      <c r="Y42" s="2"/>
      <c r="Z42" s="7">
        <f t="shared" si="37"/>
        <v>-1</v>
      </c>
    </row>
    <row r="43" spans="1:26" s="29" customFormat="1" outlineLevel="1" collapsed="1" x14ac:dyDescent="0.25">
      <c r="A43" s="27"/>
      <c r="B43" s="14" t="str">
        <f>CONCATENATE("     ","Telephone/Data Lines                              ")</f>
        <v xml:space="preserve">     Telephone/Data Lines                              </v>
      </c>
      <c r="C43" s="14"/>
      <c r="D43" s="1">
        <f>SUM(OSRRefD22_7x_0)</f>
        <v>27.69</v>
      </c>
      <c r="E43" s="1"/>
      <c r="F43" s="5">
        <f t="shared" ref="F43:F44" si="38">IF(D$12=0,0,D43/D$12)</f>
        <v>0</v>
      </c>
      <c r="G43" s="1"/>
      <c r="H43" s="1">
        <f>SUM(OSRRefH22_7x_0)</f>
        <v>75.5</v>
      </c>
      <c r="I43" s="1"/>
      <c r="J43" s="5">
        <f t="shared" ref="J43:J44" si="39">IF(H$12=0,0,H43/H$12)</f>
        <v>4.3015776249594052E-2</v>
      </c>
      <c r="K43" s="1"/>
      <c r="L43" s="1">
        <f t="shared" ref="L43:L44" si="40">+D43-H43</f>
        <v>-47.81</v>
      </c>
      <c r="M43" s="1"/>
      <c r="N43" s="5">
        <f t="shared" ref="N43:N44" si="41">IF(H43=0,0,L43/H43)</f>
        <v>-0.63324503311258284</v>
      </c>
      <c r="O43" s="14"/>
      <c r="P43" s="1">
        <f>SUM(OSRRefP22_7x_0)</f>
        <v>178.69</v>
      </c>
      <c r="Q43" s="1"/>
      <c r="R43" s="5">
        <f t="shared" ref="R43:R44" si="42">IF(P$12=0,0,P43/P$12)</f>
        <v>0</v>
      </c>
      <c r="S43" s="1"/>
      <c r="T43" s="1">
        <f>SUM(OSRRefT22_7x_0)</f>
        <v>262</v>
      </c>
      <c r="U43" s="1"/>
      <c r="V43" s="5">
        <f t="shared" ref="V43:V44" si="43">IF(T$12=0,0,T43/T$12)</f>
        <v>8.0223400737320413E-2</v>
      </c>
      <c r="W43" s="1"/>
      <c r="X43" s="1">
        <f t="shared" ref="X43:X44" si="44">+P43-T43</f>
        <v>-83.31</v>
      </c>
      <c r="Y43" s="1"/>
      <c r="Z43" s="5">
        <f t="shared" ref="Z43:Z44" si="45">IF(T43=0,0,X43/T43)</f>
        <v>-0.31797709923664125</v>
      </c>
    </row>
    <row r="44" spans="1:26" s="24" customFormat="1" hidden="1" outlineLevel="2" x14ac:dyDescent="0.25">
      <c r="A44" s="28"/>
      <c r="B44" s="11" t="str">
        <f>CONCATENATE("          ", "6309", " - ", "TELEPHONE")</f>
        <v xml:space="preserve">          6309 - TELEPHONE</v>
      </c>
      <c r="C44" s="11"/>
      <c r="D44" s="6">
        <v>27.69</v>
      </c>
      <c r="E44" s="2"/>
      <c r="F44" s="7">
        <f t="shared" si="38"/>
        <v>0</v>
      </c>
      <c r="G44" s="2"/>
      <c r="H44" s="6">
        <v>75.5</v>
      </c>
      <c r="I44" s="2"/>
      <c r="J44" s="7">
        <f t="shared" si="39"/>
        <v>4.3015776249594052E-2</v>
      </c>
      <c r="K44" s="2"/>
      <c r="L44" s="6">
        <f t="shared" si="40"/>
        <v>-47.81</v>
      </c>
      <c r="M44" s="2"/>
      <c r="N44" s="7">
        <f t="shared" si="41"/>
        <v>-0.63324503311258284</v>
      </c>
      <c r="O44" s="11"/>
      <c r="P44" s="6">
        <v>178.69</v>
      </c>
      <c r="Q44" s="2"/>
      <c r="R44" s="7">
        <f t="shared" si="42"/>
        <v>0</v>
      </c>
      <c r="S44" s="2"/>
      <c r="T44" s="6">
        <v>262</v>
      </c>
      <c r="U44" s="2"/>
      <c r="V44" s="7">
        <f t="shared" si="43"/>
        <v>8.0223400737320413E-2</v>
      </c>
      <c r="W44" s="2"/>
      <c r="X44" s="6">
        <f t="shared" si="44"/>
        <v>-83.31</v>
      </c>
      <c r="Y44" s="2"/>
      <c r="Z44" s="7">
        <f t="shared" si="45"/>
        <v>-0.31797709923664125</v>
      </c>
    </row>
    <row r="45" spans="1:26" s="57" customFormat="1" x14ac:dyDescent="0.25">
      <c r="A45" s="37"/>
      <c r="B45" s="37"/>
      <c r="C45" s="37"/>
      <c r="D45" s="1"/>
      <c r="E45" s="1"/>
      <c r="F45" s="5"/>
      <c r="G45" s="1"/>
      <c r="H45" s="1"/>
      <c r="I45" s="1"/>
      <c r="J45" s="5"/>
      <c r="K45" s="1"/>
      <c r="L45" s="1"/>
      <c r="M45" s="1"/>
      <c r="N45" s="5"/>
      <c r="O45" s="37"/>
      <c r="P45" s="1"/>
      <c r="Q45" s="1"/>
      <c r="R45" s="5"/>
      <c r="S45" s="1"/>
      <c r="T45" s="1"/>
      <c r="U45" s="1"/>
      <c r="V45" s="5"/>
      <c r="W45" s="1"/>
      <c r="X45" s="1"/>
      <c r="Y45" s="1"/>
      <c r="Z45" s="5"/>
    </row>
    <row r="46" spans="1:26" s="23" customFormat="1" x14ac:dyDescent="0.25">
      <c r="A46" s="10"/>
      <c r="B46" s="26" t="s">
        <v>0</v>
      </c>
      <c r="C46" s="10"/>
      <c r="D46" s="4">
        <f>SUM(0)</f>
        <v>0</v>
      </c>
      <c r="E46" s="4"/>
      <c r="F46" s="12">
        <f>IF(D$12=0,0,D46/D$12)</f>
        <v>0</v>
      </c>
      <c r="G46" s="4"/>
      <c r="H46" s="4">
        <f>SUM(0)</f>
        <v>0</v>
      </c>
      <c r="I46" s="4"/>
      <c r="J46" s="12">
        <f>IF(H$12=0,0,H46/H$12)</f>
        <v>0</v>
      </c>
      <c r="K46" s="4"/>
      <c r="L46" s="4">
        <f>+D46-H46</f>
        <v>0</v>
      </c>
      <c r="M46" s="4"/>
      <c r="N46" s="12">
        <f>IF(H46=0,0,L46/H46)</f>
        <v>0</v>
      </c>
      <c r="O46" s="10"/>
      <c r="P46" s="4">
        <f>SUM(0)</f>
        <v>0</v>
      </c>
      <c r="Q46" s="4"/>
      <c r="R46" s="12">
        <f>IF(P$12=0,0,P46/P$12)</f>
        <v>0</v>
      </c>
      <c r="S46" s="4"/>
      <c r="T46" s="4">
        <f>SUM(0)</f>
        <v>0</v>
      </c>
      <c r="U46" s="4"/>
      <c r="V46" s="12">
        <f>IF(T$12=0,0,T46/T$12)</f>
        <v>0</v>
      </c>
      <c r="W46" s="4"/>
      <c r="X46" s="4">
        <f>+P46-T46</f>
        <v>0</v>
      </c>
      <c r="Y46" s="4"/>
      <c r="Z46" s="12">
        <f>IF(T46=0,0,X46/T46)</f>
        <v>0</v>
      </c>
    </row>
    <row r="47" spans="1:26" x14ac:dyDescent="0.25">
      <c r="A47" s="9"/>
      <c r="B47" s="10"/>
      <c r="C47" s="10"/>
      <c r="D47" s="3"/>
      <c r="E47" s="3"/>
      <c r="F47" s="8"/>
      <c r="G47" s="3"/>
      <c r="H47" s="3"/>
      <c r="I47" s="3"/>
      <c r="J47" s="8"/>
      <c r="K47" s="3"/>
      <c r="L47" s="3"/>
      <c r="M47" s="3"/>
      <c r="N47" s="8"/>
      <c r="O47" s="10"/>
      <c r="P47" s="3"/>
      <c r="Q47" s="3"/>
      <c r="R47" s="8"/>
      <c r="S47" s="3"/>
      <c r="T47" s="3"/>
      <c r="U47" s="3"/>
      <c r="V47" s="8"/>
      <c r="W47" s="3"/>
      <c r="X47" s="3"/>
      <c r="Y47" s="3"/>
      <c r="Z47" s="8"/>
    </row>
    <row r="48" spans="1:26" s="23" customFormat="1" x14ac:dyDescent="0.25">
      <c r="A48" s="10"/>
      <c r="B48" s="25" t="s">
        <v>3</v>
      </c>
      <c r="C48" s="25"/>
      <c r="D48" s="20">
        <f>+D21-D23+D46</f>
        <v>-27.69</v>
      </c>
      <c r="E48" s="13"/>
      <c r="F48" s="21">
        <f>IF(D$12=0,0,D48/D$12)</f>
        <v>0</v>
      </c>
      <c r="G48" s="13"/>
      <c r="H48" s="20">
        <f>+H21-H23+H46</f>
        <v>-2596.3999999999996</v>
      </c>
      <c r="I48" s="13"/>
      <c r="J48" s="21">
        <f>IF(H$12=0,0,H48/H$12)</f>
        <v>-1.4792869066814038</v>
      </c>
      <c r="K48" s="15"/>
      <c r="L48" s="20">
        <f>+D48-H48</f>
        <v>2568.7099999999996</v>
      </c>
      <c r="M48" s="15"/>
      <c r="N48" s="21">
        <f>IF(H48=0,0,L48/H48)</f>
        <v>-0.98933523340009244</v>
      </c>
      <c r="O48" s="26"/>
      <c r="P48" s="20">
        <f>+P21-P23+P46</f>
        <v>-178.69</v>
      </c>
      <c r="Q48" s="13"/>
      <c r="R48" s="21">
        <f>IF(P$12=0,0,P48/P$12)</f>
        <v>0</v>
      </c>
      <c r="S48" s="13"/>
      <c r="T48" s="20">
        <f>+T21-T23+T46</f>
        <v>-8034.8900000000012</v>
      </c>
      <c r="U48" s="13"/>
      <c r="V48" s="21">
        <f>IF(T$12=0,0,T48/T$12)</f>
        <v>-2.4602526730927043</v>
      </c>
      <c r="W48" s="15"/>
      <c r="X48" s="20">
        <f>+P48-T48</f>
        <v>7856.2000000000016</v>
      </c>
      <c r="Y48" s="15"/>
      <c r="Z48" s="21">
        <f>IF(T48=0,0,X48/T48)</f>
        <v>-0.97776074096845145</v>
      </c>
    </row>
    <row r="49" spans="1:26" x14ac:dyDescent="0.25">
      <c r="A49" s="9"/>
      <c r="B49" s="10"/>
      <c r="C49" s="9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x14ac:dyDescent="0.25">
      <c r="A50" s="51"/>
      <c r="B50" s="10" t="s">
        <v>13</v>
      </c>
      <c r="C50" s="10"/>
      <c r="D50" s="4"/>
      <c r="E50" s="4"/>
      <c r="F50" s="12">
        <f>IF(D$12=0,0,D50/D$12)</f>
        <v>0</v>
      </c>
      <c r="G50" s="4"/>
      <c r="H50" s="4">
        <v>166.48</v>
      </c>
      <c r="I50" s="4"/>
      <c r="J50" s="12">
        <f>IF(H$12=0,0,H50/H$12)</f>
        <v>9.4851210993806861E-2</v>
      </c>
      <c r="K50" s="4"/>
      <c r="L50" s="4">
        <f>+D50-H50</f>
        <v>-166.48</v>
      </c>
      <c r="M50" s="4"/>
      <c r="N50" s="12">
        <f>IF(H50=0,0,L50/H50)</f>
        <v>-1</v>
      </c>
      <c r="O50" s="10"/>
      <c r="P50" s="4"/>
      <c r="Q50" s="4"/>
      <c r="R50" s="12">
        <f>IF(P$12=0,0,P50/P$12)</f>
        <v>0</v>
      </c>
      <c r="S50" s="4"/>
      <c r="T50" s="4">
        <v>328.75</v>
      </c>
      <c r="U50" s="4"/>
      <c r="V50" s="12">
        <f>IF(T$12=0,0,T50/T$12)</f>
        <v>0.1006619961541759</v>
      </c>
      <c r="W50" s="4"/>
      <c r="X50" s="4">
        <f>+P50-T50</f>
        <v>-328.75</v>
      </c>
      <c r="Y50" s="4"/>
      <c r="Z50" s="12">
        <f>IF(T50=0,0,X50/T50)</f>
        <v>-1</v>
      </c>
    </row>
    <row r="51" spans="1:26" x14ac:dyDescent="0.25">
      <c r="A51" s="9"/>
      <c r="B51" s="10"/>
      <c r="C51" s="10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O51" s="10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3" customFormat="1" ht="15.75" thickBot="1" x14ac:dyDescent="0.3">
      <c r="A52" s="10"/>
      <c r="B52" s="25" t="s">
        <v>4</v>
      </c>
      <c r="C52" s="25"/>
      <c r="D52" s="30">
        <f>+D48-D50</f>
        <v>-27.69</v>
      </c>
      <c r="E52" s="13"/>
      <c r="F52" s="33">
        <f>IF(D$12=0,0,D52/D$12)</f>
        <v>0</v>
      </c>
      <c r="G52" s="13"/>
      <c r="H52" s="30">
        <f>+H48-H50</f>
        <v>-2762.8799999999997</v>
      </c>
      <c r="I52" s="13"/>
      <c r="J52" s="33">
        <f>IF(H$12=0,0,H52/H$12)</f>
        <v>-1.5741381176752107</v>
      </c>
      <c r="K52" s="15"/>
      <c r="L52" s="30">
        <f>D52-H52</f>
        <v>2735.1899999999996</v>
      </c>
      <c r="M52" s="15"/>
      <c r="N52" s="33">
        <f>IF(H52=0,0,L52/H52)</f>
        <v>-0.98997784920083387</v>
      </c>
      <c r="O52" s="26"/>
      <c r="P52" s="30">
        <f>+P48-P50</f>
        <v>-178.69</v>
      </c>
      <c r="Q52" s="13"/>
      <c r="R52" s="33">
        <f>IF(P$12=0,0,P52/P$12)</f>
        <v>0</v>
      </c>
      <c r="S52" s="13"/>
      <c r="T52" s="30">
        <f>+T48-T50</f>
        <v>-8363.6400000000012</v>
      </c>
      <c r="U52" s="13"/>
      <c r="V52" s="33">
        <f>IF(T$12=0,0,T52/T$12)</f>
        <v>-2.56091466924688</v>
      </c>
      <c r="W52" s="15"/>
      <c r="X52" s="30">
        <f>P52-T52</f>
        <v>8184.9500000000016</v>
      </c>
      <c r="Y52" s="15"/>
      <c r="Z52" s="33">
        <f>IF(T52=0,0,X52/T52)</f>
        <v>-0.97863490059352154</v>
      </c>
    </row>
    <row r="53" spans="1:26" ht="15.75" thickTop="1" x14ac:dyDescent="0.25">
      <c r="A53" s="9"/>
      <c r="B53" s="9"/>
      <c r="C53" s="9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x14ac:dyDescent="0.25">
      <c r="A54" s="9"/>
      <c r="B54" s="9"/>
      <c r="C54" s="9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3" customFormat="1" ht="15.75" thickBot="1" x14ac:dyDescent="0.3">
      <c r="A55" s="10"/>
      <c r="B55" s="25" t="s">
        <v>5</v>
      </c>
      <c r="C55" s="25"/>
      <c r="D55" s="34">
        <f>SUM(D52:D54)</f>
        <v>-27.69</v>
      </c>
      <c r="E55" s="13"/>
      <c r="F55" s="35">
        <f>IF(D$12=0,0,D55/D$12)</f>
        <v>0</v>
      </c>
      <c r="G55" s="13"/>
      <c r="H55" s="34">
        <f>SUM(H52:H54)</f>
        <v>-2762.8799999999997</v>
      </c>
      <c r="I55" s="13"/>
      <c r="J55" s="35">
        <f>IF(H$12=0,0,H55/H$12)</f>
        <v>-1.5741381176752107</v>
      </c>
      <c r="K55" s="15"/>
      <c r="L55" s="34">
        <f>+D55-H55</f>
        <v>2735.1899999999996</v>
      </c>
      <c r="M55" s="15"/>
      <c r="N55" s="35">
        <f>IF(H55=0,0,L55/H55)</f>
        <v>-0.98997784920083387</v>
      </c>
      <c r="O55" s="26"/>
      <c r="P55" s="34">
        <f>SUM(P52:P54)</f>
        <v>-178.69</v>
      </c>
      <c r="Q55" s="13"/>
      <c r="R55" s="35">
        <f>IF(P$12=0,0,P55/P$12)</f>
        <v>0</v>
      </c>
      <c r="S55" s="13"/>
      <c r="T55" s="34">
        <f>SUM(T52:T54)</f>
        <v>-8363.6400000000012</v>
      </c>
      <c r="U55" s="13"/>
      <c r="V55" s="35">
        <f>IF(T$12=0,0,T55/T$12)</f>
        <v>-2.56091466924688</v>
      </c>
      <c r="W55" s="15"/>
      <c r="X55" s="34">
        <f>+P55-T55</f>
        <v>8184.9500000000016</v>
      </c>
      <c r="Y55" s="15"/>
      <c r="Z55" s="35">
        <f>IF(T55=0,0,X55/T55)</f>
        <v>-0.97863490059352154</v>
      </c>
    </row>
    <row r="56" spans="1:26" ht="15.75" thickTop="1" x14ac:dyDescent="0.25">
      <c r="A56" s="9"/>
      <c r="C56" s="9"/>
      <c r="D56" s="18"/>
      <c r="E56" s="18"/>
      <c r="G56" s="18"/>
      <c r="H56" s="18"/>
      <c r="I56" s="18"/>
      <c r="J56" s="43"/>
      <c r="K56" s="18"/>
      <c r="L56" s="18"/>
      <c r="M56" s="18"/>
      <c r="P56" s="18"/>
      <c r="Q56" s="18"/>
      <c r="R56" s="43"/>
      <c r="S56" s="18"/>
      <c r="T56" s="18"/>
      <c r="U56" s="18"/>
      <c r="V56" s="43"/>
      <c r="W56" s="18"/>
      <c r="X56" s="18"/>
    </row>
    <row r="57" spans="1:26" x14ac:dyDescent="0.25">
      <c r="A57" s="9"/>
      <c r="B57" s="56">
        <v>44151.572966319443</v>
      </c>
      <c r="D57" s="18"/>
      <c r="E57" s="18"/>
      <c r="G57" s="18"/>
      <c r="H57" s="18"/>
      <c r="I57" s="18"/>
      <c r="J57" s="43"/>
      <c r="K57" s="18"/>
      <c r="L57" s="18"/>
      <c r="M57" s="18"/>
      <c r="P57" s="18"/>
      <c r="Q57" s="18"/>
      <c r="R57" s="43"/>
      <c r="S57" s="18"/>
      <c r="T57" s="18"/>
      <c r="U57" s="18"/>
      <c r="V57" s="43"/>
      <c r="W57" s="18"/>
      <c r="X57" s="18"/>
    </row>
    <row r="58" spans="1:26" x14ac:dyDescent="0.25">
      <c r="A58" s="9"/>
      <c r="B58" s="62" t="s">
        <v>313</v>
      </c>
      <c r="D58" s="18"/>
      <c r="E58" s="18"/>
      <c r="G58" s="18"/>
      <c r="H58" s="18"/>
      <c r="I58" s="18"/>
      <c r="J58" s="43"/>
      <c r="K58" s="18"/>
      <c r="L58" s="18"/>
      <c r="M58" s="18"/>
      <c r="P58" s="18"/>
      <c r="Q58" s="18"/>
      <c r="R58" s="43"/>
      <c r="S58" s="18"/>
      <c r="T58" s="18"/>
      <c r="U58" s="18"/>
      <c r="V58" s="43"/>
      <c r="W58" s="18"/>
      <c r="X58" s="18"/>
    </row>
    <row r="59" spans="1:26" x14ac:dyDescent="0.25">
      <c r="A59" s="9"/>
      <c r="B59" s="54"/>
      <c r="D59" s="18"/>
      <c r="E59" s="18"/>
      <c r="G59" s="18"/>
      <c r="H59" s="18"/>
      <c r="I59" s="18"/>
      <c r="J59" s="43"/>
      <c r="K59" s="18"/>
      <c r="L59" s="18"/>
      <c r="M59" s="18"/>
      <c r="P59" s="18"/>
      <c r="Q59" s="18"/>
      <c r="R59" s="43"/>
      <c r="S59" s="18"/>
      <c r="T59" s="18"/>
      <c r="U59" s="18"/>
      <c r="V59" s="43"/>
      <c r="W59" s="18"/>
      <c r="X59" s="18"/>
    </row>
    <row r="60" spans="1:26" x14ac:dyDescent="0.25">
      <c r="D60" s="18"/>
      <c r="E60" s="18"/>
      <c r="G60" s="18"/>
      <c r="H60" s="18"/>
      <c r="I60" s="18"/>
      <c r="J60" s="43"/>
      <c r="K60" s="18"/>
      <c r="L60" s="18"/>
      <c r="M60" s="18"/>
      <c r="P60" s="18"/>
      <c r="Q60" s="18"/>
      <c r="R60" s="43"/>
      <c r="S60" s="18"/>
      <c r="T60" s="18"/>
      <c r="U60" s="18"/>
      <c r="V60" s="43"/>
      <c r="W60" s="18"/>
      <c r="X60" s="18"/>
    </row>
  </sheetData>
  <pageMargins left="0.25" right="0.25" top="0.75" bottom="0.75" header="0.3" footer="0.3"/>
  <pageSetup scale="55" fitToWidth="2" orientation="landscape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",RIGHT(202104,2),", ",2021)</f>
        <v>Period 04,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44135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","444", " - ", "Parkside Dining Hall")</f>
        <v>Department 444 - Parkside Dining Hall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61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50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50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2"/>
      <c r="F10" s="31" t="s">
        <v>14</v>
      </c>
      <c r="G10" s="32"/>
      <c r="H10" s="49" t="s">
        <v>306</v>
      </c>
      <c r="I10" s="32"/>
      <c r="J10" s="31" t="s">
        <v>14</v>
      </c>
      <c r="K10" s="10"/>
      <c r="L10" s="42" t="s">
        <v>11</v>
      </c>
      <c r="M10" s="10"/>
      <c r="N10" s="31" t="s">
        <v>15</v>
      </c>
      <c r="O10" s="10"/>
      <c r="P10" s="59" t="s">
        <v>10</v>
      </c>
      <c r="Q10" s="32"/>
      <c r="R10" s="31" t="s">
        <v>14</v>
      </c>
      <c r="S10" s="32"/>
      <c r="T10" s="49" t="s">
        <v>306</v>
      </c>
      <c r="U10" s="32"/>
      <c r="V10" s="31" t="s">
        <v>14</v>
      </c>
      <c r="W10" s="10"/>
      <c r="X10" s="42" t="s">
        <v>11</v>
      </c>
      <c r="Y10" s="10"/>
      <c r="Z10" s="31" t="s">
        <v>15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188789</v>
      </c>
      <c r="E12" s="4"/>
      <c r="F12" s="12"/>
      <c r="G12" s="4"/>
      <c r="H12" s="4">
        <f>SUM(OSRRefH13x_0)</f>
        <v>618690.34</v>
      </c>
      <c r="I12" s="4"/>
      <c r="J12" s="12"/>
      <c r="K12" s="4"/>
      <c r="L12" s="4">
        <f t="shared" ref="L12:L15" si="0">+D12-H12</f>
        <v>-429901.33999999997</v>
      </c>
      <c r="M12" s="4"/>
      <c r="N12" s="12">
        <f t="shared" ref="N12:N15" si="1">IF(H12=0,0,L12/H12)</f>
        <v>-0.69485704270087678</v>
      </c>
      <c r="O12" s="10"/>
      <c r="P12" s="4">
        <f>SUM(OSRRefP13x_0)</f>
        <v>419859.68</v>
      </c>
      <c r="Q12" s="4"/>
      <c r="R12" s="12"/>
      <c r="S12" s="4"/>
      <c r="T12" s="4">
        <f>SUM(OSRRefT13x_0)</f>
        <v>1561153.27</v>
      </c>
      <c r="U12" s="4"/>
      <c r="V12" s="12"/>
      <c r="W12" s="4"/>
      <c r="X12" s="4">
        <f t="shared" ref="X12:X15" si="2">+P12-T12</f>
        <v>-1141293.5900000001</v>
      </c>
      <c r="Y12" s="4"/>
      <c r="Z12" s="12">
        <f t="shared" ref="Z12:Z15" si="3">IF(T12=0,0,X12/T12)</f>
        <v>-0.73105800175533053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0</f>
        <v>0</v>
      </c>
      <c r="E13" s="2"/>
      <c r="F13" s="19"/>
      <c r="G13" s="2"/>
      <c r="H13" s="2">
        <f>--492.26</f>
        <v>492.26</v>
      </c>
      <c r="I13" s="2"/>
      <c r="J13" s="19"/>
      <c r="K13" s="2"/>
      <c r="L13" s="2">
        <f t="shared" si="0"/>
        <v>-492.26</v>
      </c>
      <c r="M13" s="2"/>
      <c r="N13" s="19">
        <f t="shared" si="1"/>
        <v>-1</v>
      </c>
      <c r="O13" s="11"/>
      <c r="P13" s="2">
        <f>--184.79</f>
        <v>184.79</v>
      </c>
      <c r="Q13" s="2"/>
      <c r="R13" s="19"/>
      <c r="S13" s="2"/>
      <c r="T13" s="2">
        <f>--1770.29</f>
        <v>1770.29</v>
      </c>
      <c r="U13" s="2"/>
      <c r="V13" s="19"/>
      <c r="W13" s="2"/>
      <c r="X13" s="2">
        <f t="shared" si="2"/>
        <v>-1585.5</v>
      </c>
      <c r="Y13" s="2"/>
      <c r="Z13" s="19">
        <f t="shared" si="3"/>
        <v>-0.89561597252427572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--191267.4</f>
        <v>191267.4</v>
      </c>
      <c r="E14" s="2"/>
      <c r="F14" s="19"/>
      <c r="G14" s="2"/>
      <c r="H14" s="2">
        <f>--612257.84</f>
        <v>612257.84</v>
      </c>
      <c r="I14" s="2"/>
      <c r="J14" s="19"/>
      <c r="K14" s="2"/>
      <c r="L14" s="2">
        <f t="shared" si="0"/>
        <v>-420990.43999999994</v>
      </c>
      <c r="M14" s="2"/>
      <c r="N14" s="19">
        <f t="shared" si="1"/>
        <v>-0.68760318365216844</v>
      </c>
      <c r="O14" s="11"/>
      <c r="P14" s="2">
        <f>--411396.78</f>
        <v>411396.78</v>
      </c>
      <c r="Q14" s="2"/>
      <c r="R14" s="19"/>
      <c r="S14" s="2"/>
      <c r="T14" s="2">
        <f>--1529583.27</f>
        <v>1529583.27</v>
      </c>
      <c r="U14" s="2"/>
      <c r="V14" s="19"/>
      <c r="W14" s="2"/>
      <c r="X14" s="2">
        <f t="shared" si="2"/>
        <v>-1118186.49</v>
      </c>
      <c r="Y14" s="2"/>
      <c r="Z14" s="19">
        <f t="shared" si="3"/>
        <v>-0.73103995835414703</v>
      </c>
    </row>
    <row r="15" spans="1:26" s="24" customFormat="1" hidden="1" outlineLevel="1" x14ac:dyDescent="0.25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>-2478.4</f>
        <v>-2478.4</v>
      </c>
      <c r="E15" s="2"/>
      <c r="F15" s="19"/>
      <c r="G15" s="2"/>
      <c r="H15" s="2">
        <f>--5940.24</f>
        <v>5940.24</v>
      </c>
      <c r="I15" s="2"/>
      <c r="J15" s="19"/>
      <c r="K15" s="2"/>
      <c r="L15" s="2">
        <f t="shared" si="0"/>
        <v>-8418.64</v>
      </c>
      <c r="M15" s="2"/>
      <c r="N15" s="19">
        <f t="shared" si="1"/>
        <v>-1.41722219977644</v>
      </c>
      <c r="O15" s="11"/>
      <c r="P15" s="2">
        <f>--8278.11</f>
        <v>8278.11</v>
      </c>
      <c r="Q15" s="2"/>
      <c r="R15" s="19"/>
      <c r="S15" s="2"/>
      <c r="T15" s="2">
        <f>--29799.71</f>
        <v>29799.71</v>
      </c>
      <c r="U15" s="2"/>
      <c r="V15" s="19"/>
      <c r="W15" s="2"/>
      <c r="X15" s="2">
        <f t="shared" si="2"/>
        <v>-21521.599999999999</v>
      </c>
      <c r="Y15" s="2"/>
      <c r="Z15" s="19">
        <f t="shared" si="3"/>
        <v>-0.72220837048414221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6" t="s">
        <v>8</v>
      </c>
      <c r="C17" s="10"/>
      <c r="D17" s="4">
        <f>SUM(OSRRefD16x_0)</f>
        <v>73379.929999999993</v>
      </c>
      <c r="E17" s="4"/>
      <c r="F17" s="12">
        <f t="shared" ref="F17:F19" si="4">IF(D$12=0,0,D17/D$12)</f>
        <v>0.38868752946411067</v>
      </c>
      <c r="G17" s="4"/>
      <c r="H17" s="4">
        <f>SUM(OSRRefH16x_0)</f>
        <v>156279.79</v>
      </c>
      <c r="I17" s="4"/>
      <c r="J17" s="12">
        <f t="shared" ref="J17:J19" si="5">IF(H$12=0,0,H17/H$12)</f>
        <v>0.25259775350622093</v>
      </c>
      <c r="K17" s="4"/>
      <c r="L17" s="4">
        <f t="shared" ref="L17:L19" si="6">+D17-H17</f>
        <v>-82899.860000000015</v>
      </c>
      <c r="M17" s="4"/>
      <c r="N17" s="12">
        <f t="shared" ref="N17:N19" si="7">IF(H17=0,0,L17/H17)</f>
        <v>-0.53045796900546138</v>
      </c>
      <c r="O17" s="10"/>
      <c r="P17" s="4">
        <f>SUM(OSRRefP16x_0)</f>
        <v>149671.85</v>
      </c>
      <c r="Q17" s="4"/>
      <c r="R17" s="12">
        <f t="shared" ref="R17:R19" si="8">IF(P$12=0,0,P17/P$12)</f>
        <v>0.35648064610538455</v>
      </c>
      <c r="S17" s="4"/>
      <c r="T17" s="4">
        <f>SUM(OSRRefT16x_0)</f>
        <v>408825.21</v>
      </c>
      <c r="U17" s="4"/>
      <c r="V17" s="12">
        <f t="shared" ref="V17:V19" si="9">IF(T$12=0,0,T17/T$12)</f>
        <v>0.26187384535280128</v>
      </c>
      <c r="W17" s="4"/>
      <c r="X17" s="4">
        <f t="shared" ref="X17:X19" si="10">+P17-T17</f>
        <v>-259153.36000000002</v>
      </c>
      <c r="Y17" s="4"/>
      <c r="Z17" s="12">
        <f t="shared" ref="Z17:Z19" si="11">IF(T17=0,0,X17/T17)</f>
        <v>-0.63389769921478178</v>
      </c>
    </row>
    <row r="18" spans="1:26" s="24" customFormat="1" hidden="1" outlineLevel="1" x14ac:dyDescent="0.25">
      <c r="A18" s="44"/>
      <c r="B18" s="11" t="str">
        <f>CONCATENATE("          ", "5053", " - ", "PURCHASES @ COST-FOOD")</f>
        <v xml:space="preserve">          5053 - PURCHASES @ COST-FOOD</v>
      </c>
      <c r="C18" s="11"/>
      <c r="D18" s="2">
        <v>60766.029999999992</v>
      </c>
      <c r="E18" s="2"/>
      <c r="F18" s="19">
        <f t="shared" si="4"/>
        <v>0.32187272563549779</v>
      </c>
      <c r="G18" s="2"/>
      <c r="H18" s="2">
        <v>160725.79</v>
      </c>
      <c r="I18" s="2"/>
      <c r="J18" s="19">
        <f t="shared" si="5"/>
        <v>0.25978390094146292</v>
      </c>
      <c r="K18" s="2"/>
      <c r="L18" s="2">
        <f t="shared" si="6"/>
        <v>-99959.760000000009</v>
      </c>
      <c r="M18" s="2"/>
      <c r="N18" s="19">
        <f t="shared" si="7"/>
        <v>-0.6219273210602978</v>
      </c>
      <c r="O18" s="11"/>
      <c r="P18" s="2">
        <v>171496.53</v>
      </c>
      <c r="Q18" s="2"/>
      <c r="R18" s="19">
        <f t="shared" si="8"/>
        <v>0.40846153648285544</v>
      </c>
      <c r="S18" s="2"/>
      <c r="T18" s="2">
        <v>420669.96</v>
      </c>
      <c r="U18" s="2"/>
      <c r="V18" s="19">
        <f t="shared" si="9"/>
        <v>0.26946102479739226</v>
      </c>
      <c r="W18" s="2"/>
      <c r="X18" s="2">
        <f t="shared" si="10"/>
        <v>-249173.43000000002</v>
      </c>
      <c r="Y18" s="2"/>
      <c r="Z18" s="19">
        <f t="shared" si="11"/>
        <v>-0.59232522807190702</v>
      </c>
    </row>
    <row r="19" spans="1:26" s="24" customFormat="1" hidden="1" outlineLevel="1" x14ac:dyDescent="0.25">
      <c r="A19" s="44"/>
      <c r="B19" s="11" t="str">
        <f>CONCATENATE("          ", "5059", " - ", "PURCHASES @ COST-FOOD")</f>
        <v xml:space="preserve">          5059 - PURCHASES @ COST-FOOD</v>
      </c>
      <c r="C19" s="11"/>
      <c r="D19" s="2">
        <v>12613.9</v>
      </c>
      <c r="E19" s="2"/>
      <c r="F19" s="19">
        <f t="shared" si="4"/>
        <v>6.6814803828612893E-2</v>
      </c>
      <c r="G19" s="2"/>
      <c r="H19" s="2">
        <v>-4446</v>
      </c>
      <c r="I19" s="2"/>
      <c r="J19" s="19">
        <f t="shared" si="5"/>
        <v>-7.1861474352419991E-3</v>
      </c>
      <c r="K19" s="2"/>
      <c r="L19" s="2">
        <f t="shared" si="6"/>
        <v>17059.900000000001</v>
      </c>
      <c r="M19" s="2"/>
      <c r="N19" s="19">
        <f t="shared" si="7"/>
        <v>-3.837134502923977</v>
      </c>
      <c r="O19" s="11"/>
      <c r="P19" s="2">
        <v>-21824.68</v>
      </c>
      <c r="Q19" s="2"/>
      <c r="R19" s="19">
        <f t="shared" si="8"/>
        <v>-5.1980890377470876E-2</v>
      </c>
      <c r="S19" s="2"/>
      <c r="T19" s="2">
        <v>-11844.75</v>
      </c>
      <c r="U19" s="2"/>
      <c r="V19" s="19">
        <f t="shared" si="9"/>
        <v>-7.587179444590985E-3</v>
      </c>
      <c r="W19" s="2"/>
      <c r="X19" s="2">
        <f t="shared" si="10"/>
        <v>-9979.93</v>
      </c>
      <c r="Y19" s="2"/>
      <c r="Z19" s="19">
        <f t="shared" si="11"/>
        <v>0.84256147238227908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5" t="s">
        <v>6</v>
      </c>
      <c r="C21" s="25"/>
      <c r="D21" s="20">
        <f>D12-D17</f>
        <v>115409.07</v>
      </c>
      <c r="E21" s="13"/>
      <c r="F21" s="21">
        <f>IF(D$12=0,0,D21/D$12)</f>
        <v>0.61131247053588933</v>
      </c>
      <c r="G21" s="13"/>
      <c r="H21" s="20">
        <f>H12-H17</f>
        <v>462410.54999999993</v>
      </c>
      <c r="I21" s="13"/>
      <c r="J21" s="21">
        <f>IF(H$12=0,0,H21/H$12)</f>
        <v>0.74740224649377907</v>
      </c>
      <c r="K21" s="15"/>
      <c r="L21" s="20">
        <f>+D21-H21</f>
        <v>-347001.47999999992</v>
      </c>
      <c r="M21" s="15"/>
      <c r="N21" s="21">
        <f>IF(H21=0,0,L21/H21)</f>
        <v>-0.75041860528484905</v>
      </c>
      <c r="O21" s="26"/>
      <c r="P21" s="20">
        <f>P12-P17</f>
        <v>270187.82999999996</v>
      </c>
      <c r="Q21" s="13"/>
      <c r="R21" s="21">
        <f>IF(P$12=0,0,P21/P$12)</f>
        <v>0.64351935389461534</v>
      </c>
      <c r="S21" s="13"/>
      <c r="T21" s="20">
        <f>T12-T17</f>
        <v>1152328.06</v>
      </c>
      <c r="U21" s="13"/>
      <c r="V21" s="21">
        <f>IF(T$12=0,0,T21/T$12)</f>
        <v>0.73812615464719877</v>
      </c>
      <c r="W21" s="15"/>
      <c r="X21" s="20">
        <f>+P21-T21</f>
        <v>-882140.2300000001</v>
      </c>
      <c r="Y21" s="15"/>
      <c r="Z21" s="21">
        <f>IF(T21=0,0,X21/T21)</f>
        <v>-0.76552872451964771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6" t="s">
        <v>9</v>
      </c>
      <c r="C23" s="10"/>
      <c r="D23" s="22">
        <f>SUM(OSRRefD22x_0)</f>
        <v>163912.78000000003</v>
      </c>
      <c r="E23" s="22"/>
      <c r="F23" s="36">
        <f t="shared" ref="F23:F33" si="12">IF(D$12=0,0,D23/D$12)</f>
        <v>0.86823268304827095</v>
      </c>
      <c r="G23" s="22"/>
      <c r="H23" s="22">
        <f>SUM(OSRRefH22x_0)</f>
        <v>244306.98</v>
      </c>
      <c r="I23" s="22"/>
      <c r="J23" s="36">
        <f t="shared" ref="J23:J33" si="13">IF(H$12=0,0,H23/H$12)</f>
        <v>0.39487763781797536</v>
      </c>
      <c r="K23" s="4"/>
      <c r="L23" s="22">
        <f t="shared" ref="L23:L33" si="14">+D23-H23</f>
        <v>-80394.199999999983</v>
      </c>
      <c r="M23" s="4"/>
      <c r="N23" s="36">
        <f t="shared" ref="N23:N33" si="15">IF(H23=0,0,L23/H23)</f>
        <v>-0.32907041788163394</v>
      </c>
      <c r="O23" s="10"/>
      <c r="P23" s="22">
        <f>SUM(OSRRefP22x_0)</f>
        <v>457397.21</v>
      </c>
      <c r="Q23" s="22"/>
      <c r="R23" s="36">
        <f t="shared" ref="R23:R33" si="16">IF(P$12=0,0,P23/P$12)</f>
        <v>1.0894049411936866</v>
      </c>
      <c r="S23" s="22"/>
      <c r="T23" s="22">
        <f>SUM(OSRRefT22x_0)</f>
        <v>744593.5399999998</v>
      </c>
      <c r="U23" s="22"/>
      <c r="V23" s="36">
        <f t="shared" ref="V23:V33" si="17">IF(T$12=0,0,T23/T$12)</f>
        <v>0.47695095306048957</v>
      </c>
      <c r="W23" s="4"/>
      <c r="X23" s="22">
        <f t="shared" ref="X23:X33" si="18">+P23-T23</f>
        <v>-287196.32999999978</v>
      </c>
      <c r="Y23" s="4"/>
      <c r="Z23" s="36">
        <f t="shared" ref="Z23:Z33" si="19">IF(T23=0,0,X23/T23)</f>
        <v>-0.38570886607477128</v>
      </c>
    </row>
    <row r="24" spans="1:26" s="29" customFormat="1" outlineLevel="1" collapsed="1" x14ac:dyDescent="0.25">
      <c r="A24" s="27"/>
      <c r="B24" s="14" t="str">
        <f>CONCATENATE("     ","*Benefits                                         ")</f>
        <v xml:space="preserve">     *Benefits                                         </v>
      </c>
      <c r="C24" s="14"/>
      <c r="D24" s="1">
        <f>SUM(OSRRefD22_0x_0)</f>
        <v>34871.670000000006</v>
      </c>
      <c r="E24" s="1"/>
      <c r="F24" s="5">
        <f t="shared" si="12"/>
        <v>0.18471240379471265</v>
      </c>
      <c r="G24" s="1"/>
      <c r="H24" s="1">
        <f>SUM(OSRRefH22_0x_0)</f>
        <v>33648.870000000003</v>
      </c>
      <c r="I24" s="1"/>
      <c r="J24" s="5">
        <f t="shared" si="13"/>
        <v>5.4387256151437573E-2</v>
      </c>
      <c r="K24" s="1"/>
      <c r="L24" s="1">
        <f t="shared" si="14"/>
        <v>1222.8000000000029</v>
      </c>
      <c r="M24" s="1"/>
      <c r="N24" s="5">
        <f t="shared" si="15"/>
        <v>3.6340001907939339E-2</v>
      </c>
      <c r="O24" s="14"/>
      <c r="P24" s="1">
        <f>SUM(OSRRefP22_0x_0)</f>
        <v>120630.6</v>
      </c>
      <c r="Q24" s="1"/>
      <c r="R24" s="5">
        <f t="shared" si="16"/>
        <v>0.28731170375778881</v>
      </c>
      <c r="S24" s="1"/>
      <c r="T24" s="1">
        <f>SUM(OSRRefT22_0x_0)</f>
        <v>133852.91</v>
      </c>
      <c r="U24" s="1"/>
      <c r="V24" s="5">
        <f t="shared" si="17"/>
        <v>8.5739762118296051E-2</v>
      </c>
      <c r="W24" s="1"/>
      <c r="X24" s="1">
        <f t="shared" si="18"/>
        <v>-13222.309999999998</v>
      </c>
      <c r="Y24" s="1"/>
      <c r="Z24" s="5">
        <f t="shared" si="19"/>
        <v>-9.8782387323518017E-2</v>
      </c>
    </row>
    <row r="25" spans="1:26" s="24" customFormat="1" hidden="1" outlineLevel="2" x14ac:dyDescent="0.25">
      <c r="A25" s="28"/>
      <c r="B25" s="11" t="str">
        <f>CONCATENATE("          ", "6111", " - ", "F.I.C.A.")</f>
        <v xml:space="preserve">          6111 - F.I.C.A.</v>
      </c>
      <c r="C25" s="11"/>
      <c r="D25" s="6">
        <v>5835.36</v>
      </c>
      <c r="E25" s="2"/>
      <c r="F25" s="7">
        <f t="shared" si="12"/>
        <v>3.0909427985740694E-2</v>
      </c>
      <c r="G25" s="2"/>
      <c r="H25" s="6">
        <v>7196.61</v>
      </c>
      <c r="I25" s="2"/>
      <c r="J25" s="7">
        <f t="shared" si="13"/>
        <v>1.1632006408892694E-2</v>
      </c>
      <c r="K25" s="2"/>
      <c r="L25" s="6">
        <f t="shared" si="14"/>
        <v>-1361.25</v>
      </c>
      <c r="M25" s="2"/>
      <c r="N25" s="7">
        <f t="shared" si="15"/>
        <v>-0.18915155885896276</v>
      </c>
      <c r="O25" s="11"/>
      <c r="P25" s="6">
        <v>14868.809999999998</v>
      </c>
      <c r="Q25" s="2"/>
      <c r="R25" s="7">
        <f t="shared" si="16"/>
        <v>3.5413760140054408E-2</v>
      </c>
      <c r="S25" s="2"/>
      <c r="T25" s="6">
        <v>21819.870000000003</v>
      </c>
      <c r="U25" s="2"/>
      <c r="V25" s="7">
        <f t="shared" si="17"/>
        <v>1.3976763473070138E-2</v>
      </c>
      <c r="W25" s="2"/>
      <c r="X25" s="6">
        <f t="shared" si="18"/>
        <v>-6951.0600000000049</v>
      </c>
      <c r="Y25" s="2"/>
      <c r="Z25" s="7">
        <f t="shared" si="19"/>
        <v>-0.31856560098662384</v>
      </c>
    </row>
    <row r="26" spans="1:26" s="24" customFormat="1" hidden="1" outlineLevel="2" x14ac:dyDescent="0.25">
      <c r="A26" s="28"/>
      <c r="B26" s="11" t="str">
        <f>CONCATENATE("          ", "6112", " - ", "COMPENSATION INSURANCE")</f>
        <v xml:space="preserve">          6112 - COMPENSATION INSURANCE</v>
      </c>
      <c r="C26" s="11"/>
      <c r="D26" s="6">
        <v>2487.29</v>
      </c>
      <c r="E26" s="2"/>
      <c r="F26" s="7">
        <f t="shared" si="12"/>
        <v>1.317497311813718E-2</v>
      </c>
      <c r="G26" s="2"/>
      <c r="H26" s="6">
        <v>-1101.7</v>
      </c>
      <c r="I26" s="2"/>
      <c r="J26" s="7">
        <f t="shared" si="13"/>
        <v>-1.7806969476846853E-3</v>
      </c>
      <c r="K26" s="2"/>
      <c r="L26" s="6">
        <f t="shared" si="14"/>
        <v>3588.99</v>
      </c>
      <c r="M26" s="2"/>
      <c r="N26" s="7">
        <f t="shared" si="15"/>
        <v>-3.2576835799219386</v>
      </c>
      <c r="O26" s="11"/>
      <c r="P26" s="6">
        <v>8293.51</v>
      </c>
      <c r="Q26" s="2"/>
      <c r="R26" s="7">
        <f t="shared" si="16"/>
        <v>1.9753051781490425E-2</v>
      </c>
      <c r="S26" s="2"/>
      <c r="T26" s="6">
        <v>8478.31</v>
      </c>
      <c r="U26" s="2"/>
      <c r="V26" s="7">
        <f t="shared" si="17"/>
        <v>5.4307992449709949E-3</v>
      </c>
      <c r="W26" s="2"/>
      <c r="X26" s="6">
        <f t="shared" si="18"/>
        <v>-184.79999999999927</v>
      </c>
      <c r="Y26" s="2"/>
      <c r="Z26" s="7">
        <f t="shared" si="19"/>
        <v>-2.1796796767280188E-2</v>
      </c>
    </row>
    <row r="27" spans="1:26" s="24" customFormat="1" hidden="1" outlineLevel="2" x14ac:dyDescent="0.25">
      <c r="A27" s="28"/>
      <c r="B27" s="11" t="str">
        <f>CONCATENATE("          ", "6113", " - ", "GROUP INSURANCE")</f>
        <v xml:space="preserve">          6113 - GROUP INSURANCE</v>
      </c>
      <c r="C27" s="11"/>
      <c r="D27" s="6">
        <v>17824.95</v>
      </c>
      <c r="E27" s="2"/>
      <c r="F27" s="7">
        <f t="shared" si="12"/>
        <v>9.4417312449348215E-2</v>
      </c>
      <c r="G27" s="2"/>
      <c r="H27" s="6">
        <v>16686.48</v>
      </c>
      <c r="I27" s="2"/>
      <c r="J27" s="7">
        <f t="shared" si="13"/>
        <v>2.6970649000273707E-2</v>
      </c>
      <c r="K27" s="2"/>
      <c r="L27" s="6">
        <f t="shared" si="14"/>
        <v>1138.4700000000012</v>
      </c>
      <c r="M27" s="2"/>
      <c r="N27" s="7">
        <f t="shared" si="15"/>
        <v>6.8227091633466214E-2</v>
      </c>
      <c r="O27" s="11"/>
      <c r="P27" s="6">
        <v>67353.900000000009</v>
      </c>
      <c r="Q27" s="2"/>
      <c r="R27" s="7">
        <f t="shared" si="16"/>
        <v>0.16042002413758807</v>
      </c>
      <c r="S27" s="2"/>
      <c r="T27" s="6">
        <v>66745.919999999998</v>
      </c>
      <c r="U27" s="2"/>
      <c r="V27" s="7">
        <f t="shared" si="17"/>
        <v>4.275423898641291E-2</v>
      </c>
      <c r="W27" s="2"/>
      <c r="X27" s="6">
        <f t="shared" si="18"/>
        <v>607.98000000001048</v>
      </c>
      <c r="Y27" s="2"/>
      <c r="Z27" s="7">
        <f t="shared" si="19"/>
        <v>9.1088713737110891E-3</v>
      </c>
    </row>
    <row r="28" spans="1:26" s="24" customFormat="1" hidden="1" outlineLevel="2" x14ac:dyDescent="0.25">
      <c r="A28" s="28"/>
      <c r="B28" s="11" t="str">
        <f>CONCATENATE("          ", "6114", " - ", "STATE UNEMPLOYMENT INSURANCE")</f>
        <v xml:space="preserve">          6114 - STATE UNEMPLOYMENT INSURANCE</v>
      </c>
      <c r="C28" s="11"/>
      <c r="D28" s="6">
        <v>150.72999999999999</v>
      </c>
      <c r="E28" s="2"/>
      <c r="F28" s="7">
        <f t="shared" si="12"/>
        <v>7.9840456806275781E-4</v>
      </c>
      <c r="G28" s="2"/>
      <c r="H28" s="6">
        <v>302.36</v>
      </c>
      <c r="I28" s="2"/>
      <c r="J28" s="7">
        <f t="shared" si="13"/>
        <v>4.8870974775523407E-4</v>
      </c>
      <c r="K28" s="2"/>
      <c r="L28" s="6">
        <f t="shared" si="14"/>
        <v>-151.63000000000002</v>
      </c>
      <c r="M28" s="2"/>
      <c r="N28" s="7">
        <f t="shared" si="15"/>
        <v>-0.50148829210212997</v>
      </c>
      <c r="O28" s="11"/>
      <c r="P28" s="6">
        <v>574.76</v>
      </c>
      <c r="Q28" s="2"/>
      <c r="R28" s="7">
        <f t="shared" si="16"/>
        <v>1.3689335446547286E-3</v>
      </c>
      <c r="S28" s="2"/>
      <c r="T28" s="6">
        <v>944.29</v>
      </c>
      <c r="U28" s="2"/>
      <c r="V28" s="7">
        <f t="shared" si="17"/>
        <v>6.0486693916991243E-4</v>
      </c>
      <c r="W28" s="2"/>
      <c r="X28" s="6">
        <f t="shared" si="18"/>
        <v>-369.53</v>
      </c>
      <c r="Y28" s="2"/>
      <c r="Z28" s="7">
        <f t="shared" si="19"/>
        <v>-0.39133105296042525</v>
      </c>
    </row>
    <row r="29" spans="1:26" s="24" customFormat="1" hidden="1" outlineLevel="2" x14ac:dyDescent="0.25">
      <c r="A29" s="28"/>
      <c r="B29" s="11" t="str">
        <f>CONCATENATE("          ", "6115", " - ", "P.E.R.S.")</f>
        <v xml:space="preserve">          6115 - P.E.R.S.</v>
      </c>
      <c r="C29" s="11"/>
      <c r="D29" s="6">
        <v>1224.3599999999999</v>
      </c>
      <c r="E29" s="2"/>
      <c r="F29" s="7">
        <f t="shared" si="12"/>
        <v>6.4853354803510793E-3</v>
      </c>
      <c r="G29" s="2"/>
      <c r="H29" s="6">
        <v>1777.57</v>
      </c>
      <c r="I29" s="2"/>
      <c r="J29" s="7">
        <f t="shared" si="13"/>
        <v>2.8731174306034905E-3</v>
      </c>
      <c r="K29" s="2"/>
      <c r="L29" s="6">
        <f t="shared" si="14"/>
        <v>-553.21</v>
      </c>
      <c r="M29" s="2"/>
      <c r="N29" s="7">
        <f t="shared" si="15"/>
        <v>-0.31121699848669815</v>
      </c>
      <c r="O29" s="11"/>
      <c r="P29" s="6">
        <v>6325.61</v>
      </c>
      <c r="Q29" s="2"/>
      <c r="R29" s="7">
        <f t="shared" si="16"/>
        <v>1.5066009672564891E-2</v>
      </c>
      <c r="S29" s="2"/>
      <c r="T29" s="6">
        <v>5427.55</v>
      </c>
      <c r="U29" s="2"/>
      <c r="V29" s="7">
        <f t="shared" si="17"/>
        <v>3.4766285311627347E-3</v>
      </c>
      <c r="W29" s="2"/>
      <c r="X29" s="6">
        <f t="shared" si="18"/>
        <v>898.05999999999949</v>
      </c>
      <c r="Y29" s="2"/>
      <c r="Z29" s="7">
        <f t="shared" si="19"/>
        <v>0.16546323847776612</v>
      </c>
    </row>
    <row r="30" spans="1:26" s="24" customFormat="1" hidden="1" outlineLevel="2" x14ac:dyDescent="0.25">
      <c r="A30" s="28"/>
      <c r="B30" s="11" t="str">
        <f>CONCATENATE("          ", "6117", " - ", "RETIREMENT STAFF HOURLY")</f>
        <v xml:space="preserve">          6117 - RETIREMENT STAFF HOURLY</v>
      </c>
      <c r="C30" s="11"/>
      <c r="D30" s="6">
        <v>464.24</v>
      </c>
      <c r="E30" s="2"/>
      <c r="F30" s="7">
        <f t="shared" si="12"/>
        <v>2.4590415755155227E-3</v>
      </c>
      <c r="G30" s="2"/>
      <c r="H30" s="6">
        <v>700.37</v>
      </c>
      <c r="I30" s="2"/>
      <c r="J30" s="7">
        <f t="shared" si="13"/>
        <v>1.1320202607333421E-3</v>
      </c>
      <c r="K30" s="2"/>
      <c r="L30" s="6">
        <f t="shared" si="14"/>
        <v>-236.13</v>
      </c>
      <c r="M30" s="2"/>
      <c r="N30" s="7">
        <f t="shared" si="15"/>
        <v>-0.33715036337935661</v>
      </c>
      <c r="O30" s="11"/>
      <c r="P30" s="6">
        <v>2302.27</v>
      </c>
      <c r="Q30" s="2"/>
      <c r="R30" s="7">
        <f t="shared" si="16"/>
        <v>5.4834272250195593E-3</v>
      </c>
      <c r="S30" s="2"/>
      <c r="T30" s="6">
        <v>2994.09</v>
      </c>
      <c r="U30" s="2"/>
      <c r="V30" s="7">
        <f t="shared" si="17"/>
        <v>1.9178706265016504E-3</v>
      </c>
      <c r="W30" s="2"/>
      <c r="X30" s="6">
        <f t="shared" si="18"/>
        <v>-691.82000000000016</v>
      </c>
      <c r="Y30" s="2"/>
      <c r="Z30" s="7">
        <f t="shared" si="19"/>
        <v>-0.23106185852796682</v>
      </c>
    </row>
    <row r="31" spans="1:26" s="24" customFormat="1" hidden="1" outlineLevel="2" x14ac:dyDescent="0.25">
      <c r="A31" s="28"/>
      <c r="B31" s="11" t="str">
        <f>CONCATENATE("          ", "6118", " - ", "VACATION")</f>
        <v xml:space="preserve">          6118 - VACATION</v>
      </c>
      <c r="C31" s="11"/>
      <c r="D31" s="6">
        <v>3625.02</v>
      </c>
      <c r="E31" s="2"/>
      <c r="F31" s="7">
        <f t="shared" si="12"/>
        <v>1.9201436524373772E-2</v>
      </c>
      <c r="G31" s="2"/>
      <c r="H31" s="6">
        <v>3956.8</v>
      </c>
      <c r="I31" s="2"/>
      <c r="J31" s="7">
        <f t="shared" si="13"/>
        <v>6.3954449329207252E-3</v>
      </c>
      <c r="K31" s="2"/>
      <c r="L31" s="6">
        <f t="shared" si="14"/>
        <v>-331.7800000000002</v>
      </c>
      <c r="M31" s="2"/>
      <c r="N31" s="7">
        <f t="shared" si="15"/>
        <v>-8.3850586332389856E-2</v>
      </c>
      <c r="O31" s="11"/>
      <c r="P31" s="6">
        <v>10819.02</v>
      </c>
      <c r="Q31" s="2"/>
      <c r="R31" s="7">
        <f t="shared" si="16"/>
        <v>2.5768180454955811E-2</v>
      </c>
      <c r="S31" s="2"/>
      <c r="T31" s="6">
        <v>12687.92</v>
      </c>
      <c r="U31" s="2"/>
      <c r="V31" s="7">
        <f t="shared" si="17"/>
        <v>8.1272737557664659E-3</v>
      </c>
      <c r="W31" s="2"/>
      <c r="X31" s="6">
        <f t="shared" si="18"/>
        <v>-1868.8999999999996</v>
      </c>
      <c r="Y31" s="2"/>
      <c r="Z31" s="7">
        <f t="shared" si="19"/>
        <v>-0.14729758699613488</v>
      </c>
    </row>
    <row r="32" spans="1:26" s="24" customFormat="1" hidden="1" outlineLevel="2" x14ac:dyDescent="0.25">
      <c r="A32" s="28"/>
      <c r="B32" s="11" t="str">
        <f>CONCATENATE("          ", "6119", " - ", "SICK LEAVE")</f>
        <v xml:space="preserve">          6119 - SICK LEAVE</v>
      </c>
      <c r="C32" s="11"/>
      <c r="D32" s="6">
        <v>2287.3200000000002</v>
      </c>
      <c r="E32" s="2"/>
      <c r="F32" s="7">
        <f t="shared" si="12"/>
        <v>1.2115748269231789E-2</v>
      </c>
      <c r="G32" s="2"/>
      <c r="H32" s="6">
        <v>2455.56</v>
      </c>
      <c r="I32" s="2"/>
      <c r="J32" s="7">
        <f t="shared" si="13"/>
        <v>3.9689645065413498E-3</v>
      </c>
      <c r="K32" s="2"/>
      <c r="L32" s="6">
        <f t="shared" si="14"/>
        <v>-168.23999999999978</v>
      </c>
      <c r="M32" s="2"/>
      <c r="N32" s="7">
        <f t="shared" si="15"/>
        <v>-6.8513903142256666E-2</v>
      </c>
      <c r="O32" s="11"/>
      <c r="P32" s="6">
        <v>6799.32</v>
      </c>
      <c r="Q32" s="2"/>
      <c r="R32" s="7">
        <f t="shared" si="16"/>
        <v>1.6194267570536897E-2</v>
      </c>
      <c r="S32" s="2"/>
      <c r="T32" s="6">
        <v>9458.93</v>
      </c>
      <c r="U32" s="2"/>
      <c r="V32" s="7">
        <f t="shared" si="17"/>
        <v>6.0589374418054415E-3</v>
      </c>
      <c r="W32" s="2"/>
      <c r="X32" s="6">
        <f t="shared" si="18"/>
        <v>-2659.6100000000006</v>
      </c>
      <c r="Y32" s="2"/>
      <c r="Z32" s="7">
        <f t="shared" si="19"/>
        <v>-0.28117450916752745</v>
      </c>
    </row>
    <row r="33" spans="1:26" s="24" customFormat="1" hidden="1" outlineLevel="2" x14ac:dyDescent="0.25">
      <c r="A33" s="28"/>
      <c r="B33" s="11" t="str">
        <f>CONCATENATE("          ", "6156", " - ", "EMPLOYEE MEALS")</f>
        <v xml:space="preserve">          6156 - EMPLOYEE MEALS</v>
      </c>
      <c r="C33" s="11"/>
      <c r="D33" s="6">
        <v>972.4</v>
      </c>
      <c r="E33" s="2"/>
      <c r="F33" s="7">
        <f t="shared" si="12"/>
        <v>5.1507238239516069E-3</v>
      </c>
      <c r="G33" s="2"/>
      <c r="H33" s="6">
        <v>1674.82</v>
      </c>
      <c r="I33" s="2"/>
      <c r="J33" s="7">
        <f t="shared" si="13"/>
        <v>2.7070408114017101E-3</v>
      </c>
      <c r="K33" s="2"/>
      <c r="L33" s="6">
        <f t="shared" si="14"/>
        <v>-702.42</v>
      </c>
      <c r="M33" s="2"/>
      <c r="N33" s="7">
        <f t="shared" si="15"/>
        <v>-0.41940029376291182</v>
      </c>
      <c r="O33" s="11"/>
      <c r="P33" s="6">
        <v>3293.4</v>
      </c>
      <c r="Q33" s="2"/>
      <c r="R33" s="7">
        <f t="shared" si="16"/>
        <v>7.8440492309240079E-3</v>
      </c>
      <c r="S33" s="2"/>
      <c r="T33" s="6">
        <v>5296.03</v>
      </c>
      <c r="U33" s="2"/>
      <c r="V33" s="7">
        <f t="shared" si="17"/>
        <v>3.3923831194357999E-3</v>
      </c>
      <c r="W33" s="2"/>
      <c r="X33" s="6">
        <f t="shared" si="18"/>
        <v>-2002.6299999999997</v>
      </c>
      <c r="Y33" s="2"/>
      <c r="Z33" s="7">
        <f t="shared" si="19"/>
        <v>-0.37813796371999397</v>
      </c>
    </row>
    <row r="34" spans="1:26" s="29" customFormat="1" outlineLevel="1" collapsed="1" x14ac:dyDescent="0.25">
      <c r="A34" s="27"/>
      <c r="B34" s="14" t="str">
        <f>CONCATENATE("     ","*Payroll                                          ")</f>
        <v xml:space="preserve">     *Payroll                                          </v>
      </c>
      <c r="C34" s="14"/>
      <c r="D34" s="1">
        <f>SUM(OSRRefD22_1x_0)</f>
        <v>79894.55</v>
      </c>
      <c r="E34" s="1"/>
      <c r="F34" s="5">
        <f t="shared" ref="F34:F40" si="20">IF(D$12=0,0,D34/D$12)</f>
        <v>0.42319494250194661</v>
      </c>
      <c r="G34" s="1"/>
      <c r="H34" s="1">
        <f>SUM(OSRRefH22_1x_0)</f>
        <v>131723.5</v>
      </c>
      <c r="I34" s="1"/>
      <c r="J34" s="5">
        <f t="shared" ref="J34:J40" si="21">IF(H$12=0,0,H34/H$12)</f>
        <v>0.21290699318175876</v>
      </c>
      <c r="K34" s="1"/>
      <c r="L34" s="1">
        <f t="shared" ref="L34:L40" si="22">+D34-H34</f>
        <v>-51828.95</v>
      </c>
      <c r="M34" s="1"/>
      <c r="N34" s="5">
        <f t="shared" ref="N34:N40" si="23">IF(H34=0,0,L34/H34)</f>
        <v>-0.39346775632290365</v>
      </c>
      <c r="O34" s="14"/>
      <c r="P34" s="1">
        <f>SUM(OSRRefP22_1x_0)</f>
        <v>221322.31999999998</v>
      </c>
      <c r="Q34" s="1"/>
      <c r="R34" s="5">
        <f t="shared" ref="R34:R40" si="24">IF(P$12=0,0,P34/P$12)</f>
        <v>0.52713401772706536</v>
      </c>
      <c r="S34" s="1"/>
      <c r="T34" s="1">
        <f>SUM(OSRRefT22_1x_0)</f>
        <v>394856.61</v>
      </c>
      <c r="U34" s="1"/>
      <c r="V34" s="5">
        <f t="shared" ref="V34:V40" si="25">IF(T$12=0,0,T34/T$12)</f>
        <v>0.25292622933813536</v>
      </c>
      <c r="W34" s="1"/>
      <c r="X34" s="1">
        <f t="shared" ref="X34:X40" si="26">+P34-T34</f>
        <v>-173534.29</v>
      </c>
      <c r="Y34" s="1"/>
      <c r="Z34" s="5">
        <f t="shared" ref="Z34:Z40" si="27">IF(T34=0,0,X34/T34)</f>
        <v>-0.43948685574745733</v>
      </c>
    </row>
    <row r="35" spans="1:26" s="24" customFormat="1" hidden="1" outlineLevel="2" x14ac:dyDescent="0.25">
      <c r="A35" s="28"/>
      <c r="B35" s="11" t="str">
        <f>CONCATENATE("          ", "6002", " - ", "STAFF SALARIES")</f>
        <v xml:space="preserve">          6002 - STAFF SALARIES</v>
      </c>
      <c r="C35" s="11"/>
      <c r="D35" s="6">
        <v>14999.030000000002</v>
      </c>
      <c r="E35" s="2"/>
      <c r="F35" s="7">
        <f t="shared" si="20"/>
        <v>7.9448643723945792E-2</v>
      </c>
      <c r="G35" s="2"/>
      <c r="H35" s="6">
        <v>16194.98</v>
      </c>
      <c r="I35" s="2"/>
      <c r="J35" s="7">
        <f t="shared" si="21"/>
        <v>2.6176228967790253E-2</v>
      </c>
      <c r="K35" s="2"/>
      <c r="L35" s="6">
        <f t="shared" si="22"/>
        <v>-1195.9499999999971</v>
      </c>
      <c r="M35" s="2"/>
      <c r="N35" s="7">
        <f t="shared" si="23"/>
        <v>-7.3846957513994893E-2</v>
      </c>
      <c r="O35" s="11"/>
      <c r="P35" s="6">
        <v>62793.11</v>
      </c>
      <c r="Q35" s="2"/>
      <c r="R35" s="7">
        <f t="shared" si="24"/>
        <v>0.14955737116743384</v>
      </c>
      <c r="S35" s="2"/>
      <c r="T35" s="6">
        <v>62629.65</v>
      </c>
      <c r="U35" s="2"/>
      <c r="V35" s="7">
        <f t="shared" si="25"/>
        <v>4.0117553608301382E-2</v>
      </c>
      <c r="W35" s="2"/>
      <c r="X35" s="6">
        <f t="shared" si="26"/>
        <v>163.45999999999913</v>
      </c>
      <c r="Y35" s="2"/>
      <c r="Z35" s="7">
        <f t="shared" si="27"/>
        <v>2.6099459281665972E-3</v>
      </c>
    </row>
    <row r="36" spans="1:26" s="24" customFormat="1" hidden="1" outlineLevel="2" x14ac:dyDescent="0.25">
      <c r="A36" s="28"/>
      <c r="B36" s="11" t="str">
        <f>CONCATENATE("          ", "6004", " - ", "STAFF HOURLY")</f>
        <v xml:space="preserve">          6004 - STAFF HOURLY</v>
      </c>
      <c r="C36" s="11"/>
      <c r="D36" s="6">
        <v>25254.75</v>
      </c>
      <c r="E36" s="2"/>
      <c r="F36" s="7">
        <f t="shared" si="20"/>
        <v>0.13377235961840997</v>
      </c>
      <c r="G36" s="2"/>
      <c r="H36" s="6">
        <v>30893.91</v>
      </c>
      <c r="I36" s="2"/>
      <c r="J36" s="7">
        <f t="shared" si="21"/>
        <v>4.9934366196827965E-2</v>
      </c>
      <c r="K36" s="2"/>
      <c r="L36" s="6">
        <f t="shared" si="22"/>
        <v>-5639.16</v>
      </c>
      <c r="M36" s="2"/>
      <c r="N36" s="7">
        <f t="shared" si="23"/>
        <v>-0.18253306234141292</v>
      </c>
      <c r="O36" s="11"/>
      <c r="P36" s="6">
        <v>69853.929999999993</v>
      </c>
      <c r="Q36" s="2"/>
      <c r="R36" s="7">
        <f t="shared" si="24"/>
        <v>0.16637446586916846</v>
      </c>
      <c r="S36" s="2"/>
      <c r="T36" s="6">
        <v>84906.18</v>
      </c>
      <c r="U36" s="2"/>
      <c r="V36" s="7">
        <f t="shared" si="25"/>
        <v>5.4386831601742722E-2</v>
      </c>
      <c r="W36" s="2"/>
      <c r="X36" s="6">
        <f t="shared" si="26"/>
        <v>-15052.25</v>
      </c>
      <c r="Y36" s="2"/>
      <c r="Z36" s="7">
        <f t="shared" si="27"/>
        <v>-0.17728097059601552</v>
      </c>
    </row>
    <row r="37" spans="1:26" s="24" customFormat="1" hidden="1" outlineLevel="2" x14ac:dyDescent="0.25">
      <c r="A37" s="28"/>
      <c r="B37" s="11" t="str">
        <f>CONCATENATE("          ", "6005", " - ", "TEMPORARY WAGES-HOURLY")</f>
        <v xml:space="preserve">          6005 - TEMPORARY WAGES-HOURLY</v>
      </c>
      <c r="C37" s="11"/>
      <c r="D37" s="6">
        <v>23204.070000000003</v>
      </c>
      <c r="E37" s="2"/>
      <c r="F37" s="7">
        <f t="shared" si="20"/>
        <v>0.12291007420983216</v>
      </c>
      <c r="G37" s="2"/>
      <c r="H37" s="6">
        <v>29286.91</v>
      </c>
      <c r="I37" s="2"/>
      <c r="J37" s="7">
        <f t="shared" si="21"/>
        <v>4.7336944035686737E-2</v>
      </c>
      <c r="K37" s="2"/>
      <c r="L37" s="6">
        <f t="shared" si="22"/>
        <v>-6082.8399999999965</v>
      </c>
      <c r="M37" s="2"/>
      <c r="N37" s="7">
        <f t="shared" si="23"/>
        <v>-0.20769825153968091</v>
      </c>
      <c r="O37" s="11"/>
      <c r="P37" s="6">
        <v>37723.81</v>
      </c>
      <c r="Q37" s="2"/>
      <c r="R37" s="7">
        <f t="shared" si="24"/>
        <v>8.9848613231925487E-2</v>
      </c>
      <c r="S37" s="2"/>
      <c r="T37" s="6">
        <v>82642.87</v>
      </c>
      <c r="U37" s="2"/>
      <c r="V37" s="7">
        <f t="shared" si="25"/>
        <v>5.2937063636294975E-2</v>
      </c>
      <c r="W37" s="2"/>
      <c r="X37" s="6">
        <f t="shared" si="26"/>
        <v>-44919.06</v>
      </c>
      <c r="Y37" s="2"/>
      <c r="Z37" s="7">
        <f t="shared" si="27"/>
        <v>-0.54353218856024721</v>
      </c>
    </row>
    <row r="38" spans="1:26" s="24" customFormat="1" hidden="1" outlineLevel="2" x14ac:dyDescent="0.25">
      <c r="A38" s="28"/>
      <c r="B38" s="11" t="str">
        <f>CONCATENATE("          ", "6006", " - ", "TEMPORARY PART TIME")</f>
        <v xml:space="preserve">          6006 - TEMPORARY PART TIME</v>
      </c>
      <c r="C38" s="11"/>
      <c r="D38" s="6"/>
      <c r="E38" s="2"/>
      <c r="F38" s="7">
        <f t="shared" si="20"/>
        <v>0</v>
      </c>
      <c r="G38" s="2"/>
      <c r="H38" s="6">
        <v>1281</v>
      </c>
      <c r="I38" s="2"/>
      <c r="J38" s="7">
        <f t="shared" si="21"/>
        <v>2.070502668588619E-3</v>
      </c>
      <c r="K38" s="2"/>
      <c r="L38" s="6">
        <f t="shared" si="22"/>
        <v>-1281</v>
      </c>
      <c r="M38" s="2"/>
      <c r="N38" s="7">
        <f t="shared" si="23"/>
        <v>-1</v>
      </c>
      <c r="O38" s="11"/>
      <c r="P38" s="6"/>
      <c r="Q38" s="2"/>
      <c r="R38" s="7">
        <f t="shared" si="24"/>
        <v>0</v>
      </c>
      <c r="S38" s="2"/>
      <c r="T38" s="6">
        <v>7209</v>
      </c>
      <c r="U38" s="2"/>
      <c r="V38" s="7">
        <f t="shared" si="25"/>
        <v>4.6177400634083805E-3</v>
      </c>
      <c r="W38" s="2"/>
      <c r="X38" s="6">
        <f t="shared" si="26"/>
        <v>-7209</v>
      </c>
      <c r="Y38" s="2"/>
      <c r="Z38" s="7">
        <f t="shared" si="27"/>
        <v>-1</v>
      </c>
    </row>
    <row r="39" spans="1:26" s="24" customFormat="1" hidden="1" outlineLevel="2" x14ac:dyDescent="0.25">
      <c r="A39" s="28"/>
      <c r="B39" s="11" t="str">
        <f>CONCATENATE("          ", "6007", " - ", "STUDENT HOURLY")</f>
        <v xml:space="preserve">          6007 - STUDENT HOURLY</v>
      </c>
      <c r="C39" s="11"/>
      <c r="D39" s="6">
        <v>12444.4</v>
      </c>
      <c r="E39" s="2"/>
      <c r="F39" s="7">
        <f t="shared" si="20"/>
        <v>6.5916976095005533E-2</v>
      </c>
      <c r="G39" s="2"/>
      <c r="H39" s="6">
        <v>35433.699999999997</v>
      </c>
      <c r="I39" s="2"/>
      <c r="J39" s="7">
        <f t="shared" si="21"/>
        <v>5.7272108046813854E-2</v>
      </c>
      <c r="K39" s="2"/>
      <c r="L39" s="6">
        <f t="shared" si="22"/>
        <v>-22989.299999999996</v>
      </c>
      <c r="M39" s="2"/>
      <c r="N39" s="7">
        <f t="shared" si="23"/>
        <v>-0.6487976135712612</v>
      </c>
      <c r="O39" s="11"/>
      <c r="P39" s="6">
        <v>43256.51</v>
      </c>
      <c r="Q39" s="2"/>
      <c r="R39" s="7">
        <f t="shared" si="24"/>
        <v>0.10302611100927815</v>
      </c>
      <c r="S39" s="2"/>
      <c r="T39" s="6">
        <v>116209.91</v>
      </c>
      <c r="U39" s="2"/>
      <c r="V39" s="7">
        <f t="shared" si="25"/>
        <v>7.4438501480383154E-2</v>
      </c>
      <c r="W39" s="2"/>
      <c r="X39" s="6">
        <f t="shared" si="26"/>
        <v>-72953.399999999994</v>
      </c>
      <c r="Y39" s="2"/>
      <c r="Z39" s="7">
        <f t="shared" si="27"/>
        <v>-0.62777262283397339</v>
      </c>
    </row>
    <row r="40" spans="1:26" s="24" customFormat="1" hidden="1" outlineLevel="2" x14ac:dyDescent="0.25">
      <c r="A40" s="28"/>
      <c r="B40" s="11" t="str">
        <f>CONCATENATE("          ", "6008", " - ", "STUDENT HOURLY-FICA EXEMPT")</f>
        <v xml:space="preserve">          6008 - STUDENT HOURLY-FICA EXEMPT</v>
      </c>
      <c r="C40" s="11"/>
      <c r="D40" s="6">
        <v>3992.3</v>
      </c>
      <c r="E40" s="2"/>
      <c r="F40" s="7">
        <f t="shared" si="20"/>
        <v>2.1146888854753191E-2</v>
      </c>
      <c r="G40" s="2"/>
      <c r="H40" s="6">
        <v>18633</v>
      </c>
      <c r="I40" s="2"/>
      <c r="J40" s="7">
        <f t="shared" si="21"/>
        <v>3.0116843266051321E-2</v>
      </c>
      <c r="K40" s="2"/>
      <c r="L40" s="6">
        <f t="shared" si="22"/>
        <v>-14640.7</v>
      </c>
      <c r="M40" s="2"/>
      <c r="N40" s="7">
        <f t="shared" si="23"/>
        <v>-0.78574035313690771</v>
      </c>
      <c r="O40" s="11"/>
      <c r="P40" s="6">
        <v>7694.96</v>
      </c>
      <c r="Q40" s="2"/>
      <c r="R40" s="7">
        <f t="shared" si="24"/>
        <v>1.8327456449259431E-2</v>
      </c>
      <c r="S40" s="2"/>
      <c r="T40" s="6">
        <v>41259</v>
      </c>
      <c r="U40" s="2"/>
      <c r="V40" s="7">
        <f t="shared" si="25"/>
        <v>2.6428538948004766E-2</v>
      </c>
      <c r="W40" s="2"/>
      <c r="X40" s="6">
        <f t="shared" si="26"/>
        <v>-33564.04</v>
      </c>
      <c r="Y40" s="2"/>
      <c r="Z40" s="7">
        <f t="shared" si="27"/>
        <v>-0.81349620688819413</v>
      </c>
    </row>
    <row r="41" spans="1:26" s="29" customFormat="1" outlineLevel="1" collapsed="1" x14ac:dyDescent="0.25">
      <c r="A41" s="27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SUM(OSRRefD22_2x_0)</f>
        <v>0</v>
      </c>
      <c r="E41" s="1"/>
      <c r="F41" s="5">
        <f t="shared" ref="F41:F61" si="28">IF(D$12=0,0,D41/D$12)</f>
        <v>0</v>
      </c>
      <c r="G41" s="1"/>
      <c r="H41" s="1">
        <f>SUM(OSRRefH22_2x_0)</f>
        <v>201.6</v>
      </c>
      <c r="I41" s="1"/>
      <c r="J41" s="5">
        <f t="shared" ref="J41:J61" si="29">IF(H$12=0,0,H41/H$12)</f>
        <v>3.2584960030247121E-4</v>
      </c>
      <c r="K41" s="1"/>
      <c r="L41" s="1">
        <f t="shared" ref="L41:L61" si="30">+D41-H41</f>
        <v>-201.6</v>
      </c>
      <c r="M41" s="1"/>
      <c r="N41" s="5">
        <f t="shared" ref="N41:N61" si="31">IF(H41=0,0,L41/H41)</f>
        <v>-1</v>
      </c>
      <c r="O41" s="14"/>
      <c r="P41" s="1">
        <f>SUM(OSRRefP22_2x_0)</f>
        <v>1224.25</v>
      </c>
      <c r="Q41" s="1"/>
      <c r="R41" s="5">
        <f t="shared" ref="R41:R61" si="32">IF(P$12=0,0,P41/P$12)</f>
        <v>2.915855125693422E-3</v>
      </c>
      <c r="S41" s="1"/>
      <c r="T41" s="1">
        <f>SUM(OSRRefT22_2x_0)</f>
        <v>2362.48</v>
      </c>
      <c r="U41" s="1"/>
      <c r="V41" s="5">
        <f t="shared" ref="V41:V61" si="33">IF(T$12=0,0,T41/T$12)</f>
        <v>1.5132915168540755E-3</v>
      </c>
      <c r="W41" s="1"/>
      <c r="X41" s="1">
        <f t="shared" ref="X41:X61" si="34">+P41-T41</f>
        <v>-1138.23</v>
      </c>
      <c r="Y41" s="1"/>
      <c r="Z41" s="5">
        <f t="shared" ref="Z41:Z61" si="35">IF(T41=0,0,X41/T41)</f>
        <v>-0.48179455487453865</v>
      </c>
    </row>
    <row r="42" spans="1:26" s="24" customFormat="1" hidden="1" outlineLevel="2" x14ac:dyDescent="0.25">
      <c r="A42" s="28"/>
      <c r="B42" s="11" t="str">
        <f>CONCATENATE("          ", "6362", " - ", "ADVERTISING EXPENSE")</f>
        <v xml:space="preserve">          6362 - ADVERTISING EXPENSE</v>
      </c>
      <c r="C42" s="11"/>
      <c r="D42" s="6"/>
      <c r="E42" s="2"/>
      <c r="F42" s="7">
        <f t="shared" si="28"/>
        <v>0</v>
      </c>
      <c r="G42" s="2"/>
      <c r="H42" s="6">
        <v>201.6</v>
      </c>
      <c r="I42" s="2"/>
      <c r="J42" s="7">
        <f t="shared" si="29"/>
        <v>3.2584960030247121E-4</v>
      </c>
      <c r="K42" s="2"/>
      <c r="L42" s="6">
        <f t="shared" si="30"/>
        <v>-201.6</v>
      </c>
      <c r="M42" s="2"/>
      <c r="N42" s="7">
        <f t="shared" si="31"/>
        <v>-1</v>
      </c>
      <c r="O42" s="11"/>
      <c r="P42" s="6">
        <v>1224.25</v>
      </c>
      <c r="Q42" s="2"/>
      <c r="R42" s="7">
        <f t="shared" si="32"/>
        <v>2.915855125693422E-3</v>
      </c>
      <c r="S42" s="2"/>
      <c r="T42" s="6">
        <v>2362.48</v>
      </c>
      <c r="U42" s="2"/>
      <c r="V42" s="7">
        <f t="shared" si="33"/>
        <v>1.5132915168540755E-3</v>
      </c>
      <c r="W42" s="2"/>
      <c r="X42" s="6">
        <f t="shared" si="34"/>
        <v>-1138.23</v>
      </c>
      <c r="Y42" s="2"/>
      <c r="Z42" s="7">
        <f t="shared" si="35"/>
        <v>-0.48179455487453865</v>
      </c>
    </row>
    <row r="43" spans="1:26" s="29" customFormat="1" outlineLevel="1" collapsed="1" x14ac:dyDescent="0.25">
      <c r="A43" s="27"/>
      <c r="B43" s="14" t="str">
        <f>CONCATENATE("     ","Bad Debts/Over/Short                              ")</f>
        <v xml:space="preserve">     Bad Debts/Over/Short                              </v>
      </c>
      <c r="C43" s="14"/>
      <c r="D43" s="1">
        <f>SUM(OSRRefD22_3x_0)</f>
        <v>8</v>
      </c>
      <c r="E43" s="1"/>
      <c r="F43" s="5">
        <f t="shared" si="28"/>
        <v>4.2375350258754482E-5</v>
      </c>
      <c r="G43" s="1"/>
      <c r="H43" s="1">
        <f>SUM(OSRRefH22_3x_0)</f>
        <v>13.29</v>
      </c>
      <c r="I43" s="1"/>
      <c r="J43" s="5">
        <f t="shared" si="29"/>
        <v>2.1480859067558739E-5</v>
      </c>
      <c r="K43" s="1"/>
      <c r="L43" s="1">
        <f t="shared" si="30"/>
        <v>-5.2899999999999991</v>
      </c>
      <c r="M43" s="1"/>
      <c r="N43" s="5">
        <f t="shared" si="31"/>
        <v>-0.39804364183596685</v>
      </c>
      <c r="O43" s="14"/>
      <c r="P43" s="1">
        <f>SUM(OSRRefP22_3x_0)</f>
        <v>40</v>
      </c>
      <c r="Q43" s="1"/>
      <c r="R43" s="5">
        <f t="shared" si="32"/>
        <v>9.526992446619309E-5</v>
      </c>
      <c r="S43" s="1"/>
      <c r="T43" s="1">
        <f>SUM(OSRRefT22_3x_0)</f>
        <v>16.239999999999998</v>
      </c>
      <c r="U43" s="1"/>
      <c r="V43" s="5">
        <f t="shared" si="33"/>
        <v>1.0402566046574016E-5</v>
      </c>
      <c r="W43" s="1"/>
      <c r="X43" s="1">
        <f t="shared" si="34"/>
        <v>23.76</v>
      </c>
      <c r="Y43" s="1"/>
      <c r="Z43" s="5">
        <f t="shared" si="35"/>
        <v>1.4630541871921185</v>
      </c>
    </row>
    <row r="44" spans="1:26" s="24" customFormat="1" hidden="1" outlineLevel="2" x14ac:dyDescent="0.25">
      <c r="A44" s="28"/>
      <c r="B44" s="11" t="str">
        <f>CONCATENATE("          ", "6272", " - ", "CASH (OVER/SHORT)")</f>
        <v xml:space="preserve">          6272 - CASH (OVER/SHORT)</v>
      </c>
      <c r="C44" s="11"/>
      <c r="D44" s="6">
        <v>8</v>
      </c>
      <c r="E44" s="2"/>
      <c r="F44" s="7">
        <f t="shared" si="28"/>
        <v>4.2375350258754482E-5</v>
      </c>
      <c r="G44" s="2"/>
      <c r="H44" s="6">
        <v>13.29</v>
      </c>
      <c r="I44" s="2"/>
      <c r="J44" s="7">
        <f t="shared" si="29"/>
        <v>2.1480859067558739E-5</v>
      </c>
      <c r="K44" s="2"/>
      <c r="L44" s="6">
        <f t="shared" si="30"/>
        <v>-5.2899999999999991</v>
      </c>
      <c r="M44" s="2"/>
      <c r="N44" s="7">
        <f t="shared" si="31"/>
        <v>-0.39804364183596685</v>
      </c>
      <c r="O44" s="11"/>
      <c r="P44" s="6">
        <v>40</v>
      </c>
      <c r="Q44" s="2"/>
      <c r="R44" s="7">
        <f t="shared" si="32"/>
        <v>9.526992446619309E-5</v>
      </c>
      <c r="S44" s="2"/>
      <c r="T44" s="6">
        <v>16.239999999999998</v>
      </c>
      <c r="U44" s="2"/>
      <c r="V44" s="7">
        <f t="shared" si="33"/>
        <v>1.0402566046574016E-5</v>
      </c>
      <c r="W44" s="2"/>
      <c r="X44" s="6">
        <f t="shared" si="34"/>
        <v>23.76</v>
      </c>
      <c r="Y44" s="2"/>
      <c r="Z44" s="7">
        <f t="shared" si="35"/>
        <v>1.4630541871921185</v>
      </c>
    </row>
    <row r="45" spans="1:26" s="29" customFormat="1" outlineLevel="1" collapsed="1" x14ac:dyDescent="0.25">
      <c r="A45" s="27"/>
      <c r="B45" s="14" t="str">
        <f>CONCATENATE("     ","Bank/card Fees                                    ")</f>
        <v xml:space="preserve">     Bank/card Fees                                    </v>
      </c>
      <c r="C45" s="14"/>
      <c r="D45" s="1">
        <f>SUM(OSRRefD22_4x_0)</f>
        <v>0</v>
      </c>
      <c r="E45" s="1"/>
      <c r="F45" s="5">
        <f t="shared" si="28"/>
        <v>0</v>
      </c>
      <c r="G45" s="1"/>
      <c r="H45" s="1">
        <f>SUM(OSRRefH22_4x_0)</f>
        <v>185.95</v>
      </c>
      <c r="I45" s="1"/>
      <c r="J45" s="5">
        <f t="shared" si="29"/>
        <v>3.0055423202502243E-4</v>
      </c>
      <c r="K45" s="1"/>
      <c r="L45" s="1">
        <f t="shared" si="30"/>
        <v>-185.95</v>
      </c>
      <c r="M45" s="1"/>
      <c r="N45" s="5">
        <f t="shared" si="31"/>
        <v>-1</v>
      </c>
      <c r="O45" s="14"/>
      <c r="P45" s="1">
        <f>SUM(OSRRefP22_4x_0)</f>
        <v>0</v>
      </c>
      <c r="Q45" s="1"/>
      <c r="R45" s="5">
        <f t="shared" si="32"/>
        <v>0</v>
      </c>
      <c r="S45" s="1"/>
      <c r="T45" s="1">
        <f>SUM(OSRRefT22_4x_0)</f>
        <v>710.33</v>
      </c>
      <c r="U45" s="1"/>
      <c r="V45" s="5">
        <f t="shared" si="33"/>
        <v>4.5500337068121445E-4</v>
      </c>
      <c r="W45" s="1"/>
      <c r="X45" s="1">
        <f t="shared" si="34"/>
        <v>-710.33</v>
      </c>
      <c r="Y45" s="1"/>
      <c r="Z45" s="5">
        <f t="shared" si="35"/>
        <v>-1</v>
      </c>
    </row>
    <row r="46" spans="1:26" s="24" customFormat="1" hidden="1" outlineLevel="2" x14ac:dyDescent="0.25">
      <c r="A46" s="28"/>
      <c r="B46" s="11" t="str">
        <f>CONCATENATE("          ", "6381", " - ", "BANK/CREDIT CARD FEES")</f>
        <v xml:space="preserve">          6381 - BANK/CREDIT CARD FEES</v>
      </c>
      <c r="C46" s="11"/>
      <c r="D46" s="6"/>
      <c r="E46" s="2"/>
      <c r="F46" s="7">
        <f t="shared" si="28"/>
        <v>0</v>
      </c>
      <c r="G46" s="2"/>
      <c r="H46" s="6">
        <v>185.95</v>
      </c>
      <c r="I46" s="2"/>
      <c r="J46" s="7">
        <f t="shared" si="29"/>
        <v>3.0055423202502243E-4</v>
      </c>
      <c r="K46" s="2"/>
      <c r="L46" s="6">
        <f t="shared" si="30"/>
        <v>-185.95</v>
      </c>
      <c r="M46" s="2"/>
      <c r="N46" s="7">
        <f t="shared" si="31"/>
        <v>-1</v>
      </c>
      <c r="O46" s="11"/>
      <c r="P46" s="6"/>
      <c r="Q46" s="2"/>
      <c r="R46" s="7">
        <f t="shared" si="32"/>
        <v>0</v>
      </c>
      <c r="S46" s="2"/>
      <c r="T46" s="6">
        <v>710.33</v>
      </c>
      <c r="U46" s="2"/>
      <c r="V46" s="7">
        <f t="shared" si="33"/>
        <v>4.5500337068121445E-4</v>
      </c>
      <c r="W46" s="2"/>
      <c r="X46" s="6">
        <f t="shared" si="34"/>
        <v>-710.33</v>
      </c>
      <c r="Y46" s="2"/>
      <c r="Z46" s="7">
        <f t="shared" si="35"/>
        <v>-1</v>
      </c>
    </row>
    <row r="47" spans="1:26" s="29" customFormat="1" outlineLevel="1" collapsed="1" x14ac:dyDescent="0.25">
      <c r="A47" s="27"/>
      <c r="B47" s="14" t="str">
        <f>CONCATENATE("     ","Depreciation                                      ")</f>
        <v xml:space="preserve">     Depreciation                                      </v>
      </c>
      <c r="C47" s="14"/>
      <c r="D47" s="1">
        <f>SUM(OSRRefD22_5x_0)</f>
        <v>272.74</v>
      </c>
      <c r="E47" s="1"/>
      <c r="F47" s="5">
        <f t="shared" si="28"/>
        <v>1.4446816286965872E-3</v>
      </c>
      <c r="G47" s="1"/>
      <c r="H47" s="1">
        <f>SUM(OSRRefH22_5x_0)</f>
        <v>0</v>
      </c>
      <c r="I47" s="1"/>
      <c r="J47" s="5">
        <f t="shared" si="29"/>
        <v>0</v>
      </c>
      <c r="K47" s="1"/>
      <c r="L47" s="1">
        <f t="shared" si="30"/>
        <v>272.74</v>
      </c>
      <c r="M47" s="1"/>
      <c r="N47" s="5">
        <f t="shared" si="31"/>
        <v>0</v>
      </c>
      <c r="O47" s="14"/>
      <c r="P47" s="1">
        <f>SUM(OSRRefP22_5x_0)</f>
        <v>826.74</v>
      </c>
      <c r="Q47" s="1"/>
      <c r="R47" s="5">
        <f t="shared" si="32"/>
        <v>1.9690864338295119E-3</v>
      </c>
      <c r="S47" s="1"/>
      <c r="T47" s="1">
        <f>SUM(OSRRefT22_5x_0)</f>
        <v>0</v>
      </c>
      <c r="U47" s="1"/>
      <c r="V47" s="5">
        <f t="shared" si="33"/>
        <v>0</v>
      </c>
      <c r="W47" s="1"/>
      <c r="X47" s="1">
        <f t="shared" si="34"/>
        <v>826.74</v>
      </c>
      <c r="Y47" s="1"/>
      <c r="Z47" s="5">
        <f t="shared" si="35"/>
        <v>0</v>
      </c>
    </row>
    <row r="48" spans="1:26" s="24" customFormat="1" hidden="1" outlineLevel="2" x14ac:dyDescent="0.25">
      <c r="A48" s="28"/>
      <c r="B48" s="11" t="str">
        <f>CONCATENATE("          ", "6322", " - ", "EQUIPMENT DEPRECIATION EXPENSE")</f>
        <v xml:space="preserve">          6322 - EQUIPMENT DEPRECIATION EXPENSE</v>
      </c>
      <c r="C48" s="11"/>
      <c r="D48" s="6">
        <v>272.74</v>
      </c>
      <c r="E48" s="2"/>
      <c r="F48" s="7">
        <f t="shared" si="28"/>
        <v>1.4446816286965872E-3</v>
      </c>
      <c r="G48" s="2"/>
      <c r="H48" s="6"/>
      <c r="I48" s="2"/>
      <c r="J48" s="7">
        <f t="shared" si="29"/>
        <v>0</v>
      </c>
      <c r="K48" s="2"/>
      <c r="L48" s="6">
        <f t="shared" si="30"/>
        <v>272.74</v>
      </c>
      <c r="M48" s="2"/>
      <c r="N48" s="7">
        <f t="shared" si="31"/>
        <v>0</v>
      </c>
      <c r="O48" s="11"/>
      <c r="P48" s="6">
        <v>826.74</v>
      </c>
      <c r="Q48" s="2"/>
      <c r="R48" s="7">
        <f t="shared" si="32"/>
        <v>1.9690864338295119E-3</v>
      </c>
      <c r="S48" s="2"/>
      <c r="T48" s="6"/>
      <c r="U48" s="2"/>
      <c r="V48" s="7">
        <f t="shared" si="33"/>
        <v>0</v>
      </c>
      <c r="W48" s="2"/>
      <c r="X48" s="6">
        <f t="shared" si="34"/>
        <v>826.74</v>
      </c>
      <c r="Y48" s="2"/>
      <c r="Z48" s="7">
        <f t="shared" si="35"/>
        <v>0</v>
      </c>
    </row>
    <row r="49" spans="1:26" s="29" customFormat="1" outlineLevel="1" collapsed="1" x14ac:dyDescent="0.25">
      <c r="A49" s="27"/>
      <c r="B49" s="14" t="str">
        <f>CONCATENATE("     ","Donations                                         ")</f>
        <v xml:space="preserve">     Donations                                         </v>
      </c>
      <c r="C49" s="14"/>
      <c r="D49" s="1">
        <f>SUM(OSRRefD22_6x_0)</f>
        <v>11110.09</v>
      </c>
      <c r="E49" s="1"/>
      <c r="F49" s="5">
        <f t="shared" si="28"/>
        <v>5.8849244394535698E-2</v>
      </c>
      <c r="G49" s="1"/>
      <c r="H49" s="1">
        <f>SUM(OSRRefH22_6x_0)</f>
        <v>5160.45</v>
      </c>
      <c r="I49" s="1"/>
      <c r="J49" s="5">
        <f t="shared" si="29"/>
        <v>8.3409254458377356E-3</v>
      </c>
      <c r="K49" s="1"/>
      <c r="L49" s="1">
        <f t="shared" si="30"/>
        <v>5949.64</v>
      </c>
      <c r="M49" s="1"/>
      <c r="N49" s="5">
        <f t="shared" si="31"/>
        <v>1.1529304614907616</v>
      </c>
      <c r="O49" s="14"/>
      <c r="P49" s="1">
        <f>SUM(OSRRefP22_6x_0)</f>
        <v>22220.18</v>
      </c>
      <c r="Q49" s="1"/>
      <c r="R49" s="5">
        <f t="shared" si="32"/>
        <v>5.292287175563036E-2</v>
      </c>
      <c r="S49" s="1"/>
      <c r="T49" s="1">
        <f>SUM(OSRRefT22_6x_0)</f>
        <v>11346.48</v>
      </c>
      <c r="U49" s="1"/>
      <c r="V49" s="5">
        <f t="shared" si="33"/>
        <v>7.2680115514859086E-3</v>
      </c>
      <c r="W49" s="1"/>
      <c r="X49" s="1">
        <f t="shared" si="34"/>
        <v>10873.7</v>
      </c>
      <c r="Y49" s="1"/>
      <c r="Z49" s="5">
        <f t="shared" si="35"/>
        <v>0.95833245200273576</v>
      </c>
    </row>
    <row r="50" spans="1:26" s="24" customFormat="1" hidden="1" outlineLevel="2" x14ac:dyDescent="0.25">
      <c r="A50" s="28"/>
      <c r="B50" s="11" t="str">
        <f>CONCATENATE("          ", "6399", " - ", "DONATION-ON CAMPUS")</f>
        <v xml:space="preserve">          6399 - DONATION-ON CAMPUS</v>
      </c>
      <c r="C50" s="11"/>
      <c r="D50" s="6">
        <v>11110.09</v>
      </c>
      <c r="E50" s="2"/>
      <c r="F50" s="7">
        <f t="shared" si="28"/>
        <v>5.8849244394535698E-2</v>
      </c>
      <c r="G50" s="2"/>
      <c r="H50" s="6">
        <v>5160.45</v>
      </c>
      <c r="I50" s="2"/>
      <c r="J50" s="7">
        <f t="shared" si="29"/>
        <v>8.3409254458377356E-3</v>
      </c>
      <c r="K50" s="2"/>
      <c r="L50" s="6">
        <f t="shared" si="30"/>
        <v>5949.64</v>
      </c>
      <c r="M50" s="2"/>
      <c r="N50" s="7">
        <f t="shared" si="31"/>
        <v>1.1529304614907616</v>
      </c>
      <c r="O50" s="11"/>
      <c r="P50" s="6">
        <v>22220.18</v>
      </c>
      <c r="Q50" s="2"/>
      <c r="R50" s="7">
        <f t="shared" si="32"/>
        <v>5.292287175563036E-2</v>
      </c>
      <c r="S50" s="2"/>
      <c r="T50" s="6">
        <v>11346.48</v>
      </c>
      <c r="U50" s="2"/>
      <c r="V50" s="7">
        <f t="shared" si="33"/>
        <v>7.2680115514859086E-3</v>
      </c>
      <c r="W50" s="2"/>
      <c r="X50" s="6">
        <f t="shared" si="34"/>
        <v>10873.7</v>
      </c>
      <c r="Y50" s="2"/>
      <c r="Z50" s="7">
        <f t="shared" si="35"/>
        <v>0.95833245200273576</v>
      </c>
    </row>
    <row r="51" spans="1:26" s="29" customFormat="1" outlineLevel="1" collapsed="1" x14ac:dyDescent="0.25">
      <c r="A51" s="27"/>
      <c r="B51" s="14" t="str">
        <f>CONCATENATE("     ","Employees' Appreciation                           ")</f>
        <v xml:space="preserve">     Employees' Appreciation                           </v>
      </c>
      <c r="C51" s="14"/>
      <c r="D51" s="1">
        <f>SUM(OSRRefD22_7x_0)</f>
        <v>0</v>
      </c>
      <c r="E51" s="1"/>
      <c r="F51" s="5">
        <f t="shared" si="28"/>
        <v>0</v>
      </c>
      <c r="G51" s="1"/>
      <c r="H51" s="1">
        <f>SUM(OSRRefH22_7x_0)</f>
        <v>34.36</v>
      </c>
      <c r="I51" s="1"/>
      <c r="J51" s="5">
        <f t="shared" si="29"/>
        <v>5.5536667988060073E-5</v>
      </c>
      <c r="K51" s="1"/>
      <c r="L51" s="1">
        <f t="shared" si="30"/>
        <v>-34.36</v>
      </c>
      <c r="M51" s="1"/>
      <c r="N51" s="5">
        <f t="shared" si="31"/>
        <v>-1</v>
      </c>
      <c r="O51" s="14"/>
      <c r="P51" s="1">
        <f>SUM(OSRRefP22_7x_0)</f>
        <v>0</v>
      </c>
      <c r="Q51" s="1"/>
      <c r="R51" s="5">
        <f t="shared" si="32"/>
        <v>0</v>
      </c>
      <c r="S51" s="1"/>
      <c r="T51" s="1">
        <f>SUM(OSRRefT22_7x_0)</f>
        <v>839.99</v>
      </c>
      <c r="U51" s="1"/>
      <c r="V51" s="5">
        <f t="shared" si="33"/>
        <v>5.3805735550872596E-4</v>
      </c>
      <c r="W51" s="1"/>
      <c r="X51" s="1">
        <f t="shared" si="34"/>
        <v>-839.99</v>
      </c>
      <c r="Y51" s="1"/>
      <c r="Z51" s="5">
        <f t="shared" si="35"/>
        <v>-1</v>
      </c>
    </row>
    <row r="52" spans="1:26" s="24" customFormat="1" hidden="1" outlineLevel="2" x14ac:dyDescent="0.25">
      <c r="A52" s="28"/>
      <c r="B52" s="11" t="str">
        <f>CONCATENATE("          ", "6277", " - ", "EMPLOYEE APPRECIATION")</f>
        <v xml:space="preserve">          6277 - EMPLOYEE APPRECIATION</v>
      </c>
      <c r="C52" s="11"/>
      <c r="D52" s="6"/>
      <c r="E52" s="2"/>
      <c r="F52" s="7">
        <f t="shared" si="28"/>
        <v>0</v>
      </c>
      <c r="G52" s="2"/>
      <c r="H52" s="6">
        <v>34.36</v>
      </c>
      <c r="I52" s="2"/>
      <c r="J52" s="7">
        <f t="shared" si="29"/>
        <v>5.5536667988060073E-5</v>
      </c>
      <c r="K52" s="2"/>
      <c r="L52" s="6">
        <f t="shared" si="30"/>
        <v>-34.36</v>
      </c>
      <c r="M52" s="2"/>
      <c r="N52" s="7">
        <f t="shared" si="31"/>
        <v>-1</v>
      </c>
      <c r="O52" s="11"/>
      <c r="P52" s="6"/>
      <c r="Q52" s="2"/>
      <c r="R52" s="7">
        <f t="shared" si="32"/>
        <v>0</v>
      </c>
      <c r="S52" s="2"/>
      <c r="T52" s="6">
        <v>839.99</v>
      </c>
      <c r="U52" s="2"/>
      <c r="V52" s="7">
        <f t="shared" si="33"/>
        <v>5.3805735550872596E-4</v>
      </c>
      <c r="W52" s="2"/>
      <c r="X52" s="6">
        <f t="shared" si="34"/>
        <v>-839.99</v>
      </c>
      <c r="Y52" s="2"/>
      <c r="Z52" s="7">
        <f t="shared" si="35"/>
        <v>-1</v>
      </c>
    </row>
    <row r="53" spans="1:26" s="29" customFormat="1" outlineLevel="1" collapsed="1" x14ac:dyDescent="0.25">
      <c r="A53" s="27"/>
      <c r="B53" s="14" t="str">
        <f>CONCATENATE("     ","Equipment Rental                                  ")</f>
        <v xml:space="preserve">     Equipment Rental                                  </v>
      </c>
      <c r="C53" s="14"/>
      <c r="D53" s="1">
        <f>SUM(OSRRefD22_8x_0)</f>
        <v>245.6</v>
      </c>
      <c r="E53" s="1"/>
      <c r="F53" s="5">
        <f t="shared" si="28"/>
        <v>1.3009232529437626E-3</v>
      </c>
      <c r="G53" s="1"/>
      <c r="H53" s="1">
        <f>SUM(OSRRefH22_8x_0)</f>
        <v>3509.87</v>
      </c>
      <c r="I53" s="1"/>
      <c r="J53" s="5">
        <f t="shared" si="29"/>
        <v>5.6730641697104889E-3</v>
      </c>
      <c r="K53" s="1"/>
      <c r="L53" s="1">
        <f t="shared" si="30"/>
        <v>-3264.27</v>
      </c>
      <c r="M53" s="1"/>
      <c r="N53" s="5">
        <f t="shared" si="31"/>
        <v>-0.93002589839509731</v>
      </c>
      <c r="O53" s="14"/>
      <c r="P53" s="1">
        <f>SUM(OSRRefP22_8x_0)</f>
        <v>1281.3399999999999</v>
      </c>
      <c r="Q53" s="1"/>
      <c r="R53" s="5">
        <f t="shared" si="32"/>
        <v>3.0518291253877959E-3</v>
      </c>
      <c r="S53" s="1"/>
      <c r="T53" s="1">
        <f>SUM(OSRRefT22_8x_0)</f>
        <v>4210.2</v>
      </c>
      <c r="U53" s="1"/>
      <c r="V53" s="5">
        <f t="shared" si="33"/>
        <v>2.6968524365323845E-3</v>
      </c>
      <c r="W53" s="1"/>
      <c r="X53" s="1">
        <f t="shared" si="34"/>
        <v>-2928.8599999999997</v>
      </c>
      <c r="Y53" s="1"/>
      <c r="Z53" s="5">
        <f t="shared" si="35"/>
        <v>-0.69565816350767185</v>
      </c>
    </row>
    <row r="54" spans="1:26" s="24" customFormat="1" hidden="1" outlineLevel="2" x14ac:dyDescent="0.25">
      <c r="A54" s="28"/>
      <c r="B54" s="11" t="str">
        <f>CONCATENATE("          ", "6351", " - ", "EQUIPMENT RENTAL")</f>
        <v xml:space="preserve">          6351 - EQUIPMENT RENTAL</v>
      </c>
      <c r="C54" s="11"/>
      <c r="D54" s="6">
        <v>245.6</v>
      </c>
      <c r="E54" s="2"/>
      <c r="F54" s="7">
        <f t="shared" si="28"/>
        <v>1.3009232529437626E-3</v>
      </c>
      <c r="G54" s="2"/>
      <c r="H54" s="6">
        <v>3509.87</v>
      </c>
      <c r="I54" s="2"/>
      <c r="J54" s="7">
        <f t="shared" si="29"/>
        <v>5.6730641697104889E-3</v>
      </c>
      <c r="K54" s="2"/>
      <c r="L54" s="6">
        <f t="shared" si="30"/>
        <v>-3264.27</v>
      </c>
      <c r="M54" s="2"/>
      <c r="N54" s="7">
        <f t="shared" si="31"/>
        <v>-0.93002589839509731</v>
      </c>
      <c r="O54" s="11"/>
      <c r="P54" s="6">
        <v>1281.3399999999999</v>
      </c>
      <c r="Q54" s="2"/>
      <c r="R54" s="7">
        <f t="shared" si="32"/>
        <v>3.0518291253877959E-3</v>
      </c>
      <c r="S54" s="2"/>
      <c r="T54" s="6">
        <v>4210.2</v>
      </c>
      <c r="U54" s="2"/>
      <c r="V54" s="7">
        <f t="shared" si="33"/>
        <v>2.6968524365323845E-3</v>
      </c>
      <c r="W54" s="2"/>
      <c r="X54" s="6">
        <f t="shared" si="34"/>
        <v>-2928.8599999999997</v>
      </c>
      <c r="Y54" s="2"/>
      <c r="Z54" s="7">
        <f t="shared" si="35"/>
        <v>-0.69565816350767185</v>
      </c>
    </row>
    <row r="55" spans="1:26" s="29" customFormat="1" outlineLevel="1" collapsed="1" x14ac:dyDescent="0.25">
      <c r="A55" s="27"/>
      <c r="B55" s="14" t="str">
        <f>CONCATENATE("     ","General                                           ")</f>
        <v xml:space="preserve">     General                                           </v>
      </c>
      <c r="C55" s="14"/>
      <c r="D55" s="1">
        <f>SUM(OSRRefD22_9x_0)</f>
        <v>0</v>
      </c>
      <c r="E55" s="1"/>
      <c r="F55" s="5">
        <f t="shared" si="28"/>
        <v>0</v>
      </c>
      <c r="G55" s="1"/>
      <c r="H55" s="1">
        <f>SUM(OSRRefH22_9x_0)</f>
        <v>602.52</v>
      </c>
      <c r="I55" s="1"/>
      <c r="J55" s="5">
        <f t="shared" si="29"/>
        <v>9.7386359709446897E-4</v>
      </c>
      <c r="K55" s="1"/>
      <c r="L55" s="1">
        <f t="shared" si="30"/>
        <v>-602.52</v>
      </c>
      <c r="M55" s="1"/>
      <c r="N55" s="5">
        <f t="shared" si="31"/>
        <v>-1</v>
      </c>
      <c r="O55" s="14"/>
      <c r="P55" s="1">
        <f>SUM(OSRRefP22_9x_0)</f>
        <v>1439.55</v>
      </c>
      <c r="Q55" s="1"/>
      <c r="R55" s="5">
        <f t="shared" si="32"/>
        <v>3.4286454941327062E-3</v>
      </c>
      <c r="S55" s="1"/>
      <c r="T55" s="1">
        <f>SUM(OSRRefT22_9x_0)</f>
        <v>2539.62</v>
      </c>
      <c r="U55" s="1"/>
      <c r="V55" s="5">
        <f t="shared" si="33"/>
        <v>1.6267589152216936E-3</v>
      </c>
      <c r="W55" s="1"/>
      <c r="X55" s="1">
        <f t="shared" si="34"/>
        <v>-1100.07</v>
      </c>
      <c r="Y55" s="1"/>
      <c r="Z55" s="5">
        <f t="shared" si="35"/>
        <v>-0.43316322914451766</v>
      </c>
    </row>
    <row r="56" spans="1:26" s="24" customFormat="1" hidden="1" outlineLevel="2" x14ac:dyDescent="0.25">
      <c r="A56" s="28"/>
      <c r="B56" s="11" t="str">
        <f>CONCATENATE("          ", "6279", " - ", "GENERAL EXPENSE")</f>
        <v xml:space="preserve">          6279 - GENERAL EXPENSE</v>
      </c>
      <c r="C56" s="11"/>
      <c r="D56" s="6"/>
      <c r="E56" s="2"/>
      <c r="F56" s="7">
        <f t="shared" si="28"/>
        <v>0</v>
      </c>
      <c r="G56" s="2"/>
      <c r="H56" s="6">
        <v>602.52</v>
      </c>
      <c r="I56" s="2"/>
      <c r="J56" s="7">
        <f t="shared" si="29"/>
        <v>9.7386359709446897E-4</v>
      </c>
      <c r="K56" s="2"/>
      <c r="L56" s="6">
        <f t="shared" si="30"/>
        <v>-602.52</v>
      </c>
      <c r="M56" s="2"/>
      <c r="N56" s="7">
        <f t="shared" si="31"/>
        <v>-1</v>
      </c>
      <c r="O56" s="11"/>
      <c r="P56" s="6">
        <v>1439.55</v>
      </c>
      <c r="Q56" s="2"/>
      <c r="R56" s="7">
        <f t="shared" si="32"/>
        <v>3.4286454941327062E-3</v>
      </c>
      <c r="S56" s="2"/>
      <c r="T56" s="6">
        <v>2539.62</v>
      </c>
      <c r="U56" s="2"/>
      <c r="V56" s="7">
        <f t="shared" si="33"/>
        <v>1.6267589152216936E-3</v>
      </c>
      <c r="W56" s="2"/>
      <c r="X56" s="6">
        <f t="shared" si="34"/>
        <v>-1100.07</v>
      </c>
      <c r="Y56" s="2"/>
      <c r="Z56" s="7">
        <f t="shared" si="35"/>
        <v>-0.43316322914451766</v>
      </c>
    </row>
    <row r="57" spans="1:26" s="29" customFormat="1" outlineLevel="1" collapsed="1" x14ac:dyDescent="0.25">
      <c r="A57" s="27"/>
      <c r="B57" s="14" t="str">
        <f>CONCATENATE("     ","R/H Commissions                                   ")</f>
        <v xml:space="preserve">     R/H Commissions                                   </v>
      </c>
      <c r="C57" s="14"/>
      <c r="D57" s="1">
        <f>SUM(OSRRefD22_10x_0)</f>
        <v>11623.19</v>
      </c>
      <c r="E57" s="1"/>
      <c r="F57" s="5">
        <f t="shared" si="28"/>
        <v>6.1567093421756564E-2</v>
      </c>
      <c r="G57" s="1"/>
      <c r="H57" s="1">
        <f>SUM(OSRRefH22_10x_0)</f>
        <v>48155.83</v>
      </c>
      <c r="I57" s="1"/>
      <c r="J57" s="5">
        <f t="shared" si="29"/>
        <v>7.7835108917330115E-2</v>
      </c>
      <c r="K57" s="1"/>
      <c r="L57" s="1">
        <f t="shared" si="30"/>
        <v>-36532.639999999999</v>
      </c>
      <c r="M57" s="1"/>
      <c r="N57" s="5">
        <f t="shared" si="31"/>
        <v>-0.75863379366527373</v>
      </c>
      <c r="O57" s="14"/>
      <c r="P57" s="1">
        <f>SUM(OSRRefP22_10x_0)</f>
        <v>26805.030000000002</v>
      </c>
      <c r="Q57" s="1"/>
      <c r="R57" s="5">
        <f t="shared" si="32"/>
        <v>6.3842829585350994E-2</v>
      </c>
      <c r="S57" s="1"/>
      <c r="T57" s="1">
        <f>SUM(OSRRefT22_10x_0)</f>
        <v>120358.84000000001</v>
      </c>
      <c r="U57" s="1"/>
      <c r="V57" s="5">
        <f t="shared" si="33"/>
        <v>7.7096107289965202E-2</v>
      </c>
      <c r="W57" s="1"/>
      <c r="X57" s="1">
        <f t="shared" si="34"/>
        <v>-93553.810000000012</v>
      </c>
      <c r="Y57" s="1"/>
      <c r="Z57" s="5">
        <f t="shared" si="35"/>
        <v>-0.77729072496876839</v>
      </c>
    </row>
    <row r="58" spans="1:26" s="24" customFormat="1" hidden="1" outlineLevel="2" x14ac:dyDescent="0.25">
      <c r="A58" s="28"/>
      <c r="B58" s="11" t="str">
        <f>CONCATENATE("          ", "6387", " - ", "COMMISSION DUE HOUSING")</f>
        <v xml:space="preserve">          6387 - COMMISSION DUE HOUSING</v>
      </c>
      <c r="C58" s="11"/>
      <c r="D58" s="6">
        <v>11623.19</v>
      </c>
      <c r="E58" s="2"/>
      <c r="F58" s="7">
        <f t="shared" si="28"/>
        <v>6.1567093421756564E-2</v>
      </c>
      <c r="G58" s="2"/>
      <c r="H58" s="6">
        <v>48155.83</v>
      </c>
      <c r="I58" s="2"/>
      <c r="J58" s="7">
        <f t="shared" si="29"/>
        <v>7.7835108917330115E-2</v>
      </c>
      <c r="K58" s="2"/>
      <c r="L58" s="6">
        <f t="shared" si="30"/>
        <v>-36532.639999999999</v>
      </c>
      <c r="M58" s="2"/>
      <c r="N58" s="7">
        <f t="shared" si="31"/>
        <v>-0.75863379366527373</v>
      </c>
      <c r="O58" s="11"/>
      <c r="P58" s="6">
        <v>26805.030000000002</v>
      </c>
      <c r="Q58" s="2"/>
      <c r="R58" s="7">
        <f t="shared" si="32"/>
        <v>6.3842829585350994E-2</v>
      </c>
      <c r="S58" s="2"/>
      <c r="T58" s="6">
        <v>120358.84000000001</v>
      </c>
      <c r="U58" s="2"/>
      <c r="V58" s="7">
        <f t="shared" si="33"/>
        <v>7.7096107289965202E-2</v>
      </c>
      <c r="W58" s="2"/>
      <c r="X58" s="6">
        <f t="shared" si="34"/>
        <v>-93553.810000000012</v>
      </c>
      <c r="Y58" s="2"/>
      <c r="Z58" s="7">
        <f t="shared" si="35"/>
        <v>-0.77729072496876839</v>
      </c>
    </row>
    <row r="59" spans="1:26" s="29" customFormat="1" outlineLevel="1" collapsed="1" x14ac:dyDescent="0.25">
      <c r="A59" s="27"/>
      <c r="B59" s="14" t="str">
        <f>CONCATENATE("     ","Repair and Maintenance                            ")</f>
        <v xml:space="preserve">     Repair and Maintenance                            </v>
      </c>
      <c r="C59" s="14"/>
      <c r="D59" s="1">
        <f>SUM(OSRRefD22_11x_0)</f>
        <v>414.44</v>
      </c>
      <c r="E59" s="1"/>
      <c r="F59" s="5">
        <f t="shared" si="28"/>
        <v>2.195255020154776E-3</v>
      </c>
      <c r="G59" s="1"/>
      <c r="H59" s="1">
        <f>SUM(OSRRefH22_11x_0)</f>
        <v>75.69</v>
      </c>
      <c r="I59" s="1"/>
      <c r="J59" s="5">
        <f t="shared" si="29"/>
        <v>1.2233906868499029E-4</v>
      </c>
      <c r="K59" s="1"/>
      <c r="L59" s="1">
        <f t="shared" si="30"/>
        <v>338.75</v>
      </c>
      <c r="M59" s="1"/>
      <c r="N59" s="5">
        <f t="shared" si="31"/>
        <v>4.4754921389879776</v>
      </c>
      <c r="O59" s="14"/>
      <c r="P59" s="1">
        <f>SUM(OSRRefP22_11x_0)</f>
        <v>2098.12</v>
      </c>
      <c r="Q59" s="1"/>
      <c r="R59" s="5">
        <f t="shared" si="32"/>
        <v>4.9971933480252254E-3</v>
      </c>
      <c r="S59" s="1"/>
      <c r="T59" s="1">
        <f>SUM(OSRRefT22_11x_0)</f>
        <v>219.19</v>
      </c>
      <c r="U59" s="1"/>
      <c r="V59" s="5">
        <f t="shared" si="33"/>
        <v>1.4040261402392605E-4</v>
      </c>
      <c r="W59" s="1"/>
      <c r="X59" s="1">
        <f t="shared" si="34"/>
        <v>1878.9299999999998</v>
      </c>
      <c r="Y59" s="1"/>
      <c r="Z59" s="5">
        <f t="shared" si="35"/>
        <v>8.5721520142342253</v>
      </c>
    </row>
    <row r="60" spans="1:26" s="24" customFormat="1" hidden="1" outlineLevel="2" x14ac:dyDescent="0.25">
      <c r="A60" s="28"/>
      <c r="B60" s="11" t="str">
        <f>CONCATENATE("          ", "6373", " - ", "MAINTENANCE CONTRACTS")</f>
        <v xml:space="preserve">          6373 - MAINTENANCE CONTRACTS</v>
      </c>
      <c r="C60" s="11"/>
      <c r="D60" s="6">
        <v>17.82</v>
      </c>
      <c r="E60" s="2"/>
      <c r="F60" s="7">
        <f t="shared" si="28"/>
        <v>9.4391092701375613E-5</v>
      </c>
      <c r="G60" s="2"/>
      <c r="H60" s="6">
        <v>75.69</v>
      </c>
      <c r="I60" s="2"/>
      <c r="J60" s="7">
        <f t="shared" si="29"/>
        <v>1.2233906868499029E-4</v>
      </c>
      <c r="K60" s="2"/>
      <c r="L60" s="6">
        <f t="shared" si="30"/>
        <v>-57.87</v>
      </c>
      <c r="M60" s="2"/>
      <c r="N60" s="7">
        <f t="shared" si="31"/>
        <v>-0.76456599286563609</v>
      </c>
      <c r="O60" s="11"/>
      <c r="P60" s="6">
        <v>1496.5</v>
      </c>
      <c r="Q60" s="2"/>
      <c r="R60" s="7">
        <f t="shared" si="32"/>
        <v>3.5642860490914491E-3</v>
      </c>
      <c r="S60" s="2"/>
      <c r="T60" s="6">
        <v>113.7</v>
      </c>
      <c r="U60" s="2"/>
      <c r="V60" s="7">
        <f t="shared" si="33"/>
        <v>7.2830773367947406E-5</v>
      </c>
      <c r="W60" s="2"/>
      <c r="X60" s="6">
        <f t="shared" si="34"/>
        <v>1382.8</v>
      </c>
      <c r="Y60" s="2"/>
      <c r="Z60" s="7">
        <f t="shared" si="35"/>
        <v>12.161829375549692</v>
      </c>
    </row>
    <row r="61" spans="1:26" s="24" customFormat="1" hidden="1" outlineLevel="2" x14ac:dyDescent="0.25">
      <c r="A61" s="28"/>
      <c r="B61" s="11" t="str">
        <f>CONCATENATE("          ", "6375", " - ", "OUTSIDE REPAIRS &amp; MAINTENANCE")</f>
        <v xml:space="preserve">          6375 - OUTSIDE REPAIRS &amp; MAINTENANCE</v>
      </c>
      <c r="C61" s="11"/>
      <c r="D61" s="6">
        <v>396.62</v>
      </c>
      <c r="E61" s="2"/>
      <c r="F61" s="7">
        <f t="shared" si="28"/>
        <v>2.1008639274534002E-3</v>
      </c>
      <c r="G61" s="2"/>
      <c r="H61" s="6"/>
      <c r="I61" s="2"/>
      <c r="J61" s="7">
        <f t="shared" si="29"/>
        <v>0</v>
      </c>
      <c r="K61" s="2"/>
      <c r="L61" s="6">
        <f t="shared" si="30"/>
        <v>396.62</v>
      </c>
      <c r="M61" s="2"/>
      <c r="N61" s="7">
        <f t="shared" si="31"/>
        <v>0</v>
      </c>
      <c r="O61" s="11"/>
      <c r="P61" s="6">
        <v>601.62</v>
      </c>
      <c r="Q61" s="2"/>
      <c r="R61" s="7">
        <f t="shared" si="32"/>
        <v>1.4329072989337772E-3</v>
      </c>
      <c r="S61" s="2"/>
      <c r="T61" s="6">
        <v>105.49</v>
      </c>
      <c r="U61" s="2"/>
      <c r="V61" s="7">
        <f t="shared" si="33"/>
        <v>6.7571840655978634E-5</v>
      </c>
      <c r="W61" s="2"/>
      <c r="X61" s="6">
        <f t="shared" si="34"/>
        <v>496.13</v>
      </c>
      <c r="Y61" s="2"/>
      <c r="Z61" s="7">
        <f t="shared" si="35"/>
        <v>4.7030998198881413</v>
      </c>
    </row>
    <row r="62" spans="1:26" s="29" customFormat="1" outlineLevel="1" collapsed="1" x14ac:dyDescent="0.25">
      <c r="A62" s="27"/>
      <c r="B62" s="14" t="str">
        <f>CONCATENATE("     ","Services                                          ")</f>
        <v xml:space="preserve">     Services                                          </v>
      </c>
      <c r="C62" s="14"/>
      <c r="D62" s="1">
        <f>SUM(OSRRefD22_12x_0)</f>
        <v>5249.81</v>
      </c>
      <c r="E62" s="1"/>
      <c r="F62" s="5">
        <f t="shared" ref="F62:F65" si="36">IF(D$12=0,0,D62/D$12)</f>
        <v>2.7807817192738987E-2</v>
      </c>
      <c r="G62" s="1"/>
      <c r="H62" s="1">
        <f>SUM(OSRRefH22_12x_0)</f>
        <v>6022.22</v>
      </c>
      <c r="I62" s="1"/>
      <c r="J62" s="5">
        <f t="shared" ref="J62:J65" si="37">IF(H$12=0,0,H62/H$12)</f>
        <v>9.7338193449084728E-3</v>
      </c>
      <c r="K62" s="1"/>
      <c r="L62" s="1">
        <f t="shared" ref="L62:L65" si="38">+D62-H62</f>
        <v>-772.40999999999985</v>
      </c>
      <c r="M62" s="1"/>
      <c r="N62" s="5">
        <f t="shared" ref="N62:N65" si="39">IF(H62=0,0,L62/H62)</f>
        <v>-0.1282600104280481</v>
      </c>
      <c r="O62" s="14"/>
      <c r="P62" s="1">
        <f>SUM(OSRRefP22_12x_0)</f>
        <v>15956.92</v>
      </c>
      <c r="Q62" s="1"/>
      <c r="R62" s="5">
        <f t="shared" ref="R62:R65" si="40">IF(P$12=0,0,P62/P$12)</f>
        <v>3.8005364077827147E-2</v>
      </c>
      <c r="S62" s="1"/>
      <c r="T62" s="1">
        <f>SUM(OSRRefT22_12x_0)</f>
        <v>25909.300000000003</v>
      </c>
      <c r="U62" s="1"/>
      <c r="V62" s="5">
        <f t="shared" ref="V62:V65" si="41">IF(T$12=0,0,T62/T$12)</f>
        <v>1.6596256432912574E-2</v>
      </c>
      <c r="W62" s="1"/>
      <c r="X62" s="1">
        <f t="shared" ref="X62:X65" si="42">+P62-T62</f>
        <v>-9952.3800000000028</v>
      </c>
      <c r="Y62" s="1"/>
      <c r="Z62" s="5">
        <f t="shared" ref="Z62:Z65" si="43">IF(T62=0,0,X62/T62)</f>
        <v>-0.38412384742158229</v>
      </c>
    </row>
    <row r="63" spans="1:26" s="24" customFormat="1" hidden="1" outlineLevel="2" x14ac:dyDescent="0.25">
      <c r="A63" s="28"/>
      <c r="B63" s="11" t="str">
        <f>CONCATENATE("          ", "6282", " - ", "JANITORIAL/EXTERMINATOR EXPENS")</f>
        <v xml:space="preserve">          6282 - JANITORIAL/EXTERMINATOR EXPENS</v>
      </c>
      <c r="C63" s="11"/>
      <c r="D63" s="6"/>
      <c r="E63" s="2"/>
      <c r="F63" s="7">
        <f t="shared" si="36"/>
        <v>0</v>
      </c>
      <c r="G63" s="2"/>
      <c r="H63" s="6">
        <v>421.34</v>
      </c>
      <c r="I63" s="2"/>
      <c r="J63" s="7">
        <f t="shared" si="37"/>
        <v>6.810191993623175E-4</v>
      </c>
      <c r="K63" s="2"/>
      <c r="L63" s="6">
        <f t="shared" si="38"/>
        <v>-421.34</v>
      </c>
      <c r="M63" s="2"/>
      <c r="N63" s="7">
        <f t="shared" si="39"/>
        <v>-1</v>
      </c>
      <c r="O63" s="11"/>
      <c r="P63" s="6">
        <v>842.68</v>
      </c>
      <c r="Q63" s="2"/>
      <c r="R63" s="7">
        <f t="shared" si="40"/>
        <v>2.0070514987292898E-3</v>
      </c>
      <c r="S63" s="2"/>
      <c r="T63" s="6">
        <v>1685.36</v>
      </c>
      <c r="U63" s="2"/>
      <c r="V63" s="7">
        <f t="shared" si="41"/>
        <v>1.0795608812964276E-3</v>
      </c>
      <c r="W63" s="2"/>
      <c r="X63" s="6">
        <f t="shared" si="42"/>
        <v>-842.68</v>
      </c>
      <c r="Y63" s="2"/>
      <c r="Z63" s="7">
        <f t="shared" si="43"/>
        <v>-0.5</v>
      </c>
    </row>
    <row r="64" spans="1:26" s="24" customFormat="1" hidden="1" outlineLevel="2" x14ac:dyDescent="0.25">
      <c r="A64" s="28"/>
      <c r="B64" s="11" t="str">
        <f>CONCATENATE("          ", "6285", " - ", "JANITORIAL SERVICES")</f>
        <v xml:space="preserve">          6285 - JANITORIAL SERVICES</v>
      </c>
      <c r="C64" s="11"/>
      <c r="D64" s="6">
        <v>4194.1000000000004</v>
      </c>
      <c r="E64" s="2"/>
      <c r="F64" s="7">
        <f t="shared" si="36"/>
        <v>2.2215807065030273E-2</v>
      </c>
      <c r="G64" s="2"/>
      <c r="H64" s="6">
        <v>3916.67</v>
      </c>
      <c r="I64" s="2"/>
      <c r="J64" s="7">
        <f t="shared" si="37"/>
        <v>6.3305821131779761E-3</v>
      </c>
      <c r="K64" s="2"/>
      <c r="L64" s="6">
        <f t="shared" si="38"/>
        <v>277.43000000000029</v>
      </c>
      <c r="M64" s="2"/>
      <c r="N64" s="7">
        <f t="shared" si="39"/>
        <v>7.0833131205845862E-2</v>
      </c>
      <c r="O64" s="11"/>
      <c r="P64" s="6">
        <v>11814.43</v>
      </c>
      <c r="Q64" s="2"/>
      <c r="R64" s="7">
        <f t="shared" si="40"/>
        <v>2.8138996342778142E-2</v>
      </c>
      <c r="S64" s="2"/>
      <c r="T64" s="6">
        <v>18321.18</v>
      </c>
      <c r="U64" s="2"/>
      <c r="V64" s="7">
        <f t="shared" si="41"/>
        <v>1.1735670258692793E-2</v>
      </c>
      <c r="W64" s="2"/>
      <c r="X64" s="6">
        <f t="shared" si="42"/>
        <v>-6506.75</v>
      </c>
      <c r="Y64" s="2"/>
      <c r="Z64" s="7">
        <f t="shared" si="43"/>
        <v>-0.35514906790938139</v>
      </c>
    </row>
    <row r="65" spans="1:26" s="24" customFormat="1" hidden="1" outlineLevel="2" x14ac:dyDescent="0.25">
      <c r="A65" s="28"/>
      <c r="B65" s="11" t="str">
        <f>CONCATENATE("          ", "6286", " - ", "LAUNDRY EXPENSE")</f>
        <v xml:space="preserve">          6286 - LAUNDRY EXPENSE</v>
      </c>
      <c r="C65" s="11"/>
      <c r="D65" s="6">
        <v>1055.71</v>
      </c>
      <c r="E65" s="2"/>
      <c r="F65" s="7">
        <f t="shared" si="36"/>
        <v>5.5920101277087122E-3</v>
      </c>
      <c r="G65" s="2"/>
      <c r="H65" s="6">
        <v>1684.21</v>
      </c>
      <c r="I65" s="2"/>
      <c r="J65" s="7">
        <f t="shared" si="37"/>
        <v>2.7222180323681795E-3</v>
      </c>
      <c r="K65" s="2"/>
      <c r="L65" s="6">
        <f t="shared" si="38"/>
        <v>-628.5</v>
      </c>
      <c r="M65" s="2"/>
      <c r="N65" s="7">
        <f t="shared" si="39"/>
        <v>-0.37317199161624737</v>
      </c>
      <c r="O65" s="11"/>
      <c r="P65" s="6">
        <v>3299.81</v>
      </c>
      <c r="Q65" s="2"/>
      <c r="R65" s="7">
        <f t="shared" si="40"/>
        <v>7.8593162363197154E-3</v>
      </c>
      <c r="S65" s="2"/>
      <c r="T65" s="6">
        <v>5902.76</v>
      </c>
      <c r="U65" s="2"/>
      <c r="V65" s="7">
        <f t="shared" si="41"/>
        <v>3.781025292923353E-3</v>
      </c>
      <c r="W65" s="2"/>
      <c r="X65" s="6">
        <f t="shared" si="42"/>
        <v>-2602.9500000000003</v>
      </c>
      <c r="Y65" s="2"/>
      <c r="Z65" s="7">
        <f t="shared" si="43"/>
        <v>-0.44097168104412177</v>
      </c>
    </row>
    <row r="66" spans="1:26" s="29" customFormat="1" outlineLevel="1" collapsed="1" x14ac:dyDescent="0.25">
      <c r="A66" s="27"/>
      <c r="B66" s="14" t="str">
        <f>CONCATENATE("     ","Supplies                                          ")</f>
        <v xml:space="preserve">     Supplies                                          </v>
      </c>
      <c r="C66" s="14"/>
      <c r="D66" s="1">
        <f>SUM(OSRRefD22_13x_0)</f>
        <v>19578.689999999999</v>
      </c>
      <c r="E66" s="1"/>
      <c r="F66" s="5">
        <f t="shared" ref="F66:F75" si="44">IF(D$12=0,0,D66/D$12)</f>
        <v>0.10370673079469672</v>
      </c>
      <c r="G66" s="1"/>
      <c r="H66" s="1">
        <f>SUM(OSRRefH22_13x_0)</f>
        <v>14345.55</v>
      </c>
      <c r="I66" s="1"/>
      <c r="J66" s="5">
        <f t="shared" ref="J66:J75" si="45">IF(H$12=0,0,H66/H$12)</f>
        <v>2.3186962964380532E-2</v>
      </c>
      <c r="K66" s="1"/>
      <c r="L66" s="1">
        <f t="shared" ref="L66:L75" si="46">+D66-H66</f>
        <v>5233.1399999999994</v>
      </c>
      <c r="M66" s="1"/>
      <c r="N66" s="5">
        <f t="shared" ref="N66:N75" si="47">IF(H66=0,0,L66/H66)</f>
        <v>0.36479186925562279</v>
      </c>
      <c r="O66" s="14"/>
      <c r="P66" s="1">
        <f>SUM(OSRRefP22_13x_0)</f>
        <v>41630.160000000003</v>
      </c>
      <c r="Q66" s="1"/>
      <c r="R66" s="5">
        <f t="shared" ref="R66:R75" si="48">IF(P$12=0,0,P66/P$12)</f>
        <v>9.9152554967888329E-2</v>
      </c>
      <c r="S66" s="1"/>
      <c r="T66" s="1">
        <f>SUM(OSRRefT22_13x_0)</f>
        <v>45064.480000000003</v>
      </c>
      <c r="U66" s="1"/>
      <c r="V66" s="5">
        <f t="shared" ref="V66:V75" si="49">IF(T$12=0,0,T66/T$12)</f>
        <v>2.8866147140056277E-2</v>
      </c>
      <c r="W66" s="1"/>
      <c r="X66" s="1">
        <f t="shared" ref="X66:X75" si="50">+P66-T66</f>
        <v>-3434.3199999999997</v>
      </c>
      <c r="Y66" s="1"/>
      <c r="Z66" s="5">
        <f t="shared" ref="Z66:Z75" si="51">IF(T66=0,0,X66/T66)</f>
        <v>-7.6209023159703598E-2</v>
      </c>
    </row>
    <row r="67" spans="1:26" s="24" customFormat="1" hidden="1" outlineLevel="2" x14ac:dyDescent="0.25">
      <c r="A67" s="28"/>
      <c r="B67" s="11" t="str">
        <f>CONCATENATE("          ", "6234", " - ", "EXPENDABLE SUPPLIES &amp; EQUIPMEN")</f>
        <v xml:space="preserve">          6234 - EXPENDABLE SUPPLIES &amp; EQUIPMEN</v>
      </c>
      <c r="C67" s="11"/>
      <c r="D67" s="6"/>
      <c r="E67" s="2"/>
      <c r="F67" s="7">
        <f t="shared" si="44"/>
        <v>0</v>
      </c>
      <c r="G67" s="2"/>
      <c r="H67" s="6">
        <v>100</v>
      </c>
      <c r="I67" s="2"/>
      <c r="J67" s="7">
        <f t="shared" si="45"/>
        <v>1.6163174618178135E-4</v>
      </c>
      <c r="K67" s="2"/>
      <c r="L67" s="6">
        <f t="shared" si="46"/>
        <v>-100</v>
      </c>
      <c r="M67" s="2"/>
      <c r="N67" s="7">
        <f t="shared" si="47"/>
        <v>-1</v>
      </c>
      <c r="O67" s="11"/>
      <c r="P67" s="6"/>
      <c r="Q67" s="2"/>
      <c r="R67" s="7">
        <f t="shared" si="48"/>
        <v>0</v>
      </c>
      <c r="S67" s="2"/>
      <c r="T67" s="6">
        <v>100</v>
      </c>
      <c r="U67" s="2"/>
      <c r="V67" s="7">
        <f t="shared" si="49"/>
        <v>6.4055209646391727E-5</v>
      </c>
      <c r="W67" s="2"/>
      <c r="X67" s="6">
        <f t="shared" si="50"/>
        <v>-100</v>
      </c>
      <c r="Y67" s="2"/>
      <c r="Z67" s="7">
        <f t="shared" si="51"/>
        <v>-1</v>
      </c>
    </row>
    <row r="68" spans="1:26" s="24" customFormat="1" hidden="1" outlineLevel="2" x14ac:dyDescent="0.25">
      <c r="A68" s="28"/>
      <c r="B68" s="11" t="str">
        <f>CONCATENATE("          ", "6235", " - ", "COVID-19 EXPENSES")</f>
        <v xml:space="preserve">          6235 - COVID-19 EXPENSES</v>
      </c>
      <c r="C68" s="11"/>
      <c r="D68" s="6">
        <v>13495.55</v>
      </c>
      <c r="E68" s="2"/>
      <c r="F68" s="7">
        <f t="shared" si="44"/>
        <v>7.1484832273066748E-2</v>
      </c>
      <c r="G68" s="2"/>
      <c r="H68" s="6"/>
      <c r="I68" s="2"/>
      <c r="J68" s="7">
        <f t="shared" si="45"/>
        <v>0</v>
      </c>
      <c r="K68" s="2"/>
      <c r="L68" s="6">
        <f t="shared" si="46"/>
        <v>13495.55</v>
      </c>
      <c r="M68" s="2"/>
      <c r="N68" s="7">
        <f t="shared" si="47"/>
        <v>0</v>
      </c>
      <c r="O68" s="11"/>
      <c r="P68" s="6">
        <v>24772.37</v>
      </c>
      <c r="Q68" s="2"/>
      <c r="R68" s="7">
        <f t="shared" si="48"/>
        <v>5.9001545468714688E-2</v>
      </c>
      <c r="S68" s="2"/>
      <c r="T68" s="6"/>
      <c r="U68" s="2"/>
      <c r="V68" s="7">
        <f t="shared" si="49"/>
        <v>0</v>
      </c>
      <c r="W68" s="2"/>
      <c r="X68" s="6">
        <f t="shared" si="50"/>
        <v>24772.37</v>
      </c>
      <c r="Y68" s="2"/>
      <c r="Z68" s="7">
        <f t="shared" si="51"/>
        <v>0</v>
      </c>
    </row>
    <row r="69" spans="1:26" s="24" customFormat="1" hidden="1" outlineLevel="2" x14ac:dyDescent="0.25">
      <c r="A69" s="28"/>
      <c r="B69" s="11" t="str">
        <f>CONCATENATE("          ", "6237", " - ", "JANITORIAL SUPPLIES")</f>
        <v xml:space="preserve">          6237 - JANITORIAL SUPPLIES</v>
      </c>
      <c r="C69" s="11"/>
      <c r="D69" s="6">
        <v>1798.45</v>
      </c>
      <c r="E69" s="2"/>
      <c r="F69" s="7">
        <f t="shared" si="44"/>
        <v>9.5262435841071257E-3</v>
      </c>
      <c r="G69" s="2"/>
      <c r="H69" s="6">
        <v>6851.72</v>
      </c>
      <c r="I69" s="2"/>
      <c r="J69" s="7">
        <f t="shared" si="45"/>
        <v>1.1074554679486349E-2</v>
      </c>
      <c r="K69" s="2"/>
      <c r="L69" s="6">
        <f t="shared" si="46"/>
        <v>-5053.2700000000004</v>
      </c>
      <c r="M69" s="2"/>
      <c r="N69" s="7">
        <f t="shared" si="47"/>
        <v>-0.73751846251744091</v>
      </c>
      <c r="O69" s="11"/>
      <c r="P69" s="6">
        <v>5341.17</v>
      </c>
      <c r="Q69" s="2"/>
      <c r="R69" s="7">
        <f t="shared" si="48"/>
        <v>1.2721321561527414E-2</v>
      </c>
      <c r="S69" s="2"/>
      <c r="T69" s="6">
        <v>17515.79</v>
      </c>
      <c r="U69" s="2"/>
      <c r="V69" s="7">
        <f t="shared" si="49"/>
        <v>1.1219776005721719E-2</v>
      </c>
      <c r="W69" s="2"/>
      <c r="X69" s="6">
        <f t="shared" si="50"/>
        <v>-12174.62</v>
      </c>
      <c r="Y69" s="2"/>
      <c r="Z69" s="7">
        <f t="shared" si="51"/>
        <v>-0.6950654238261591</v>
      </c>
    </row>
    <row r="70" spans="1:26" s="24" customFormat="1" hidden="1" outlineLevel="2" x14ac:dyDescent="0.25">
      <c r="A70" s="28"/>
      <c r="B70" s="11" t="str">
        <f>CONCATENATE("          ", "6239", " - ", "KITCHEN SUPPLIES")</f>
        <v xml:space="preserve">          6239 - KITCHEN SUPPLIES</v>
      </c>
      <c r="C70" s="11"/>
      <c r="D70" s="6">
        <v>1244.3599999999999</v>
      </c>
      <c r="E70" s="2"/>
      <c r="F70" s="7">
        <f t="shared" si="44"/>
        <v>6.5912738559979651E-3</v>
      </c>
      <c r="G70" s="2"/>
      <c r="H70" s="6">
        <v>3086.82</v>
      </c>
      <c r="I70" s="2"/>
      <c r="J70" s="7">
        <f t="shared" si="45"/>
        <v>4.9892810674884635E-3</v>
      </c>
      <c r="K70" s="2"/>
      <c r="L70" s="6">
        <f t="shared" si="46"/>
        <v>-1842.4600000000003</v>
      </c>
      <c r="M70" s="2"/>
      <c r="N70" s="7">
        <f t="shared" si="47"/>
        <v>-0.59687963664871946</v>
      </c>
      <c r="O70" s="11"/>
      <c r="P70" s="6">
        <v>3140.61</v>
      </c>
      <c r="Q70" s="2"/>
      <c r="R70" s="7">
        <f t="shared" si="48"/>
        <v>7.480141936944267E-3</v>
      </c>
      <c r="S70" s="2"/>
      <c r="T70" s="6">
        <v>13900.02</v>
      </c>
      <c r="U70" s="2"/>
      <c r="V70" s="7">
        <f t="shared" si="49"/>
        <v>8.90368695189038E-3</v>
      </c>
      <c r="W70" s="2"/>
      <c r="X70" s="6">
        <f t="shared" si="50"/>
        <v>-10759.41</v>
      </c>
      <c r="Y70" s="2"/>
      <c r="Z70" s="7">
        <f t="shared" si="51"/>
        <v>-0.77405715962998611</v>
      </c>
    </row>
    <row r="71" spans="1:26" s="24" customFormat="1" hidden="1" outlineLevel="2" x14ac:dyDescent="0.25">
      <c r="A71" s="28"/>
      <c r="B71" s="11" t="str">
        <f>CONCATENATE("          ", "6241", " - ", "OFFICE EXPENSE")</f>
        <v xml:space="preserve">          6241 - OFFICE EXPENSE</v>
      </c>
      <c r="C71" s="11"/>
      <c r="D71" s="6">
        <v>407.69</v>
      </c>
      <c r="E71" s="2"/>
      <c r="F71" s="7">
        <f t="shared" si="44"/>
        <v>2.1595008183739519E-3</v>
      </c>
      <c r="G71" s="2"/>
      <c r="H71" s="6">
        <v>328.89</v>
      </c>
      <c r="I71" s="2"/>
      <c r="J71" s="7">
        <f t="shared" si="45"/>
        <v>5.3159065001726069E-4</v>
      </c>
      <c r="K71" s="2"/>
      <c r="L71" s="6">
        <f t="shared" si="46"/>
        <v>78.800000000000011</v>
      </c>
      <c r="M71" s="2"/>
      <c r="N71" s="7">
        <f t="shared" si="47"/>
        <v>0.23959378515613128</v>
      </c>
      <c r="O71" s="11"/>
      <c r="P71" s="6">
        <v>1278.07</v>
      </c>
      <c r="Q71" s="2"/>
      <c r="R71" s="7">
        <f t="shared" si="48"/>
        <v>3.0440408090626849E-3</v>
      </c>
      <c r="S71" s="2"/>
      <c r="T71" s="6">
        <v>1309.46</v>
      </c>
      <c r="U71" s="2"/>
      <c r="V71" s="7">
        <f t="shared" si="49"/>
        <v>8.3877734823564125E-4</v>
      </c>
      <c r="W71" s="2"/>
      <c r="X71" s="6">
        <f t="shared" si="50"/>
        <v>-31.3900000000001</v>
      </c>
      <c r="Y71" s="2"/>
      <c r="Z71" s="7">
        <f t="shared" si="51"/>
        <v>-2.3971713530768483E-2</v>
      </c>
    </row>
    <row r="72" spans="1:26" s="24" customFormat="1" hidden="1" outlineLevel="2" x14ac:dyDescent="0.25">
      <c r="A72" s="28"/>
      <c r="B72" s="11" t="str">
        <f>CONCATENATE("          ", "6243", " - ", "PAPER SUPPLIES")</f>
        <v xml:space="preserve">          6243 - PAPER SUPPLIES</v>
      </c>
      <c r="C72" s="11"/>
      <c r="D72" s="6">
        <v>2632.64</v>
      </c>
      <c r="E72" s="2"/>
      <c r="F72" s="7">
        <f t="shared" si="44"/>
        <v>1.3944880263150924E-2</v>
      </c>
      <c r="G72" s="2"/>
      <c r="H72" s="6">
        <v>3978.12</v>
      </c>
      <c r="I72" s="2"/>
      <c r="J72" s="7">
        <f t="shared" si="45"/>
        <v>6.4299048212066801E-3</v>
      </c>
      <c r="K72" s="2"/>
      <c r="L72" s="6">
        <f t="shared" si="46"/>
        <v>-1345.48</v>
      </c>
      <c r="M72" s="2"/>
      <c r="N72" s="7">
        <f t="shared" si="47"/>
        <v>-0.33822006374870545</v>
      </c>
      <c r="O72" s="11"/>
      <c r="P72" s="6">
        <v>3283.26</v>
      </c>
      <c r="Q72" s="2"/>
      <c r="R72" s="7">
        <f t="shared" si="48"/>
        <v>7.8198983050718276E-3</v>
      </c>
      <c r="S72" s="2"/>
      <c r="T72" s="6">
        <v>10376.49</v>
      </c>
      <c r="U72" s="2"/>
      <c r="V72" s="7">
        <f t="shared" si="49"/>
        <v>6.6466824234368733E-3</v>
      </c>
      <c r="W72" s="2"/>
      <c r="X72" s="6">
        <f t="shared" si="50"/>
        <v>-7093.23</v>
      </c>
      <c r="Y72" s="2"/>
      <c r="Z72" s="7">
        <f t="shared" si="51"/>
        <v>-0.6835866463515119</v>
      </c>
    </row>
    <row r="73" spans="1:26" s="24" customFormat="1" hidden="1" outlineLevel="2" x14ac:dyDescent="0.25">
      <c r="A73" s="28"/>
      <c r="B73" s="11" t="str">
        <f>CONCATENATE("          ", "6245", " - ", "PRINTING")</f>
        <v xml:space="preserve">          6245 - PRINTING</v>
      </c>
      <c r="C73" s="11"/>
      <c r="D73" s="6"/>
      <c r="E73" s="2"/>
      <c r="F73" s="7">
        <f t="shared" si="44"/>
        <v>0</v>
      </c>
      <c r="G73" s="2"/>
      <c r="H73" s="6"/>
      <c r="I73" s="2"/>
      <c r="J73" s="7">
        <f t="shared" si="45"/>
        <v>0</v>
      </c>
      <c r="K73" s="2"/>
      <c r="L73" s="6">
        <f t="shared" si="46"/>
        <v>0</v>
      </c>
      <c r="M73" s="2"/>
      <c r="N73" s="7">
        <f t="shared" si="47"/>
        <v>0</v>
      </c>
      <c r="O73" s="11"/>
      <c r="P73" s="6"/>
      <c r="Q73" s="2"/>
      <c r="R73" s="7">
        <f t="shared" si="48"/>
        <v>0</v>
      </c>
      <c r="S73" s="2"/>
      <c r="T73" s="6">
        <v>441</v>
      </c>
      <c r="U73" s="2"/>
      <c r="V73" s="7">
        <f t="shared" si="49"/>
        <v>2.8248347454058753E-4</v>
      </c>
      <c r="W73" s="2"/>
      <c r="X73" s="6">
        <f t="shared" si="50"/>
        <v>-441</v>
      </c>
      <c r="Y73" s="2"/>
      <c r="Z73" s="7">
        <f t="shared" si="51"/>
        <v>-1</v>
      </c>
    </row>
    <row r="74" spans="1:26" s="24" customFormat="1" hidden="1" outlineLevel="2" x14ac:dyDescent="0.25">
      <c r="A74" s="28"/>
      <c r="B74" s="11" t="str">
        <f>CONCATENATE("          ", "6247", " - ", "STORE SUPPLIES")</f>
        <v xml:space="preserve">          6247 - STORE SUPPLIES</v>
      </c>
      <c r="C74" s="11"/>
      <c r="D74" s="6"/>
      <c r="E74" s="2"/>
      <c r="F74" s="7">
        <f t="shared" si="44"/>
        <v>0</v>
      </c>
      <c r="G74" s="2"/>
      <c r="H74" s="6"/>
      <c r="I74" s="2"/>
      <c r="J74" s="7">
        <f t="shared" si="45"/>
        <v>0</v>
      </c>
      <c r="K74" s="2"/>
      <c r="L74" s="6">
        <f t="shared" si="46"/>
        <v>0</v>
      </c>
      <c r="M74" s="2"/>
      <c r="N74" s="7">
        <f t="shared" si="47"/>
        <v>0</v>
      </c>
      <c r="O74" s="11"/>
      <c r="P74" s="6"/>
      <c r="Q74" s="2"/>
      <c r="R74" s="7">
        <f t="shared" si="48"/>
        <v>0</v>
      </c>
      <c r="S74" s="2"/>
      <c r="T74" s="6">
        <v>153.87</v>
      </c>
      <c r="U74" s="2"/>
      <c r="V74" s="7">
        <f t="shared" si="49"/>
        <v>9.8561751082902965E-5</v>
      </c>
      <c r="W74" s="2"/>
      <c r="X74" s="6">
        <f t="shared" si="50"/>
        <v>-153.87</v>
      </c>
      <c r="Y74" s="2"/>
      <c r="Z74" s="7">
        <f t="shared" si="51"/>
        <v>-1</v>
      </c>
    </row>
    <row r="75" spans="1:26" s="24" customFormat="1" hidden="1" outlineLevel="2" x14ac:dyDescent="0.25">
      <c r="A75" s="28"/>
      <c r="B75" s="11" t="str">
        <f>CONCATENATE("          ", "6248", " - ", "UNIFORMS")</f>
        <v xml:space="preserve">          6248 - UNIFORMS</v>
      </c>
      <c r="C75" s="11"/>
      <c r="D75" s="6"/>
      <c r="E75" s="2"/>
      <c r="F75" s="7">
        <f t="shared" si="44"/>
        <v>0</v>
      </c>
      <c r="G75" s="2"/>
      <c r="H75" s="6"/>
      <c r="I75" s="2"/>
      <c r="J75" s="7">
        <f t="shared" si="45"/>
        <v>0</v>
      </c>
      <c r="K75" s="2"/>
      <c r="L75" s="6">
        <f t="shared" si="46"/>
        <v>0</v>
      </c>
      <c r="M75" s="2"/>
      <c r="N75" s="7">
        <f t="shared" si="47"/>
        <v>0</v>
      </c>
      <c r="O75" s="11"/>
      <c r="P75" s="6">
        <v>3814.68</v>
      </c>
      <c r="Q75" s="2"/>
      <c r="R75" s="7">
        <f t="shared" si="48"/>
        <v>9.0856068865674353E-3</v>
      </c>
      <c r="S75" s="2"/>
      <c r="T75" s="6">
        <v>1267.8499999999999</v>
      </c>
      <c r="U75" s="2"/>
      <c r="V75" s="7">
        <f t="shared" si="49"/>
        <v>8.1212397550177754E-4</v>
      </c>
      <c r="W75" s="2"/>
      <c r="X75" s="6">
        <f t="shared" si="50"/>
        <v>2546.83</v>
      </c>
      <c r="Y75" s="2"/>
      <c r="Z75" s="7">
        <f t="shared" si="51"/>
        <v>2.0087786410064283</v>
      </c>
    </row>
    <row r="76" spans="1:26" s="29" customFormat="1" outlineLevel="1" collapsed="1" x14ac:dyDescent="0.25">
      <c r="A76" s="27"/>
      <c r="B76" s="14" t="str">
        <f>CONCATENATE("     ","Telephone/Data Lines                              ")</f>
        <v xml:space="preserve">     Telephone/Data Lines                              </v>
      </c>
      <c r="C76" s="14"/>
      <c r="D76" s="1">
        <f>SUM(OSRRefD22_14x_0)</f>
        <v>259</v>
      </c>
      <c r="E76" s="1"/>
      <c r="F76" s="5">
        <f t="shared" ref="F76:F81" si="52">IF(D$12=0,0,D76/D$12)</f>
        <v>1.3719019646271763E-3</v>
      </c>
      <c r="G76" s="1"/>
      <c r="H76" s="1">
        <f>SUM(OSRRefH22_14x_0)</f>
        <v>312</v>
      </c>
      <c r="I76" s="1"/>
      <c r="J76" s="5">
        <f t="shared" ref="J76:J81" si="53">IF(H$12=0,0,H76/H$12)</f>
        <v>5.0429104808715776E-4</v>
      </c>
      <c r="K76" s="1"/>
      <c r="L76" s="1">
        <f t="shared" ref="L76:L81" si="54">+D76-H76</f>
        <v>-53</v>
      </c>
      <c r="M76" s="1"/>
      <c r="N76" s="5">
        <f t="shared" ref="N76:N81" si="55">IF(H76=0,0,L76/H76)</f>
        <v>-0.16987179487179488</v>
      </c>
      <c r="O76" s="14"/>
      <c r="P76" s="1">
        <f>SUM(OSRRefP22_14x_0)</f>
        <v>1187</v>
      </c>
      <c r="Q76" s="1"/>
      <c r="R76" s="5">
        <f t="shared" ref="R76:R81" si="56">IF(P$12=0,0,P76/P$12)</f>
        <v>2.8271350085342798E-3</v>
      </c>
      <c r="S76" s="1"/>
      <c r="T76" s="1">
        <f>SUM(OSRRefT22_14x_0)</f>
        <v>1342.45</v>
      </c>
      <c r="U76" s="1"/>
      <c r="V76" s="5">
        <f t="shared" ref="V76:V81" si="57">IF(T$12=0,0,T76/T$12)</f>
        <v>8.5990916189798586E-4</v>
      </c>
      <c r="W76" s="1"/>
      <c r="X76" s="1">
        <f t="shared" ref="X76:X81" si="58">+P76-T76</f>
        <v>-155.45000000000005</v>
      </c>
      <c r="Y76" s="1"/>
      <c r="Z76" s="5">
        <f t="shared" ref="Z76:Z81" si="59">IF(T76=0,0,X76/T76)</f>
        <v>-0.11579574658274054</v>
      </c>
    </row>
    <row r="77" spans="1:26" s="24" customFormat="1" hidden="1" outlineLevel="2" x14ac:dyDescent="0.25">
      <c r="A77" s="28"/>
      <c r="B77" s="11" t="str">
        <f>CONCATENATE("          ", "6309", " - ", "TELEPHONE")</f>
        <v xml:space="preserve">          6309 - TELEPHONE</v>
      </c>
      <c r="C77" s="11"/>
      <c r="D77" s="6">
        <v>259</v>
      </c>
      <c r="E77" s="2"/>
      <c r="F77" s="7">
        <f t="shared" si="52"/>
        <v>1.3719019646271763E-3</v>
      </c>
      <c r="G77" s="2"/>
      <c r="H77" s="6">
        <v>312</v>
      </c>
      <c r="I77" s="2"/>
      <c r="J77" s="7">
        <f t="shared" si="53"/>
        <v>5.0429104808715776E-4</v>
      </c>
      <c r="K77" s="2"/>
      <c r="L77" s="6">
        <f t="shared" si="54"/>
        <v>-53</v>
      </c>
      <c r="M77" s="2"/>
      <c r="N77" s="7">
        <f t="shared" si="55"/>
        <v>-0.16987179487179488</v>
      </c>
      <c r="O77" s="11"/>
      <c r="P77" s="6">
        <v>1187</v>
      </c>
      <c r="Q77" s="2"/>
      <c r="R77" s="7">
        <f t="shared" si="56"/>
        <v>2.8271350085342798E-3</v>
      </c>
      <c r="S77" s="2"/>
      <c r="T77" s="6">
        <v>1342.45</v>
      </c>
      <c r="U77" s="2"/>
      <c r="V77" s="7">
        <f t="shared" si="57"/>
        <v>8.5990916189798586E-4</v>
      </c>
      <c r="W77" s="2"/>
      <c r="X77" s="6">
        <f t="shared" si="58"/>
        <v>-155.45000000000005</v>
      </c>
      <c r="Y77" s="2"/>
      <c r="Z77" s="7">
        <f t="shared" si="59"/>
        <v>-0.11579574658274054</v>
      </c>
    </row>
    <row r="78" spans="1:26" s="29" customFormat="1" outlineLevel="1" collapsed="1" x14ac:dyDescent="0.25">
      <c r="A78" s="27"/>
      <c r="B78" s="14" t="str">
        <f>CONCATENATE("     ","Training                                          ")</f>
        <v xml:space="preserve">     Training                                          </v>
      </c>
      <c r="C78" s="14"/>
      <c r="D78" s="1">
        <f>SUM(OSRRefD22_15x_0)</f>
        <v>385</v>
      </c>
      <c r="E78" s="1"/>
      <c r="F78" s="5">
        <f t="shared" si="52"/>
        <v>2.0393137312025595E-3</v>
      </c>
      <c r="G78" s="1"/>
      <c r="H78" s="1">
        <f>SUM(OSRRefH22_15x_0)</f>
        <v>48</v>
      </c>
      <c r="I78" s="1"/>
      <c r="J78" s="5">
        <f t="shared" si="53"/>
        <v>7.7583238167255048E-5</v>
      </c>
      <c r="K78" s="1"/>
      <c r="L78" s="1">
        <f t="shared" si="54"/>
        <v>337</v>
      </c>
      <c r="M78" s="1"/>
      <c r="N78" s="5">
        <f t="shared" si="55"/>
        <v>7.020833333333333</v>
      </c>
      <c r="O78" s="14"/>
      <c r="P78" s="1">
        <f>SUM(OSRRefP22_15x_0)</f>
        <v>735</v>
      </c>
      <c r="Q78" s="1"/>
      <c r="R78" s="5">
        <f t="shared" si="56"/>
        <v>1.750584862066298E-3</v>
      </c>
      <c r="S78" s="1"/>
      <c r="T78" s="1">
        <f>SUM(OSRRefT22_15x_0)</f>
        <v>638</v>
      </c>
      <c r="U78" s="1"/>
      <c r="V78" s="5">
        <f t="shared" si="57"/>
        <v>4.0867223754397929E-4</v>
      </c>
      <c r="W78" s="1"/>
      <c r="X78" s="1">
        <f t="shared" si="58"/>
        <v>97</v>
      </c>
      <c r="Y78" s="1"/>
      <c r="Z78" s="5">
        <f t="shared" si="59"/>
        <v>0.15203761755485892</v>
      </c>
    </row>
    <row r="79" spans="1:26" s="24" customFormat="1" hidden="1" outlineLevel="2" x14ac:dyDescent="0.25">
      <c r="A79" s="28"/>
      <c r="B79" s="11" t="str">
        <f>CONCATENATE("          ", "6376", " - ", "TRAINING")</f>
        <v xml:space="preserve">          6376 - TRAINING</v>
      </c>
      <c r="C79" s="11"/>
      <c r="D79" s="6">
        <v>385</v>
      </c>
      <c r="E79" s="2"/>
      <c r="F79" s="7">
        <f t="shared" si="52"/>
        <v>2.0393137312025595E-3</v>
      </c>
      <c r="G79" s="2"/>
      <c r="H79" s="6">
        <v>48</v>
      </c>
      <c r="I79" s="2"/>
      <c r="J79" s="7">
        <f t="shared" si="53"/>
        <v>7.7583238167255048E-5</v>
      </c>
      <c r="K79" s="2"/>
      <c r="L79" s="6">
        <f t="shared" si="54"/>
        <v>337</v>
      </c>
      <c r="M79" s="2"/>
      <c r="N79" s="7">
        <f t="shared" si="55"/>
        <v>7.020833333333333</v>
      </c>
      <c r="O79" s="11"/>
      <c r="P79" s="6">
        <v>735</v>
      </c>
      <c r="Q79" s="2"/>
      <c r="R79" s="7">
        <f t="shared" si="56"/>
        <v>1.750584862066298E-3</v>
      </c>
      <c r="S79" s="2"/>
      <c r="T79" s="6">
        <v>638</v>
      </c>
      <c r="U79" s="2"/>
      <c r="V79" s="7">
        <f t="shared" si="57"/>
        <v>4.0867223754397929E-4</v>
      </c>
      <c r="W79" s="2"/>
      <c r="X79" s="6">
        <f t="shared" si="58"/>
        <v>97</v>
      </c>
      <c r="Y79" s="2"/>
      <c r="Z79" s="7">
        <f t="shared" si="59"/>
        <v>0.15203761755485892</v>
      </c>
    </row>
    <row r="80" spans="1:26" s="29" customFormat="1" outlineLevel="1" collapsed="1" x14ac:dyDescent="0.25">
      <c r="A80" s="27"/>
      <c r="B80" s="14" t="str">
        <f>CONCATENATE("     ","Travel                                            ")</f>
        <v xml:space="preserve">     Travel                                            </v>
      </c>
      <c r="C80" s="14"/>
      <c r="D80" s="1">
        <f>SUM(OSRRefD22_16x_0)</f>
        <v>0</v>
      </c>
      <c r="E80" s="1"/>
      <c r="F80" s="5">
        <f t="shared" si="52"/>
        <v>0</v>
      </c>
      <c r="G80" s="1"/>
      <c r="H80" s="1">
        <f>SUM(OSRRefH22_16x_0)</f>
        <v>267.27999999999997</v>
      </c>
      <c r="I80" s="1"/>
      <c r="J80" s="5">
        <f t="shared" si="53"/>
        <v>4.3200933119466513E-4</v>
      </c>
      <c r="K80" s="1"/>
      <c r="L80" s="1">
        <f t="shared" si="54"/>
        <v>-267.27999999999997</v>
      </c>
      <c r="M80" s="1"/>
      <c r="N80" s="5">
        <f t="shared" si="55"/>
        <v>-1</v>
      </c>
      <c r="O80" s="14"/>
      <c r="P80" s="1">
        <f>SUM(OSRRefP22_16x_0)</f>
        <v>0</v>
      </c>
      <c r="Q80" s="1"/>
      <c r="R80" s="5">
        <f t="shared" si="56"/>
        <v>0</v>
      </c>
      <c r="S80" s="1"/>
      <c r="T80" s="1">
        <f>SUM(OSRRefT22_16x_0)</f>
        <v>326.42</v>
      </c>
      <c r="U80" s="1"/>
      <c r="V80" s="5">
        <f t="shared" si="57"/>
        <v>2.090890153277519E-4</v>
      </c>
      <c r="W80" s="1"/>
      <c r="X80" s="1">
        <f t="shared" si="58"/>
        <v>-326.42</v>
      </c>
      <c r="Y80" s="1"/>
      <c r="Z80" s="5">
        <f t="shared" si="59"/>
        <v>-1</v>
      </c>
    </row>
    <row r="81" spans="1:26" s="24" customFormat="1" hidden="1" outlineLevel="2" x14ac:dyDescent="0.25">
      <c r="A81" s="28"/>
      <c r="B81" s="11" t="str">
        <f>CONCATENATE("          ", "6292", " - ", "TRAVEL/CONFERENCE")</f>
        <v xml:space="preserve">          6292 - TRAVEL/CONFERENCE</v>
      </c>
      <c r="C81" s="11"/>
      <c r="D81" s="6"/>
      <c r="E81" s="2"/>
      <c r="F81" s="7">
        <f t="shared" si="52"/>
        <v>0</v>
      </c>
      <c r="G81" s="2"/>
      <c r="H81" s="6">
        <v>267.27999999999997</v>
      </c>
      <c r="I81" s="2"/>
      <c r="J81" s="7">
        <f t="shared" si="53"/>
        <v>4.3200933119466513E-4</v>
      </c>
      <c r="K81" s="2"/>
      <c r="L81" s="6">
        <f t="shared" si="54"/>
        <v>-267.27999999999997</v>
      </c>
      <c r="M81" s="2"/>
      <c r="N81" s="7">
        <f t="shared" si="55"/>
        <v>-1</v>
      </c>
      <c r="O81" s="11"/>
      <c r="P81" s="6"/>
      <c r="Q81" s="2"/>
      <c r="R81" s="7">
        <f t="shared" si="56"/>
        <v>0</v>
      </c>
      <c r="S81" s="2"/>
      <c r="T81" s="6">
        <v>326.42</v>
      </c>
      <c r="U81" s="2"/>
      <c r="V81" s="7">
        <f t="shared" si="57"/>
        <v>2.090890153277519E-4</v>
      </c>
      <c r="W81" s="2"/>
      <c r="X81" s="6">
        <f t="shared" si="58"/>
        <v>-326.42</v>
      </c>
      <c r="Y81" s="2"/>
      <c r="Z81" s="7">
        <f t="shared" si="59"/>
        <v>-1</v>
      </c>
    </row>
    <row r="82" spans="1:26" s="57" customFormat="1" x14ac:dyDescent="0.25">
      <c r="A82" s="37"/>
      <c r="B82" s="37"/>
      <c r="C82" s="37"/>
      <c r="D82" s="1"/>
      <c r="E82" s="1"/>
      <c r="F82" s="5"/>
      <c r="G82" s="1"/>
      <c r="H82" s="1"/>
      <c r="I82" s="1"/>
      <c r="J82" s="5"/>
      <c r="K82" s="1"/>
      <c r="L82" s="1"/>
      <c r="M82" s="1"/>
      <c r="N82" s="5"/>
      <c r="O82" s="37"/>
      <c r="P82" s="1"/>
      <c r="Q82" s="1"/>
      <c r="R82" s="5"/>
      <c r="S82" s="1"/>
      <c r="T82" s="1"/>
      <c r="U82" s="1"/>
      <c r="V82" s="5"/>
      <c r="W82" s="1"/>
      <c r="X82" s="1"/>
      <c r="Y82" s="1"/>
      <c r="Z82" s="5"/>
    </row>
    <row r="83" spans="1:26" s="23" customFormat="1" x14ac:dyDescent="0.25">
      <c r="A83" s="10"/>
      <c r="B83" s="26" t="s">
        <v>0</v>
      </c>
      <c r="C83" s="10"/>
      <c r="D83" s="4">
        <f>SUM(0)</f>
        <v>0</v>
      </c>
      <c r="E83" s="4"/>
      <c r="F83" s="12">
        <f>IF(D$12=0,0,D83/D$12)</f>
        <v>0</v>
      </c>
      <c r="G83" s="4"/>
      <c r="H83" s="4">
        <f>SUM(0)</f>
        <v>0</v>
      </c>
      <c r="I83" s="4"/>
      <c r="J83" s="12">
        <f>IF(H$12=0,0,H83/H$12)</f>
        <v>0</v>
      </c>
      <c r="K83" s="4"/>
      <c r="L83" s="4">
        <f>+D83-H83</f>
        <v>0</v>
      </c>
      <c r="M83" s="4"/>
      <c r="N83" s="12">
        <f>IF(H83=0,0,L83/H83)</f>
        <v>0</v>
      </c>
      <c r="O83" s="10"/>
      <c r="P83" s="4">
        <f>SUM(0)</f>
        <v>0</v>
      </c>
      <c r="Q83" s="4"/>
      <c r="R83" s="12">
        <f>IF(P$12=0,0,P83/P$12)</f>
        <v>0</v>
      </c>
      <c r="S83" s="4"/>
      <c r="T83" s="4">
        <f>SUM(0)</f>
        <v>0</v>
      </c>
      <c r="U83" s="4"/>
      <c r="V83" s="12">
        <f>IF(T$12=0,0,T83/T$12)</f>
        <v>0</v>
      </c>
      <c r="W83" s="4"/>
      <c r="X83" s="4">
        <f>+P83-T83</f>
        <v>0</v>
      </c>
      <c r="Y83" s="4"/>
      <c r="Z83" s="12">
        <f>IF(T83=0,0,X83/T83)</f>
        <v>0</v>
      </c>
    </row>
    <row r="84" spans="1:26" x14ac:dyDescent="0.25">
      <c r="A84" s="9"/>
      <c r="B84" s="10"/>
      <c r="C84" s="10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O84" s="10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x14ac:dyDescent="0.25">
      <c r="A85" s="10"/>
      <c r="B85" s="25" t="s">
        <v>3</v>
      </c>
      <c r="C85" s="25"/>
      <c r="D85" s="20">
        <f>+D21-D23+D83</f>
        <v>-48503.710000000021</v>
      </c>
      <c r="E85" s="13"/>
      <c r="F85" s="21">
        <f>IF(D$12=0,0,D85/D$12)</f>
        <v>-0.25692021251238167</v>
      </c>
      <c r="G85" s="13"/>
      <c r="H85" s="20">
        <f>+H21-H23+H83</f>
        <v>218103.56999999992</v>
      </c>
      <c r="I85" s="13"/>
      <c r="J85" s="21">
        <f>IF(H$12=0,0,H85/H$12)</f>
        <v>0.35252460867580371</v>
      </c>
      <c r="K85" s="15"/>
      <c r="L85" s="20">
        <f>+D85-H85</f>
        <v>-266607.27999999991</v>
      </c>
      <c r="M85" s="15"/>
      <c r="N85" s="21">
        <f>IF(H85=0,0,L85/H85)</f>
        <v>-1.2223884276630594</v>
      </c>
      <c r="O85" s="26"/>
      <c r="P85" s="20">
        <f>+P21-P23+P83</f>
        <v>-187209.38000000006</v>
      </c>
      <c r="Q85" s="13"/>
      <c r="R85" s="21">
        <f>IF(P$12=0,0,P85/P$12)</f>
        <v>-0.44588558729907113</v>
      </c>
      <c r="S85" s="13"/>
      <c r="T85" s="20">
        <f>+T21-T23+T83</f>
        <v>407734.52000000025</v>
      </c>
      <c r="U85" s="13"/>
      <c r="V85" s="21">
        <f>IF(T$12=0,0,T85/T$12)</f>
        <v>0.2611752015867092</v>
      </c>
      <c r="W85" s="15"/>
      <c r="X85" s="20">
        <f>+P85-T85</f>
        <v>-594943.90000000037</v>
      </c>
      <c r="Y85" s="15"/>
      <c r="Z85" s="21">
        <f>IF(T85=0,0,X85/T85)</f>
        <v>-1.459145279138985</v>
      </c>
    </row>
    <row r="86" spans="1:26" x14ac:dyDescent="0.25">
      <c r="A86" s="9"/>
      <c r="B86" s="10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x14ac:dyDescent="0.25">
      <c r="A87" s="51"/>
      <c r="B87" s="10" t="s">
        <v>13</v>
      </c>
      <c r="C87" s="10"/>
      <c r="D87" s="4">
        <v>48143.64</v>
      </c>
      <c r="E87" s="4"/>
      <c r="F87" s="12">
        <f>IF(D$12=0,0,D87/D$12)</f>
        <v>0.25501295096642285</v>
      </c>
      <c r="G87" s="4"/>
      <c r="H87" s="4">
        <v>55916.68</v>
      </c>
      <c r="I87" s="4"/>
      <c r="J87" s="12">
        <f>IF(H$12=0,0,H87/H$12)</f>
        <v>9.0379106290878891E-2</v>
      </c>
      <c r="K87" s="4"/>
      <c r="L87" s="4">
        <f>+D87-H87</f>
        <v>-7773.0400000000009</v>
      </c>
      <c r="M87" s="4"/>
      <c r="N87" s="12">
        <f>IF(H87=0,0,L87/H87)</f>
        <v>-0.13901111439377303</v>
      </c>
      <c r="O87" s="10"/>
      <c r="P87" s="4">
        <v>90950.64</v>
      </c>
      <c r="Q87" s="4"/>
      <c r="R87" s="12">
        <f>IF(P$12=0,0,P87/P$12)</f>
        <v>0.21662151507379798</v>
      </c>
      <c r="S87" s="4"/>
      <c r="T87" s="4">
        <v>157149.69</v>
      </c>
      <c r="U87" s="4"/>
      <c r="V87" s="12">
        <f>IF(T$12=0,0,T87/T$12)</f>
        <v>0.10066256338815471</v>
      </c>
      <c r="W87" s="4"/>
      <c r="X87" s="4">
        <f>+P87-T87</f>
        <v>-66199.05</v>
      </c>
      <c r="Y87" s="4"/>
      <c r="Z87" s="12">
        <f>IF(T87=0,0,X87/T87)</f>
        <v>-0.42124836517335795</v>
      </c>
    </row>
    <row r="88" spans="1:26" x14ac:dyDescent="0.25">
      <c r="A88" s="9"/>
      <c r="B88" s="10"/>
      <c r="C88" s="10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O88" s="10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ht="15.75" thickBot="1" x14ac:dyDescent="0.3">
      <c r="A89" s="10"/>
      <c r="B89" s="25" t="s">
        <v>4</v>
      </c>
      <c r="C89" s="25"/>
      <c r="D89" s="30">
        <f>+D85-D87</f>
        <v>-96647.35000000002</v>
      </c>
      <c r="E89" s="13"/>
      <c r="F89" s="33">
        <f>IF(D$12=0,0,D89/D$12)</f>
        <v>-0.51193316347880446</v>
      </c>
      <c r="G89" s="13"/>
      <c r="H89" s="30">
        <f>+H85-H87</f>
        <v>162186.88999999993</v>
      </c>
      <c r="I89" s="13"/>
      <c r="J89" s="33">
        <f>IF(H$12=0,0,H89/H$12)</f>
        <v>0.26214550238492479</v>
      </c>
      <c r="K89" s="15"/>
      <c r="L89" s="30">
        <f>D89-H89</f>
        <v>-258834.23999999993</v>
      </c>
      <c r="M89" s="15"/>
      <c r="N89" s="33">
        <f>IF(H89=0,0,L89/H89)</f>
        <v>-1.5959011236974829</v>
      </c>
      <c r="O89" s="26"/>
      <c r="P89" s="30">
        <f>+P85-P87</f>
        <v>-278160.02000000008</v>
      </c>
      <c r="Q89" s="13"/>
      <c r="R89" s="33">
        <f>IF(P$12=0,0,P89/P$12)</f>
        <v>-0.66250710237286914</v>
      </c>
      <c r="S89" s="13"/>
      <c r="T89" s="30">
        <f>+T85-T87</f>
        <v>250584.83000000025</v>
      </c>
      <c r="U89" s="13"/>
      <c r="V89" s="33">
        <f>IF(T$12=0,0,T89/T$12)</f>
        <v>0.16051263819855449</v>
      </c>
      <c r="W89" s="15"/>
      <c r="X89" s="30">
        <f>P89-T89</f>
        <v>-528744.85000000033</v>
      </c>
      <c r="Y89" s="15"/>
      <c r="Z89" s="33">
        <f>IF(T89=0,0,X89/T89)</f>
        <v>-2.1100433334292417</v>
      </c>
    </row>
    <row r="90" spans="1:26" ht="15.75" thickTop="1" x14ac:dyDescent="0.25">
      <c r="A90" s="9"/>
      <c r="B90" s="9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ht="15.75" thickBot="1" x14ac:dyDescent="0.3">
      <c r="A92" s="10"/>
      <c r="B92" s="25" t="s">
        <v>5</v>
      </c>
      <c r="C92" s="25"/>
      <c r="D92" s="34">
        <f>SUM(D89:D91)</f>
        <v>-96647.35000000002</v>
      </c>
      <c r="E92" s="13"/>
      <c r="F92" s="35">
        <f>IF(D$12=0,0,D92/D$12)</f>
        <v>-0.51193316347880446</v>
      </c>
      <c r="G92" s="13"/>
      <c r="H92" s="34">
        <f>SUM(H89:H91)</f>
        <v>162186.88999999993</v>
      </c>
      <c r="I92" s="13"/>
      <c r="J92" s="35">
        <f>IF(H$12=0,0,H92/H$12)</f>
        <v>0.26214550238492479</v>
      </c>
      <c r="K92" s="15"/>
      <c r="L92" s="34">
        <f>+D92-H92</f>
        <v>-258834.23999999993</v>
      </c>
      <c r="M92" s="15"/>
      <c r="N92" s="35">
        <f>IF(H92=0,0,L92/H92)</f>
        <v>-1.5959011236974829</v>
      </c>
      <c r="O92" s="26"/>
      <c r="P92" s="34">
        <f>SUM(P89:P91)</f>
        <v>-278160.02000000008</v>
      </c>
      <c r="Q92" s="13"/>
      <c r="R92" s="35">
        <f>IF(P$12=0,0,P92/P$12)</f>
        <v>-0.66250710237286914</v>
      </c>
      <c r="S92" s="13"/>
      <c r="T92" s="34">
        <f>SUM(T89:T91)</f>
        <v>250584.83000000025</v>
      </c>
      <c r="U92" s="13"/>
      <c r="V92" s="35">
        <f>IF(T$12=0,0,T92/T$12)</f>
        <v>0.16051263819855449</v>
      </c>
      <c r="W92" s="15"/>
      <c r="X92" s="34">
        <f>+P92-T92</f>
        <v>-528744.85000000033</v>
      </c>
      <c r="Y92" s="15"/>
      <c r="Z92" s="35">
        <f>IF(T92=0,0,X92/T92)</f>
        <v>-2.1100433334292417</v>
      </c>
    </row>
    <row r="93" spans="1:26" ht="15.75" thickTop="1" x14ac:dyDescent="0.25">
      <c r="A93" s="9"/>
      <c r="C93" s="9"/>
      <c r="D93" s="18"/>
      <c r="E93" s="18"/>
      <c r="G93" s="18"/>
      <c r="H93" s="18"/>
      <c r="I93" s="18"/>
      <c r="J93" s="43"/>
      <c r="K93" s="18"/>
      <c r="L93" s="18"/>
      <c r="M93" s="18"/>
      <c r="P93" s="18"/>
      <c r="Q93" s="18"/>
      <c r="R93" s="43"/>
      <c r="S93" s="18"/>
      <c r="T93" s="18"/>
      <c r="U93" s="18"/>
      <c r="V93" s="43"/>
      <c r="W93" s="18"/>
      <c r="X93" s="18"/>
    </row>
    <row r="94" spans="1:26" x14ac:dyDescent="0.25">
      <c r="A94" s="9"/>
      <c r="B94" s="56">
        <v>44151.572987037034</v>
      </c>
      <c r="D94" s="18"/>
      <c r="E94" s="18"/>
      <c r="G94" s="18"/>
      <c r="H94" s="18"/>
      <c r="I94" s="18"/>
      <c r="J94" s="43"/>
      <c r="K94" s="18"/>
      <c r="L94" s="18"/>
      <c r="M94" s="18"/>
      <c r="P94" s="18"/>
      <c r="Q94" s="18"/>
      <c r="R94" s="43"/>
      <c r="S94" s="18"/>
      <c r="T94" s="18"/>
      <c r="U94" s="18"/>
      <c r="V94" s="43"/>
      <c r="W94" s="18"/>
      <c r="X94" s="18"/>
    </row>
    <row r="95" spans="1:26" x14ac:dyDescent="0.25">
      <c r="A95" s="9"/>
      <c r="B95" s="62" t="s">
        <v>313</v>
      </c>
      <c r="D95" s="18"/>
      <c r="E95" s="18"/>
      <c r="G95" s="18"/>
      <c r="H95" s="18"/>
      <c r="I95" s="18"/>
      <c r="J95" s="43"/>
      <c r="K95" s="18"/>
      <c r="L95" s="18"/>
      <c r="M95" s="18"/>
      <c r="P95" s="18"/>
      <c r="Q95" s="18"/>
      <c r="R95" s="43"/>
      <c r="S95" s="18"/>
      <c r="T95" s="18"/>
      <c r="U95" s="18"/>
      <c r="V95" s="43"/>
      <c r="W95" s="18"/>
      <c r="X95" s="18"/>
    </row>
    <row r="96" spans="1:26" x14ac:dyDescent="0.25">
      <c r="A96" s="9"/>
      <c r="B96" s="54"/>
      <c r="D96" s="18"/>
      <c r="E96" s="18"/>
      <c r="G96" s="18"/>
      <c r="H96" s="18"/>
      <c r="I96" s="18"/>
      <c r="J96" s="43"/>
      <c r="K96" s="18"/>
      <c r="L96" s="18"/>
      <c r="M96" s="18"/>
      <c r="P96" s="18"/>
      <c r="Q96" s="18"/>
      <c r="R96" s="43"/>
      <c r="S96" s="18"/>
      <c r="T96" s="18"/>
      <c r="U96" s="18"/>
      <c r="V96" s="43"/>
      <c r="W96" s="18"/>
      <c r="X96" s="18"/>
    </row>
    <row r="97" spans="4:24" x14ac:dyDescent="0.25">
      <c r="D97" s="18"/>
      <c r="E97" s="18"/>
      <c r="G97" s="18"/>
      <c r="H97" s="18"/>
      <c r="I97" s="18"/>
      <c r="J97" s="43"/>
      <c r="K97" s="18"/>
      <c r="L97" s="18"/>
      <c r="M97" s="18"/>
      <c r="P97" s="18"/>
      <c r="Q97" s="18"/>
      <c r="R97" s="43"/>
      <c r="S97" s="18"/>
      <c r="T97" s="18"/>
      <c r="U97" s="18"/>
      <c r="V97" s="43"/>
      <c r="W97" s="18"/>
      <c r="X97" s="18"/>
    </row>
  </sheetData>
  <pageMargins left="0.25" right="0.25" top="0.75" bottom="0.75" header="0.3" footer="0.3"/>
  <pageSetup scale="55" fitToWidth="2" orientation="landscape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",RIGHT(202104,2),", ",2021)</f>
        <v>Period 04,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44135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","450", " - ", "Beachside Dining Hall")</f>
        <v>Department 450 - Beachside Dining Hall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61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50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50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2"/>
      <c r="F10" s="31" t="s">
        <v>14</v>
      </c>
      <c r="G10" s="32"/>
      <c r="H10" s="49" t="s">
        <v>306</v>
      </c>
      <c r="I10" s="32"/>
      <c r="J10" s="31" t="s">
        <v>14</v>
      </c>
      <c r="K10" s="10"/>
      <c r="L10" s="42" t="s">
        <v>11</v>
      </c>
      <c r="M10" s="10"/>
      <c r="N10" s="31" t="s">
        <v>15</v>
      </c>
      <c r="O10" s="10"/>
      <c r="P10" s="59" t="s">
        <v>10</v>
      </c>
      <c r="Q10" s="32"/>
      <c r="R10" s="31" t="s">
        <v>14</v>
      </c>
      <c r="S10" s="32"/>
      <c r="T10" s="49" t="s">
        <v>306</v>
      </c>
      <c r="U10" s="32"/>
      <c r="V10" s="31" t="s">
        <v>14</v>
      </c>
      <c r="W10" s="10"/>
      <c r="X10" s="42" t="s">
        <v>11</v>
      </c>
      <c r="Y10" s="10"/>
      <c r="Z10" s="31" t="s">
        <v>15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-12545.13</v>
      </c>
      <c r="E12" s="4"/>
      <c r="F12" s="12"/>
      <c r="G12" s="4"/>
      <c r="H12" s="4">
        <f>SUM(OSRRefH13x_0)</f>
        <v>393945.38999999996</v>
      </c>
      <c r="I12" s="4"/>
      <c r="J12" s="12"/>
      <c r="K12" s="4"/>
      <c r="L12" s="4">
        <f t="shared" ref="L12:L15" si="0">+D12-H12</f>
        <v>-406490.51999999996</v>
      </c>
      <c r="M12" s="4"/>
      <c r="N12" s="12">
        <f t="shared" ref="N12:N15" si="1">IF(H12=0,0,L12/H12)</f>
        <v>-1.0318448452969586</v>
      </c>
      <c r="O12" s="10"/>
      <c r="P12" s="4">
        <f>SUM(OSRRefP13x_0)</f>
        <v>0</v>
      </c>
      <c r="Q12" s="4"/>
      <c r="R12" s="12"/>
      <c r="S12" s="4"/>
      <c r="T12" s="4">
        <f>SUM(OSRRefT13x_0)</f>
        <v>860039.2300000001</v>
      </c>
      <c r="U12" s="4"/>
      <c r="V12" s="12"/>
      <c r="W12" s="4"/>
      <c r="X12" s="4">
        <f t="shared" ref="X12:X15" si="2">+P12-T12</f>
        <v>-860039.2300000001</v>
      </c>
      <c r="Y12" s="4"/>
      <c r="Z12" s="12">
        <f t="shared" ref="Z12:Z15" si="3">IF(T12=0,0,X12/T12)</f>
        <v>-1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0</f>
        <v>0</v>
      </c>
      <c r="E13" s="2"/>
      <c r="F13" s="19"/>
      <c r="G13" s="2"/>
      <c r="H13" s="2">
        <f>--13.66</f>
        <v>13.66</v>
      </c>
      <c r="I13" s="2"/>
      <c r="J13" s="19"/>
      <c r="K13" s="2"/>
      <c r="L13" s="2">
        <f t="shared" si="0"/>
        <v>-13.66</v>
      </c>
      <c r="M13" s="2"/>
      <c r="N13" s="19">
        <f t="shared" si="1"/>
        <v>-1</v>
      </c>
      <c r="O13" s="11"/>
      <c r="P13" s="2">
        <f t="shared" ref="P13:P15" si="4">0</f>
        <v>0</v>
      </c>
      <c r="Q13" s="2"/>
      <c r="R13" s="19"/>
      <c r="S13" s="2"/>
      <c r="T13" s="2">
        <f>--82.55</f>
        <v>82.55</v>
      </c>
      <c r="U13" s="2"/>
      <c r="V13" s="19"/>
      <c r="W13" s="2"/>
      <c r="X13" s="2">
        <f t="shared" si="2"/>
        <v>-82.55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-12545.13</f>
        <v>-12545.13</v>
      </c>
      <c r="E14" s="2"/>
      <c r="F14" s="19"/>
      <c r="G14" s="2"/>
      <c r="H14" s="2">
        <f>--392312.79</f>
        <v>392312.79</v>
      </c>
      <c r="I14" s="2"/>
      <c r="J14" s="19"/>
      <c r="K14" s="2"/>
      <c r="L14" s="2">
        <f t="shared" si="0"/>
        <v>-404857.92</v>
      </c>
      <c r="M14" s="2"/>
      <c r="N14" s="19">
        <f t="shared" si="1"/>
        <v>-1.0319773668352745</v>
      </c>
      <c r="O14" s="11"/>
      <c r="P14" s="2">
        <f t="shared" si="4"/>
        <v>0</v>
      </c>
      <c r="Q14" s="2"/>
      <c r="R14" s="19"/>
      <c r="S14" s="2"/>
      <c r="T14" s="2">
        <f>--856252.87</f>
        <v>856252.87</v>
      </c>
      <c r="U14" s="2"/>
      <c r="V14" s="19"/>
      <c r="W14" s="2"/>
      <c r="X14" s="2">
        <f t="shared" si="2"/>
        <v>-856252.87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>0</f>
        <v>0</v>
      </c>
      <c r="E15" s="2"/>
      <c r="F15" s="19"/>
      <c r="G15" s="2"/>
      <c r="H15" s="2">
        <f>--1618.94</f>
        <v>1618.94</v>
      </c>
      <c r="I15" s="2"/>
      <c r="J15" s="19"/>
      <c r="K15" s="2"/>
      <c r="L15" s="2">
        <f t="shared" si="0"/>
        <v>-1618.94</v>
      </c>
      <c r="M15" s="2"/>
      <c r="N15" s="19">
        <f t="shared" si="1"/>
        <v>-1</v>
      </c>
      <c r="O15" s="11"/>
      <c r="P15" s="2">
        <f t="shared" si="4"/>
        <v>0</v>
      </c>
      <c r="Q15" s="2"/>
      <c r="R15" s="19"/>
      <c r="S15" s="2"/>
      <c r="T15" s="2">
        <f>--3703.81</f>
        <v>3703.81</v>
      </c>
      <c r="U15" s="2"/>
      <c r="V15" s="19"/>
      <c r="W15" s="2"/>
      <c r="X15" s="2">
        <f t="shared" si="2"/>
        <v>-3703.81</v>
      </c>
      <c r="Y15" s="2"/>
      <c r="Z15" s="19">
        <f t="shared" si="3"/>
        <v>-1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6" t="s">
        <v>8</v>
      </c>
      <c r="C17" s="10"/>
      <c r="D17" s="4">
        <f>SUM(OSRRefD16x_0)</f>
        <v>0</v>
      </c>
      <c r="E17" s="4"/>
      <c r="F17" s="12">
        <f t="shared" ref="F17:F19" si="5">IF(D$12=0,0,D17/D$12)</f>
        <v>0</v>
      </c>
      <c r="G17" s="4"/>
      <c r="H17" s="4">
        <f>SUM(OSRRefH16x_0)</f>
        <v>84670.98</v>
      </c>
      <c r="I17" s="4"/>
      <c r="J17" s="12">
        <f t="shared" ref="J17:J19" si="6">IF(H$12=0,0,H17/H$12)</f>
        <v>0.21493075474242765</v>
      </c>
      <c r="K17" s="4"/>
      <c r="L17" s="4">
        <f t="shared" ref="L17:L19" si="7">+D17-H17</f>
        <v>-84670.98</v>
      </c>
      <c r="M17" s="4"/>
      <c r="N17" s="12">
        <f t="shared" ref="N17:N19" si="8">IF(H17=0,0,L17/H17)</f>
        <v>-1</v>
      </c>
      <c r="O17" s="10"/>
      <c r="P17" s="4">
        <f>SUM(OSRRefP16x_0)</f>
        <v>0</v>
      </c>
      <c r="Q17" s="4"/>
      <c r="R17" s="12">
        <f t="shared" ref="R17:R19" si="9">IF(P$12=0,0,P17/P$12)</f>
        <v>0</v>
      </c>
      <c r="S17" s="4"/>
      <c r="T17" s="4">
        <f>SUM(OSRRefT16x_0)</f>
        <v>191334.44</v>
      </c>
      <c r="U17" s="4"/>
      <c r="V17" s="12">
        <f t="shared" ref="V17:V19" si="10">IF(T$12=0,0,T17/T$12)</f>
        <v>0.22247175864291677</v>
      </c>
      <c r="W17" s="4"/>
      <c r="X17" s="4">
        <f t="shared" ref="X17:X19" si="11">+P17-T17</f>
        <v>-191334.44</v>
      </c>
      <c r="Y17" s="4"/>
      <c r="Z17" s="12">
        <f t="shared" ref="Z17:Z19" si="12">IF(T17=0,0,X17/T17)</f>
        <v>-1</v>
      </c>
    </row>
    <row r="18" spans="1:26" s="24" customFormat="1" hidden="1" outlineLevel="1" x14ac:dyDescent="0.25">
      <c r="A18" s="44"/>
      <c r="B18" s="11" t="str">
        <f>CONCATENATE("          ", "5053", " - ", "PURCHASES @ COST-FOOD")</f>
        <v xml:space="preserve">          5053 - PURCHASES @ COST-FOOD</v>
      </c>
      <c r="C18" s="11"/>
      <c r="D18" s="2"/>
      <c r="E18" s="2"/>
      <c r="F18" s="19">
        <f t="shared" si="5"/>
        <v>0</v>
      </c>
      <c r="G18" s="2"/>
      <c r="H18" s="2">
        <v>83478.98</v>
      </c>
      <c r="I18" s="2"/>
      <c r="J18" s="19">
        <f t="shared" si="6"/>
        <v>0.21190495464358652</v>
      </c>
      <c r="K18" s="2"/>
      <c r="L18" s="2">
        <f t="shared" si="7"/>
        <v>-83478.98</v>
      </c>
      <c r="M18" s="2"/>
      <c r="N18" s="19">
        <f t="shared" si="8"/>
        <v>-1</v>
      </c>
      <c r="O18" s="11"/>
      <c r="P18" s="2"/>
      <c r="Q18" s="2"/>
      <c r="R18" s="19">
        <f t="shared" si="9"/>
        <v>0</v>
      </c>
      <c r="S18" s="2"/>
      <c r="T18" s="2">
        <v>193939.44</v>
      </c>
      <c r="U18" s="2"/>
      <c r="V18" s="19">
        <f t="shared" si="10"/>
        <v>0.22550069024176952</v>
      </c>
      <c r="W18" s="2"/>
      <c r="X18" s="2">
        <f t="shared" si="11"/>
        <v>-193939.44</v>
      </c>
      <c r="Y18" s="2"/>
      <c r="Z18" s="19">
        <f t="shared" si="12"/>
        <v>-1</v>
      </c>
    </row>
    <row r="19" spans="1:26" s="24" customFormat="1" hidden="1" outlineLevel="1" x14ac:dyDescent="0.25">
      <c r="A19" s="44"/>
      <c r="B19" s="11" t="str">
        <f>CONCATENATE("          ", "5059", " - ", "PURCHASES @ COST-FOOD")</f>
        <v xml:space="preserve">          5059 - PURCHASES @ COST-FOOD</v>
      </c>
      <c r="C19" s="11"/>
      <c r="D19" s="2"/>
      <c r="E19" s="2"/>
      <c r="F19" s="19">
        <f t="shared" si="5"/>
        <v>0</v>
      </c>
      <c r="G19" s="2"/>
      <c r="H19" s="2">
        <v>1192</v>
      </c>
      <c r="I19" s="2"/>
      <c r="J19" s="19">
        <f t="shared" si="6"/>
        <v>3.0258000988411114E-3</v>
      </c>
      <c r="K19" s="2"/>
      <c r="L19" s="2">
        <f t="shared" si="7"/>
        <v>-1192</v>
      </c>
      <c r="M19" s="2"/>
      <c r="N19" s="19">
        <f t="shared" si="8"/>
        <v>-1</v>
      </c>
      <c r="O19" s="11"/>
      <c r="P19" s="2"/>
      <c r="Q19" s="2"/>
      <c r="R19" s="19">
        <f t="shared" si="9"/>
        <v>0</v>
      </c>
      <c r="S19" s="2"/>
      <c r="T19" s="2">
        <v>-2605</v>
      </c>
      <c r="U19" s="2"/>
      <c r="V19" s="19">
        <f t="shared" si="10"/>
        <v>-3.0289315988527637E-3</v>
      </c>
      <c r="W19" s="2"/>
      <c r="X19" s="2">
        <f t="shared" si="11"/>
        <v>2605</v>
      </c>
      <c r="Y19" s="2"/>
      <c r="Z19" s="19">
        <f t="shared" si="12"/>
        <v>-1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5" t="s">
        <v>6</v>
      </c>
      <c r="C21" s="25"/>
      <c r="D21" s="20">
        <f>D12-D17</f>
        <v>-12545.13</v>
      </c>
      <c r="E21" s="13"/>
      <c r="F21" s="21">
        <f>IF(D$12=0,0,D21/D$12)</f>
        <v>1</v>
      </c>
      <c r="G21" s="13"/>
      <c r="H21" s="20">
        <f>H12-H17</f>
        <v>309274.40999999997</v>
      </c>
      <c r="I21" s="13"/>
      <c r="J21" s="21">
        <f>IF(H$12=0,0,H21/H$12)</f>
        <v>0.78506924525757238</v>
      </c>
      <c r="K21" s="15"/>
      <c r="L21" s="20">
        <f>+D21-H21</f>
        <v>-321819.53999999998</v>
      </c>
      <c r="M21" s="15"/>
      <c r="N21" s="21">
        <f>IF(H21=0,0,L21/H21)</f>
        <v>-1.0405631038145058</v>
      </c>
      <c r="O21" s="26"/>
      <c r="P21" s="20">
        <f>P12-P17</f>
        <v>0</v>
      </c>
      <c r="Q21" s="13"/>
      <c r="R21" s="21">
        <f>IF(P$12=0,0,P21/P$12)</f>
        <v>0</v>
      </c>
      <c r="S21" s="13"/>
      <c r="T21" s="20">
        <f>T12-T17</f>
        <v>668704.79</v>
      </c>
      <c r="U21" s="13"/>
      <c r="V21" s="21">
        <f>IF(T$12=0,0,T21/T$12)</f>
        <v>0.77752824135708321</v>
      </c>
      <c r="W21" s="15"/>
      <c r="X21" s="20">
        <f>+P21-T21</f>
        <v>-668704.79</v>
      </c>
      <c r="Y21" s="15"/>
      <c r="Z21" s="21">
        <f>IF(T21=0,0,X21/T21)</f>
        <v>-1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6" t="s">
        <v>9</v>
      </c>
      <c r="C23" s="10"/>
      <c r="D23" s="22">
        <f>SUM(OSRRefD22x_0)</f>
        <v>49851.29</v>
      </c>
      <c r="E23" s="22"/>
      <c r="F23" s="36">
        <f t="shared" ref="F23:F33" si="13">IF(D$12=0,0,D23/D$12)</f>
        <v>-3.9737563500736943</v>
      </c>
      <c r="G23" s="22"/>
      <c r="H23" s="22">
        <f>SUM(OSRRefH22x_0)</f>
        <v>177256.88999999998</v>
      </c>
      <c r="I23" s="22"/>
      <c r="J23" s="36">
        <f t="shared" ref="J23:J33" si="14">IF(H$12=0,0,H23/H$12)</f>
        <v>0.44995294906230532</v>
      </c>
      <c r="K23" s="4"/>
      <c r="L23" s="22">
        <f t="shared" ref="L23:L33" si="15">+D23-H23</f>
        <v>-127405.59999999998</v>
      </c>
      <c r="M23" s="4"/>
      <c r="N23" s="36">
        <f t="shared" ref="N23:N33" si="16">IF(H23=0,0,L23/H23)</f>
        <v>-0.71876246954349698</v>
      </c>
      <c r="O23" s="10"/>
      <c r="P23" s="22">
        <f>SUM(OSRRefP22x_0)</f>
        <v>169497.9</v>
      </c>
      <c r="Q23" s="22"/>
      <c r="R23" s="36">
        <f t="shared" ref="R23:R33" si="17">IF(P$12=0,0,P23/P$12)</f>
        <v>0</v>
      </c>
      <c r="S23" s="22"/>
      <c r="T23" s="22">
        <f>SUM(OSRRefT22x_0)</f>
        <v>505479.47000000015</v>
      </c>
      <c r="U23" s="22"/>
      <c r="V23" s="36">
        <f t="shared" ref="V23:V33" si="18">IF(T$12=0,0,T23/T$12)</f>
        <v>0.58774001506884765</v>
      </c>
      <c r="W23" s="4"/>
      <c r="X23" s="22">
        <f t="shared" ref="X23:X33" si="19">+P23-T23</f>
        <v>-335981.57000000018</v>
      </c>
      <c r="Y23" s="4"/>
      <c r="Z23" s="36">
        <f t="shared" ref="Z23:Z33" si="20">IF(T23=0,0,X23/T23)</f>
        <v>-0.66467896312386354</v>
      </c>
    </row>
    <row r="24" spans="1:26" s="29" customFormat="1" outlineLevel="1" collapsed="1" x14ac:dyDescent="0.25">
      <c r="A24" s="27"/>
      <c r="B24" s="14" t="str">
        <f>CONCATENATE("     ","*Benefits                                         ")</f>
        <v xml:space="preserve">     *Benefits                                         </v>
      </c>
      <c r="C24" s="14"/>
      <c r="D24" s="1">
        <f>SUM(OSRRefD22_0x_0)</f>
        <v>21530.590000000004</v>
      </c>
      <c r="E24" s="1"/>
      <c r="F24" s="5">
        <f t="shared" si="13"/>
        <v>-1.7162508479386029</v>
      </c>
      <c r="G24" s="1"/>
      <c r="H24" s="1">
        <f>SUM(OSRRefH22_0x_0)</f>
        <v>28832.61</v>
      </c>
      <c r="I24" s="1"/>
      <c r="J24" s="5">
        <f t="shared" si="14"/>
        <v>7.3189357540140276E-2</v>
      </c>
      <c r="K24" s="1"/>
      <c r="L24" s="1">
        <f t="shared" si="15"/>
        <v>-7302.0199999999968</v>
      </c>
      <c r="M24" s="1"/>
      <c r="N24" s="5">
        <f t="shared" si="16"/>
        <v>-0.25325560190353896</v>
      </c>
      <c r="O24" s="14"/>
      <c r="P24" s="1">
        <f>SUM(OSRRefP22_0x_0)</f>
        <v>78974.31</v>
      </c>
      <c r="Q24" s="1"/>
      <c r="R24" s="5">
        <f t="shared" si="17"/>
        <v>0</v>
      </c>
      <c r="S24" s="1"/>
      <c r="T24" s="1">
        <f>SUM(OSRRefT22_0x_0)</f>
        <v>103945.04</v>
      </c>
      <c r="U24" s="1"/>
      <c r="V24" s="5">
        <f t="shared" si="18"/>
        <v>0.12086081236085007</v>
      </c>
      <c r="W24" s="1"/>
      <c r="X24" s="1">
        <f t="shared" si="19"/>
        <v>-24970.729999999996</v>
      </c>
      <c r="Y24" s="1"/>
      <c r="Z24" s="5">
        <f t="shared" si="20"/>
        <v>-0.24023012545860772</v>
      </c>
    </row>
    <row r="25" spans="1:26" s="24" customFormat="1" hidden="1" outlineLevel="2" x14ac:dyDescent="0.25">
      <c r="A25" s="28"/>
      <c r="B25" s="11" t="str">
        <f>CONCATENATE("          ", "6111", " - ", "F.I.C.A.")</f>
        <v xml:space="preserve">          6111 - F.I.C.A.</v>
      </c>
      <c r="C25" s="11"/>
      <c r="D25" s="6">
        <v>2520.7600000000002</v>
      </c>
      <c r="E25" s="2"/>
      <c r="F25" s="7">
        <f t="shared" si="13"/>
        <v>-0.20093534303749744</v>
      </c>
      <c r="G25" s="2"/>
      <c r="H25" s="6">
        <v>6568.99</v>
      </c>
      <c r="I25" s="2"/>
      <c r="J25" s="7">
        <f t="shared" si="14"/>
        <v>1.6674874657119355E-2</v>
      </c>
      <c r="K25" s="2"/>
      <c r="L25" s="6">
        <f t="shared" si="15"/>
        <v>-4048.2299999999996</v>
      </c>
      <c r="M25" s="2"/>
      <c r="N25" s="7">
        <f t="shared" si="16"/>
        <v>-0.6162636874161781</v>
      </c>
      <c r="O25" s="11"/>
      <c r="P25" s="6">
        <v>7113.52</v>
      </c>
      <c r="Q25" s="2"/>
      <c r="R25" s="7">
        <f t="shared" si="17"/>
        <v>0</v>
      </c>
      <c r="S25" s="2"/>
      <c r="T25" s="6">
        <v>15832.14</v>
      </c>
      <c r="U25" s="2"/>
      <c r="V25" s="7">
        <f t="shared" si="18"/>
        <v>1.8408625383286293E-2</v>
      </c>
      <c r="W25" s="2"/>
      <c r="X25" s="6">
        <f t="shared" si="19"/>
        <v>-8718.619999999999</v>
      </c>
      <c r="Y25" s="2"/>
      <c r="Z25" s="7">
        <f t="shared" si="20"/>
        <v>-0.55069118893592395</v>
      </c>
    </row>
    <row r="26" spans="1:26" s="24" customFormat="1" hidden="1" outlineLevel="2" x14ac:dyDescent="0.25">
      <c r="A26" s="28"/>
      <c r="B26" s="11" t="str">
        <f>CONCATENATE("          ", "6112", " - ", "COMPENSATION INSURANCE")</f>
        <v xml:space="preserve">          6112 - COMPENSATION INSURANCE</v>
      </c>
      <c r="C26" s="11"/>
      <c r="D26" s="6">
        <v>889.03</v>
      </c>
      <c r="E26" s="2"/>
      <c r="F26" s="7">
        <f t="shared" si="13"/>
        <v>-7.086654343159457E-2</v>
      </c>
      <c r="G26" s="2"/>
      <c r="H26" s="6">
        <v>-176.52</v>
      </c>
      <c r="I26" s="2"/>
      <c r="J26" s="7">
        <f t="shared" si="14"/>
        <v>-4.4808241061026257E-4</v>
      </c>
      <c r="K26" s="2"/>
      <c r="L26" s="6">
        <f t="shared" si="15"/>
        <v>1065.55</v>
      </c>
      <c r="M26" s="2"/>
      <c r="N26" s="7">
        <f t="shared" si="16"/>
        <v>-6.0364264672558345</v>
      </c>
      <c r="O26" s="11"/>
      <c r="P26" s="6">
        <v>3335.49</v>
      </c>
      <c r="Q26" s="2"/>
      <c r="R26" s="7">
        <f t="shared" si="17"/>
        <v>0</v>
      </c>
      <c r="S26" s="2"/>
      <c r="T26" s="6">
        <v>6094.16</v>
      </c>
      <c r="U26" s="2"/>
      <c r="V26" s="7">
        <f t="shared" si="18"/>
        <v>7.0859093253222869E-3</v>
      </c>
      <c r="W26" s="2"/>
      <c r="X26" s="6">
        <f t="shared" si="19"/>
        <v>-2758.67</v>
      </c>
      <c r="Y26" s="2"/>
      <c r="Z26" s="7">
        <f t="shared" si="20"/>
        <v>-0.45267436365307118</v>
      </c>
    </row>
    <row r="27" spans="1:26" s="24" customFormat="1" hidden="1" outlineLevel="2" x14ac:dyDescent="0.25">
      <c r="A27" s="28"/>
      <c r="B27" s="11" t="str">
        <f>CONCATENATE("          ", "6113", " - ", "GROUP INSURANCE")</f>
        <v xml:space="preserve">          6113 - GROUP INSURANCE</v>
      </c>
      <c r="C27" s="11"/>
      <c r="D27" s="6">
        <v>12616.92</v>
      </c>
      <c r="E27" s="2"/>
      <c r="F27" s="7">
        <f t="shared" si="13"/>
        <v>-1.0057225393439526</v>
      </c>
      <c r="G27" s="2"/>
      <c r="H27" s="6">
        <v>12906.84</v>
      </c>
      <c r="I27" s="2"/>
      <c r="J27" s="7">
        <f t="shared" si="14"/>
        <v>3.2763018244736923E-2</v>
      </c>
      <c r="K27" s="2"/>
      <c r="L27" s="6">
        <f t="shared" si="15"/>
        <v>-289.92000000000007</v>
      </c>
      <c r="M27" s="2"/>
      <c r="N27" s="7">
        <f t="shared" si="16"/>
        <v>-2.2462508251438779E-2</v>
      </c>
      <c r="O27" s="11"/>
      <c r="P27" s="6">
        <v>50467.740000000005</v>
      </c>
      <c r="Q27" s="2"/>
      <c r="R27" s="7">
        <f t="shared" si="17"/>
        <v>0</v>
      </c>
      <c r="S27" s="2"/>
      <c r="T27" s="6">
        <v>52287.409999999996</v>
      </c>
      <c r="U27" s="2"/>
      <c r="V27" s="7">
        <f t="shared" si="18"/>
        <v>6.0796540641523983E-2</v>
      </c>
      <c r="W27" s="2"/>
      <c r="X27" s="6">
        <f t="shared" si="19"/>
        <v>-1819.669999999991</v>
      </c>
      <c r="Y27" s="2"/>
      <c r="Z27" s="7">
        <f t="shared" si="20"/>
        <v>-3.4801303028778652E-2</v>
      </c>
    </row>
    <row r="28" spans="1:26" s="24" customFormat="1" hidden="1" outlineLevel="2" x14ac:dyDescent="0.25">
      <c r="A28" s="28"/>
      <c r="B28" s="11" t="str">
        <f>CONCATENATE("          ", "6114", " - ", "STATE UNEMPLOYMENT INSURANCE")</f>
        <v xml:space="preserve">          6114 - STATE UNEMPLOYMENT INSURANCE</v>
      </c>
      <c r="C28" s="11"/>
      <c r="D28" s="6">
        <v>53.87</v>
      </c>
      <c r="E28" s="2"/>
      <c r="F28" s="7">
        <f t="shared" si="13"/>
        <v>-4.2940965936582561E-3</v>
      </c>
      <c r="G28" s="2"/>
      <c r="H28" s="6">
        <v>231.32</v>
      </c>
      <c r="I28" s="2"/>
      <c r="J28" s="7">
        <f t="shared" si="14"/>
        <v>5.8718798562409891E-4</v>
      </c>
      <c r="K28" s="2"/>
      <c r="L28" s="6">
        <f t="shared" si="15"/>
        <v>-177.45</v>
      </c>
      <c r="M28" s="2"/>
      <c r="N28" s="7">
        <f t="shared" si="16"/>
        <v>-0.76711914231367795</v>
      </c>
      <c r="O28" s="11"/>
      <c r="P28" s="6">
        <v>210.82</v>
      </c>
      <c r="Q28" s="2"/>
      <c r="R28" s="7">
        <f t="shared" si="17"/>
        <v>0</v>
      </c>
      <c r="S28" s="2"/>
      <c r="T28" s="6">
        <v>651.54999999999995</v>
      </c>
      <c r="U28" s="2"/>
      <c r="V28" s="7">
        <f t="shared" si="18"/>
        <v>7.5758172101056355E-4</v>
      </c>
      <c r="W28" s="2"/>
      <c r="X28" s="6">
        <f t="shared" si="19"/>
        <v>-440.72999999999996</v>
      </c>
      <c r="Y28" s="2"/>
      <c r="Z28" s="7">
        <f t="shared" si="20"/>
        <v>-0.67643312101910824</v>
      </c>
    </row>
    <row r="29" spans="1:26" s="24" customFormat="1" hidden="1" outlineLevel="2" x14ac:dyDescent="0.25">
      <c r="A29" s="28"/>
      <c r="B29" s="11" t="str">
        <f>CONCATENATE("          ", "6115", " - ", "P.E.R.S.")</f>
        <v xml:space="preserve">          6115 - P.E.R.S.</v>
      </c>
      <c r="C29" s="11"/>
      <c r="D29" s="6">
        <v>485.07</v>
      </c>
      <c r="E29" s="2"/>
      <c r="F29" s="7">
        <f t="shared" si="13"/>
        <v>-3.8666000272615748E-2</v>
      </c>
      <c r="G29" s="2"/>
      <c r="H29" s="6">
        <v>1832.9</v>
      </c>
      <c r="I29" s="2"/>
      <c r="J29" s="7">
        <f t="shared" si="14"/>
        <v>4.6526753365485514E-3</v>
      </c>
      <c r="K29" s="2"/>
      <c r="L29" s="6">
        <f t="shared" si="15"/>
        <v>-1347.8300000000002</v>
      </c>
      <c r="M29" s="2"/>
      <c r="N29" s="7">
        <f t="shared" si="16"/>
        <v>-0.73535381090075846</v>
      </c>
      <c r="O29" s="11"/>
      <c r="P29" s="6">
        <v>2182.81</v>
      </c>
      <c r="Q29" s="2"/>
      <c r="R29" s="7">
        <f t="shared" si="17"/>
        <v>0</v>
      </c>
      <c r="S29" s="2"/>
      <c r="T29" s="6">
        <v>4964.6000000000004</v>
      </c>
      <c r="U29" s="2"/>
      <c r="V29" s="7">
        <f t="shared" si="18"/>
        <v>5.772527376454676E-3</v>
      </c>
      <c r="W29" s="2"/>
      <c r="X29" s="6">
        <f t="shared" si="19"/>
        <v>-2781.7900000000004</v>
      </c>
      <c r="Y29" s="2"/>
      <c r="Z29" s="7">
        <f t="shared" si="20"/>
        <v>-0.56032510172017891</v>
      </c>
    </row>
    <row r="30" spans="1:26" s="24" customFormat="1" hidden="1" outlineLevel="2" x14ac:dyDescent="0.25">
      <c r="A30" s="28"/>
      <c r="B30" s="11" t="str">
        <f>CONCATENATE("          ", "6117", " - ", "RETIREMENT STAFF HOURLY")</f>
        <v xml:space="preserve">          6117 - RETIREMENT STAFF HOURLY</v>
      </c>
      <c r="C30" s="11"/>
      <c r="D30" s="6">
        <v>546.80999999999995</v>
      </c>
      <c r="E30" s="2"/>
      <c r="F30" s="7">
        <f t="shared" si="13"/>
        <v>-4.3587431935739204E-2</v>
      </c>
      <c r="G30" s="2"/>
      <c r="H30" s="6">
        <v>507.48</v>
      </c>
      <c r="I30" s="2"/>
      <c r="J30" s="7">
        <f t="shared" si="14"/>
        <v>1.2881988541609793E-3</v>
      </c>
      <c r="K30" s="2"/>
      <c r="L30" s="6">
        <f t="shared" si="15"/>
        <v>39.329999999999927</v>
      </c>
      <c r="M30" s="2"/>
      <c r="N30" s="7">
        <f t="shared" si="16"/>
        <v>7.7500591156301576E-2</v>
      </c>
      <c r="O30" s="11"/>
      <c r="P30" s="6">
        <v>2330.83</v>
      </c>
      <c r="Q30" s="2"/>
      <c r="R30" s="7">
        <f t="shared" si="17"/>
        <v>0</v>
      </c>
      <c r="S30" s="2"/>
      <c r="T30" s="6">
        <v>1818.23</v>
      </c>
      <c r="U30" s="2"/>
      <c r="V30" s="7">
        <f t="shared" si="18"/>
        <v>2.1141244917397546E-3</v>
      </c>
      <c r="W30" s="2"/>
      <c r="X30" s="6">
        <f t="shared" si="19"/>
        <v>512.59999999999991</v>
      </c>
      <c r="Y30" s="2"/>
      <c r="Z30" s="7">
        <f t="shared" si="20"/>
        <v>0.28192252905298004</v>
      </c>
    </row>
    <row r="31" spans="1:26" s="24" customFormat="1" hidden="1" outlineLevel="2" x14ac:dyDescent="0.25">
      <c r="A31" s="28"/>
      <c r="B31" s="11" t="str">
        <f>CONCATENATE("          ", "6118", " - ", "VACATION")</f>
        <v xml:space="preserve">          6118 - VACATION</v>
      </c>
      <c r="C31" s="11"/>
      <c r="D31" s="6">
        <v>1863.18</v>
      </c>
      <c r="E31" s="2"/>
      <c r="F31" s="7">
        <f t="shared" si="13"/>
        <v>-0.14851818992708726</v>
      </c>
      <c r="G31" s="2"/>
      <c r="H31" s="6">
        <v>3225.9</v>
      </c>
      <c r="I31" s="2"/>
      <c r="J31" s="7">
        <f t="shared" si="14"/>
        <v>8.188698438633844E-3</v>
      </c>
      <c r="K31" s="2"/>
      <c r="L31" s="6">
        <f t="shared" si="15"/>
        <v>-1362.72</v>
      </c>
      <c r="M31" s="2"/>
      <c r="N31" s="7">
        <f t="shared" si="16"/>
        <v>-0.4224309495024644</v>
      </c>
      <c r="O31" s="11"/>
      <c r="P31" s="6">
        <v>5525.79</v>
      </c>
      <c r="Q31" s="2"/>
      <c r="R31" s="7">
        <f t="shared" si="17"/>
        <v>0</v>
      </c>
      <c r="S31" s="2"/>
      <c r="T31" s="6">
        <v>10003.65</v>
      </c>
      <c r="U31" s="2"/>
      <c r="V31" s="7">
        <f t="shared" si="18"/>
        <v>1.1631620571540671E-2</v>
      </c>
      <c r="W31" s="2"/>
      <c r="X31" s="6">
        <f t="shared" si="19"/>
        <v>-4477.8599999999997</v>
      </c>
      <c r="Y31" s="2"/>
      <c r="Z31" s="7">
        <f t="shared" si="20"/>
        <v>-0.44762261774452322</v>
      </c>
    </row>
    <row r="32" spans="1:26" s="24" customFormat="1" hidden="1" outlineLevel="2" x14ac:dyDescent="0.25">
      <c r="A32" s="28"/>
      <c r="B32" s="11" t="str">
        <f>CONCATENATE("          ", "6119", " - ", "SICK LEAVE")</f>
        <v xml:space="preserve">          6119 - SICK LEAVE</v>
      </c>
      <c r="C32" s="11"/>
      <c r="D32" s="6">
        <v>1419.77</v>
      </c>
      <c r="E32" s="2"/>
      <c r="F32" s="7">
        <f t="shared" si="13"/>
        <v>-0.11317300020007764</v>
      </c>
      <c r="G32" s="2"/>
      <c r="H32" s="6">
        <v>2455.6799999999998</v>
      </c>
      <c r="I32" s="2"/>
      <c r="J32" s="7">
        <f t="shared" si="14"/>
        <v>6.2335543512769629E-3</v>
      </c>
      <c r="K32" s="2"/>
      <c r="L32" s="6">
        <f t="shared" si="15"/>
        <v>-1035.9099999999999</v>
      </c>
      <c r="M32" s="2"/>
      <c r="N32" s="7">
        <f t="shared" si="16"/>
        <v>-0.42184242246546777</v>
      </c>
      <c r="O32" s="11"/>
      <c r="P32" s="6">
        <v>4259.33</v>
      </c>
      <c r="Q32" s="2"/>
      <c r="R32" s="7">
        <f t="shared" si="17"/>
        <v>0</v>
      </c>
      <c r="S32" s="2"/>
      <c r="T32" s="6">
        <v>7864.14</v>
      </c>
      <c r="U32" s="2"/>
      <c r="V32" s="7">
        <f t="shared" si="18"/>
        <v>9.1439317250679355E-3</v>
      </c>
      <c r="W32" s="2"/>
      <c r="X32" s="6">
        <f t="shared" si="19"/>
        <v>-3604.8100000000004</v>
      </c>
      <c r="Y32" s="2"/>
      <c r="Z32" s="7">
        <f t="shared" si="20"/>
        <v>-0.4583857866212962</v>
      </c>
    </row>
    <row r="33" spans="1:26" s="24" customFormat="1" hidden="1" outlineLevel="2" x14ac:dyDescent="0.25">
      <c r="A33" s="28"/>
      <c r="B33" s="11" t="str">
        <f>CONCATENATE("          ", "6156", " - ", "EMPLOYEE MEALS")</f>
        <v xml:space="preserve">          6156 - EMPLOYEE MEALS</v>
      </c>
      <c r="C33" s="11"/>
      <c r="D33" s="6">
        <v>1135.18</v>
      </c>
      <c r="E33" s="2"/>
      <c r="F33" s="7">
        <f t="shared" si="13"/>
        <v>-9.0487703196379804E-2</v>
      </c>
      <c r="G33" s="2"/>
      <c r="H33" s="6">
        <v>1280.02</v>
      </c>
      <c r="I33" s="2"/>
      <c r="J33" s="7">
        <f t="shared" si="14"/>
        <v>3.2492320826498318E-3</v>
      </c>
      <c r="K33" s="2"/>
      <c r="L33" s="6">
        <f t="shared" si="15"/>
        <v>-144.83999999999992</v>
      </c>
      <c r="M33" s="2"/>
      <c r="N33" s="7">
        <f t="shared" si="16"/>
        <v>-0.1131544819612193</v>
      </c>
      <c r="O33" s="11"/>
      <c r="P33" s="6">
        <v>3547.98</v>
      </c>
      <c r="Q33" s="2"/>
      <c r="R33" s="7">
        <f t="shared" si="17"/>
        <v>0</v>
      </c>
      <c r="S33" s="2"/>
      <c r="T33" s="6">
        <v>4429.16</v>
      </c>
      <c r="U33" s="2"/>
      <c r="V33" s="7">
        <f t="shared" si="18"/>
        <v>5.1499511249039178E-3</v>
      </c>
      <c r="W33" s="2"/>
      <c r="X33" s="6">
        <f t="shared" si="19"/>
        <v>-881.17999999999984</v>
      </c>
      <c r="Y33" s="2"/>
      <c r="Z33" s="7">
        <f t="shared" si="20"/>
        <v>-0.1989496879769527</v>
      </c>
    </row>
    <row r="34" spans="1:26" s="29" customFormat="1" outlineLevel="1" collapsed="1" x14ac:dyDescent="0.25">
      <c r="A34" s="27"/>
      <c r="B34" s="14" t="str">
        <f>CONCATENATE("     ","*Payroll                                          ")</f>
        <v xml:space="preserve">     *Payroll                                          </v>
      </c>
      <c r="C34" s="14"/>
      <c r="D34" s="1">
        <f>SUM(OSRRefD22_1x_0)</f>
        <v>26690.87</v>
      </c>
      <c r="E34" s="1"/>
      <c r="F34" s="5">
        <f t="shared" ref="F34:F40" si="21">IF(D$12=0,0,D34/D$12)</f>
        <v>-2.1275881557225791</v>
      </c>
      <c r="G34" s="1"/>
      <c r="H34" s="1">
        <f>SUM(OSRRefH22_1x_0)</f>
        <v>100953.88</v>
      </c>
      <c r="I34" s="1"/>
      <c r="J34" s="5">
        <f t="shared" ref="J34:J40" si="22">IF(H$12=0,0,H34/H$12)</f>
        <v>0.25626364100871957</v>
      </c>
      <c r="K34" s="1"/>
      <c r="L34" s="1">
        <f t="shared" ref="L34:L40" si="23">+D34-H34</f>
        <v>-74263.010000000009</v>
      </c>
      <c r="M34" s="1"/>
      <c r="N34" s="5">
        <f t="shared" ref="N34:N40" si="24">IF(H34=0,0,L34/H34)</f>
        <v>-0.7356132324978496</v>
      </c>
      <c r="O34" s="14"/>
      <c r="P34" s="1">
        <f>SUM(OSRRefP22_1x_0)</f>
        <v>85468.790000000008</v>
      </c>
      <c r="Q34" s="1"/>
      <c r="R34" s="5">
        <f t="shared" ref="R34:R40" si="25">IF(P$12=0,0,P34/P$12)</f>
        <v>0</v>
      </c>
      <c r="S34" s="1"/>
      <c r="T34" s="1">
        <f>SUM(OSRRefT22_1x_0)</f>
        <v>267368.66000000003</v>
      </c>
      <c r="U34" s="1"/>
      <c r="V34" s="5">
        <f t="shared" ref="V34:V40" si="26">IF(T$12=0,0,T34/T$12)</f>
        <v>0.31087960952664917</v>
      </c>
      <c r="W34" s="1"/>
      <c r="X34" s="1">
        <f t="shared" ref="X34:X40" si="27">+P34-T34</f>
        <v>-181899.87000000002</v>
      </c>
      <c r="Y34" s="1"/>
      <c r="Z34" s="5">
        <f t="shared" ref="Z34:Z40" si="28">IF(T34=0,0,X34/T34)</f>
        <v>-0.68033355143418828</v>
      </c>
    </row>
    <row r="35" spans="1:26" s="24" customFormat="1" hidden="1" outlineLevel="2" x14ac:dyDescent="0.25">
      <c r="A35" s="28"/>
      <c r="B35" s="11" t="str">
        <f>CONCATENATE("          ", "6002", " - ", "STAFF SALARIES")</f>
        <v xml:space="preserve">          6002 - STAFF SALARIES</v>
      </c>
      <c r="C35" s="11"/>
      <c r="D35" s="6">
        <v>5277.11</v>
      </c>
      <c r="E35" s="2"/>
      <c r="F35" s="7">
        <f t="shared" si="21"/>
        <v>-0.42065008493335659</v>
      </c>
      <c r="G35" s="2"/>
      <c r="H35" s="6">
        <v>10827.1</v>
      </c>
      <c r="I35" s="2"/>
      <c r="J35" s="7">
        <f t="shared" si="22"/>
        <v>2.7483758599129694E-2</v>
      </c>
      <c r="K35" s="2"/>
      <c r="L35" s="6">
        <f t="shared" si="23"/>
        <v>-5549.9900000000007</v>
      </c>
      <c r="M35" s="2"/>
      <c r="N35" s="7">
        <f t="shared" si="24"/>
        <v>-0.51260171236988672</v>
      </c>
      <c r="O35" s="11"/>
      <c r="P35" s="6">
        <v>18688.599999999999</v>
      </c>
      <c r="Q35" s="2"/>
      <c r="R35" s="7">
        <f t="shared" si="25"/>
        <v>0</v>
      </c>
      <c r="S35" s="2"/>
      <c r="T35" s="6">
        <v>40841.24</v>
      </c>
      <c r="U35" s="2"/>
      <c r="V35" s="7">
        <f t="shared" si="26"/>
        <v>4.7487647743696522E-2</v>
      </c>
      <c r="W35" s="2"/>
      <c r="X35" s="6">
        <f t="shared" si="27"/>
        <v>-22152.639999999999</v>
      </c>
      <c r="Y35" s="2"/>
      <c r="Z35" s="7">
        <f t="shared" si="28"/>
        <v>-0.54240860463590235</v>
      </c>
    </row>
    <row r="36" spans="1:26" s="24" customFormat="1" hidden="1" outlineLevel="2" x14ac:dyDescent="0.25">
      <c r="A36" s="28"/>
      <c r="B36" s="11" t="str">
        <f>CONCATENATE("          ", "6004", " - ", "STAFF HOURLY")</f>
        <v xml:space="preserve">          6004 - STAFF HOURLY</v>
      </c>
      <c r="C36" s="11"/>
      <c r="D36" s="6">
        <v>24686.76</v>
      </c>
      <c r="E36" s="2"/>
      <c r="F36" s="7">
        <f t="shared" si="21"/>
        <v>-1.9678361244562632</v>
      </c>
      <c r="G36" s="2"/>
      <c r="H36" s="6">
        <v>35167.910000000003</v>
      </c>
      <c r="I36" s="2"/>
      <c r="J36" s="7">
        <f t="shared" si="22"/>
        <v>8.9271028149358486E-2</v>
      </c>
      <c r="K36" s="2"/>
      <c r="L36" s="6">
        <f t="shared" si="23"/>
        <v>-10481.150000000005</v>
      </c>
      <c r="M36" s="2"/>
      <c r="N36" s="7">
        <f t="shared" si="24"/>
        <v>-0.29803164305186186</v>
      </c>
      <c r="O36" s="11"/>
      <c r="P36" s="6">
        <v>66780.19</v>
      </c>
      <c r="Q36" s="2"/>
      <c r="R36" s="7">
        <f t="shared" si="25"/>
        <v>0</v>
      </c>
      <c r="S36" s="2"/>
      <c r="T36" s="6">
        <v>85270.099999999991</v>
      </c>
      <c r="U36" s="2"/>
      <c r="V36" s="7">
        <f t="shared" si="26"/>
        <v>9.9146756363660271E-2</v>
      </c>
      <c r="W36" s="2"/>
      <c r="X36" s="6">
        <f t="shared" si="27"/>
        <v>-18489.909999999989</v>
      </c>
      <c r="Y36" s="2"/>
      <c r="Z36" s="7">
        <f t="shared" si="28"/>
        <v>-0.21683931413238627</v>
      </c>
    </row>
    <row r="37" spans="1:26" s="24" customFormat="1" hidden="1" outlineLevel="2" x14ac:dyDescent="0.25">
      <c r="A37" s="28"/>
      <c r="B37" s="11" t="str">
        <f>CONCATENATE("          ", "6005", " - ", "TEMPORARY WAGES-HOURLY")</f>
        <v xml:space="preserve">          6005 - TEMPORARY WAGES-HOURLY</v>
      </c>
      <c r="C37" s="11"/>
      <c r="D37" s="6"/>
      <c r="E37" s="2"/>
      <c r="F37" s="7">
        <f t="shared" si="21"/>
        <v>0</v>
      </c>
      <c r="G37" s="2"/>
      <c r="H37" s="6">
        <v>24317.649999999998</v>
      </c>
      <c r="I37" s="2"/>
      <c r="J37" s="7">
        <f t="shared" si="22"/>
        <v>6.1728479675825121E-2</v>
      </c>
      <c r="K37" s="2"/>
      <c r="L37" s="6">
        <f t="shared" si="23"/>
        <v>-24317.649999999998</v>
      </c>
      <c r="M37" s="2"/>
      <c r="N37" s="7">
        <f t="shared" si="24"/>
        <v>-1</v>
      </c>
      <c r="O37" s="11"/>
      <c r="P37" s="6"/>
      <c r="Q37" s="2"/>
      <c r="R37" s="7">
        <f t="shared" si="25"/>
        <v>0</v>
      </c>
      <c r="S37" s="2"/>
      <c r="T37" s="6">
        <v>46900.780000000006</v>
      </c>
      <c r="U37" s="2"/>
      <c r="V37" s="7">
        <f t="shared" si="26"/>
        <v>5.4533303091302013E-2</v>
      </c>
      <c r="W37" s="2"/>
      <c r="X37" s="6">
        <f t="shared" si="27"/>
        <v>-46900.780000000006</v>
      </c>
      <c r="Y37" s="2"/>
      <c r="Z37" s="7">
        <f t="shared" si="28"/>
        <v>-1</v>
      </c>
    </row>
    <row r="38" spans="1:26" s="24" customFormat="1" hidden="1" outlineLevel="2" x14ac:dyDescent="0.25">
      <c r="A38" s="28"/>
      <c r="B38" s="11" t="str">
        <f>CONCATENATE("          ", "6006", " - ", "TEMPORARY PART TIME")</f>
        <v xml:space="preserve">          6006 - TEMPORARY PART TIME</v>
      </c>
      <c r="C38" s="11"/>
      <c r="D38" s="6"/>
      <c r="E38" s="2"/>
      <c r="F38" s="7">
        <f t="shared" si="21"/>
        <v>0</v>
      </c>
      <c r="G38" s="2"/>
      <c r="H38" s="6">
        <v>3497.06</v>
      </c>
      <c r="I38" s="2"/>
      <c r="J38" s="7">
        <f t="shared" si="22"/>
        <v>8.8770171926621615E-3</v>
      </c>
      <c r="K38" s="2"/>
      <c r="L38" s="6">
        <f t="shared" si="23"/>
        <v>-3497.06</v>
      </c>
      <c r="M38" s="2"/>
      <c r="N38" s="7">
        <f t="shared" si="24"/>
        <v>-1</v>
      </c>
      <c r="O38" s="11"/>
      <c r="P38" s="6"/>
      <c r="Q38" s="2"/>
      <c r="R38" s="7">
        <f t="shared" si="25"/>
        <v>0</v>
      </c>
      <c r="S38" s="2"/>
      <c r="T38" s="6">
        <v>7804.22</v>
      </c>
      <c r="U38" s="2"/>
      <c r="V38" s="7">
        <f t="shared" si="26"/>
        <v>9.074260484606033E-3</v>
      </c>
      <c r="W38" s="2"/>
      <c r="X38" s="6">
        <f t="shared" si="27"/>
        <v>-7804.22</v>
      </c>
      <c r="Y38" s="2"/>
      <c r="Z38" s="7">
        <f t="shared" si="28"/>
        <v>-1</v>
      </c>
    </row>
    <row r="39" spans="1:26" s="24" customFormat="1" hidden="1" outlineLevel="2" x14ac:dyDescent="0.25">
      <c r="A39" s="28"/>
      <c r="B39" s="11" t="str">
        <f>CONCATENATE("          ", "6007", " - ", "STUDENT HOURLY")</f>
        <v xml:space="preserve">          6007 - STUDENT HOURLY</v>
      </c>
      <c r="C39" s="11"/>
      <c r="D39" s="6">
        <v>-3273</v>
      </c>
      <c r="E39" s="2"/>
      <c r="F39" s="7">
        <f t="shared" si="21"/>
        <v>0.26089805366704055</v>
      </c>
      <c r="G39" s="2"/>
      <c r="H39" s="6">
        <v>14526.16</v>
      </c>
      <c r="I39" s="2"/>
      <c r="J39" s="7">
        <f t="shared" si="22"/>
        <v>3.6873537217937749E-2</v>
      </c>
      <c r="K39" s="2"/>
      <c r="L39" s="6">
        <f t="shared" si="23"/>
        <v>-17799.16</v>
      </c>
      <c r="M39" s="2"/>
      <c r="N39" s="7">
        <f t="shared" si="24"/>
        <v>-1.2253176338412906</v>
      </c>
      <c r="O39" s="11"/>
      <c r="P39" s="6">
        <v>0</v>
      </c>
      <c r="Q39" s="2"/>
      <c r="R39" s="7">
        <f t="shared" si="25"/>
        <v>0</v>
      </c>
      <c r="S39" s="2"/>
      <c r="T39" s="6">
        <v>59127.82</v>
      </c>
      <c r="U39" s="2"/>
      <c r="V39" s="7">
        <f t="shared" si="26"/>
        <v>6.8750142944060816E-2</v>
      </c>
      <c r="W39" s="2"/>
      <c r="X39" s="6">
        <f t="shared" si="27"/>
        <v>-59127.82</v>
      </c>
      <c r="Y39" s="2"/>
      <c r="Z39" s="7">
        <f t="shared" si="28"/>
        <v>-1</v>
      </c>
    </row>
    <row r="40" spans="1:26" s="24" customFormat="1" hidden="1" outlineLevel="2" x14ac:dyDescent="0.25">
      <c r="A40" s="28"/>
      <c r="B40" s="11" t="str">
        <f>CONCATENATE("          ", "6008", " - ", "STUDENT HOURLY-FICA EXEMPT")</f>
        <v xml:space="preserve">          6008 - STUDENT HOURLY-FICA EXEMPT</v>
      </c>
      <c r="C40" s="11"/>
      <c r="D40" s="6"/>
      <c r="E40" s="2"/>
      <c r="F40" s="7">
        <f t="shared" si="21"/>
        <v>0</v>
      </c>
      <c r="G40" s="2"/>
      <c r="H40" s="6">
        <v>12618</v>
      </c>
      <c r="I40" s="2"/>
      <c r="J40" s="7">
        <f t="shared" si="22"/>
        <v>3.2029820173806324E-2</v>
      </c>
      <c r="K40" s="2"/>
      <c r="L40" s="6">
        <f t="shared" si="23"/>
        <v>-12618</v>
      </c>
      <c r="M40" s="2"/>
      <c r="N40" s="7">
        <f t="shared" si="24"/>
        <v>-1</v>
      </c>
      <c r="O40" s="11"/>
      <c r="P40" s="6"/>
      <c r="Q40" s="2"/>
      <c r="R40" s="7">
        <f t="shared" si="25"/>
        <v>0</v>
      </c>
      <c r="S40" s="2"/>
      <c r="T40" s="6">
        <v>27424.5</v>
      </c>
      <c r="U40" s="2"/>
      <c r="V40" s="7">
        <f t="shared" si="26"/>
        <v>3.1887498899323463E-2</v>
      </c>
      <c r="W40" s="2"/>
      <c r="X40" s="6">
        <f t="shared" si="27"/>
        <v>-27424.5</v>
      </c>
      <c r="Y40" s="2"/>
      <c r="Z40" s="7">
        <f t="shared" si="28"/>
        <v>-1</v>
      </c>
    </row>
    <row r="41" spans="1:26" s="29" customFormat="1" outlineLevel="1" collapsed="1" x14ac:dyDescent="0.25">
      <c r="A41" s="27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SUM(OSRRefD22_2x_0)</f>
        <v>0</v>
      </c>
      <c r="E41" s="1"/>
      <c r="F41" s="5">
        <f t="shared" ref="F41:F66" si="29">IF(D$12=0,0,D41/D$12)</f>
        <v>0</v>
      </c>
      <c r="G41" s="1"/>
      <c r="H41" s="1">
        <f>SUM(OSRRefH22_2x_0)</f>
        <v>103.5</v>
      </c>
      <c r="I41" s="1"/>
      <c r="J41" s="5">
        <f t="shared" ref="J41:J66" si="30">IF(H$12=0,0,H41/H$12)</f>
        <v>2.6272677032722737E-4</v>
      </c>
      <c r="K41" s="1"/>
      <c r="L41" s="1">
        <f t="shared" ref="L41:L66" si="31">+D41-H41</f>
        <v>-103.5</v>
      </c>
      <c r="M41" s="1"/>
      <c r="N41" s="5">
        <f t="shared" ref="N41:N66" si="32">IF(H41=0,0,L41/H41)</f>
        <v>-1</v>
      </c>
      <c r="O41" s="14"/>
      <c r="P41" s="1">
        <f>SUM(OSRRefP22_2x_0)</f>
        <v>0</v>
      </c>
      <c r="Q41" s="1"/>
      <c r="R41" s="5">
        <f t="shared" ref="R41:R66" si="33">IF(P$12=0,0,P41/P$12)</f>
        <v>0</v>
      </c>
      <c r="S41" s="1"/>
      <c r="T41" s="1">
        <f>SUM(OSRRefT22_2x_0)</f>
        <v>2755.31</v>
      </c>
      <c r="U41" s="1"/>
      <c r="V41" s="5">
        <f t="shared" ref="V41:V66" si="34">IF(T$12=0,0,T41/T$12)</f>
        <v>3.2037026962130548E-3</v>
      </c>
      <c r="W41" s="1"/>
      <c r="X41" s="1">
        <f t="shared" ref="X41:X66" si="35">+P41-T41</f>
        <v>-2755.31</v>
      </c>
      <c r="Y41" s="1"/>
      <c r="Z41" s="5">
        <f t="shared" ref="Z41:Z66" si="36">IF(T41=0,0,X41/T41)</f>
        <v>-1</v>
      </c>
    </row>
    <row r="42" spans="1:26" s="24" customFormat="1" hidden="1" outlineLevel="2" x14ac:dyDescent="0.25">
      <c r="A42" s="28"/>
      <c r="B42" s="11" t="str">
        <f>CONCATENATE("          ", "6362", " - ", "ADVERTISING EXPENSE")</f>
        <v xml:space="preserve">          6362 - ADVERTISING EXPENSE</v>
      </c>
      <c r="C42" s="11"/>
      <c r="D42" s="6"/>
      <c r="E42" s="2"/>
      <c r="F42" s="7">
        <f t="shared" si="29"/>
        <v>0</v>
      </c>
      <c r="G42" s="2"/>
      <c r="H42" s="6">
        <v>103.5</v>
      </c>
      <c r="I42" s="2"/>
      <c r="J42" s="7">
        <f t="shared" si="30"/>
        <v>2.6272677032722737E-4</v>
      </c>
      <c r="K42" s="2"/>
      <c r="L42" s="6">
        <f t="shared" si="31"/>
        <v>-103.5</v>
      </c>
      <c r="M42" s="2"/>
      <c r="N42" s="7">
        <f t="shared" si="32"/>
        <v>-1</v>
      </c>
      <c r="O42" s="11"/>
      <c r="P42" s="6"/>
      <c r="Q42" s="2"/>
      <c r="R42" s="7">
        <f t="shared" si="33"/>
        <v>0</v>
      </c>
      <c r="S42" s="2"/>
      <c r="T42" s="6">
        <v>2755.31</v>
      </c>
      <c r="U42" s="2"/>
      <c r="V42" s="7">
        <f t="shared" si="34"/>
        <v>3.2037026962130548E-3</v>
      </c>
      <c r="W42" s="2"/>
      <c r="X42" s="6">
        <f t="shared" si="35"/>
        <v>-2755.31</v>
      </c>
      <c r="Y42" s="2"/>
      <c r="Z42" s="7">
        <f t="shared" si="36"/>
        <v>-1</v>
      </c>
    </row>
    <row r="43" spans="1:26" s="29" customFormat="1" outlineLevel="1" collapsed="1" x14ac:dyDescent="0.25">
      <c r="A43" s="27"/>
      <c r="B43" s="14" t="str">
        <f>CONCATENATE("     ","Bad Debts/Over/Short                              ")</f>
        <v xml:space="preserve">     Bad Debts/Over/Short                              </v>
      </c>
      <c r="C43" s="14"/>
      <c r="D43" s="1">
        <f>SUM(OSRRefD22_3x_0)</f>
        <v>0</v>
      </c>
      <c r="E43" s="1"/>
      <c r="F43" s="5">
        <f t="shared" si="29"/>
        <v>0</v>
      </c>
      <c r="G43" s="1"/>
      <c r="H43" s="1">
        <f>SUM(OSRRefH22_3x_0)</f>
        <v>0</v>
      </c>
      <c r="I43" s="1"/>
      <c r="J43" s="5">
        <f t="shared" si="30"/>
        <v>0</v>
      </c>
      <c r="K43" s="1"/>
      <c r="L43" s="1">
        <f t="shared" si="31"/>
        <v>0</v>
      </c>
      <c r="M43" s="1"/>
      <c r="N43" s="5">
        <f t="shared" si="32"/>
        <v>0</v>
      </c>
      <c r="O43" s="14"/>
      <c r="P43" s="1">
        <f>SUM(OSRRefP22_3x_0)</f>
        <v>29.74</v>
      </c>
      <c r="Q43" s="1"/>
      <c r="R43" s="5">
        <f t="shared" si="33"/>
        <v>0</v>
      </c>
      <c r="S43" s="1"/>
      <c r="T43" s="1">
        <f>SUM(OSRRefT22_3x_0)</f>
        <v>13.33</v>
      </c>
      <c r="U43" s="1"/>
      <c r="V43" s="5">
        <f t="shared" si="34"/>
        <v>1.5499292979926041E-5</v>
      </c>
      <c r="W43" s="1"/>
      <c r="X43" s="1">
        <f t="shared" si="35"/>
        <v>16.409999999999997</v>
      </c>
      <c r="Y43" s="1"/>
      <c r="Z43" s="5">
        <f t="shared" si="36"/>
        <v>1.23105776444111</v>
      </c>
    </row>
    <row r="44" spans="1:26" s="24" customFormat="1" hidden="1" outlineLevel="2" x14ac:dyDescent="0.25">
      <c r="A44" s="28"/>
      <c r="B44" s="11" t="str">
        <f>CONCATENATE("          ", "6272", " - ", "CASH (OVER/SHORT)")</f>
        <v xml:space="preserve">          6272 - CASH (OVER/SHORT)</v>
      </c>
      <c r="C44" s="11"/>
      <c r="D44" s="6"/>
      <c r="E44" s="2"/>
      <c r="F44" s="7">
        <f t="shared" si="29"/>
        <v>0</v>
      </c>
      <c r="G44" s="2"/>
      <c r="H44" s="6"/>
      <c r="I44" s="2"/>
      <c r="J44" s="7">
        <f t="shared" si="30"/>
        <v>0</v>
      </c>
      <c r="K44" s="2"/>
      <c r="L44" s="6">
        <f t="shared" si="31"/>
        <v>0</v>
      </c>
      <c r="M44" s="2"/>
      <c r="N44" s="7">
        <f t="shared" si="32"/>
        <v>0</v>
      </c>
      <c r="O44" s="11"/>
      <c r="P44" s="6">
        <v>29.74</v>
      </c>
      <c r="Q44" s="2"/>
      <c r="R44" s="7">
        <f t="shared" si="33"/>
        <v>0</v>
      </c>
      <c r="S44" s="2"/>
      <c r="T44" s="6">
        <v>13.33</v>
      </c>
      <c r="U44" s="2"/>
      <c r="V44" s="7">
        <f t="shared" si="34"/>
        <v>1.5499292979926041E-5</v>
      </c>
      <c r="W44" s="2"/>
      <c r="X44" s="6">
        <f t="shared" si="35"/>
        <v>16.409999999999997</v>
      </c>
      <c r="Y44" s="2"/>
      <c r="Z44" s="7">
        <f t="shared" si="36"/>
        <v>1.23105776444111</v>
      </c>
    </row>
    <row r="45" spans="1:26" s="29" customFormat="1" outlineLevel="1" collapsed="1" x14ac:dyDescent="0.25">
      <c r="A45" s="27"/>
      <c r="B45" s="14" t="str">
        <f>CONCATENATE("     ","Bank/card Fees                                    ")</f>
        <v xml:space="preserve">     Bank/card Fees                                    </v>
      </c>
      <c r="C45" s="14"/>
      <c r="D45" s="1">
        <f>SUM(OSRRefD22_4x_0)</f>
        <v>0</v>
      </c>
      <c r="E45" s="1"/>
      <c r="F45" s="5">
        <f t="shared" si="29"/>
        <v>0</v>
      </c>
      <c r="G45" s="1"/>
      <c r="H45" s="1">
        <f>SUM(OSRRefH22_4x_0)</f>
        <v>19.829999999999998</v>
      </c>
      <c r="I45" s="1"/>
      <c r="J45" s="5">
        <f t="shared" si="30"/>
        <v>5.0336926140955729E-5</v>
      </c>
      <c r="K45" s="1"/>
      <c r="L45" s="1">
        <f t="shared" si="31"/>
        <v>-19.829999999999998</v>
      </c>
      <c r="M45" s="1"/>
      <c r="N45" s="5">
        <f t="shared" si="32"/>
        <v>-1</v>
      </c>
      <c r="O45" s="14"/>
      <c r="P45" s="1">
        <f>SUM(OSRRefP22_4x_0)</f>
        <v>0</v>
      </c>
      <c r="Q45" s="1"/>
      <c r="R45" s="5">
        <f t="shared" si="33"/>
        <v>0</v>
      </c>
      <c r="S45" s="1"/>
      <c r="T45" s="1">
        <f>SUM(OSRRefT22_4x_0)</f>
        <v>33.630000000000003</v>
      </c>
      <c r="U45" s="1"/>
      <c r="V45" s="5">
        <f t="shared" si="34"/>
        <v>3.9102867435477329E-5</v>
      </c>
      <c r="W45" s="1"/>
      <c r="X45" s="1">
        <f t="shared" si="35"/>
        <v>-33.630000000000003</v>
      </c>
      <c r="Y45" s="1"/>
      <c r="Z45" s="5">
        <f t="shared" si="36"/>
        <v>-1</v>
      </c>
    </row>
    <row r="46" spans="1:26" s="24" customFormat="1" hidden="1" outlineLevel="2" x14ac:dyDescent="0.25">
      <c r="A46" s="28"/>
      <c r="B46" s="11" t="str">
        <f>CONCATENATE("          ", "6381", " - ", "BANK/CREDIT CARD FEES")</f>
        <v xml:space="preserve">          6381 - BANK/CREDIT CARD FEES</v>
      </c>
      <c r="C46" s="11"/>
      <c r="D46" s="6"/>
      <c r="E46" s="2"/>
      <c r="F46" s="7">
        <f t="shared" si="29"/>
        <v>0</v>
      </c>
      <c r="G46" s="2"/>
      <c r="H46" s="6">
        <v>19.829999999999998</v>
      </c>
      <c r="I46" s="2"/>
      <c r="J46" s="7">
        <f t="shared" si="30"/>
        <v>5.0336926140955729E-5</v>
      </c>
      <c r="K46" s="2"/>
      <c r="L46" s="6">
        <f t="shared" si="31"/>
        <v>-19.829999999999998</v>
      </c>
      <c r="M46" s="2"/>
      <c r="N46" s="7">
        <f t="shared" si="32"/>
        <v>-1</v>
      </c>
      <c r="O46" s="11"/>
      <c r="P46" s="6"/>
      <c r="Q46" s="2"/>
      <c r="R46" s="7">
        <f t="shared" si="33"/>
        <v>0</v>
      </c>
      <c r="S46" s="2"/>
      <c r="T46" s="6">
        <v>33.630000000000003</v>
      </c>
      <c r="U46" s="2"/>
      <c r="V46" s="7">
        <f t="shared" si="34"/>
        <v>3.9102867435477329E-5</v>
      </c>
      <c r="W46" s="2"/>
      <c r="X46" s="6">
        <f t="shared" si="35"/>
        <v>-33.630000000000003</v>
      </c>
      <c r="Y46" s="2"/>
      <c r="Z46" s="7">
        <f t="shared" si="36"/>
        <v>-1</v>
      </c>
    </row>
    <row r="47" spans="1:26" s="29" customFormat="1" outlineLevel="1" collapsed="1" x14ac:dyDescent="0.25">
      <c r="A47" s="27"/>
      <c r="B47" s="14" t="str">
        <f>CONCATENATE("     ","Depreciation                                      ")</f>
        <v xml:space="preserve">     Depreciation                                      </v>
      </c>
      <c r="C47" s="14"/>
      <c r="D47" s="1">
        <f>SUM(OSRRefD22_5x_0)</f>
        <v>213.02</v>
      </c>
      <c r="E47" s="1"/>
      <c r="F47" s="5">
        <f t="shared" si="29"/>
        <v>-1.6980294345295747E-2</v>
      </c>
      <c r="G47" s="1"/>
      <c r="H47" s="1">
        <f>SUM(OSRRefH22_5x_0)</f>
        <v>0</v>
      </c>
      <c r="I47" s="1"/>
      <c r="J47" s="5">
        <f t="shared" si="30"/>
        <v>0</v>
      </c>
      <c r="K47" s="1"/>
      <c r="L47" s="1">
        <f t="shared" si="31"/>
        <v>213.02</v>
      </c>
      <c r="M47" s="1"/>
      <c r="N47" s="5">
        <f t="shared" si="32"/>
        <v>0</v>
      </c>
      <c r="O47" s="14"/>
      <c r="P47" s="1">
        <f>SUM(OSRRefP22_5x_0)</f>
        <v>852.08</v>
      </c>
      <c r="Q47" s="1"/>
      <c r="R47" s="5">
        <f t="shared" si="33"/>
        <v>0</v>
      </c>
      <c r="S47" s="1"/>
      <c r="T47" s="1">
        <f>SUM(OSRRefT22_5x_0)</f>
        <v>0</v>
      </c>
      <c r="U47" s="1"/>
      <c r="V47" s="5">
        <f t="shared" si="34"/>
        <v>0</v>
      </c>
      <c r="W47" s="1"/>
      <c r="X47" s="1">
        <f t="shared" si="35"/>
        <v>852.08</v>
      </c>
      <c r="Y47" s="1"/>
      <c r="Z47" s="5">
        <f t="shared" si="36"/>
        <v>0</v>
      </c>
    </row>
    <row r="48" spans="1:26" s="24" customFormat="1" hidden="1" outlineLevel="2" x14ac:dyDescent="0.25">
      <c r="A48" s="28"/>
      <c r="B48" s="11" t="str">
        <f>CONCATENATE("          ", "6322", " - ", "EQUIPMENT DEPRECIATION EXPENSE")</f>
        <v xml:space="preserve">          6322 - EQUIPMENT DEPRECIATION EXPENSE</v>
      </c>
      <c r="C48" s="11"/>
      <c r="D48" s="6">
        <v>213.02</v>
      </c>
      <c r="E48" s="2"/>
      <c r="F48" s="7">
        <f t="shared" si="29"/>
        <v>-1.6980294345295747E-2</v>
      </c>
      <c r="G48" s="2"/>
      <c r="H48" s="6"/>
      <c r="I48" s="2"/>
      <c r="J48" s="7">
        <f t="shared" si="30"/>
        <v>0</v>
      </c>
      <c r="K48" s="2"/>
      <c r="L48" s="6">
        <f t="shared" si="31"/>
        <v>213.02</v>
      </c>
      <c r="M48" s="2"/>
      <c r="N48" s="7">
        <f t="shared" si="32"/>
        <v>0</v>
      </c>
      <c r="O48" s="11"/>
      <c r="P48" s="6">
        <v>852.08</v>
      </c>
      <c r="Q48" s="2"/>
      <c r="R48" s="7">
        <f t="shared" si="33"/>
        <v>0</v>
      </c>
      <c r="S48" s="2"/>
      <c r="T48" s="6"/>
      <c r="U48" s="2"/>
      <c r="V48" s="7">
        <f t="shared" si="34"/>
        <v>0</v>
      </c>
      <c r="W48" s="2"/>
      <c r="X48" s="6">
        <f t="shared" si="35"/>
        <v>852.08</v>
      </c>
      <c r="Y48" s="2"/>
      <c r="Z48" s="7">
        <f t="shared" si="36"/>
        <v>0</v>
      </c>
    </row>
    <row r="49" spans="1:26" s="29" customFormat="1" outlineLevel="1" collapsed="1" x14ac:dyDescent="0.25">
      <c r="A49" s="27"/>
      <c r="B49" s="14" t="str">
        <f>CONCATENATE("     ","Donations                                         ")</f>
        <v xml:space="preserve">     Donations                                         </v>
      </c>
      <c r="C49" s="14"/>
      <c r="D49" s="1">
        <f>SUM(OSRRefD22_6x_0)</f>
        <v>0</v>
      </c>
      <c r="E49" s="1"/>
      <c r="F49" s="5">
        <f t="shared" si="29"/>
        <v>0</v>
      </c>
      <c r="G49" s="1"/>
      <c r="H49" s="1">
        <f>SUM(OSRRefH22_6x_0)</f>
        <v>4007.34</v>
      </c>
      <c r="I49" s="1"/>
      <c r="J49" s="5">
        <f t="shared" si="30"/>
        <v>1.0172323630947935E-2</v>
      </c>
      <c r="K49" s="1"/>
      <c r="L49" s="1">
        <f t="shared" si="31"/>
        <v>-4007.34</v>
      </c>
      <c r="M49" s="1"/>
      <c r="N49" s="5">
        <f t="shared" si="32"/>
        <v>-1</v>
      </c>
      <c r="O49" s="14"/>
      <c r="P49" s="1">
        <f>SUM(OSRRefP22_6x_0)</f>
        <v>0</v>
      </c>
      <c r="Q49" s="1"/>
      <c r="R49" s="5">
        <f t="shared" si="33"/>
        <v>0</v>
      </c>
      <c r="S49" s="1"/>
      <c r="T49" s="1">
        <f>SUM(OSRRefT22_6x_0)</f>
        <v>9040.27</v>
      </c>
      <c r="U49" s="1"/>
      <c r="V49" s="5">
        <f t="shared" si="34"/>
        <v>1.0511462366664366E-2</v>
      </c>
      <c r="W49" s="1"/>
      <c r="X49" s="1">
        <f t="shared" si="35"/>
        <v>-9040.27</v>
      </c>
      <c r="Y49" s="1"/>
      <c r="Z49" s="5">
        <f t="shared" si="36"/>
        <v>-1</v>
      </c>
    </row>
    <row r="50" spans="1:26" s="24" customFormat="1" hidden="1" outlineLevel="2" x14ac:dyDescent="0.25">
      <c r="A50" s="28"/>
      <c r="B50" s="11" t="str">
        <f>CONCATENATE("          ", "6399", " - ", "DONATION-ON CAMPUS")</f>
        <v xml:space="preserve">          6399 - DONATION-ON CAMPUS</v>
      </c>
      <c r="C50" s="11"/>
      <c r="D50" s="6"/>
      <c r="E50" s="2"/>
      <c r="F50" s="7">
        <f t="shared" si="29"/>
        <v>0</v>
      </c>
      <c r="G50" s="2"/>
      <c r="H50" s="6">
        <v>4007.34</v>
      </c>
      <c r="I50" s="2"/>
      <c r="J50" s="7">
        <f t="shared" si="30"/>
        <v>1.0172323630947935E-2</v>
      </c>
      <c r="K50" s="2"/>
      <c r="L50" s="6">
        <f t="shared" si="31"/>
        <v>-4007.34</v>
      </c>
      <c r="M50" s="2"/>
      <c r="N50" s="7">
        <f t="shared" si="32"/>
        <v>-1</v>
      </c>
      <c r="O50" s="11"/>
      <c r="P50" s="6"/>
      <c r="Q50" s="2"/>
      <c r="R50" s="7">
        <f t="shared" si="33"/>
        <v>0</v>
      </c>
      <c r="S50" s="2"/>
      <c r="T50" s="6">
        <v>9040.27</v>
      </c>
      <c r="U50" s="2"/>
      <c r="V50" s="7">
        <f t="shared" si="34"/>
        <v>1.0511462366664366E-2</v>
      </c>
      <c r="W50" s="2"/>
      <c r="X50" s="6">
        <f t="shared" si="35"/>
        <v>-9040.27</v>
      </c>
      <c r="Y50" s="2"/>
      <c r="Z50" s="7">
        <f t="shared" si="36"/>
        <v>-1</v>
      </c>
    </row>
    <row r="51" spans="1:26" s="29" customFormat="1" outlineLevel="1" collapsed="1" x14ac:dyDescent="0.25">
      <c r="A51" s="27"/>
      <c r="B51" s="14" t="str">
        <f>CONCATENATE("     ","Employees' Appreciation                           ")</f>
        <v xml:space="preserve">     Employees' Appreciation                           </v>
      </c>
      <c r="C51" s="14"/>
      <c r="D51" s="1">
        <f>SUM(OSRRefD22_7x_0)</f>
        <v>0</v>
      </c>
      <c r="E51" s="1"/>
      <c r="F51" s="5">
        <f t="shared" si="29"/>
        <v>0</v>
      </c>
      <c r="G51" s="1"/>
      <c r="H51" s="1">
        <f>SUM(OSRRefH22_7x_0)</f>
        <v>0</v>
      </c>
      <c r="I51" s="1"/>
      <c r="J51" s="5">
        <f t="shared" si="30"/>
        <v>0</v>
      </c>
      <c r="K51" s="1"/>
      <c r="L51" s="1">
        <f t="shared" si="31"/>
        <v>0</v>
      </c>
      <c r="M51" s="1"/>
      <c r="N51" s="5">
        <f t="shared" si="32"/>
        <v>0</v>
      </c>
      <c r="O51" s="14"/>
      <c r="P51" s="1">
        <f>SUM(OSRRefP22_7x_0)</f>
        <v>0</v>
      </c>
      <c r="Q51" s="1"/>
      <c r="R51" s="5">
        <f t="shared" si="33"/>
        <v>0</v>
      </c>
      <c r="S51" s="1"/>
      <c r="T51" s="1">
        <f>SUM(OSRRefT22_7x_0)</f>
        <v>21.34</v>
      </c>
      <c r="U51" s="1"/>
      <c r="V51" s="5">
        <f t="shared" si="34"/>
        <v>2.4812821619776574E-5</v>
      </c>
      <c r="W51" s="1"/>
      <c r="X51" s="1">
        <f t="shared" si="35"/>
        <v>-21.34</v>
      </c>
      <c r="Y51" s="1"/>
      <c r="Z51" s="5">
        <f t="shared" si="36"/>
        <v>-1</v>
      </c>
    </row>
    <row r="52" spans="1:26" s="24" customFormat="1" hidden="1" outlineLevel="2" x14ac:dyDescent="0.25">
      <c r="A52" s="28"/>
      <c r="B52" s="11" t="str">
        <f>CONCATENATE("          ", "6277", " - ", "EMPLOYEE APPRECIATION")</f>
        <v xml:space="preserve">          6277 - EMPLOYEE APPRECIATION</v>
      </c>
      <c r="C52" s="11"/>
      <c r="D52" s="6"/>
      <c r="E52" s="2"/>
      <c r="F52" s="7">
        <f t="shared" si="29"/>
        <v>0</v>
      </c>
      <c r="G52" s="2"/>
      <c r="H52" s="6"/>
      <c r="I52" s="2"/>
      <c r="J52" s="7">
        <f t="shared" si="30"/>
        <v>0</v>
      </c>
      <c r="K52" s="2"/>
      <c r="L52" s="6">
        <f t="shared" si="31"/>
        <v>0</v>
      </c>
      <c r="M52" s="2"/>
      <c r="N52" s="7">
        <f t="shared" si="32"/>
        <v>0</v>
      </c>
      <c r="O52" s="11"/>
      <c r="P52" s="6"/>
      <c r="Q52" s="2"/>
      <c r="R52" s="7">
        <f t="shared" si="33"/>
        <v>0</v>
      </c>
      <c r="S52" s="2"/>
      <c r="T52" s="6">
        <v>21.34</v>
      </c>
      <c r="U52" s="2"/>
      <c r="V52" s="7">
        <f t="shared" si="34"/>
        <v>2.4812821619776574E-5</v>
      </c>
      <c r="W52" s="2"/>
      <c r="X52" s="6">
        <f t="shared" si="35"/>
        <v>-21.34</v>
      </c>
      <c r="Y52" s="2"/>
      <c r="Z52" s="7">
        <f t="shared" si="36"/>
        <v>-1</v>
      </c>
    </row>
    <row r="53" spans="1:26" s="29" customFormat="1" outlineLevel="1" collapsed="1" x14ac:dyDescent="0.25">
      <c r="A53" s="27"/>
      <c r="B53" s="14" t="str">
        <f>CONCATENATE("     ","Equipment Rental                                  ")</f>
        <v xml:space="preserve">     Equipment Rental                                  </v>
      </c>
      <c r="C53" s="14"/>
      <c r="D53" s="1">
        <f>SUM(OSRRefD22_8x_0)</f>
        <v>0</v>
      </c>
      <c r="E53" s="1"/>
      <c r="F53" s="5">
        <f t="shared" si="29"/>
        <v>0</v>
      </c>
      <c r="G53" s="1"/>
      <c r="H53" s="1">
        <f>SUM(OSRRefH22_8x_0)</f>
        <v>0</v>
      </c>
      <c r="I53" s="1"/>
      <c r="J53" s="5">
        <f t="shared" si="30"/>
        <v>0</v>
      </c>
      <c r="K53" s="1"/>
      <c r="L53" s="1">
        <f t="shared" si="31"/>
        <v>0</v>
      </c>
      <c r="M53" s="1"/>
      <c r="N53" s="5">
        <f t="shared" si="32"/>
        <v>0</v>
      </c>
      <c r="O53" s="14"/>
      <c r="P53" s="1">
        <f>SUM(OSRRefP22_8x_0)</f>
        <v>20</v>
      </c>
      <c r="Q53" s="1"/>
      <c r="R53" s="5">
        <f t="shared" si="33"/>
        <v>0</v>
      </c>
      <c r="S53" s="1"/>
      <c r="T53" s="1">
        <f>SUM(OSRRefT22_8x_0)</f>
        <v>0.01</v>
      </c>
      <c r="U53" s="1"/>
      <c r="V53" s="5">
        <f t="shared" si="34"/>
        <v>1.1627376579089304E-8</v>
      </c>
      <c r="W53" s="1"/>
      <c r="X53" s="1">
        <f t="shared" si="35"/>
        <v>19.989999999999998</v>
      </c>
      <c r="Y53" s="1"/>
      <c r="Z53" s="5">
        <f t="shared" si="36"/>
        <v>1998.9999999999998</v>
      </c>
    </row>
    <row r="54" spans="1:26" s="24" customFormat="1" hidden="1" outlineLevel="2" x14ac:dyDescent="0.25">
      <c r="A54" s="28"/>
      <c r="B54" s="11" t="str">
        <f>CONCATENATE("          ", "6351", " - ", "EQUIPMENT RENTAL")</f>
        <v xml:space="preserve">          6351 - EQUIPMENT RENTAL</v>
      </c>
      <c r="C54" s="11"/>
      <c r="D54" s="6"/>
      <c r="E54" s="2"/>
      <c r="F54" s="7">
        <f t="shared" si="29"/>
        <v>0</v>
      </c>
      <c r="G54" s="2"/>
      <c r="H54" s="6"/>
      <c r="I54" s="2"/>
      <c r="J54" s="7">
        <f t="shared" si="30"/>
        <v>0</v>
      </c>
      <c r="K54" s="2"/>
      <c r="L54" s="6">
        <f t="shared" si="31"/>
        <v>0</v>
      </c>
      <c r="M54" s="2"/>
      <c r="N54" s="7">
        <f t="shared" si="32"/>
        <v>0</v>
      </c>
      <c r="O54" s="11"/>
      <c r="P54" s="6">
        <v>20</v>
      </c>
      <c r="Q54" s="2"/>
      <c r="R54" s="7">
        <f t="shared" si="33"/>
        <v>0</v>
      </c>
      <c r="S54" s="2"/>
      <c r="T54" s="6">
        <v>0.01</v>
      </c>
      <c r="U54" s="2"/>
      <c r="V54" s="7">
        <f t="shared" si="34"/>
        <v>1.1627376579089304E-8</v>
      </c>
      <c r="W54" s="2"/>
      <c r="X54" s="6">
        <f t="shared" si="35"/>
        <v>19.989999999999998</v>
      </c>
      <c r="Y54" s="2"/>
      <c r="Z54" s="7">
        <f t="shared" si="36"/>
        <v>1998.9999999999998</v>
      </c>
    </row>
    <row r="55" spans="1:26" s="29" customFormat="1" outlineLevel="1" collapsed="1" x14ac:dyDescent="0.25">
      <c r="A55" s="27"/>
      <c r="B55" s="14" t="str">
        <f>CONCATENATE("     ","General                                           ")</f>
        <v xml:space="preserve">     General                                           </v>
      </c>
      <c r="C55" s="14"/>
      <c r="D55" s="1">
        <f>SUM(OSRRefD22_9x_0)</f>
        <v>0</v>
      </c>
      <c r="E55" s="1"/>
      <c r="F55" s="5">
        <f t="shared" si="29"/>
        <v>0</v>
      </c>
      <c r="G55" s="1"/>
      <c r="H55" s="1">
        <f>SUM(OSRRefH22_9x_0)</f>
        <v>0</v>
      </c>
      <c r="I55" s="1"/>
      <c r="J55" s="5">
        <f t="shared" si="30"/>
        <v>0</v>
      </c>
      <c r="K55" s="1"/>
      <c r="L55" s="1">
        <f t="shared" si="31"/>
        <v>0</v>
      </c>
      <c r="M55" s="1"/>
      <c r="N55" s="5">
        <f t="shared" si="32"/>
        <v>0</v>
      </c>
      <c r="O55" s="14"/>
      <c r="P55" s="1">
        <f>SUM(OSRRefP22_9x_0)</f>
        <v>1439.55</v>
      </c>
      <c r="Q55" s="1"/>
      <c r="R55" s="5">
        <f t="shared" si="33"/>
        <v>0</v>
      </c>
      <c r="S55" s="1"/>
      <c r="T55" s="1">
        <f>SUM(OSRRefT22_9x_0)</f>
        <v>1517.11</v>
      </c>
      <c r="U55" s="1"/>
      <c r="V55" s="5">
        <f t="shared" si="34"/>
        <v>1.7640009281902173E-3</v>
      </c>
      <c r="W55" s="1"/>
      <c r="X55" s="1">
        <f t="shared" si="35"/>
        <v>-77.559999999999945</v>
      </c>
      <c r="Y55" s="1"/>
      <c r="Z55" s="5">
        <f t="shared" si="36"/>
        <v>-5.1123517740967996E-2</v>
      </c>
    </row>
    <row r="56" spans="1:26" s="24" customFormat="1" hidden="1" outlineLevel="2" x14ac:dyDescent="0.25">
      <c r="A56" s="28"/>
      <c r="B56" s="11" t="str">
        <f>CONCATENATE("          ", "6279", " - ", "GENERAL EXPENSE")</f>
        <v xml:space="preserve">          6279 - GENERAL EXPENSE</v>
      </c>
      <c r="C56" s="11"/>
      <c r="D56" s="6"/>
      <c r="E56" s="2"/>
      <c r="F56" s="7">
        <f t="shared" si="29"/>
        <v>0</v>
      </c>
      <c r="G56" s="2"/>
      <c r="H56" s="6"/>
      <c r="I56" s="2"/>
      <c r="J56" s="7">
        <f t="shared" si="30"/>
        <v>0</v>
      </c>
      <c r="K56" s="2"/>
      <c r="L56" s="6">
        <f t="shared" si="31"/>
        <v>0</v>
      </c>
      <c r="M56" s="2"/>
      <c r="N56" s="7">
        <f t="shared" si="32"/>
        <v>0</v>
      </c>
      <c r="O56" s="11"/>
      <c r="P56" s="6">
        <v>1439.55</v>
      </c>
      <c r="Q56" s="2"/>
      <c r="R56" s="7">
        <f t="shared" si="33"/>
        <v>0</v>
      </c>
      <c r="S56" s="2"/>
      <c r="T56" s="6">
        <v>1517.11</v>
      </c>
      <c r="U56" s="2"/>
      <c r="V56" s="7">
        <f t="shared" si="34"/>
        <v>1.7640009281902173E-3</v>
      </c>
      <c r="W56" s="2"/>
      <c r="X56" s="6">
        <f t="shared" si="35"/>
        <v>-77.559999999999945</v>
      </c>
      <c r="Y56" s="2"/>
      <c r="Z56" s="7">
        <f t="shared" si="36"/>
        <v>-5.1123517740967996E-2</v>
      </c>
    </row>
    <row r="57" spans="1:26" s="29" customFormat="1" outlineLevel="1" collapsed="1" x14ac:dyDescent="0.25">
      <c r="A57" s="27"/>
      <c r="B57" s="14" t="str">
        <f>CONCATENATE("     ","Insurance                                         ")</f>
        <v xml:space="preserve">     Insurance                                         </v>
      </c>
      <c r="C57" s="14"/>
      <c r="D57" s="1">
        <f>SUM(OSRRefD22_10x_0)</f>
        <v>5.9</v>
      </c>
      <c r="E57" s="1"/>
      <c r="F57" s="5">
        <f t="shared" si="29"/>
        <v>-4.7030202158128301E-4</v>
      </c>
      <c r="G57" s="1"/>
      <c r="H57" s="1">
        <f>SUM(OSRRefH22_10x_0)</f>
        <v>5.9</v>
      </c>
      <c r="I57" s="1"/>
      <c r="J57" s="5">
        <f t="shared" si="30"/>
        <v>1.4976695120102817E-5</v>
      </c>
      <c r="K57" s="1"/>
      <c r="L57" s="1">
        <f t="shared" si="31"/>
        <v>0</v>
      </c>
      <c r="M57" s="1"/>
      <c r="N57" s="5">
        <f t="shared" si="32"/>
        <v>0</v>
      </c>
      <c r="O57" s="14"/>
      <c r="P57" s="1">
        <f>SUM(OSRRefP22_10x_0)</f>
        <v>23.6</v>
      </c>
      <c r="Q57" s="1"/>
      <c r="R57" s="5">
        <f t="shared" si="33"/>
        <v>0</v>
      </c>
      <c r="S57" s="1"/>
      <c r="T57" s="1">
        <f>SUM(OSRRefT22_10x_0)</f>
        <v>23.6</v>
      </c>
      <c r="U57" s="1"/>
      <c r="V57" s="5">
        <f t="shared" si="34"/>
        <v>2.7440608726650759E-5</v>
      </c>
      <c r="W57" s="1"/>
      <c r="X57" s="1">
        <f t="shared" si="35"/>
        <v>0</v>
      </c>
      <c r="Y57" s="1"/>
      <c r="Z57" s="5">
        <f t="shared" si="36"/>
        <v>0</v>
      </c>
    </row>
    <row r="58" spans="1:26" s="24" customFormat="1" hidden="1" outlineLevel="2" x14ac:dyDescent="0.25">
      <c r="A58" s="28"/>
      <c r="B58" s="11" t="str">
        <f>CONCATENATE("          ", "6314", " - ", "LIABILITY INSURANCE")</f>
        <v xml:space="preserve">          6314 - LIABILITY INSURANCE</v>
      </c>
      <c r="C58" s="11"/>
      <c r="D58" s="6">
        <v>5.9</v>
      </c>
      <c r="E58" s="2"/>
      <c r="F58" s="7">
        <f t="shared" si="29"/>
        <v>-4.7030202158128301E-4</v>
      </c>
      <c r="G58" s="2"/>
      <c r="H58" s="6">
        <v>5.9</v>
      </c>
      <c r="I58" s="2"/>
      <c r="J58" s="7">
        <f t="shared" si="30"/>
        <v>1.4976695120102817E-5</v>
      </c>
      <c r="K58" s="2"/>
      <c r="L58" s="6">
        <f t="shared" si="31"/>
        <v>0</v>
      </c>
      <c r="M58" s="2"/>
      <c r="N58" s="7">
        <f t="shared" si="32"/>
        <v>0</v>
      </c>
      <c r="O58" s="11"/>
      <c r="P58" s="6">
        <v>23.6</v>
      </c>
      <c r="Q58" s="2"/>
      <c r="R58" s="7">
        <f t="shared" si="33"/>
        <v>0</v>
      </c>
      <c r="S58" s="2"/>
      <c r="T58" s="6">
        <v>23.6</v>
      </c>
      <c r="U58" s="2"/>
      <c r="V58" s="7">
        <f t="shared" si="34"/>
        <v>2.7440608726650759E-5</v>
      </c>
      <c r="W58" s="2"/>
      <c r="X58" s="6">
        <f t="shared" si="35"/>
        <v>0</v>
      </c>
      <c r="Y58" s="2"/>
      <c r="Z58" s="7">
        <f t="shared" si="36"/>
        <v>0</v>
      </c>
    </row>
    <row r="59" spans="1:26" s="29" customFormat="1" outlineLevel="1" collapsed="1" x14ac:dyDescent="0.25">
      <c r="A59" s="27"/>
      <c r="B59" s="14" t="str">
        <f>CONCATENATE("     ","R/H Commissions                                   ")</f>
        <v xml:space="preserve">     R/H Commissions                                   </v>
      </c>
      <c r="C59" s="14"/>
      <c r="D59" s="1">
        <f>SUM(OSRRefD22_11x_0)</f>
        <v>0</v>
      </c>
      <c r="E59" s="1"/>
      <c r="F59" s="5">
        <f t="shared" si="29"/>
        <v>0</v>
      </c>
      <c r="G59" s="1"/>
      <c r="H59" s="1">
        <f>SUM(OSRRefH22_11x_0)</f>
        <v>31195.05</v>
      </c>
      <c r="I59" s="1"/>
      <c r="J59" s="5">
        <f t="shared" si="30"/>
        <v>7.9186229340061587E-2</v>
      </c>
      <c r="K59" s="1"/>
      <c r="L59" s="1">
        <f t="shared" si="31"/>
        <v>-31195.05</v>
      </c>
      <c r="M59" s="1"/>
      <c r="N59" s="5">
        <f t="shared" si="32"/>
        <v>-1</v>
      </c>
      <c r="O59" s="14"/>
      <c r="P59" s="1">
        <f>SUM(OSRRefP22_11x_0)</f>
        <v>0</v>
      </c>
      <c r="Q59" s="1"/>
      <c r="R59" s="5">
        <f t="shared" si="33"/>
        <v>0</v>
      </c>
      <c r="S59" s="1"/>
      <c r="T59" s="1">
        <f>SUM(OSRRefT22_11x_0)</f>
        <v>66348.179999999993</v>
      </c>
      <c r="U59" s="1"/>
      <c r="V59" s="5">
        <f t="shared" si="34"/>
        <v>7.7145527419720125E-2</v>
      </c>
      <c r="W59" s="1"/>
      <c r="X59" s="1">
        <f t="shared" si="35"/>
        <v>-66348.179999999993</v>
      </c>
      <c r="Y59" s="1"/>
      <c r="Z59" s="5">
        <f t="shared" si="36"/>
        <v>-1</v>
      </c>
    </row>
    <row r="60" spans="1:26" s="24" customFormat="1" hidden="1" outlineLevel="2" x14ac:dyDescent="0.25">
      <c r="A60" s="28"/>
      <c r="B60" s="11" t="str">
        <f>CONCATENATE("          ", "6387", " - ", "COMMISSION DUE HOUSING")</f>
        <v xml:space="preserve">          6387 - COMMISSION DUE HOUSING</v>
      </c>
      <c r="C60" s="11"/>
      <c r="D60" s="6"/>
      <c r="E60" s="2"/>
      <c r="F60" s="7">
        <f t="shared" si="29"/>
        <v>0</v>
      </c>
      <c r="G60" s="2"/>
      <c r="H60" s="6">
        <v>31195.05</v>
      </c>
      <c r="I60" s="2"/>
      <c r="J60" s="7">
        <f t="shared" si="30"/>
        <v>7.9186229340061587E-2</v>
      </c>
      <c r="K60" s="2"/>
      <c r="L60" s="6">
        <f t="shared" si="31"/>
        <v>-31195.05</v>
      </c>
      <c r="M60" s="2"/>
      <c r="N60" s="7">
        <f t="shared" si="32"/>
        <v>-1</v>
      </c>
      <c r="O60" s="11"/>
      <c r="P60" s="6"/>
      <c r="Q60" s="2"/>
      <c r="R60" s="7">
        <f t="shared" si="33"/>
        <v>0</v>
      </c>
      <c r="S60" s="2"/>
      <c r="T60" s="6">
        <v>66348.179999999993</v>
      </c>
      <c r="U60" s="2"/>
      <c r="V60" s="7">
        <f t="shared" si="34"/>
        <v>7.7145527419720125E-2</v>
      </c>
      <c r="W60" s="2"/>
      <c r="X60" s="6">
        <f t="shared" si="35"/>
        <v>-66348.179999999993</v>
      </c>
      <c r="Y60" s="2"/>
      <c r="Z60" s="7">
        <f t="shared" si="36"/>
        <v>-1</v>
      </c>
    </row>
    <row r="61" spans="1:26" s="29" customFormat="1" outlineLevel="1" collapsed="1" x14ac:dyDescent="0.25">
      <c r="A61" s="27"/>
      <c r="B61" s="14" t="str">
        <f>CONCATENATE("     ","Repair and Maintenance                            ")</f>
        <v xml:space="preserve">     Repair and Maintenance                            </v>
      </c>
      <c r="C61" s="14"/>
      <c r="D61" s="1">
        <f>SUM(OSRRefD22_12x_0)</f>
        <v>0</v>
      </c>
      <c r="E61" s="1"/>
      <c r="F61" s="5">
        <f t="shared" si="29"/>
        <v>0</v>
      </c>
      <c r="G61" s="1"/>
      <c r="H61" s="1">
        <f>SUM(OSRRefH22_12x_0)</f>
        <v>68.48</v>
      </c>
      <c r="I61" s="1"/>
      <c r="J61" s="5">
        <f t="shared" si="30"/>
        <v>1.7383120030926117E-4</v>
      </c>
      <c r="K61" s="1"/>
      <c r="L61" s="1">
        <f t="shared" si="31"/>
        <v>-68.48</v>
      </c>
      <c r="M61" s="1"/>
      <c r="N61" s="5">
        <f t="shared" si="32"/>
        <v>-1</v>
      </c>
      <c r="O61" s="14"/>
      <c r="P61" s="1">
        <f>SUM(OSRRefP22_12x_0)</f>
        <v>72.349999999999994</v>
      </c>
      <c r="Q61" s="1"/>
      <c r="R61" s="5">
        <f t="shared" si="33"/>
        <v>0</v>
      </c>
      <c r="S61" s="1"/>
      <c r="T61" s="1">
        <f>SUM(OSRRefT22_12x_0)</f>
        <v>68.48</v>
      </c>
      <c r="U61" s="1"/>
      <c r="V61" s="5">
        <f t="shared" si="34"/>
        <v>7.962427481360355E-5</v>
      </c>
      <c r="W61" s="1"/>
      <c r="X61" s="1">
        <f t="shared" si="35"/>
        <v>3.8699999999999903</v>
      </c>
      <c r="Y61" s="1"/>
      <c r="Z61" s="5">
        <f t="shared" si="36"/>
        <v>5.6512850467289578E-2</v>
      </c>
    </row>
    <row r="62" spans="1:26" s="24" customFormat="1" hidden="1" outlineLevel="2" x14ac:dyDescent="0.25">
      <c r="A62" s="28"/>
      <c r="B62" s="11" t="str">
        <f>CONCATENATE("          ", "6373", " - ", "MAINTENANCE CONTRACTS")</f>
        <v xml:space="preserve">          6373 - MAINTENANCE CONTRACTS</v>
      </c>
      <c r="C62" s="11"/>
      <c r="D62" s="6"/>
      <c r="E62" s="2"/>
      <c r="F62" s="7">
        <f t="shared" si="29"/>
        <v>0</v>
      </c>
      <c r="G62" s="2"/>
      <c r="H62" s="6">
        <v>68.48</v>
      </c>
      <c r="I62" s="2"/>
      <c r="J62" s="7">
        <f t="shared" si="30"/>
        <v>1.7383120030926117E-4</v>
      </c>
      <c r="K62" s="2"/>
      <c r="L62" s="6">
        <f t="shared" si="31"/>
        <v>-68.48</v>
      </c>
      <c r="M62" s="2"/>
      <c r="N62" s="7">
        <f t="shared" si="32"/>
        <v>-1</v>
      </c>
      <c r="O62" s="11"/>
      <c r="P62" s="6">
        <v>72.349999999999994</v>
      </c>
      <c r="Q62" s="2"/>
      <c r="R62" s="7">
        <f t="shared" si="33"/>
        <v>0</v>
      </c>
      <c r="S62" s="2"/>
      <c r="T62" s="6">
        <v>68.48</v>
      </c>
      <c r="U62" s="2"/>
      <c r="V62" s="7">
        <f t="shared" si="34"/>
        <v>7.962427481360355E-5</v>
      </c>
      <c r="W62" s="2"/>
      <c r="X62" s="6">
        <f t="shared" si="35"/>
        <v>3.8699999999999903</v>
      </c>
      <c r="Y62" s="2"/>
      <c r="Z62" s="7">
        <f t="shared" si="36"/>
        <v>5.6512850467289578E-2</v>
      </c>
    </row>
    <row r="63" spans="1:26" s="29" customFormat="1" outlineLevel="1" collapsed="1" x14ac:dyDescent="0.25">
      <c r="A63" s="27"/>
      <c r="B63" s="14" t="str">
        <f>CONCATENATE("     ","Services                                          ")</f>
        <v xml:space="preserve">     Services                                          </v>
      </c>
      <c r="C63" s="14"/>
      <c r="D63" s="1">
        <f>SUM(OSRRefD22_13x_0)</f>
        <v>1339.28</v>
      </c>
      <c r="E63" s="1"/>
      <c r="F63" s="5">
        <f t="shared" si="29"/>
        <v>-0.10675696465481027</v>
      </c>
      <c r="G63" s="1"/>
      <c r="H63" s="1">
        <f>SUM(OSRRefH22_13x_0)</f>
        <v>6365.93</v>
      </c>
      <c r="I63" s="1"/>
      <c r="J63" s="5">
        <f t="shared" si="30"/>
        <v>1.6159422502697647E-2</v>
      </c>
      <c r="K63" s="1"/>
      <c r="L63" s="1">
        <f t="shared" si="31"/>
        <v>-5026.6500000000005</v>
      </c>
      <c r="M63" s="1"/>
      <c r="N63" s="5">
        <f t="shared" si="32"/>
        <v>-0.78961754213445645</v>
      </c>
      <c r="O63" s="14"/>
      <c r="P63" s="1">
        <f>SUM(OSRRefP22_13x_0)</f>
        <v>2080.69</v>
      </c>
      <c r="Q63" s="1"/>
      <c r="R63" s="5">
        <f t="shared" si="33"/>
        <v>0</v>
      </c>
      <c r="S63" s="1"/>
      <c r="T63" s="1">
        <f>SUM(OSRRefT22_13x_0)</f>
        <v>25776.85</v>
      </c>
      <c r="U63" s="1"/>
      <c r="V63" s="5">
        <f t="shared" si="34"/>
        <v>2.9971714197269812E-2</v>
      </c>
      <c r="W63" s="1"/>
      <c r="X63" s="1">
        <f t="shared" si="35"/>
        <v>-23696.16</v>
      </c>
      <c r="Y63" s="1"/>
      <c r="Z63" s="5">
        <f t="shared" si="36"/>
        <v>-0.91928067238626909</v>
      </c>
    </row>
    <row r="64" spans="1:26" s="24" customFormat="1" hidden="1" outlineLevel="2" x14ac:dyDescent="0.25">
      <c r="A64" s="28"/>
      <c r="B64" s="11" t="str">
        <f>CONCATENATE("          ", "6282", " - ", "JANITORIAL/EXTERMINATOR EXPENS")</f>
        <v xml:space="preserve">          6282 - JANITORIAL/EXTERMINATOR EXPENS</v>
      </c>
      <c r="C64" s="11"/>
      <c r="D64" s="6">
        <v>1339.28</v>
      </c>
      <c r="E64" s="2"/>
      <c r="F64" s="7">
        <f t="shared" si="29"/>
        <v>-0.10675696465481027</v>
      </c>
      <c r="G64" s="2"/>
      <c r="H64" s="6">
        <v>669.64</v>
      </c>
      <c r="I64" s="2"/>
      <c r="J64" s="7">
        <f t="shared" si="30"/>
        <v>1.6998295119026524E-3</v>
      </c>
      <c r="K64" s="2"/>
      <c r="L64" s="6">
        <f t="shared" si="31"/>
        <v>669.64</v>
      </c>
      <c r="M64" s="2"/>
      <c r="N64" s="7">
        <f t="shared" si="32"/>
        <v>1</v>
      </c>
      <c r="O64" s="11"/>
      <c r="P64" s="6">
        <v>2080.69</v>
      </c>
      <c r="Q64" s="2"/>
      <c r="R64" s="7">
        <f t="shared" si="33"/>
        <v>0</v>
      </c>
      <c r="S64" s="2"/>
      <c r="T64" s="6">
        <v>2828.56</v>
      </c>
      <c r="U64" s="2"/>
      <c r="V64" s="7">
        <f t="shared" si="34"/>
        <v>3.288873229654884E-3</v>
      </c>
      <c r="W64" s="2"/>
      <c r="X64" s="6">
        <f t="shared" si="35"/>
        <v>-747.86999999999989</v>
      </c>
      <c r="Y64" s="2"/>
      <c r="Z64" s="7">
        <f t="shared" si="36"/>
        <v>-0.26439955312950758</v>
      </c>
    </row>
    <row r="65" spans="1:26" s="24" customFormat="1" hidden="1" outlineLevel="2" x14ac:dyDescent="0.25">
      <c r="A65" s="28"/>
      <c r="B65" s="11" t="str">
        <f>CONCATENATE("          ", "6285", " - ", "JANITORIAL SERVICES")</f>
        <v xml:space="preserve">          6285 - JANITORIAL SERVICES</v>
      </c>
      <c r="C65" s="11"/>
      <c r="D65" s="6"/>
      <c r="E65" s="2"/>
      <c r="F65" s="7">
        <f t="shared" si="29"/>
        <v>0</v>
      </c>
      <c r="G65" s="2"/>
      <c r="H65" s="6">
        <v>3639.27</v>
      </c>
      <c r="I65" s="2"/>
      <c r="J65" s="7">
        <f t="shared" si="30"/>
        <v>9.2380063135146743E-3</v>
      </c>
      <c r="K65" s="2"/>
      <c r="L65" s="6">
        <f t="shared" si="31"/>
        <v>-3639.27</v>
      </c>
      <c r="M65" s="2"/>
      <c r="N65" s="7">
        <f t="shared" si="32"/>
        <v>-1</v>
      </c>
      <c r="O65" s="11"/>
      <c r="P65" s="6"/>
      <c r="Q65" s="2"/>
      <c r="R65" s="7">
        <f t="shared" si="33"/>
        <v>0</v>
      </c>
      <c r="S65" s="2"/>
      <c r="T65" s="6">
        <v>16102.58</v>
      </c>
      <c r="U65" s="2"/>
      <c r="V65" s="7">
        <f t="shared" si="34"/>
        <v>1.8723076155491184E-2</v>
      </c>
      <c r="W65" s="2"/>
      <c r="X65" s="6">
        <f t="shared" si="35"/>
        <v>-16102.58</v>
      </c>
      <c r="Y65" s="2"/>
      <c r="Z65" s="7">
        <f t="shared" si="36"/>
        <v>-1</v>
      </c>
    </row>
    <row r="66" spans="1:26" s="24" customFormat="1" hidden="1" outlineLevel="2" x14ac:dyDescent="0.25">
      <c r="A66" s="28"/>
      <c r="B66" s="11" t="str">
        <f>CONCATENATE("          ", "6286", " - ", "LAUNDRY EXPENSE")</f>
        <v xml:space="preserve">          6286 - LAUNDRY EXPENSE</v>
      </c>
      <c r="C66" s="11"/>
      <c r="D66" s="6"/>
      <c r="E66" s="2"/>
      <c r="F66" s="7">
        <f t="shared" si="29"/>
        <v>0</v>
      </c>
      <c r="G66" s="2"/>
      <c r="H66" s="6">
        <v>2057.02</v>
      </c>
      <c r="I66" s="2"/>
      <c r="J66" s="7">
        <f t="shared" si="30"/>
        <v>5.2215866772803207E-3</v>
      </c>
      <c r="K66" s="2"/>
      <c r="L66" s="6">
        <f t="shared" si="31"/>
        <v>-2057.02</v>
      </c>
      <c r="M66" s="2"/>
      <c r="N66" s="7">
        <f t="shared" si="32"/>
        <v>-1</v>
      </c>
      <c r="O66" s="11"/>
      <c r="P66" s="6"/>
      <c r="Q66" s="2"/>
      <c r="R66" s="7">
        <f t="shared" si="33"/>
        <v>0</v>
      </c>
      <c r="S66" s="2"/>
      <c r="T66" s="6">
        <v>6845.71</v>
      </c>
      <c r="U66" s="2"/>
      <c r="V66" s="7">
        <f t="shared" si="34"/>
        <v>7.9597648121237444E-3</v>
      </c>
      <c r="W66" s="2"/>
      <c r="X66" s="6">
        <f t="shared" si="35"/>
        <v>-6845.71</v>
      </c>
      <c r="Y66" s="2"/>
      <c r="Z66" s="7">
        <f t="shared" si="36"/>
        <v>-1</v>
      </c>
    </row>
    <row r="67" spans="1:26" s="29" customFormat="1" outlineLevel="1" collapsed="1" x14ac:dyDescent="0.25">
      <c r="A67" s="27"/>
      <c r="B67" s="14" t="str">
        <f>CONCATENATE("     ","Supplies                                          ")</f>
        <v xml:space="preserve">     Supplies                                          </v>
      </c>
      <c r="C67" s="14"/>
      <c r="D67" s="1">
        <f>SUM(OSRRefD22_14x_0)</f>
        <v>0</v>
      </c>
      <c r="E67" s="1"/>
      <c r="F67" s="5">
        <f t="shared" ref="F67:F73" si="37">IF(D$12=0,0,D67/D$12)</f>
        <v>0</v>
      </c>
      <c r="G67" s="1"/>
      <c r="H67" s="1">
        <f>SUM(OSRRefH22_14x_0)</f>
        <v>5537.7199999999993</v>
      </c>
      <c r="I67" s="1"/>
      <c r="J67" s="5">
        <f t="shared" ref="J67:J73" si="38">IF(H$12=0,0,H67/H$12)</f>
        <v>1.4057075271270467E-2</v>
      </c>
      <c r="K67" s="1"/>
      <c r="L67" s="1">
        <f t="shared" ref="L67:L73" si="39">+D67-H67</f>
        <v>-5537.7199999999993</v>
      </c>
      <c r="M67" s="1"/>
      <c r="N67" s="5">
        <f t="shared" ref="N67:N73" si="40">IF(H67=0,0,L67/H67)</f>
        <v>-1</v>
      </c>
      <c r="O67" s="14"/>
      <c r="P67" s="1">
        <f>SUM(OSRRefP22_14x_0)</f>
        <v>57.16</v>
      </c>
      <c r="Q67" s="1"/>
      <c r="R67" s="5">
        <f t="shared" ref="R67:R73" si="41">IF(P$12=0,0,P67/P$12)</f>
        <v>0</v>
      </c>
      <c r="S67" s="1"/>
      <c r="T67" s="1">
        <f>SUM(OSRRefT22_14x_0)</f>
        <v>26768.820000000003</v>
      </c>
      <c r="U67" s="1"/>
      <c r="V67" s="5">
        <f t="shared" ref="V67:V73" si="42">IF(T$12=0,0,T67/T$12)</f>
        <v>3.1125115071785739E-2</v>
      </c>
      <c r="W67" s="1"/>
      <c r="X67" s="1">
        <f t="shared" ref="X67:X73" si="43">+P67-T67</f>
        <v>-26711.660000000003</v>
      </c>
      <c r="Y67" s="1"/>
      <c r="Z67" s="5">
        <f t="shared" ref="Z67:Z73" si="44">IF(T67=0,0,X67/T67)</f>
        <v>-0.997864679877559</v>
      </c>
    </row>
    <row r="68" spans="1:26" s="24" customFormat="1" hidden="1" outlineLevel="2" x14ac:dyDescent="0.25">
      <c r="A68" s="28"/>
      <c r="B68" s="11" t="str">
        <f>CONCATENATE("          ", "6237", " - ", "JANITORIAL SUPPLIES")</f>
        <v xml:space="preserve">          6237 - JANITORIAL SUPPLIES</v>
      </c>
      <c r="C68" s="11"/>
      <c r="D68" s="6"/>
      <c r="E68" s="2"/>
      <c r="F68" s="7">
        <f t="shared" si="37"/>
        <v>0</v>
      </c>
      <c r="G68" s="2"/>
      <c r="H68" s="6">
        <v>1832.19</v>
      </c>
      <c r="I68" s="2"/>
      <c r="J68" s="7">
        <f t="shared" si="38"/>
        <v>4.6508730562883358E-3</v>
      </c>
      <c r="K68" s="2"/>
      <c r="L68" s="6">
        <f t="shared" si="39"/>
        <v>-1832.19</v>
      </c>
      <c r="M68" s="2"/>
      <c r="N68" s="7">
        <f t="shared" si="40"/>
        <v>-1</v>
      </c>
      <c r="O68" s="11"/>
      <c r="P68" s="6"/>
      <c r="Q68" s="2"/>
      <c r="R68" s="7">
        <f t="shared" si="41"/>
        <v>0</v>
      </c>
      <c r="S68" s="2"/>
      <c r="T68" s="6">
        <v>5981.4</v>
      </c>
      <c r="U68" s="2"/>
      <c r="V68" s="7">
        <f t="shared" si="42"/>
        <v>6.9547990270164761E-3</v>
      </c>
      <c r="W68" s="2"/>
      <c r="X68" s="6">
        <f t="shared" si="43"/>
        <v>-5981.4</v>
      </c>
      <c r="Y68" s="2"/>
      <c r="Z68" s="7">
        <f t="shared" si="44"/>
        <v>-1</v>
      </c>
    </row>
    <row r="69" spans="1:26" s="24" customFormat="1" hidden="1" outlineLevel="2" x14ac:dyDescent="0.25">
      <c r="A69" s="28"/>
      <c r="B69" s="11" t="str">
        <f>CONCATENATE("          ", "6239", " - ", "KITCHEN SUPPLIES")</f>
        <v xml:space="preserve">          6239 - KITCHEN SUPPLIES</v>
      </c>
      <c r="C69" s="11"/>
      <c r="D69" s="6"/>
      <c r="E69" s="2"/>
      <c r="F69" s="7">
        <f t="shared" si="37"/>
        <v>0</v>
      </c>
      <c r="G69" s="2"/>
      <c r="H69" s="6">
        <v>426.97</v>
      </c>
      <c r="I69" s="2"/>
      <c r="J69" s="7">
        <f t="shared" si="38"/>
        <v>1.0838304263441187E-3</v>
      </c>
      <c r="K69" s="2"/>
      <c r="L69" s="6">
        <f t="shared" si="39"/>
        <v>-426.97</v>
      </c>
      <c r="M69" s="2"/>
      <c r="N69" s="7">
        <f t="shared" si="40"/>
        <v>-1</v>
      </c>
      <c r="O69" s="11"/>
      <c r="P69" s="6"/>
      <c r="Q69" s="2"/>
      <c r="R69" s="7">
        <f t="shared" si="41"/>
        <v>0</v>
      </c>
      <c r="S69" s="2"/>
      <c r="T69" s="6">
        <v>2262.77</v>
      </c>
      <c r="U69" s="2"/>
      <c r="V69" s="7">
        <f t="shared" si="42"/>
        <v>2.6310078901865906E-3</v>
      </c>
      <c r="W69" s="2"/>
      <c r="X69" s="6">
        <f t="shared" si="43"/>
        <v>-2262.77</v>
      </c>
      <c r="Y69" s="2"/>
      <c r="Z69" s="7">
        <f t="shared" si="44"/>
        <v>-1</v>
      </c>
    </row>
    <row r="70" spans="1:26" s="24" customFormat="1" hidden="1" outlineLevel="2" x14ac:dyDescent="0.25">
      <c r="A70" s="28"/>
      <c r="B70" s="11" t="str">
        <f>CONCATENATE("          ", "6241", " - ", "OFFICE EXPENSE")</f>
        <v xml:space="preserve">          6241 - OFFICE EXPENSE</v>
      </c>
      <c r="C70" s="11"/>
      <c r="D70" s="6"/>
      <c r="E70" s="2"/>
      <c r="F70" s="7">
        <f t="shared" si="37"/>
        <v>0</v>
      </c>
      <c r="G70" s="2"/>
      <c r="H70" s="6">
        <v>391.43</v>
      </c>
      <c r="I70" s="2"/>
      <c r="J70" s="7">
        <f t="shared" si="38"/>
        <v>9.9361487641726198E-4</v>
      </c>
      <c r="K70" s="2"/>
      <c r="L70" s="6">
        <f t="shared" si="39"/>
        <v>-391.43</v>
      </c>
      <c r="M70" s="2"/>
      <c r="N70" s="7">
        <f t="shared" si="40"/>
        <v>-1</v>
      </c>
      <c r="O70" s="11"/>
      <c r="P70" s="6">
        <v>57.16</v>
      </c>
      <c r="Q70" s="2"/>
      <c r="R70" s="7">
        <f t="shared" si="41"/>
        <v>0</v>
      </c>
      <c r="S70" s="2"/>
      <c r="T70" s="6">
        <v>19749.84</v>
      </c>
      <c r="U70" s="2"/>
      <c r="V70" s="7">
        <f t="shared" si="42"/>
        <v>2.2963882705676109E-2</v>
      </c>
      <c r="W70" s="2"/>
      <c r="X70" s="6">
        <f t="shared" si="43"/>
        <v>-19692.68</v>
      </c>
      <c r="Y70" s="2"/>
      <c r="Z70" s="7">
        <f t="shared" si="44"/>
        <v>-0.99710579933812127</v>
      </c>
    </row>
    <row r="71" spans="1:26" s="24" customFormat="1" hidden="1" outlineLevel="2" x14ac:dyDescent="0.25">
      <c r="A71" s="28"/>
      <c r="B71" s="11" t="str">
        <f>CONCATENATE("          ", "6243", " - ", "PAPER SUPPLIES")</f>
        <v xml:space="preserve">          6243 - PAPER SUPPLIES</v>
      </c>
      <c r="C71" s="11"/>
      <c r="D71" s="6"/>
      <c r="E71" s="2"/>
      <c r="F71" s="7">
        <f t="shared" si="37"/>
        <v>0</v>
      </c>
      <c r="G71" s="2"/>
      <c r="H71" s="6">
        <v>2858.69</v>
      </c>
      <c r="I71" s="2"/>
      <c r="J71" s="7">
        <f t="shared" si="38"/>
        <v>7.2565641648960543E-3</v>
      </c>
      <c r="K71" s="2"/>
      <c r="L71" s="6">
        <f t="shared" si="39"/>
        <v>-2858.69</v>
      </c>
      <c r="M71" s="2"/>
      <c r="N71" s="7">
        <f t="shared" si="40"/>
        <v>-1</v>
      </c>
      <c r="O71" s="11"/>
      <c r="P71" s="6"/>
      <c r="Q71" s="2"/>
      <c r="R71" s="7">
        <f t="shared" si="41"/>
        <v>0</v>
      </c>
      <c r="S71" s="2"/>
      <c r="T71" s="6">
        <v>6364.99</v>
      </c>
      <c r="U71" s="2"/>
      <c r="V71" s="7">
        <f t="shared" si="42"/>
        <v>7.4008135652137621E-3</v>
      </c>
      <c r="W71" s="2"/>
      <c r="X71" s="6">
        <f t="shared" si="43"/>
        <v>-6364.99</v>
      </c>
      <c r="Y71" s="2"/>
      <c r="Z71" s="7">
        <f t="shared" si="44"/>
        <v>-1</v>
      </c>
    </row>
    <row r="72" spans="1:26" s="24" customFormat="1" hidden="1" outlineLevel="2" x14ac:dyDescent="0.25">
      <c r="A72" s="28"/>
      <c r="B72" s="11" t="str">
        <f>CONCATENATE("          ", "6245", " - ", "PRINTING")</f>
        <v xml:space="preserve">          6245 - PRINTING</v>
      </c>
      <c r="C72" s="11"/>
      <c r="D72" s="6"/>
      <c r="E72" s="2"/>
      <c r="F72" s="7">
        <f t="shared" si="37"/>
        <v>0</v>
      </c>
      <c r="G72" s="2"/>
      <c r="H72" s="6">
        <v>28.44</v>
      </c>
      <c r="I72" s="2"/>
      <c r="J72" s="7">
        <f t="shared" si="38"/>
        <v>7.2192747324699007E-5</v>
      </c>
      <c r="K72" s="2"/>
      <c r="L72" s="6">
        <f t="shared" si="39"/>
        <v>-28.44</v>
      </c>
      <c r="M72" s="2"/>
      <c r="N72" s="7">
        <f t="shared" si="40"/>
        <v>-1</v>
      </c>
      <c r="O72" s="11"/>
      <c r="P72" s="6"/>
      <c r="Q72" s="2"/>
      <c r="R72" s="7">
        <f t="shared" si="41"/>
        <v>0</v>
      </c>
      <c r="S72" s="2"/>
      <c r="T72" s="6">
        <v>469.44</v>
      </c>
      <c r="U72" s="2"/>
      <c r="V72" s="7">
        <f t="shared" si="42"/>
        <v>5.4583556612876826E-4</v>
      </c>
      <c r="W72" s="2"/>
      <c r="X72" s="6">
        <f t="shared" si="43"/>
        <v>-469.44</v>
      </c>
      <c r="Y72" s="2"/>
      <c r="Z72" s="7">
        <f t="shared" si="44"/>
        <v>-1</v>
      </c>
    </row>
    <row r="73" spans="1:26" s="24" customFormat="1" hidden="1" outlineLevel="2" x14ac:dyDescent="0.25">
      <c r="A73" s="28"/>
      <c r="B73" s="11" t="str">
        <f>CONCATENATE("          ", "6248", " - ", "UNIFORMS")</f>
        <v xml:space="preserve">          6248 - UNIFORMS</v>
      </c>
      <c r="C73" s="11"/>
      <c r="D73" s="6"/>
      <c r="E73" s="2"/>
      <c r="F73" s="7">
        <f t="shared" si="37"/>
        <v>0</v>
      </c>
      <c r="G73" s="2"/>
      <c r="H73" s="6"/>
      <c r="I73" s="2"/>
      <c r="J73" s="7">
        <f t="shared" si="38"/>
        <v>0</v>
      </c>
      <c r="K73" s="2"/>
      <c r="L73" s="6">
        <f t="shared" si="39"/>
        <v>0</v>
      </c>
      <c r="M73" s="2"/>
      <c r="N73" s="7">
        <f t="shared" si="40"/>
        <v>0</v>
      </c>
      <c r="O73" s="11"/>
      <c r="P73" s="6"/>
      <c r="Q73" s="2"/>
      <c r="R73" s="7">
        <f t="shared" si="41"/>
        <v>0</v>
      </c>
      <c r="S73" s="2"/>
      <c r="T73" s="6">
        <v>-8059.62</v>
      </c>
      <c r="U73" s="2"/>
      <c r="V73" s="7">
        <f t="shared" si="42"/>
        <v>-9.3712236824359738E-3</v>
      </c>
      <c r="W73" s="2"/>
      <c r="X73" s="6">
        <f t="shared" si="43"/>
        <v>8059.62</v>
      </c>
      <c r="Y73" s="2"/>
      <c r="Z73" s="7">
        <f t="shared" si="44"/>
        <v>-1</v>
      </c>
    </row>
    <row r="74" spans="1:26" s="29" customFormat="1" outlineLevel="1" collapsed="1" x14ac:dyDescent="0.25">
      <c r="A74" s="27"/>
      <c r="B74" s="14" t="str">
        <f>CONCATENATE("     ","Telephone/Data Lines                              ")</f>
        <v xml:space="preserve">     Telephone/Data Lines                              </v>
      </c>
      <c r="C74" s="14"/>
      <c r="D74" s="1">
        <f>SUM(OSRRefD22_15x_0)</f>
        <v>71.63</v>
      </c>
      <c r="E74" s="1"/>
      <c r="F74" s="5">
        <f t="shared" ref="F74:F79" si="45">IF(D$12=0,0,D74/D$12)</f>
        <v>-5.7097853908249655E-3</v>
      </c>
      <c r="G74" s="1"/>
      <c r="H74" s="1">
        <f>SUM(OSRRefH22_15x_0)</f>
        <v>118.65</v>
      </c>
      <c r="I74" s="1"/>
      <c r="J74" s="5">
        <f t="shared" ref="J74:J79" si="46">IF(H$12=0,0,H74/H$12)</f>
        <v>3.0118387728816936E-4</v>
      </c>
      <c r="K74" s="1"/>
      <c r="L74" s="1">
        <f t="shared" ref="L74:L79" si="47">+D74-H74</f>
        <v>-47.02000000000001</v>
      </c>
      <c r="M74" s="1"/>
      <c r="N74" s="5">
        <f t="shared" ref="N74:N79" si="48">IF(H74=0,0,L74/H74)</f>
        <v>-0.3962916139907291</v>
      </c>
      <c r="O74" s="14"/>
      <c r="P74" s="1">
        <f>SUM(OSRRefP22_15x_0)</f>
        <v>479.63</v>
      </c>
      <c r="Q74" s="1"/>
      <c r="R74" s="5">
        <f t="shared" ref="R74:R79" si="49">IF(P$12=0,0,P74/P$12)</f>
        <v>0</v>
      </c>
      <c r="S74" s="1"/>
      <c r="T74" s="1">
        <f>SUM(OSRRefT22_15x_0)</f>
        <v>563.54999999999995</v>
      </c>
      <c r="U74" s="1"/>
      <c r="V74" s="5">
        <f t="shared" ref="V74:V79" si="50">IF(T$12=0,0,T74/T$12)</f>
        <v>6.5526080711457771E-4</v>
      </c>
      <c r="W74" s="1"/>
      <c r="X74" s="1">
        <f t="shared" ref="X74:X79" si="51">+P74-T74</f>
        <v>-83.919999999999959</v>
      </c>
      <c r="Y74" s="1"/>
      <c r="Z74" s="5">
        <f t="shared" ref="Z74:Z79" si="52">IF(T74=0,0,X74/T74)</f>
        <v>-0.14891313991660007</v>
      </c>
    </row>
    <row r="75" spans="1:26" s="24" customFormat="1" hidden="1" outlineLevel="2" x14ac:dyDescent="0.25">
      <c r="A75" s="28"/>
      <c r="B75" s="11" t="str">
        <f>CONCATENATE("          ", "6309", " - ", "TELEPHONE")</f>
        <v xml:space="preserve">          6309 - TELEPHONE</v>
      </c>
      <c r="C75" s="11"/>
      <c r="D75" s="6">
        <v>71.63</v>
      </c>
      <c r="E75" s="2"/>
      <c r="F75" s="7">
        <f t="shared" si="45"/>
        <v>-5.7097853908249655E-3</v>
      </c>
      <c r="G75" s="2"/>
      <c r="H75" s="6">
        <v>118.65</v>
      </c>
      <c r="I75" s="2"/>
      <c r="J75" s="7">
        <f t="shared" si="46"/>
        <v>3.0118387728816936E-4</v>
      </c>
      <c r="K75" s="2"/>
      <c r="L75" s="6">
        <f t="shared" si="47"/>
        <v>-47.02000000000001</v>
      </c>
      <c r="M75" s="2"/>
      <c r="N75" s="7">
        <f t="shared" si="48"/>
        <v>-0.3962916139907291</v>
      </c>
      <c r="O75" s="11"/>
      <c r="P75" s="6">
        <v>479.63</v>
      </c>
      <c r="Q75" s="2"/>
      <c r="R75" s="7">
        <f t="shared" si="49"/>
        <v>0</v>
      </c>
      <c r="S75" s="2"/>
      <c r="T75" s="6">
        <v>563.54999999999995</v>
      </c>
      <c r="U75" s="2"/>
      <c r="V75" s="7">
        <f t="shared" si="50"/>
        <v>6.5526080711457771E-4</v>
      </c>
      <c r="W75" s="2"/>
      <c r="X75" s="6">
        <f t="shared" si="51"/>
        <v>-83.919999999999959</v>
      </c>
      <c r="Y75" s="2"/>
      <c r="Z75" s="7">
        <f t="shared" si="52"/>
        <v>-0.14891313991660007</v>
      </c>
    </row>
    <row r="76" spans="1:26" s="29" customFormat="1" outlineLevel="1" collapsed="1" x14ac:dyDescent="0.25">
      <c r="A76" s="27"/>
      <c r="B76" s="14" t="str">
        <f>CONCATENATE("     ","Training                                          ")</f>
        <v xml:space="preserve">     Training                                          </v>
      </c>
      <c r="C76" s="14"/>
      <c r="D76" s="1">
        <f>SUM(OSRRefD22_16x_0)</f>
        <v>0</v>
      </c>
      <c r="E76" s="1"/>
      <c r="F76" s="5">
        <f t="shared" si="45"/>
        <v>0</v>
      </c>
      <c r="G76" s="1"/>
      <c r="H76" s="1">
        <f>SUM(OSRRefH22_16x_0)</f>
        <v>48</v>
      </c>
      <c r="I76" s="1"/>
      <c r="J76" s="5">
        <f t="shared" si="46"/>
        <v>1.2184429928219241E-4</v>
      </c>
      <c r="K76" s="1"/>
      <c r="L76" s="1">
        <f t="shared" si="47"/>
        <v>-48</v>
      </c>
      <c r="M76" s="1"/>
      <c r="N76" s="5">
        <f t="shared" si="48"/>
        <v>-1</v>
      </c>
      <c r="O76" s="14"/>
      <c r="P76" s="1">
        <f>SUM(OSRRefP22_16x_0)</f>
        <v>0</v>
      </c>
      <c r="Q76" s="1"/>
      <c r="R76" s="5">
        <f t="shared" si="49"/>
        <v>0</v>
      </c>
      <c r="S76" s="1"/>
      <c r="T76" s="1">
        <f>SUM(OSRRefT22_16x_0)</f>
        <v>1155.78</v>
      </c>
      <c r="U76" s="1"/>
      <c r="V76" s="5">
        <f t="shared" si="50"/>
        <v>1.3438689302579835E-3</v>
      </c>
      <c r="W76" s="1"/>
      <c r="X76" s="1">
        <f t="shared" si="51"/>
        <v>-1155.78</v>
      </c>
      <c r="Y76" s="1"/>
      <c r="Z76" s="5">
        <f t="shared" si="52"/>
        <v>-1</v>
      </c>
    </row>
    <row r="77" spans="1:26" s="24" customFormat="1" hidden="1" outlineLevel="2" x14ac:dyDescent="0.25">
      <c r="A77" s="28"/>
      <c r="B77" s="11" t="str">
        <f>CONCATENATE("          ", "6376", " - ", "TRAINING")</f>
        <v xml:space="preserve">          6376 - TRAINING</v>
      </c>
      <c r="C77" s="11"/>
      <c r="D77" s="6"/>
      <c r="E77" s="2"/>
      <c r="F77" s="7">
        <f t="shared" si="45"/>
        <v>0</v>
      </c>
      <c r="G77" s="2"/>
      <c r="H77" s="6">
        <v>48</v>
      </c>
      <c r="I77" s="2"/>
      <c r="J77" s="7">
        <f t="shared" si="46"/>
        <v>1.2184429928219241E-4</v>
      </c>
      <c r="K77" s="2"/>
      <c r="L77" s="6">
        <f t="shared" si="47"/>
        <v>-48</v>
      </c>
      <c r="M77" s="2"/>
      <c r="N77" s="7">
        <f t="shared" si="48"/>
        <v>-1</v>
      </c>
      <c r="O77" s="11"/>
      <c r="P77" s="6"/>
      <c r="Q77" s="2"/>
      <c r="R77" s="7">
        <f t="shared" si="49"/>
        <v>0</v>
      </c>
      <c r="S77" s="2"/>
      <c r="T77" s="6">
        <v>1155.78</v>
      </c>
      <c r="U77" s="2"/>
      <c r="V77" s="7">
        <f t="shared" si="50"/>
        <v>1.3438689302579835E-3</v>
      </c>
      <c r="W77" s="2"/>
      <c r="X77" s="6">
        <f t="shared" si="51"/>
        <v>-1155.78</v>
      </c>
      <c r="Y77" s="2"/>
      <c r="Z77" s="7">
        <f t="shared" si="52"/>
        <v>-1</v>
      </c>
    </row>
    <row r="78" spans="1:26" s="29" customFormat="1" outlineLevel="1" collapsed="1" x14ac:dyDescent="0.25">
      <c r="A78" s="27"/>
      <c r="B78" s="14" t="str">
        <f>CONCATENATE("     ","Travel                                            ")</f>
        <v xml:space="preserve">     Travel                                            </v>
      </c>
      <c r="C78" s="14"/>
      <c r="D78" s="1">
        <f>SUM(OSRRefD22_17x_0)</f>
        <v>0</v>
      </c>
      <c r="E78" s="1"/>
      <c r="F78" s="5">
        <f t="shared" si="45"/>
        <v>0</v>
      </c>
      <c r="G78" s="1"/>
      <c r="H78" s="1">
        <f>SUM(OSRRefH22_17x_0)</f>
        <v>0</v>
      </c>
      <c r="I78" s="1"/>
      <c r="J78" s="5">
        <f t="shared" si="46"/>
        <v>0</v>
      </c>
      <c r="K78" s="1"/>
      <c r="L78" s="1">
        <f t="shared" si="47"/>
        <v>0</v>
      </c>
      <c r="M78" s="1"/>
      <c r="N78" s="5">
        <f t="shared" si="48"/>
        <v>0</v>
      </c>
      <c r="O78" s="14"/>
      <c r="P78" s="1">
        <f>SUM(OSRRefP22_17x_0)</f>
        <v>0</v>
      </c>
      <c r="Q78" s="1"/>
      <c r="R78" s="5">
        <f t="shared" si="49"/>
        <v>0</v>
      </c>
      <c r="S78" s="1"/>
      <c r="T78" s="1">
        <f>SUM(OSRRefT22_17x_0)</f>
        <v>79.510000000000005</v>
      </c>
      <c r="U78" s="1"/>
      <c r="V78" s="5">
        <f t="shared" si="50"/>
        <v>9.2449271180339057E-5</v>
      </c>
      <c r="W78" s="1"/>
      <c r="X78" s="1">
        <f t="shared" si="51"/>
        <v>-79.510000000000005</v>
      </c>
      <c r="Y78" s="1"/>
      <c r="Z78" s="5">
        <f t="shared" si="52"/>
        <v>-1</v>
      </c>
    </row>
    <row r="79" spans="1:26" s="24" customFormat="1" hidden="1" outlineLevel="2" x14ac:dyDescent="0.25">
      <c r="A79" s="28"/>
      <c r="B79" s="11" t="str">
        <f>CONCATENATE("          ", "6292", " - ", "TRAVEL/CONFERENCE")</f>
        <v xml:space="preserve">          6292 - TRAVEL/CONFERENCE</v>
      </c>
      <c r="C79" s="11"/>
      <c r="D79" s="6"/>
      <c r="E79" s="2"/>
      <c r="F79" s="7">
        <f t="shared" si="45"/>
        <v>0</v>
      </c>
      <c r="G79" s="2"/>
      <c r="H79" s="6"/>
      <c r="I79" s="2"/>
      <c r="J79" s="7">
        <f t="shared" si="46"/>
        <v>0</v>
      </c>
      <c r="K79" s="2"/>
      <c r="L79" s="6">
        <f t="shared" si="47"/>
        <v>0</v>
      </c>
      <c r="M79" s="2"/>
      <c r="N79" s="7">
        <f t="shared" si="48"/>
        <v>0</v>
      </c>
      <c r="O79" s="11"/>
      <c r="P79" s="6"/>
      <c r="Q79" s="2"/>
      <c r="R79" s="7">
        <f t="shared" si="49"/>
        <v>0</v>
      </c>
      <c r="S79" s="2"/>
      <c r="T79" s="6">
        <v>79.510000000000005</v>
      </c>
      <c r="U79" s="2"/>
      <c r="V79" s="7">
        <f t="shared" si="50"/>
        <v>9.2449271180339057E-5</v>
      </c>
      <c r="W79" s="2"/>
      <c r="X79" s="6">
        <f t="shared" si="51"/>
        <v>-79.510000000000005</v>
      </c>
      <c r="Y79" s="2"/>
      <c r="Z79" s="7">
        <f t="shared" si="52"/>
        <v>-1</v>
      </c>
    </row>
    <row r="80" spans="1:26" s="57" customFormat="1" x14ac:dyDescent="0.25">
      <c r="A80" s="37"/>
      <c r="B80" s="37"/>
      <c r="C80" s="37"/>
      <c r="D80" s="1"/>
      <c r="E80" s="1"/>
      <c r="F80" s="5"/>
      <c r="G80" s="1"/>
      <c r="H80" s="1"/>
      <c r="I80" s="1"/>
      <c r="J80" s="5"/>
      <c r="K80" s="1"/>
      <c r="L80" s="1"/>
      <c r="M80" s="1"/>
      <c r="N80" s="5"/>
      <c r="O80" s="37"/>
      <c r="P80" s="1"/>
      <c r="Q80" s="1"/>
      <c r="R80" s="5"/>
      <c r="S80" s="1"/>
      <c r="T80" s="1"/>
      <c r="U80" s="1"/>
      <c r="V80" s="5"/>
      <c r="W80" s="1"/>
      <c r="X80" s="1"/>
      <c r="Y80" s="1"/>
      <c r="Z80" s="5"/>
    </row>
    <row r="81" spans="1:26" s="23" customFormat="1" x14ac:dyDescent="0.25">
      <c r="A81" s="10"/>
      <c r="B81" s="26" t="s">
        <v>0</v>
      </c>
      <c r="C81" s="10"/>
      <c r="D81" s="4">
        <f>SUM(0)</f>
        <v>0</v>
      </c>
      <c r="E81" s="4"/>
      <c r="F81" s="12">
        <f>IF(D$12=0,0,D81/D$12)</f>
        <v>0</v>
      </c>
      <c r="G81" s="4"/>
      <c r="H81" s="4">
        <f>SUM(0)</f>
        <v>0</v>
      </c>
      <c r="I81" s="4"/>
      <c r="J81" s="12">
        <f>IF(H$12=0,0,H81/H$12)</f>
        <v>0</v>
      </c>
      <c r="K81" s="4"/>
      <c r="L81" s="4">
        <f>+D81-H81</f>
        <v>0</v>
      </c>
      <c r="M81" s="4"/>
      <c r="N81" s="12">
        <f>IF(H81=0,0,L81/H81)</f>
        <v>0</v>
      </c>
      <c r="O81" s="10"/>
      <c r="P81" s="4">
        <f>SUM(0)</f>
        <v>0</v>
      </c>
      <c r="Q81" s="4"/>
      <c r="R81" s="12">
        <f>IF(P$12=0,0,P81/P$12)</f>
        <v>0</v>
      </c>
      <c r="S81" s="4"/>
      <c r="T81" s="4">
        <f>SUM(0)</f>
        <v>0</v>
      </c>
      <c r="U81" s="4"/>
      <c r="V81" s="12">
        <f>IF(T$12=0,0,T81/T$12)</f>
        <v>0</v>
      </c>
      <c r="W81" s="4"/>
      <c r="X81" s="4">
        <f>+P81-T81</f>
        <v>0</v>
      </c>
      <c r="Y81" s="4"/>
      <c r="Z81" s="12">
        <f>IF(T81=0,0,X81/T81)</f>
        <v>0</v>
      </c>
    </row>
    <row r="82" spans="1:26" x14ac:dyDescent="0.25">
      <c r="A82" s="9"/>
      <c r="B82" s="10"/>
      <c r="C82" s="10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0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x14ac:dyDescent="0.25">
      <c r="A83" s="10"/>
      <c r="B83" s="25" t="s">
        <v>3</v>
      </c>
      <c r="C83" s="25"/>
      <c r="D83" s="20">
        <f>+D21-D23+D81</f>
        <v>-62396.42</v>
      </c>
      <c r="E83" s="13"/>
      <c r="F83" s="21">
        <f>IF(D$12=0,0,D83/D$12)</f>
        <v>4.9737563500736943</v>
      </c>
      <c r="G83" s="13"/>
      <c r="H83" s="20">
        <f>+H21-H23+H81</f>
        <v>132017.51999999999</v>
      </c>
      <c r="I83" s="13"/>
      <c r="J83" s="21">
        <f>IF(H$12=0,0,H83/H$12)</f>
        <v>0.33511629619526706</v>
      </c>
      <c r="K83" s="15"/>
      <c r="L83" s="20">
        <f>+D83-H83</f>
        <v>-194413.94</v>
      </c>
      <c r="M83" s="15"/>
      <c r="N83" s="21">
        <f>IF(H83=0,0,L83/H83)</f>
        <v>-1.472637419639454</v>
      </c>
      <c r="O83" s="26"/>
      <c r="P83" s="20">
        <f>+P21-P23+P81</f>
        <v>-169497.9</v>
      </c>
      <c r="Q83" s="13"/>
      <c r="R83" s="21">
        <f>IF(P$12=0,0,P83/P$12)</f>
        <v>0</v>
      </c>
      <c r="S83" s="13"/>
      <c r="T83" s="20">
        <f>+T21-T23+T81</f>
        <v>163225.31999999989</v>
      </c>
      <c r="U83" s="13"/>
      <c r="V83" s="21">
        <f>IF(T$12=0,0,T83/T$12)</f>
        <v>0.18978822628823555</v>
      </c>
      <c r="W83" s="15"/>
      <c r="X83" s="20">
        <f>+P83-T83</f>
        <v>-332723.21999999986</v>
      </c>
      <c r="Y83" s="15"/>
      <c r="Z83" s="21">
        <f>IF(T83=0,0,X83/T83)</f>
        <v>-2.0384289643297993</v>
      </c>
    </row>
    <row r="84" spans="1:26" x14ac:dyDescent="0.25">
      <c r="A84" s="9"/>
      <c r="B84" s="10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x14ac:dyDescent="0.25">
      <c r="A85" s="51"/>
      <c r="B85" s="10" t="s">
        <v>13</v>
      </c>
      <c r="C85" s="10"/>
      <c r="D85" s="4">
        <v>-2324.04</v>
      </c>
      <c r="E85" s="4"/>
      <c r="F85" s="12">
        <f>IF(D$12=0,0,D85/D$12)</f>
        <v>0.18525435766707879</v>
      </c>
      <c r="G85" s="4"/>
      <c r="H85" s="4">
        <v>36509.089999999997</v>
      </c>
      <c r="I85" s="4"/>
      <c r="J85" s="12">
        <f>IF(H$12=0,0,H85/H$12)</f>
        <v>9.2675510176677023E-2</v>
      </c>
      <c r="K85" s="4"/>
      <c r="L85" s="4">
        <f>+D85-H85</f>
        <v>-38833.129999999997</v>
      </c>
      <c r="M85" s="4"/>
      <c r="N85" s="12">
        <f>IF(H85=0,0,L85/H85)</f>
        <v>-1.0636564756886573</v>
      </c>
      <c r="O85" s="10"/>
      <c r="P85" s="4">
        <v>0</v>
      </c>
      <c r="Q85" s="4"/>
      <c r="R85" s="12">
        <f>IF(P$12=0,0,P85/P$12)</f>
        <v>0</v>
      </c>
      <c r="S85" s="4"/>
      <c r="T85" s="4">
        <v>86573.74</v>
      </c>
      <c r="U85" s="4"/>
      <c r="V85" s="12">
        <f>IF(T$12=0,0,T85/T$12)</f>
        <v>0.10066254768401668</v>
      </c>
      <c r="W85" s="4"/>
      <c r="X85" s="4">
        <f>+P85-T85</f>
        <v>-86573.74</v>
      </c>
      <c r="Y85" s="4"/>
      <c r="Z85" s="12">
        <f>IF(T85=0,0,X85/T85)</f>
        <v>-1</v>
      </c>
    </row>
    <row r="86" spans="1:26" x14ac:dyDescent="0.25">
      <c r="A86" s="9"/>
      <c r="B86" s="10"/>
      <c r="C86" s="10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O86" s="10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ht="15.75" thickBot="1" x14ac:dyDescent="0.3">
      <c r="A87" s="10"/>
      <c r="B87" s="25" t="s">
        <v>4</v>
      </c>
      <c r="C87" s="25"/>
      <c r="D87" s="30">
        <f>+D83-D85</f>
        <v>-60072.38</v>
      </c>
      <c r="E87" s="13"/>
      <c r="F87" s="33">
        <f>IF(D$12=0,0,D87/D$12)</f>
        <v>4.7885019924066157</v>
      </c>
      <c r="G87" s="13"/>
      <c r="H87" s="30">
        <f>+H83-H85</f>
        <v>95508.43</v>
      </c>
      <c r="I87" s="13"/>
      <c r="J87" s="33">
        <f>IF(H$12=0,0,H87/H$12)</f>
        <v>0.24244078601859004</v>
      </c>
      <c r="K87" s="15"/>
      <c r="L87" s="30">
        <f>D87-H87</f>
        <v>-155580.81</v>
      </c>
      <c r="M87" s="15"/>
      <c r="N87" s="33">
        <f>IF(H87=0,0,L87/H87)</f>
        <v>-1.6289746360609216</v>
      </c>
      <c r="O87" s="26"/>
      <c r="P87" s="30">
        <f>+P83-P85</f>
        <v>-169497.9</v>
      </c>
      <c r="Q87" s="13"/>
      <c r="R87" s="33">
        <f>IF(P$12=0,0,P87/P$12)</f>
        <v>0</v>
      </c>
      <c r="S87" s="13"/>
      <c r="T87" s="30">
        <f>+T83-T85</f>
        <v>76651.579999999885</v>
      </c>
      <c r="U87" s="13"/>
      <c r="V87" s="33">
        <f>IF(T$12=0,0,T87/T$12)</f>
        <v>8.9125678604218869E-2</v>
      </c>
      <c r="W87" s="15"/>
      <c r="X87" s="30">
        <f>P87-T87</f>
        <v>-246149.47999999986</v>
      </c>
      <c r="Y87" s="15"/>
      <c r="Z87" s="33">
        <f>IF(T87=0,0,X87/T87)</f>
        <v>-3.2112773148316087</v>
      </c>
    </row>
    <row r="88" spans="1:26" ht="15.75" thickTop="1" x14ac:dyDescent="0.25">
      <c r="A88" s="9"/>
      <c r="B88" s="9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x14ac:dyDescent="0.25">
      <c r="A89" s="9"/>
      <c r="B89" s="9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ht="15.75" thickBot="1" x14ac:dyDescent="0.3">
      <c r="A90" s="10"/>
      <c r="B90" s="25" t="s">
        <v>5</v>
      </c>
      <c r="C90" s="25"/>
      <c r="D90" s="34">
        <f>SUM(D87:D89)</f>
        <v>-60072.38</v>
      </c>
      <c r="E90" s="13"/>
      <c r="F90" s="35">
        <f>IF(D$12=0,0,D90/D$12)</f>
        <v>4.7885019924066157</v>
      </c>
      <c r="G90" s="13"/>
      <c r="H90" s="34">
        <f>SUM(H87:H89)</f>
        <v>95508.43</v>
      </c>
      <c r="I90" s="13"/>
      <c r="J90" s="35">
        <f>IF(H$12=0,0,H90/H$12)</f>
        <v>0.24244078601859004</v>
      </c>
      <c r="K90" s="15"/>
      <c r="L90" s="34">
        <f>+D90-H90</f>
        <v>-155580.81</v>
      </c>
      <c r="M90" s="15"/>
      <c r="N90" s="35">
        <f>IF(H90=0,0,L90/H90)</f>
        <v>-1.6289746360609216</v>
      </c>
      <c r="O90" s="26"/>
      <c r="P90" s="34">
        <f>SUM(P87:P89)</f>
        <v>-169497.9</v>
      </c>
      <c r="Q90" s="13"/>
      <c r="R90" s="35">
        <f>IF(P$12=0,0,P90/P$12)</f>
        <v>0</v>
      </c>
      <c r="S90" s="13"/>
      <c r="T90" s="34">
        <f>SUM(T87:T89)</f>
        <v>76651.579999999885</v>
      </c>
      <c r="U90" s="13"/>
      <c r="V90" s="35">
        <f>IF(T$12=0,0,T90/T$12)</f>
        <v>8.9125678604218869E-2</v>
      </c>
      <c r="W90" s="15"/>
      <c r="X90" s="34">
        <f>+P90-T90</f>
        <v>-246149.47999999986</v>
      </c>
      <c r="Y90" s="15"/>
      <c r="Z90" s="35">
        <f>IF(T90=0,0,X90/T90)</f>
        <v>-3.2112773148316087</v>
      </c>
    </row>
    <row r="91" spans="1:26" ht="15.75" thickTop="1" x14ac:dyDescent="0.25">
      <c r="A91" s="9"/>
      <c r="C91" s="9"/>
      <c r="D91" s="18"/>
      <c r="E91" s="18"/>
      <c r="G91" s="18"/>
      <c r="H91" s="18"/>
      <c r="I91" s="18"/>
      <c r="J91" s="43"/>
      <c r="K91" s="18"/>
      <c r="L91" s="18"/>
      <c r="M91" s="18"/>
      <c r="P91" s="18"/>
      <c r="Q91" s="18"/>
      <c r="R91" s="43"/>
      <c r="S91" s="18"/>
      <c r="T91" s="18"/>
      <c r="U91" s="18"/>
      <c r="V91" s="43"/>
      <c r="W91" s="18"/>
      <c r="X91" s="18"/>
    </row>
    <row r="92" spans="1:26" x14ac:dyDescent="0.25">
      <c r="A92" s="9"/>
      <c r="B92" s="56">
        <v>44151.573035648151</v>
      </c>
      <c r="D92" s="18"/>
      <c r="E92" s="18"/>
      <c r="G92" s="18"/>
      <c r="H92" s="18"/>
      <c r="I92" s="18"/>
      <c r="J92" s="43"/>
      <c r="K92" s="18"/>
      <c r="L92" s="18"/>
      <c r="M92" s="18"/>
      <c r="P92" s="18"/>
      <c r="Q92" s="18"/>
      <c r="R92" s="43"/>
      <c r="S92" s="18"/>
      <c r="T92" s="18"/>
      <c r="U92" s="18"/>
      <c r="V92" s="43"/>
      <c r="W92" s="18"/>
      <c r="X92" s="18"/>
    </row>
    <row r="93" spans="1:26" x14ac:dyDescent="0.25">
      <c r="A93" s="9"/>
      <c r="B93" s="62" t="s">
        <v>313</v>
      </c>
      <c r="D93" s="18"/>
      <c r="E93" s="18"/>
      <c r="G93" s="18"/>
      <c r="H93" s="18"/>
      <c r="I93" s="18"/>
      <c r="J93" s="43"/>
      <c r="K93" s="18"/>
      <c r="L93" s="18"/>
      <c r="M93" s="18"/>
      <c r="P93" s="18"/>
      <c r="Q93" s="18"/>
      <c r="R93" s="43"/>
      <c r="S93" s="18"/>
      <c r="T93" s="18"/>
      <c r="U93" s="18"/>
      <c r="V93" s="43"/>
      <c r="W93" s="18"/>
      <c r="X93" s="18"/>
    </row>
    <row r="94" spans="1:26" x14ac:dyDescent="0.25">
      <c r="A94" s="9"/>
      <c r="B94" s="54"/>
      <c r="D94" s="18"/>
      <c r="E94" s="18"/>
      <c r="G94" s="18"/>
      <c r="H94" s="18"/>
      <c r="I94" s="18"/>
      <c r="J94" s="43"/>
      <c r="K94" s="18"/>
      <c r="L94" s="18"/>
      <c r="M94" s="18"/>
      <c r="P94" s="18"/>
      <c r="Q94" s="18"/>
      <c r="R94" s="43"/>
      <c r="S94" s="18"/>
      <c r="T94" s="18"/>
      <c r="U94" s="18"/>
      <c r="V94" s="43"/>
      <c r="W94" s="18"/>
      <c r="X94" s="18"/>
    </row>
    <row r="95" spans="1:26" x14ac:dyDescent="0.25">
      <c r="D95" s="18"/>
      <c r="E95" s="18"/>
      <c r="G95" s="18"/>
      <c r="H95" s="18"/>
      <c r="I95" s="18"/>
      <c r="J95" s="43"/>
      <c r="K95" s="18"/>
      <c r="L95" s="18"/>
      <c r="M95" s="18"/>
      <c r="P95" s="18"/>
      <c r="Q95" s="18"/>
      <c r="R95" s="43"/>
      <c r="S95" s="18"/>
      <c r="T95" s="18"/>
      <c r="U95" s="18"/>
      <c r="V95" s="43"/>
      <c r="W95" s="18"/>
      <c r="X95" s="18"/>
    </row>
  </sheetData>
  <pageMargins left="0.25" right="0.25" top="0.75" bottom="0.75" header="0.3" footer="0.3"/>
  <pageSetup scale="55" fitToWidth="2" orientation="landscape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75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",RIGHT(202104,2),", ",2021)</f>
        <v>Period 04,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44135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296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61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50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50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2"/>
      <c r="F10" s="31" t="s">
        <v>14</v>
      </c>
      <c r="G10" s="32"/>
      <c r="H10" s="49" t="s">
        <v>306</v>
      </c>
      <c r="I10" s="32"/>
      <c r="J10" s="31" t="s">
        <v>14</v>
      </c>
      <c r="K10" s="10"/>
      <c r="L10" s="42" t="s">
        <v>11</v>
      </c>
      <c r="M10" s="10"/>
      <c r="N10" s="31" t="s">
        <v>15</v>
      </c>
      <c r="O10" s="10"/>
      <c r="P10" s="59" t="s">
        <v>10</v>
      </c>
      <c r="Q10" s="32"/>
      <c r="R10" s="31" t="s">
        <v>14</v>
      </c>
      <c r="S10" s="32"/>
      <c r="T10" s="49" t="s">
        <v>306</v>
      </c>
      <c r="U10" s="32"/>
      <c r="V10" s="31" t="s">
        <v>14</v>
      </c>
      <c r="W10" s="10"/>
      <c r="X10" s="42" t="s">
        <v>11</v>
      </c>
      <c r="Y10" s="10"/>
      <c r="Z10" s="31" t="s">
        <v>15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151563</v>
      </c>
      <c r="E12" s="4"/>
      <c r="F12" s="12"/>
      <c r="G12" s="4"/>
      <c r="H12" s="4">
        <f>SUM(OSRRefH13x_0)</f>
        <v>27024</v>
      </c>
      <c r="I12" s="4"/>
      <c r="J12" s="12"/>
      <c r="K12" s="4"/>
      <c r="L12" s="4">
        <f t="shared" ref="L12:L13" si="0">+D12-H12</f>
        <v>124539</v>
      </c>
      <c r="M12" s="4"/>
      <c r="N12" s="12">
        <f t="shared" ref="N12:N13" si="1">IF(H12=0,0,L12/H12)</f>
        <v>4.6084591474245116</v>
      </c>
      <c r="O12" s="10"/>
      <c r="P12" s="4">
        <f>SUM(OSRRefP13x_0)</f>
        <v>269605</v>
      </c>
      <c r="Q12" s="4"/>
      <c r="R12" s="12"/>
      <c r="S12" s="4"/>
      <c r="T12" s="4">
        <f>SUM(OSRRefT13x_0)</f>
        <v>123136</v>
      </c>
      <c r="U12" s="4"/>
      <c r="V12" s="12"/>
      <c r="W12" s="4"/>
      <c r="X12" s="4">
        <f t="shared" ref="X12:X13" si="2">+P12-T12</f>
        <v>146469</v>
      </c>
      <c r="Y12" s="4"/>
      <c r="Z12" s="12">
        <f t="shared" ref="Z12:Z13" si="3">IF(T12=0,0,X12/T12)</f>
        <v>1.1894896699584199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--151563</f>
        <v>151563</v>
      </c>
      <c r="E13" s="2"/>
      <c r="F13" s="19"/>
      <c r="G13" s="2"/>
      <c r="H13" s="2">
        <f>--27024</f>
        <v>27024</v>
      </c>
      <c r="I13" s="2"/>
      <c r="J13" s="19"/>
      <c r="K13" s="2"/>
      <c r="L13" s="2">
        <f t="shared" si="0"/>
        <v>124539</v>
      </c>
      <c r="M13" s="2"/>
      <c r="N13" s="19">
        <f t="shared" si="1"/>
        <v>4.6084591474245116</v>
      </c>
      <c r="O13" s="11"/>
      <c r="P13" s="2">
        <f>--269605</f>
        <v>269605</v>
      </c>
      <c r="Q13" s="2"/>
      <c r="R13" s="19"/>
      <c r="S13" s="2"/>
      <c r="T13" s="2">
        <f>--123136</f>
        <v>123136</v>
      </c>
      <c r="U13" s="2"/>
      <c r="V13" s="19"/>
      <c r="W13" s="2"/>
      <c r="X13" s="2">
        <f t="shared" si="2"/>
        <v>146469</v>
      </c>
      <c r="Y13" s="2"/>
      <c r="Z13" s="19">
        <f t="shared" si="3"/>
        <v>1.1894896699584199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6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5" t="s">
        <v>6</v>
      </c>
      <c r="C17" s="25"/>
      <c r="D17" s="20">
        <f>D12-D15</f>
        <v>151563</v>
      </c>
      <c r="E17" s="13"/>
      <c r="F17" s="21">
        <f>IF(D$12=0,0,D17/D$12)</f>
        <v>1</v>
      </c>
      <c r="G17" s="13"/>
      <c r="H17" s="20">
        <f>H12-H15</f>
        <v>27024</v>
      </c>
      <c r="I17" s="13"/>
      <c r="J17" s="21">
        <f>IF(H$12=0,0,H17/H$12)</f>
        <v>1</v>
      </c>
      <c r="K17" s="15"/>
      <c r="L17" s="20">
        <f>+D17-H17</f>
        <v>124539</v>
      </c>
      <c r="M17" s="15"/>
      <c r="N17" s="21">
        <f>IF(H17=0,0,L17/H17)</f>
        <v>4.6084591474245116</v>
      </c>
      <c r="O17" s="26"/>
      <c r="P17" s="20">
        <f>P12-P15</f>
        <v>269605</v>
      </c>
      <c r="Q17" s="13"/>
      <c r="R17" s="21">
        <f>IF(P$12=0,0,P17/P$12)</f>
        <v>1</v>
      </c>
      <c r="S17" s="13"/>
      <c r="T17" s="20">
        <f>T12-T15</f>
        <v>123136</v>
      </c>
      <c r="U17" s="13"/>
      <c r="V17" s="21">
        <f>IF(T$12=0,0,T17/T$12)</f>
        <v>1</v>
      </c>
      <c r="W17" s="15"/>
      <c r="X17" s="20">
        <f>+P17-T17</f>
        <v>146469</v>
      </c>
      <c r="Y17" s="15"/>
      <c r="Z17" s="21">
        <f>IF(T17=0,0,X17/T17)</f>
        <v>1.1894896699584199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6" t="s">
        <v>9</v>
      </c>
      <c r="C19" s="10"/>
      <c r="D19" s="22">
        <f>SUM(OSRRefD22x_0)</f>
        <v>144748.99</v>
      </c>
      <c r="E19" s="22"/>
      <c r="F19" s="36">
        <f t="shared" ref="F19:F29" si="4">IF(D$12=0,0,D19/D$12)</f>
        <v>0.95504173182109087</v>
      </c>
      <c r="G19" s="22"/>
      <c r="H19" s="22">
        <f>SUM(OSRRefH22x_0)</f>
        <v>28361.109999999997</v>
      </c>
      <c r="I19" s="22"/>
      <c r="J19" s="36">
        <f t="shared" ref="J19:J29" si="5">IF(H$12=0,0,H19/H$12)</f>
        <v>1.0494786116044996</v>
      </c>
      <c r="K19" s="4"/>
      <c r="L19" s="22">
        <f t="shared" ref="L19:L29" si="6">+D19-H19</f>
        <v>116387.87999999999</v>
      </c>
      <c r="M19" s="4"/>
      <c r="N19" s="36">
        <f t="shared" ref="N19:N29" si="7">IF(H19=0,0,L19/H19)</f>
        <v>4.1037843723323943</v>
      </c>
      <c r="O19" s="10"/>
      <c r="P19" s="22">
        <f>SUM(OSRRefP22x_0)</f>
        <v>248711.98</v>
      </c>
      <c r="Q19" s="22"/>
      <c r="R19" s="36">
        <f t="shared" ref="R19:R29" si="8">IF(P$12=0,0,P19/P$12)</f>
        <v>0.9225050722353072</v>
      </c>
      <c r="S19" s="22"/>
      <c r="T19" s="22">
        <f>SUM(OSRRefT22x_0)</f>
        <v>123059.72000000002</v>
      </c>
      <c r="U19" s="22"/>
      <c r="V19" s="36">
        <f t="shared" ref="V19:V29" si="9">IF(T$12=0,0,T19/T$12)</f>
        <v>0.99938052234927244</v>
      </c>
      <c r="W19" s="4"/>
      <c r="X19" s="22">
        <f t="shared" ref="X19:X29" si="10">+P19-T19</f>
        <v>125652.26</v>
      </c>
      <c r="Y19" s="4"/>
      <c r="Z19" s="36">
        <f t="shared" ref="Z19:Z29" si="11">IF(T19=0,0,X19/T19)</f>
        <v>1.0210673321863561</v>
      </c>
    </row>
    <row r="20" spans="1:26" s="29" customFormat="1" outlineLevel="1" collapsed="1" x14ac:dyDescent="0.25">
      <c r="A20" s="27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4682.09</v>
      </c>
      <c r="E20" s="1"/>
      <c r="F20" s="5">
        <f t="shared" si="4"/>
        <v>3.0892038294306659E-2</v>
      </c>
      <c r="G20" s="1"/>
      <c r="H20" s="1">
        <f>SUM(OSRRefH22_0x_0)</f>
        <v>5753.8899999999985</v>
      </c>
      <c r="I20" s="1"/>
      <c r="J20" s="5">
        <f t="shared" si="5"/>
        <v>0.21291777679100055</v>
      </c>
      <c r="K20" s="1"/>
      <c r="L20" s="1">
        <f t="shared" si="6"/>
        <v>-1071.7999999999984</v>
      </c>
      <c r="M20" s="1"/>
      <c r="N20" s="5">
        <f t="shared" si="7"/>
        <v>-0.18627398160201161</v>
      </c>
      <c r="O20" s="14"/>
      <c r="P20" s="1">
        <f>SUM(OSRRefP22_0x_0)</f>
        <v>16858.739999999998</v>
      </c>
      <c r="Q20" s="1"/>
      <c r="R20" s="5">
        <f t="shared" si="8"/>
        <v>6.2531258693273487E-2</v>
      </c>
      <c r="S20" s="1"/>
      <c r="T20" s="1">
        <f>SUM(OSRRefT22_0x_0)</f>
        <v>19249.959999999995</v>
      </c>
      <c r="U20" s="1"/>
      <c r="V20" s="5">
        <f t="shared" si="9"/>
        <v>0.15633088617463614</v>
      </c>
      <c r="W20" s="1"/>
      <c r="X20" s="1">
        <f t="shared" si="10"/>
        <v>-2391.2199999999975</v>
      </c>
      <c r="Y20" s="1"/>
      <c r="Z20" s="5">
        <f t="shared" si="11"/>
        <v>-0.12421947889761839</v>
      </c>
    </row>
    <row r="21" spans="1:26" s="24" customFormat="1" hidden="1" outlineLevel="2" x14ac:dyDescent="0.25">
      <c r="A21" s="28"/>
      <c r="B21" s="11" t="str">
        <f>CONCATENATE("          ", "6111", " - ", "F.I.C.A.")</f>
        <v xml:space="preserve">          6111 - F.I.C.A.</v>
      </c>
      <c r="C21" s="11"/>
      <c r="D21" s="6">
        <v>1375.38</v>
      </c>
      <c r="E21" s="2"/>
      <c r="F21" s="7">
        <f t="shared" si="4"/>
        <v>9.074642227984403E-3</v>
      </c>
      <c r="G21" s="2"/>
      <c r="H21" s="6">
        <v>1531.59</v>
      </c>
      <c r="I21" s="2"/>
      <c r="J21" s="7">
        <f t="shared" si="5"/>
        <v>5.6675177619893428E-2</v>
      </c>
      <c r="K21" s="2"/>
      <c r="L21" s="6">
        <f t="shared" si="6"/>
        <v>-156.20999999999981</v>
      </c>
      <c r="M21" s="2"/>
      <c r="N21" s="7">
        <f t="shared" si="7"/>
        <v>-0.10199204748006961</v>
      </c>
      <c r="O21" s="11"/>
      <c r="P21" s="6">
        <v>4521.6400000000003</v>
      </c>
      <c r="Q21" s="2"/>
      <c r="R21" s="7">
        <f t="shared" si="8"/>
        <v>1.6771350679698076E-2</v>
      </c>
      <c r="S21" s="2"/>
      <c r="T21" s="6">
        <v>4955.83</v>
      </c>
      <c r="U21" s="2"/>
      <c r="V21" s="7">
        <f t="shared" si="9"/>
        <v>4.0246800285862784E-2</v>
      </c>
      <c r="W21" s="2"/>
      <c r="X21" s="6">
        <f t="shared" si="10"/>
        <v>-434.1899999999996</v>
      </c>
      <c r="Y21" s="2"/>
      <c r="Z21" s="7">
        <f t="shared" si="11"/>
        <v>-8.7611964090777858E-2</v>
      </c>
    </row>
    <row r="22" spans="1:26" s="24" customFormat="1" hidden="1" outlineLevel="2" x14ac:dyDescent="0.25">
      <c r="A22" s="28"/>
      <c r="B22" s="11" t="str">
        <f>CONCATENATE("          ", "6112", " - ", "COMPENSATION INSURANCE")</f>
        <v xml:space="preserve">          6112 - COMPENSATION INSURANCE</v>
      </c>
      <c r="C22" s="11"/>
      <c r="D22" s="6">
        <v>79.05</v>
      </c>
      <c r="E22" s="2"/>
      <c r="F22" s="7">
        <f t="shared" si="4"/>
        <v>5.2156528968151856E-4</v>
      </c>
      <c r="G22" s="2"/>
      <c r="H22" s="6">
        <v>-7.08</v>
      </c>
      <c r="I22" s="2"/>
      <c r="J22" s="7">
        <f t="shared" si="5"/>
        <v>-2.6198934280639434E-4</v>
      </c>
      <c r="K22" s="2"/>
      <c r="L22" s="6">
        <f t="shared" si="6"/>
        <v>86.13</v>
      </c>
      <c r="M22" s="2"/>
      <c r="N22" s="7">
        <f t="shared" si="7"/>
        <v>-12.165254237288135</v>
      </c>
      <c r="O22" s="11"/>
      <c r="P22" s="6">
        <v>323.54000000000002</v>
      </c>
      <c r="Q22" s="2"/>
      <c r="R22" s="7">
        <f t="shared" si="8"/>
        <v>1.2000519278203298E-3</v>
      </c>
      <c r="S22" s="2"/>
      <c r="T22" s="6">
        <v>163.41</v>
      </c>
      <c r="U22" s="2"/>
      <c r="V22" s="7">
        <f t="shared" si="9"/>
        <v>1.3270692567567566E-3</v>
      </c>
      <c r="W22" s="2"/>
      <c r="X22" s="6">
        <f t="shared" si="10"/>
        <v>160.13000000000002</v>
      </c>
      <c r="Y22" s="2"/>
      <c r="Z22" s="7">
        <f t="shared" si="11"/>
        <v>0.97992778899700161</v>
      </c>
    </row>
    <row r="23" spans="1:26" s="24" customFormat="1" hidden="1" outlineLevel="2" x14ac:dyDescent="0.25">
      <c r="A23" s="28"/>
      <c r="B23" s="11" t="str">
        <f>CONCATENATE("          ", "6113", " - ", "GROUP INSURANCE")</f>
        <v xml:space="preserve">          6113 - GROUP INSURANCE</v>
      </c>
      <c r="C23" s="11"/>
      <c r="D23" s="6">
        <v>1230.45</v>
      </c>
      <c r="E23" s="2"/>
      <c r="F23" s="7">
        <f t="shared" si="4"/>
        <v>8.118406207319729E-3</v>
      </c>
      <c r="G23" s="2"/>
      <c r="H23" s="6">
        <v>1243.31</v>
      </c>
      <c r="I23" s="2"/>
      <c r="J23" s="7">
        <f t="shared" si="5"/>
        <v>4.6007622853759617E-2</v>
      </c>
      <c r="K23" s="2"/>
      <c r="L23" s="6">
        <f t="shared" si="6"/>
        <v>-12.8599999999999</v>
      </c>
      <c r="M23" s="2"/>
      <c r="N23" s="7">
        <f t="shared" si="7"/>
        <v>-1.0343357650143489E-2</v>
      </c>
      <c r="O23" s="11"/>
      <c r="P23" s="6">
        <v>4942.1000000000004</v>
      </c>
      <c r="Q23" s="2"/>
      <c r="R23" s="7">
        <f t="shared" si="8"/>
        <v>1.8330891489401164E-2</v>
      </c>
      <c r="S23" s="2"/>
      <c r="T23" s="6">
        <v>4973.24</v>
      </c>
      <c r="U23" s="2"/>
      <c r="V23" s="7">
        <f t="shared" si="9"/>
        <v>4.038818866943867E-2</v>
      </c>
      <c r="W23" s="2"/>
      <c r="X23" s="6">
        <f t="shared" si="10"/>
        <v>-31.139999999999418</v>
      </c>
      <c r="Y23" s="2"/>
      <c r="Z23" s="7">
        <f t="shared" si="11"/>
        <v>-6.2615116101373391E-3</v>
      </c>
    </row>
    <row r="24" spans="1:26" s="24" customFormat="1" hidden="1" outlineLevel="2" x14ac:dyDescent="0.25">
      <c r="A24" s="28"/>
      <c r="B24" s="11" t="str">
        <f>CONCATENATE("          ", "6114", " - ", "STATE UNEMPLOYMENT INSURANCE")</f>
        <v xml:space="preserve">          6114 - STATE UNEMPLOYMENT INSURANCE</v>
      </c>
      <c r="C24" s="11"/>
      <c r="D24" s="6">
        <v>35.130000000000003</v>
      </c>
      <c r="E24" s="2"/>
      <c r="F24" s="7">
        <f t="shared" si="4"/>
        <v>2.3178480235941493E-4</v>
      </c>
      <c r="G24" s="2"/>
      <c r="H24" s="6">
        <v>63.86</v>
      </c>
      <c r="I24" s="2"/>
      <c r="J24" s="7">
        <f t="shared" si="5"/>
        <v>2.3630846654825342E-3</v>
      </c>
      <c r="K24" s="2"/>
      <c r="L24" s="6">
        <f t="shared" si="6"/>
        <v>-28.729999999999997</v>
      </c>
      <c r="M24" s="2"/>
      <c r="N24" s="7">
        <f t="shared" si="7"/>
        <v>-0.44989038521766361</v>
      </c>
      <c r="O24" s="11"/>
      <c r="P24" s="6">
        <v>146.30000000000001</v>
      </c>
      <c r="Q24" s="2"/>
      <c r="R24" s="7">
        <f t="shared" si="8"/>
        <v>5.4264572244580036E-4</v>
      </c>
      <c r="S24" s="2"/>
      <c r="T24" s="6">
        <v>194.21</v>
      </c>
      <c r="U24" s="2"/>
      <c r="V24" s="7">
        <f t="shared" si="9"/>
        <v>1.5771991943866945E-3</v>
      </c>
      <c r="W24" s="2"/>
      <c r="X24" s="6">
        <f t="shared" si="10"/>
        <v>-47.91</v>
      </c>
      <c r="Y24" s="2"/>
      <c r="Z24" s="7">
        <f t="shared" si="11"/>
        <v>-0.24669172545183046</v>
      </c>
    </row>
    <row r="25" spans="1:26" s="24" customFormat="1" hidden="1" outlineLevel="2" x14ac:dyDescent="0.25">
      <c r="A25" s="28"/>
      <c r="B25" s="11" t="str">
        <f>CONCATENATE("          ", "6115", " - ", "P.E.R.S.")</f>
        <v xml:space="preserve">          6115 - P.E.R.S.</v>
      </c>
      <c r="C25" s="11"/>
      <c r="D25" s="6">
        <v>640.35</v>
      </c>
      <c r="E25" s="2"/>
      <c r="F25" s="7">
        <f t="shared" si="4"/>
        <v>4.2249757526573112E-3</v>
      </c>
      <c r="G25" s="2"/>
      <c r="H25" s="6">
        <v>1470.79</v>
      </c>
      <c r="I25" s="2"/>
      <c r="J25" s="7">
        <f t="shared" si="5"/>
        <v>5.4425325636471282E-2</v>
      </c>
      <c r="K25" s="2"/>
      <c r="L25" s="6">
        <f t="shared" si="6"/>
        <v>-830.43999999999994</v>
      </c>
      <c r="M25" s="2"/>
      <c r="N25" s="7">
        <f t="shared" si="7"/>
        <v>-0.5646217338981091</v>
      </c>
      <c r="O25" s="11"/>
      <c r="P25" s="6">
        <v>2860.49</v>
      </c>
      <c r="Q25" s="2"/>
      <c r="R25" s="7">
        <f t="shared" si="8"/>
        <v>1.0609929341073051E-2</v>
      </c>
      <c r="S25" s="2"/>
      <c r="T25" s="6">
        <v>3328.3</v>
      </c>
      <c r="U25" s="2"/>
      <c r="V25" s="7">
        <f t="shared" si="9"/>
        <v>2.7029463357588358E-2</v>
      </c>
      <c r="W25" s="2"/>
      <c r="X25" s="6">
        <f t="shared" si="10"/>
        <v>-467.8100000000004</v>
      </c>
      <c r="Y25" s="2"/>
      <c r="Z25" s="7">
        <f t="shared" si="11"/>
        <v>-0.1405552384099992</v>
      </c>
    </row>
    <row r="26" spans="1:26" s="24" customFormat="1" hidden="1" outlineLevel="2" x14ac:dyDescent="0.25">
      <c r="A26" s="28"/>
      <c r="B26" s="11" t="str">
        <f>CONCATENATE("          ", "6117", " - ", "RETIREMENT STAFF HOURLY")</f>
        <v xml:space="preserve">          6117 - RETIREMENT STAFF HOURLY</v>
      </c>
      <c r="C26" s="11"/>
      <c r="D26" s="6">
        <v>92.8</v>
      </c>
      <c r="E26" s="2"/>
      <c r="F26" s="7">
        <f t="shared" si="4"/>
        <v>6.1228663987912611E-4</v>
      </c>
      <c r="G26" s="2"/>
      <c r="H26" s="6"/>
      <c r="I26" s="2"/>
      <c r="J26" s="7">
        <f t="shared" si="5"/>
        <v>0</v>
      </c>
      <c r="K26" s="2"/>
      <c r="L26" s="6">
        <f t="shared" si="6"/>
        <v>92.8</v>
      </c>
      <c r="M26" s="2"/>
      <c r="N26" s="7">
        <f t="shared" si="7"/>
        <v>0</v>
      </c>
      <c r="O26" s="11"/>
      <c r="P26" s="6">
        <v>377.9</v>
      </c>
      <c r="Q26" s="2"/>
      <c r="R26" s="7">
        <f t="shared" si="8"/>
        <v>1.4016802359006694E-3</v>
      </c>
      <c r="S26" s="2"/>
      <c r="T26" s="6"/>
      <c r="U26" s="2"/>
      <c r="V26" s="7">
        <f t="shared" si="9"/>
        <v>0</v>
      </c>
      <c r="W26" s="2"/>
      <c r="X26" s="6">
        <f t="shared" si="10"/>
        <v>377.9</v>
      </c>
      <c r="Y26" s="2"/>
      <c r="Z26" s="7">
        <f t="shared" si="11"/>
        <v>0</v>
      </c>
    </row>
    <row r="27" spans="1:26" s="24" customFormat="1" hidden="1" outlineLevel="2" x14ac:dyDescent="0.25">
      <c r="A27" s="28"/>
      <c r="B27" s="11" t="str">
        <f>CONCATENATE("          ", "6118", " - ", "VACATION")</f>
        <v xml:space="preserve">          6118 - VACATION</v>
      </c>
      <c r="C27" s="11"/>
      <c r="D27" s="6">
        <v>780.03</v>
      </c>
      <c r="E27" s="2"/>
      <c r="F27" s="7">
        <f t="shared" si="4"/>
        <v>5.1465727123374437E-3</v>
      </c>
      <c r="G27" s="2"/>
      <c r="H27" s="6">
        <v>866.91</v>
      </c>
      <c r="I27" s="2"/>
      <c r="J27" s="7">
        <f t="shared" si="5"/>
        <v>3.2079262877442269E-2</v>
      </c>
      <c r="K27" s="2"/>
      <c r="L27" s="6">
        <f t="shared" si="6"/>
        <v>-86.88</v>
      </c>
      <c r="M27" s="2"/>
      <c r="N27" s="7">
        <f t="shared" si="7"/>
        <v>-0.10021801571097345</v>
      </c>
      <c r="O27" s="11"/>
      <c r="P27" s="6">
        <v>2340.09</v>
      </c>
      <c r="Q27" s="2"/>
      <c r="R27" s="7">
        <f t="shared" si="8"/>
        <v>8.6796980768160826E-3</v>
      </c>
      <c r="S27" s="2"/>
      <c r="T27" s="6">
        <v>3336.99</v>
      </c>
      <c r="U27" s="2"/>
      <c r="V27" s="7">
        <f t="shared" si="9"/>
        <v>2.7100035732848232E-2</v>
      </c>
      <c r="W27" s="2"/>
      <c r="X27" s="6">
        <f t="shared" si="10"/>
        <v>-996.89999999999964</v>
      </c>
      <c r="Y27" s="2"/>
      <c r="Z27" s="7">
        <f t="shared" si="11"/>
        <v>-0.29874227971914802</v>
      </c>
    </row>
    <row r="28" spans="1:26" s="24" customFormat="1" hidden="1" outlineLevel="2" x14ac:dyDescent="0.25">
      <c r="A28" s="28"/>
      <c r="B28" s="11" t="str">
        <f>CONCATENATE("          ", "6119", " - ", "SICK LEAVE")</f>
        <v xml:space="preserve">          6119 - SICK LEAVE</v>
      </c>
      <c r="C28" s="11"/>
      <c r="D28" s="6">
        <v>448.9</v>
      </c>
      <c r="E28" s="2"/>
      <c r="F28" s="7">
        <f t="shared" si="4"/>
        <v>2.9618046620877125E-3</v>
      </c>
      <c r="G28" s="2"/>
      <c r="H28" s="6">
        <v>432.86</v>
      </c>
      <c r="I28" s="2"/>
      <c r="J28" s="7">
        <f t="shared" si="5"/>
        <v>1.6017613972764952E-2</v>
      </c>
      <c r="K28" s="2"/>
      <c r="L28" s="6">
        <f t="shared" si="6"/>
        <v>16.039999999999964</v>
      </c>
      <c r="M28" s="2"/>
      <c r="N28" s="7">
        <f t="shared" si="7"/>
        <v>3.7055861017418944E-2</v>
      </c>
      <c r="O28" s="11"/>
      <c r="P28" s="6">
        <v>1346.68</v>
      </c>
      <c r="Q28" s="2"/>
      <c r="R28" s="7">
        <f t="shared" si="8"/>
        <v>4.9950112201183217E-3</v>
      </c>
      <c r="S28" s="2"/>
      <c r="T28" s="6">
        <v>1688.56</v>
      </c>
      <c r="U28" s="2"/>
      <c r="V28" s="7">
        <f t="shared" si="9"/>
        <v>1.3712967775467775E-2</v>
      </c>
      <c r="W28" s="2"/>
      <c r="X28" s="6">
        <f t="shared" si="10"/>
        <v>-341.87999999999988</v>
      </c>
      <c r="Y28" s="2"/>
      <c r="Z28" s="7">
        <f t="shared" si="11"/>
        <v>-0.20246837542047655</v>
      </c>
    </row>
    <row r="29" spans="1:26" s="24" customFormat="1" hidden="1" outlineLevel="2" x14ac:dyDescent="0.25">
      <c r="A29" s="28"/>
      <c r="B29" s="11" t="str">
        <f>CONCATENATE("          ", "6156", " - ", "EMPLOYEE MEALS")</f>
        <v xml:space="preserve">          6156 - EMPLOYEE MEALS</v>
      </c>
      <c r="C29" s="11"/>
      <c r="D29" s="6"/>
      <c r="E29" s="2"/>
      <c r="F29" s="7">
        <f t="shared" si="4"/>
        <v>0</v>
      </c>
      <c r="G29" s="2"/>
      <c r="H29" s="6">
        <v>151.65</v>
      </c>
      <c r="I29" s="2"/>
      <c r="J29" s="7">
        <f t="shared" si="5"/>
        <v>5.6116785079928953E-3</v>
      </c>
      <c r="K29" s="2"/>
      <c r="L29" s="6">
        <f t="shared" si="6"/>
        <v>-151.65</v>
      </c>
      <c r="M29" s="2"/>
      <c r="N29" s="7">
        <f t="shared" si="7"/>
        <v>-1</v>
      </c>
      <c r="O29" s="11"/>
      <c r="P29" s="6"/>
      <c r="Q29" s="2"/>
      <c r="R29" s="7">
        <f t="shared" si="8"/>
        <v>0</v>
      </c>
      <c r="S29" s="2"/>
      <c r="T29" s="6">
        <v>609.41999999999996</v>
      </c>
      <c r="U29" s="2"/>
      <c r="V29" s="7">
        <f t="shared" si="9"/>
        <v>4.949161902286902E-3</v>
      </c>
      <c r="W29" s="2"/>
      <c r="X29" s="6">
        <f t="shared" si="10"/>
        <v>-609.41999999999996</v>
      </c>
      <c r="Y29" s="2"/>
      <c r="Z29" s="7">
        <f t="shared" si="11"/>
        <v>-1</v>
      </c>
    </row>
    <row r="30" spans="1:26" s="29" customFormat="1" outlineLevel="1" collapsed="1" x14ac:dyDescent="0.25">
      <c r="A30" s="27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15690.42</v>
      </c>
      <c r="E30" s="1"/>
      <c r="F30" s="5">
        <f t="shared" ref="F30:F35" si="12">IF(D$12=0,0,D30/D$12)</f>
        <v>0.10352407909582154</v>
      </c>
      <c r="G30" s="1"/>
      <c r="H30" s="1">
        <f>SUM(OSRRefH22_1x_0)</f>
        <v>18394.18</v>
      </c>
      <c r="I30" s="1"/>
      <c r="J30" s="5">
        <f t="shared" ref="J30:J35" si="13">IF(H$12=0,0,H30/H$12)</f>
        <v>0.6806608940201303</v>
      </c>
      <c r="K30" s="1"/>
      <c r="L30" s="1">
        <f t="shared" ref="L30:L35" si="14">+D30-H30</f>
        <v>-2703.76</v>
      </c>
      <c r="M30" s="1"/>
      <c r="N30" s="5">
        <f t="shared" ref="N30:N35" si="15">IF(H30=0,0,L30/H30)</f>
        <v>-0.14698997182804563</v>
      </c>
      <c r="O30" s="14"/>
      <c r="P30" s="1">
        <f>SUM(OSRRefP22_1x_0)</f>
        <v>61737.279999999999</v>
      </c>
      <c r="Q30" s="1"/>
      <c r="R30" s="5">
        <f t="shared" ref="R30:R35" si="16">IF(P$12=0,0,P30/P$12)</f>
        <v>0.22899159882049666</v>
      </c>
      <c r="S30" s="1"/>
      <c r="T30" s="1">
        <f>SUM(OSRRefT22_1x_0)</f>
        <v>72251.460000000006</v>
      </c>
      <c r="U30" s="1"/>
      <c r="V30" s="5">
        <f t="shared" ref="V30:V35" si="17">IF(T$12=0,0,T30/T$12)</f>
        <v>0.58676146699584208</v>
      </c>
      <c r="W30" s="1"/>
      <c r="X30" s="1">
        <f t="shared" ref="X30:X35" si="18">+P30-T30</f>
        <v>-10514.180000000008</v>
      </c>
      <c r="Y30" s="1"/>
      <c r="Z30" s="5">
        <f t="shared" ref="Z30:Z35" si="19">IF(T30=0,0,X30/T30)</f>
        <v>-0.14552204204593244</v>
      </c>
    </row>
    <row r="31" spans="1:26" s="24" customFormat="1" hidden="1" outlineLevel="2" x14ac:dyDescent="0.25">
      <c r="A31" s="28"/>
      <c r="B31" s="11" t="str">
        <f>CONCATENATE("          ", "6001", " - ", "ADMINISTRATIVE SALARIES")</f>
        <v xml:space="preserve">          6001 - ADMINISTRATIVE SALARIES</v>
      </c>
      <c r="C31" s="11"/>
      <c r="D31" s="6">
        <v>4205.1400000000003</v>
      </c>
      <c r="E31" s="2"/>
      <c r="F31" s="7">
        <f t="shared" si="12"/>
        <v>2.7745162077815827E-2</v>
      </c>
      <c r="G31" s="2"/>
      <c r="H31" s="6"/>
      <c r="I31" s="2"/>
      <c r="J31" s="7">
        <f t="shared" si="13"/>
        <v>0</v>
      </c>
      <c r="K31" s="2"/>
      <c r="L31" s="6">
        <f t="shared" si="14"/>
        <v>4205.1400000000003</v>
      </c>
      <c r="M31" s="2"/>
      <c r="N31" s="7">
        <f t="shared" si="15"/>
        <v>0</v>
      </c>
      <c r="O31" s="11"/>
      <c r="P31" s="6">
        <v>17874.3</v>
      </c>
      <c r="Q31" s="2"/>
      <c r="R31" s="7">
        <f t="shared" si="16"/>
        <v>6.6298102779992957E-2</v>
      </c>
      <c r="S31" s="2"/>
      <c r="T31" s="6"/>
      <c r="U31" s="2"/>
      <c r="V31" s="7">
        <f t="shared" si="17"/>
        <v>0</v>
      </c>
      <c r="W31" s="2"/>
      <c r="X31" s="6">
        <f t="shared" si="18"/>
        <v>17874.3</v>
      </c>
      <c r="Y31" s="2"/>
      <c r="Z31" s="7">
        <f t="shared" si="19"/>
        <v>0</v>
      </c>
    </row>
    <row r="32" spans="1:26" s="24" customFormat="1" hidden="1" outlineLevel="2" x14ac:dyDescent="0.25">
      <c r="A32" s="28"/>
      <c r="B32" s="11" t="str">
        <f>CONCATENATE("          ", "6002", " - ", "STAFF SALARIES")</f>
        <v xml:space="preserve">          6002 - STAFF SALARIES</v>
      </c>
      <c r="C32" s="11"/>
      <c r="D32" s="6">
        <v>2852.45</v>
      </c>
      <c r="E32" s="2"/>
      <c r="F32" s="7">
        <f t="shared" si="12"/>
        <v>1.8820226572448421E-2</v>
      </c>
      <c r="G32" s="2"/>
      <c r="H32" s="6">
        <v>5005.29</v>
      </c>
      <c r="I32" s="2"/>
      <c r="J32" s="7">
        <f t="shared" si="13"/>
        <v>0.18521647424511545</v>
      </c>
      <c r="K32" s="2"/>
      <c r="L32" s="6">
        <f t="shared" si="14"/>
        <v>-2152.84</v>
      </c>
      <c r="M32" s="2"/>
      <c r="N32" s="7">
        <f t="shared" si="15"/>
        <v>-0.43011294050894155</v>
      </c>
      <c r="O32" s="11"/>
      <c r="P32" s="6">
        <v>9813.89</v>
      </c>
      <c r="Q32" s="2"/>
      <c r="R32" s="7">
        <f t="shared" si="16"/>
        <v>3.6400994046846311E-2</v>
      </c>
      <c r="S32" s="2"/>
      <c r="T32" s="6">
        <v>23238.240000000002</v>
      </c>
      <c r="U32" s="2"/>
      <c r="V32" s="7">
        <f t="shared" si="17"/>
        <v>0.18872011434511435</v>
      </c>
      <c r="W32" s="2"/>
      <c r="X32" s="6">
        <f t="shared" si="18"/>
        <v>-13424.350000000002</v>
      </c>
      <c r="Y32" s="2"/>
      <c r="Z32" s="7">
        <f t="shared" si="19"/>
        <v>-0.57768359393826729</v>
      </c>
    </row>
    <row r="33" spans="1:26" s="24" customFormat="1" hidden="1" outlineLevel="2" x14ac:dyDescent="0.25">
      <c r="A33" s="28"/>
      <c r="B33" s="11" t="str">
        <f>CONCATENATE("          ", "6005", " - ", "TEMPORARY WAGES-HOURLY")</f>
        <v xml:space="preserve">          6005 - TEMPORARY WAGES-HOURLY</v>
      </c>
      <c r="C33" s="11"/>
      <c r="D33" s="6">
        <v>8347.7999999999993</v>
      </c>
      <c r="E33" s="2"/>
      <c r="F33" s="7">
        <f t="shared" si="12"/>
        <v>5.5078086340333718E-2</v>
      </c>
      <c r="G33" s="2"/>
      <c r="H33" s="6">
        <v>11332.53</v>
      </c>
      <c r="I33" s="2"/>
      <c r="J33" s="7">
        <f t="shared" si="13"/>
        <v>0.41935057726465369</v>
      </c>
      <c r="K33" s="2"/>
      <c r="L33" s="6">
        <f t="shared" si="14"/>
        <v>-2984.7300000000014</v>
      </c>
      <c r="M33" s="2"/>
      <c r="N33" s="7">
        <f t="shared" si="15"/>
        <v>-0.26337719820728478</v>
      </c>
      <c r="O33" s="11"/>
      <c r="P33" s="6">
        <v>29353.32</v>
      </c>
      <c r="Q33" s="2"/>
      <c r="R33" s="7">
        <f t="shared" si="16"/>
        <v>0.10887528050295803</v>
      </c>
      <c r="S33" s="2"/>
      <c r="T33" s="6">
        <v>32682.59</v>
      </c>
      <c r="U33" s="2"/>
      <c r="V33" s="7">
        <f t="shared" si="17"/>
        <v>0.26541864280145533</v>
      </c>
      <c r="W33" s="2"/>
      <c r="X33" s="6">
        <f t="shared" si="18"/>
        <v>-3329.2700000000004</v>
      </c>
      <c r="Y33" s="2"/>
      <c r="Z33" s="7">
        <f t="shared" si="19"/>
        <v>-0.10186677371652615</v>
      </c>
    </row>
    <row r="34" spans="1:26" s="24" customFormat="1" hidden="1" outlineLevel="2" x14ac:dyDescent="0.25">
      <c r="A34" s="28"/>
      <c r="B34" s="11" t="str">
        <f>CONCATENATE("          ", "6007", " - ", "STUDENT HOURLY")</f>
        <v xml:space="preserve">          6007 - STUDENT HOURLY</v>
      </c>
      <c r="C34" s="11"/>
      <c r="D34" s="6">
        <v>-756.15</v>
      </c>
      <c r="E34" s="2"/>
      <c r="F34" s="7">
        <f t="shared" si="12"/>
        <v>-4.989014469230617E-3</v>
      </c>
      <c r="G34" s="2"/>
      <c r="H34" s="6">
        <v>1068.23</v>
      </c>
      <c r="I34" s="2"/>
      <c r="J34" s="7">
        <f t="shared" si="13"/>
        <v>3.9528937240970986E-2</v>
      </c>
      <c r="K34" s="2"/>
      <c r="L34" s="6">
        <f t="shared" si="14"/>
        <v>-1824.38</v>
      </c>
      <c r="M34" s="2"/>
      <c r="N34" s="7">
        <f t="shared" si="15"/>
        <v>-1.7078531776864534</v>
      </c>
      <c r="O34" s="11"/>
      <c r="P34" s="6">
        <v>2811.23</v>
      </c>
      <c r="Q34" s="2"/>
      <c r="R34" s="7">
        <f t="shared" si="16"/>
        <v>1.0427217596112832E-2</v>
      </c>
      <c r="S34" s="2"/>
      <c r="T34" s="6">
        <v>13267.43</v>
      </c>
      <c r="U34" s="2"/>
      <c r="V34" s="7">
        <f t="shared" si="17"/>
        <v>0.1077461505977131</v>
      </c>
      <c r="W34" s="2"/>
      <c r="X34" s="6">
        <f t="shared" si="18"/>
        <v>-10456.200000000001</v>
      </c>
      <c r="Y34" s="2"/>
      <c r="Z34" s="7">
        <f t="shared" si="19"/>
        <v>-0.7881104328419295</v>
      </c>
    </row>
    <row r="35" spans="1:26" s="24" customFormat="1" hidden="1" outlineLevel="2" x14ac:dyDescent="0.25">
      <c r="A35" s="28"/>
      <c r="B35" s="11" t="str">
        <f>CONCATENATE("          ", "6008", " - ", "STUDENT HOURLY-FICA EXEMPT")</f>
        <v xml:space="preserve">          6008 - STUDENT HOURLY-FICA EXEMPT</v>
      </c>
      <c r="C35" s="11"/>
      <c r="D35" s="6">
        <v>1041.18</v>
      </c>
      <c r="E35" s="2"/>
      <c r="F35" s="7">
        <f t="shared" si="12"/>
        <v>6.8696185744541874E-3</v>
      </c>
      <c r="G35" s="2"/>
      <c r="H35" s="6">
        <v>988.13</v>
      </c>
      <c r="I35" s="2"/>
      <c r="J35" s="7">
        <f t="shared" si="13"/>
        <v>3.6564905269390172E-2</v>
      </c>
      <c r="K35" s="2"/>
      <c r="L35" s="6">
        <f t="shared" si="14"/>
        <v>53.050000000000068</v>
      </c>
      <c r="M35" s="2"/>
      <c r="N35" s="7">
        <f t="shared" si="15"/>
        <v>5.3687267869612365E-2</v>
      </c>
      <c r="O35" s="11"/>
      <c r="P35" s="6">
        <v>1884.54</v>
      </c>
      <c r="Q35" s="2"/>
      <c r="R35" s="7">
        <f t="shared" si="16"/>
        <v>6.9900038945865245E-3</v>
      </c>
      <c r="S35" s="2"/>
      <c r="T35" s="6">
        <v>3063.2</v>
      </c>
      <c r="U35" s="2"/>
      <c r="V35" s="7">
        <f t="shared" si="17"/>
        <v>2.4876559251559249E-2</v>
      </c>
      <c r="W35" s="2"/>
      <c r="X35" s="6">
        <f t="shared" si="18"/>
        <v>-1178.6599999999999</v>
      </c>
      <c r="Y35" s="2"/>
      <c r="Z35" s="7">
        <f t="shared" si="19"/>
        <v>-0.38478062157221204</v>
      </c>
    </row>
    <row r="36" spans="1:26" s="29" customFormat="1" outlineLevel="1" collapsed="1" x14ac:dyDescent="0.25">
      <c r="A36" s="27"/>
      <c r="B36" s="14" t="str">
        <f>CONCATENATE("     ","Advertising/Promo                                 ")</f>
        <v xml:space="preserve">     Advertising/Promo                                 </v>
      </c>
      <c r="C36" s="14"/>
      <c r="D36" s="1">
        <f>SUM(OSRRefD22_2x_0)</f>
        <v>0</v>
      </c>
      <c r="E36" s="1"/>
      <c r="F36" s="5">
        <f t="shared" ref="F36:F44" si="20">IF(D$12=0,0,D36/D$12)</f>
        <v>0</v>
      </c>
      <c r="G36" s="1"/>
      <c r="H36" s="1">
        <f>SUM(OSRRefH22_2x_0)</f>
        <v>68.77</v>
      </c>
      <c r="I36" s="1"/>
      <c r="J36" s="5">
        <f t="shared" ref="J36:J44" si="21">IF(H$12=0,0,H36/H$12)</f>
        <v>2.5447750148016577E-3</v>
      </c>
      <c r="K36" s="1"/>
      <c r="L36" s="1">
        <f t="shared" ref="L36:L44" si="22">+D36-H36</f>
        <v>-68.77</v>
      </c>
      <c r="M36" s="1"/>
      <c r="N36" s="5">
        <f t="shared" ref="N36:N44" si="23">IF(H36=0,0,L36/H36)</f>
        <v>-1</v>
      </c>
      <c r="O36" s="14"/>
      <c r="P36" s="1">
        <f>SUM(OSRRefP22_2x_0)</f>
        <v>0</v>
      </c>
      <c r="Q36" s="1"/>
      <c r="R36" s="5">
        <f t="shared" ref="R36:R44" si="24">IF(P$12=0,0,P36/P$12)</f>
        <v>0</v>
      </c>
      <c r="S36" s="1"/>
      <c r="T36" s="1">
        <f>SUM(OSRRefT22_2x_0)</f>
        <v>106.77</v>
      </c>
      <c r="U36" s="1"/>
      <c r="V36" s="5">
        <f t="shared" ref="V36:V44" si="25">IF(T$12=0,0,T36/T$12)</f>
        <v>8.6709004677754673E-4</v>
      </c>
      <c r="W36" s="1"/>
      <c r="X36" s="1">
        <f t="shared" ref="X36:X44" si="26">+P36-T36</f>
        <v>-106.77</v>
      </c>
      <c r="Y36" s="1"/>
      <c r="Z36" s="5">
        <f t="shared" ref="Z36:Z44" si="27">IF(T36=0,0,X36/T36)</f>
        <v>-1</v>
      </c>
    </row>
    <row r="37" spans="1:26" s="24" customFormat="1" hidden="1" outlineLevel="2" x14ac:dyDescent="0.25">
      <c r="A37" s="28"/>
      <c r="B37" s="11" t="str">
        <f>CONCATENATE("          ", "6362", " - ", "ADVERTISING EXPENSE")</f>
        <v xml:space="preserve">          6362 - ADVERTISING EXPENSE</v>
      </c>
      <c r="C37" s="11"/>
      <c r="D37" s="6"/>
      <c r="E37" s="2"/>
      <c r="F37" s="7">
        <f t="shared" si="20"/>
        <v>0</v>
      </c>
      <c r="G37" s="2"/>
      <c r="H37" s="6">
        <v>68.77</v>
      </c>
      <c r="I37" s="2"/>
      <c r="J37" s="7">
        <f t="shared" si="21"/>
        <v>2.5447750148016577E-3</v>
      </c>
      <c r="K37" s="2"/>
      <c r="L37" s="6">
        <f t="shared" si="22"/>
        <v>-68.77</v>
      </c>
      <c r="M37" s="2"/>
      <c r="N37" s="7">
        <f t="shared" si="23"/>
        <v>-1</v>
      </c>
      <c r="O37" s="11"/>
      <c r="P37" s="6"/>
      <c r="Q37" s="2"/>
      <c r="R37" s="7">
        <f t="shared" si="24"/>
        <v>0</v>
      </c>
      <c r="S37" s="2"/>
      <c r="T37" s="6">
        <v>106.77</v>
      </c>
      <c r="U37" s="2"/>
      <c r="V37" s="7">
        <f t="shared" si="25"/>
        <v>8.6709004677754673E-4</v>
      </c>
      <c r="W37" s="2"/>
      <c r="X37" s="6">
        <f t="shared" si="26"/>
        <v>-106.77</v>
      </c>
      <c r="Y37" s="2"/>
      <c r="Z37" s="7">
        <f t="shared" si="27"/>
        <v>-1</v>
      </c>
    </row>
    <row r="38" spans="1:26" s="29" customFormat="1" outlineLevel="1" collapsed="1" x14ac:dyDescent="0.25">
      <c r="A38" s="27"/>
      <c r="B38" s="14" t="str">
        <f>CONCATENATE("     ","Bank/card Fees                                    ")</f>
        <v xml:space="preserve">     Bank/card Fees                                    </v>
      </c>
      <c r="C38" s="14"/>
      <c r="D38" s="1">
        <f>SUM(OSRRefD22_3x_0)</f>
        <v>55.04</v>
      </c>
      <c r="E38" s="1"/>
      <c r="F38" s="5">
        <f t="shared" si="20"/>
        <v>3.631493174455507E-4</v>
      </c>
      <c r="G38" s="1"/>
      <c r="H38" s="1">
        <f>SUM(OSRRefH22_3x_0)</f>
        <v>2910.64</v>
      </c>
      <c r="I38" s="1"/>
      <c r="J38" s="5">
        <f t="shared" si="21"/>
        <v>0.10770574304322084</v>
      </c>
      <c r="K38" s="1"/>
      <c r="L38" s="1">
        <f t="shared" si="22"/>
        <v>-2855.6</v>
      </c>
      <c r="M38" s="1"/>
      <c r="N38" s="5">
        <f t="shared" si="23"/>
        <v>-0.98109006953797107</v>
      </c>
      <c r="O38" s="14"/>
      <c r="P38" s="1">
        <f>SUM(OSRRefP22_3x_0)</f>
        <v>519.47</v>
      </c>
      <c r="Q38" s="1"/>
      <c r="R38" s="5">
        <f t="shared" si="24"/>
        <v>1.9267817733350644E-3</v>
      </c>
      <c r="S38" s="1"/>
      <c r="T38" s="1">
        <f>SUM(OSRRefT22_3x_0)</f>
        <v>8516.69</v>
      </c>
      <c r="U38" s="1"/>
      <c r="V38" s="5">
        <f t="shared" si="25"/>
        <v>6.9164907094594594E-2</v>
      </c>
      <c r="W38" s="1"/>
      <c r="X38" s="1">
        <f t="shared" si="26"/>
        <v>-7997.22</v>
      </c>
      <c r="Y38" s="1"/>
      <c r="Z38" s="5">
        <f t="shared" si="27"/>
        <v>-0.9390056465598724</v>
      </c>
    </row>
    <row r="39" spans="1:26" s="24" customFormat="1" hidden="1" outlineLevel="2" x14ac:dyDescent="0.25">
      <c r="A39" s="28"/>
      <c r="B39" s="11" t="str">
        <f>CONCATENATE("          ", "6381", " - ", "BANK/CREDIT CARD FEES")</f>
        <v xml:space="preserve">          6381 - BANK/CREDIT CARD FEES</v>
      </c>
      <c r="C39" s="11"/>
      <c r="D39" s="6">
        <v>55.04</v>
      </c>
      <c r="E39" s="2"/>
      <c r="F39" s="7">
        <f t="shared" si="20"/>
        <v>3.631493174455507E-4</v>
      </c>
      <c r="G39" s="2"/>
      <c r="H39" s="6">
        <v>2910.64</v>
      </c>
      <c r="I39" s="2"/>
      <c r="J39" s="7">
        <f t="shared" si="21"/>
        <v>0.10770574304322084</v>
      </c>
      <c r="K39" s="2"/>
      <c r="L39" s="6">
        <f t="shared" si="22"/>
        <v>-2855.6</v>
      </c>
      <c r="M39" s="2"/>
      <c r="N39" s="7">
        <f t="shared" si="23"/>
        <v>-0.98109006953797107</v>
      </c>
      <c r="O39" s="11"/>
      <c r="P39" s="6">
        <v>519.47</v>
      </c>
      <c r="Q39" s="2"/>
      <c r="R39" s="7">
        <f t="shared" si="24"/>
        <v>1.9267817733350644E-3</v>
      </c>
      <c r="S39" s="2"/>
      <c r="T39" s="6">
        <v>8516.69</v>
      </c>
      <c r="U39" s="2"/>
      <c r="V39" s="7">
        <f t="shared" si="25"/>
        <v>6.9164907094594594E-2</v>
      </c>
      <c r="W39" s="2"/>
      <c r="X39" s="6">
        <f t="shared" si="26"/>
        <v>-7997.22</v>
      </c>
      <c r="Y39" s="2"/>
      <c r="Z39" s="7">
        <f t="shared" si="27"/>
        <v>-0.9390056465598724</v>
      </c>
    </row>
    <row r="40" spans="1:26" s="29" customFormat="1" outlineLevel="1" collapsed="1" x14ac:dyDescent="0.25">
      <c r="A40" s="27"/>
      <c r="B40" s="14" t="str">
        <f>CONCATENATE("     ","Employees' Appreciation                           ")</f>
        <v xml:space="preserve">     Employees' Appreciation                           </v>
      </c>
      <c r="C40" s="14"/>
      <c r="D40" s="1">
        <f>SUM(OSRRefD22_4x_0)</f>
        <v>0</v>
      </c>
      <c r="E40" s="1"/>
      <c r="F40" s="5">
        <f t="shared" si="20"/>
        <v>0</v>
      </c>
      <c r="G40" s="1"/>
      <c r="H40" s="1">
        <f>SUM(OSRRefH22_4x_0)</f>
        <v>0</v>
      </c>
      <c r="I40" s="1"/>
      <c r="J40" s="5">
        <f t="shared" si="21"/>
        <v>0</v>
      </c>
      <c r="K40" s="1"/>
      <c r="L40" s="1">
        <f t="shared" si="22"/>
        <v>0</v>
      </c>
      <c r="M40" s="1"/>
      <c r="N40" s="5">
        <f t="shared" si="23"/>
        <v>0</v>
      </c>
      <c r="O40" s="14"/>
      <c r="P40" s="1">
        <f>SUM(OSRRefP22_4x_0)</f>
        <v>0</v>
      </c>
      <c r="Q40" s="1"/>
      <c r="R40" s="5">
        <f t="shared" si="24"/>
        <v>0</v>
      </c>
      <c r="S40" s="1"/>
      <c r="T40" s="1">
        <f>SUM(OSRRefT22_4x_0)</f>
        <v>64.239999999999995</v>
      </c>
      <c r="U40" s="1"/>
      <c r="V40" s="5">
        <f t="shared" si="25"/>
        <v>5.2169958419958414E-4</v>
      </c>
      <c r="W40" s="1"/>
      <c r="X40" s="1">
        <f t="shared" si="26"/>
        <v>-64.239999999999995</v>
      </c>
      <c r="Y40" s="1"/>
      <c r="Z40" s="5">
        <f t="shared" si="27"/>
        <v>-1</v>
      </c>
    </row>
    <row r="41" spans="1:26" s="24" customFormat="1" hidden="1" outlineLevel="2" x14ac:dyDescent="0.25">
      <c r="A41" s="28"/>
      <c r="B41" s="11" t="str">
        <f>CONCATENATE("          ", "6277", " - ", "EMPLOYEE APPRECIATION")</f>
        <v xml:space="preserve">          6277 - EMPLOYEE APPRECIATION</v>
      </c>
      <c r="C41" s="11"/>
      <c r="D41" s="6"/>
      <c r="E41" s="2"/>
      <c r="F41" s="7">
        <f t="shared" si="20"/>
        <v>0</v>
      </c>
      <c r="G41" s="2"/>
      <c r="H41" s="6"/>
      <c r="I41" s="2"/>
      <c r="J41" s="7">
        <f t="shared" si="21"/>
        <v>0</v>
      </c>
      <c r="K41" s="2"/>
      <c r="L41" s="6">
        <f t="shared" si="22"/>
        <v>0</v>
      </c>
      <c r="M41" s="2"/>
      <c r="N41" s="7">
        <f t="shared" si="23"/>
        <v>0</v>
      </c>
      <c r="O41" s="11"/>
      <c r="P41" s="6"/>
      <c r="Q41" s="2"/>
      <c r="R41" s="7">
        <f t="shared" si="24"/>
        <v>0</v>
      </c>
      <c r="S41" s="2"/>
      <c r="T41" s="6">
        <v>64.239999999999995</v>
      </c>
      <c r="U41" s="2"/>
      <c r="V41" s="7">
        <f t="shared" si="25"/>
        <v>5.2169958419958414E-4</v>
      </c>
      <c r="W41" s="2"/>
      <c r="X41" s="6">
        <f t="shared" si="26"/>
        <v>-64.239999999999995</v>
      </c>
      <c r="Y41" s="2"/>
      <c r="Z41" s="7">
        <f t="shared" si="27"/>
        <v>-1</v>
      </c>
    </row>
    <row r="42" spans="1:26" s="29" customFormat="1" outlineLevel="1" collapsed="1" x14ac:dyDescent="0.25">
      <c r="A42" s="27"/>
      <c r="B42" s="14" t="str">
        <f>CONCATENATE("     ","Freight out/Postage                               ")</f>
        <v xml:space="preserve">     Freight out/Postage                               </v>
      </c>
      <c r="C42" s="14"/>
      <c r="D42" s="1">
        <f>SUM(OSRRefD22_5x_0)</f>
        <v>1.33</v>
      </c>
      <c r="E42" s="1"/>
      <c r="F42" s="5">
        <f t="shared" si="20"/>
        <v>8.7752287827504075E-6</v>
      </c>
      <c r="G42" s="1"/>
      <c r="H42" s="1">
        <f>SUM(OSRRefH22_5x_0)</f>
        <v>0</v>
      </c>
      <c r="I42" s="1"/>
      <c r="J42" s="5">
        <f t="shared" si="21"/>
        <v>0</v>
      </c>
      <c r="K42" s="1"/>
      <c r="L42" s="1">
        <f t="shared" si="22"/>
        <v>1.33</v>
      </c>
      <c r="M42" s="1"/>
      <c r="N42" s="5">
        <f t="shared" si="23"/>
        <v>0</v>
      </c>
      <c r="O42" s="14"/>
      <c r="P42" s="1">
        <f>SUM(OSRRefP22_5x_0)</f>
        <v>2.12</v>
      </c>
      <c r="Q42" s="1"/>
      <c r="R42" s="5">
        <f t="shared" si="24"/>
        <v>7.8633556499323092E-6</v>
      </c>
      <c r="S42" s="1"/>
      <c r="T42" s="1">
        <f>SUM(OSRRefT22_5x_0)</f>
        <v>0</v>
      </c>
      <c r="U42" s="1"/>
      <c r="V42" s="5">
        <f t="shared" si="25"/>
        <v>0</v>
      </c>
      <c r="W42" s="1"/>
      <c r="X42" s="1">
        <f t="shared" si="26"/>
        <v>2.12</v>
      </c>
      <c r="Y42" s="1"/>
      <c r="Z42" s="5">
        <f t="shared" si="27"/>
        <v>0</v>
      </c>
    </row>
    <row r="43" spans="1:26" s="24" customFormat="1" hidden="1" outlineLevel="2" x14ac:dyDescent="0.25">
      <c r="A43" s="28"/>
      <c r="B43" s="11" t="str">
        <f>CONCATENATE("          ", "6305", " - ", "FREIGHT OUT")</f>
        <v xml:space="preserve">          6305 - FREIGHT OUT</v>
      </c>
      <c r="C43" s="11"/>
      <c r="D43" s="6">
        <v>1.33</v>
      </c>
      <c r="E43" s="2"/>
      <c r="F43" s="7">
        <f t="shared" si="20"/>
        <v>8.7752287827504075E-6</v>
      </c>
      <c r="G43" s="2"/>
      <c r="H43" s="6"/>
      <c r="I43" s="2"/>
      <c r="J43" s="7">
        <f t="shared" si="21"/>
        <v>0</v>
      </c>
      <c r="K43" s="2"/>
      <c r="L43" s="6">
        <f t="shared" si="22"/>
        <v>1.33</v>
      </c>
      <c r="M43" s="2"/>
      <c r="N43" s="7">
        <f t="shared" si="23"/>
        <v>0</v>
      </c>
      <c r="O43" s="11"/>
      <c r="P43" s="6">
        <v>1.62</v>
      </c>
      <c r="Q43" s="2"/>
      <c r="R43" s="7">
        <f t="shared" si="24"/>
        <v>6.0087906381558211E-6</v>
      </c>
      <c r="S43" s="2"/>
      <c r="T43" s="6"/>
      <c r="U43" s="2"/>
      <c r="V43" s="7">
        <f t="shared" si="25"/>
        <v>0</v>
      </c>
      <c r="W43" s="2"/>
      <c r="X43" s="6">
        <f t="shared" si="26"/>
        <v>1.62</v>
      </c>
      <c r="Y43" s="2"/>
      <c r="Z43" s="7">
        <f t="shared" si="27"/>
        <v>0</v>
      </c>
    </row>
    <row r="44" spans="1:26" s="24" customFormat="1" hidden="1" outlineLevel="2" x14ac:dyDescent="0.25">
      <c r="A44" s="28"/>
      <c r="B44" s="11" t="str">
        <f>CONCATENATE("          ", "6307", " - ", "POSTAGE")</f>
        <v xml:space="preserve">          6307 - POSTAGE</v>
      </c>
      <c r="C44" s="11"/>
      <c r="D44" s="6"/>
      <c r="E44" s="2"/>
      <c r="F44" s="7">
        <f t="shared" si="20"/>
        <v>0</v>
      </c>
      <c r="G44" s="2"/>
      <c r="H44" s="6"/>
      <c r="I44" s="2"/>
      <c r="J44" s="7">
        <f t="shared" si="21"/>
        <v>0</v>
      </c>
      <c r="K44" s="2"/>
      <c r="L44" s="6">
        <f t="shared" si="22"/>
        <v>0</v>
      </c>
      <c r="M44" s="2"/>
      <c r="N44" s="7">
        <f t="shared" si="23"/>
        <v>0</v>
      </c>
      <c r="O44" s="11"/>
      <c r="P44" s="6">
        <v>0.5</v>
      </c>
      <c r="Q44" s="2"/>
      <c r="R44" s="7">
        <f t="shared" si="24"/>
        <v>1.8545650117764878E-6</v>
      </c>
      <c r="S44" s="2"/>
      <c r="T44" s="6"/>
      <c r="U44" s="2"/>
      <c r="V44" s="7">
        <f t="shared" si="25"/>
        <v>0</v>
      </c>
      <c r="W44" s="2"/>
      <c r="X44" s="6">
        <f t="shared" si="26"/>
        <v>0.5</v>
      </c>
      <c r="Y44" s="2"/>
      <c r="Z44" s="7">
        <f t="shared" si="27"/>
        <v>0</v>
      </c>
    </row>
    <row r="45" spans="1:26" s="29" customFormat="1" outlineLevel="1" collapsed="1" x14ac:dyDescent="0.25">
      <c r="A45" s="27"/>
      <c r="B45" s="14" t="str">
        <f>CONCATENATE("     ","Insurance                                         ")</f>
        <v xml:space="preserve">     Insurance                                         </v>
      </c>
      <c r="C45" s="14"/>
      <c r="D45" s="1">
        <f>SUM(OSRRefD22_6x_0)</f>
        <v>29.01</v>
      </c>
      <c r="E45" s="1"/>
      <c r="F45" s="5">
        <f t="shared" ref="F45:F52" si="28">IF(D$12=0,0,D45/D$12)</f>
        <v>1.9140555412600703E-4</v>
      </c>
      <c r="G45" s="1"/>
      <c r="H45" s="1">
        <f>SUM(OSRRefH22_6x_0)</f>
        <v>29.01</v>
      </c>
      <c r="I45" s="1"/>
      <c r="J45" s="5">
        <f t="shared" ref="J45:J52" si="29">IF(H$12=0,0,H45/H$12)</f>
        <v>1.0734902309058616E-3</v>
      </c>
      <c r="K45" s="1"/>
      <c r="L45" s="1">
        <f t="shared" ref="L45:L52" si="30">+D45-H45</f>
        <v>0</v>
      </c>
      <c r="M45" s="1"/>
      <c r="N45" s="5">
        <f t="shared" ref="N45:N52" si="31">IF(H45=0,0,L45/H45)</f>
        <v>0</v>
      </c>
      <c r="O45" s="14"/>
      <c r="P45" s="1">
        <f>SUM(OSRRefP22_6x_0)</f>
        <v>116.04</v>
      </c>
      <c r="Q45" s="1"/>
      <c r="R45" s="5">
        <f t="shared" ref="R45:R52" si="32">IF(P$12=0,0,P45/P$12)</f>
        <v>4.3040744793308732E-4</v>
      </c>
      <c r="S45" s="1"/>
      <c r="T45" s="1">
        <f>SUM(OSRRefT22_6x_0)</f>
        <v>116.04</v>
      </c>
      <c r="U45" s="1"/>
      <c r="V45" s="5">
        <f t="shared" ref="V45:V52" si="33">IF(T$12=0,0,T45/T$12)</f>
        <v>9.423726611226612E-4</v>
      </c>
      <c r="W45" s="1"/>
      <c r="X45" s="1">
        <f t="shared" ref="X45:X52" si="34">+P45-T45</f>
        <v>0</v>
      </c>
      <c r="Y45" s="1"/>
      <c r="Z45" s="5">
        <f t="shared" ref="Z45:Z52" si="35">IF(T45=0,0,X45/T45)</f>
        <v>0</v>
      </c>
    </row>
    <row r="46" spans="1:26" s="24" customFormat="1" hidden="1" outlineLevel="2" x14ac:dyDescent="0.25">
      <c r="A46" s="28"/>
      <c r="B46" s="11" t="str">
        <f>CONCATENATE("          ", "6314", " - ", "LIABILITY INSURANCE")</f>
        <v xml:space="preserve">          6314 - LIABILITY INSURANCE</v>
      </c>
      <c r="C46" s="11"/>
      <c r="D46" s="6">
        <v>29.01</v>
      </c>
      <c r="E46" s="2"/>
      <c r="F46" s="7">
        <f t="shared" si="28"/>
        <v>1.9140555412600703E-4</v>
      </c>
      <c r="G46" s="2"/>
      <c r="H46" s="6">
        <v>29.01</v>
      </c>
      <c r="I46" s="2"/>
      <c r="J46" s="7">
        <f t="shared" si="29"/>
        <v>1.0734902309058616E-3</v>
      </c>
      <c r="K46" s="2"/>
      <c r="L46" s="6">
        <f t="shared" si="30"/>
        <v>0</v>
      </c>
      <c r="M46" s="2"/>
      <c r="N46" s="7">
        <f t="shared" si="31"/>
        <v>0</v>
      </c>
      <c r="O46" s="11"/>
      <c r="P46" s="6">
        <v>116.04</v>
      </c>
      <c r="Q46" s="2"/>
      <c r="R46" s="7">
        <f t="shared" si="32"/>
        <v>4.3040744793308732E-4</v>
      </c>
      <c r="S46" s="2"/>
      <c r="T46" s="6">
        <v>116.04</v>
      </c>
      <c r="U46" s="2"/>
      <c r="V46" s="7">
        <f t="shared" si="33"/>
        <v>9.423726611226612E-4</v>
      </c>
      <c r="W46" s="2"/>
      <c r="X46" s="6">
        <f t="shared" si="34"/>
        <v>0</v>
      </c>
      <c r="Y46" s="2"/>
      <c r="Z46" s="7">
        <f t="shared" si="35"/>
        <v>0</v>
      </c>
    </row>
    <row r="47" spans="1:26" s="29" customFormat="1" outlineLevel="1" collapsed="1" x14ac:dyDescent="0.25">
      <c r="A47" s="27"/>
      <c r="B47" s="14" t="str">
        <f>CONCATENATE("     ","Rent                                              ")</f>
        <v xml:space="preserve">     Rent                                              </v>
      </c>
      <c r="C47" s="14"/>
      <c r="D47" s="1">
        <f>SUM(OSRRefD22_7x_0)</f>
        <v>800</v>
      </c>
      <c r="E47" s="1"/>
      <c r="F47" s="5">
        <f t="shared" si="28"/>
        <v>5.2783331024062602E-3</v>
      </c>
      <c r="G47" s="1"/>
      <c r="H47" s="1">
        <f>SUM(OSRRefH22_7x_0)</f>
        <v>800</v>
      </c>
      <c r="I47" s="1"/>
      <c r="J47" s="5">
        <f t="shared" si="29"/>
        <v>2.9603315571343991E-2</v>
      </c>
      <c r="K47" s="1"/>
      <c r="L47" s="1">
        <f t="shared" si="30"/>
        <v>0</v>
      </c>
      <c r="M47" s="1"/>
      <c r="N47" s="5">
        <f t="shared" si="31"/>
        <v>0</v>
      </c>
      <c r="O47" s="14"/>
      <c r="P47" s="1">
        <f>SUM(OSRRefP22_7x_0)</f>
        <v>3200</v>
      </c>
      <c r="Q47" s="1"/>
      <c r="R47" s="5">
        <f t="shared" si="32"/>
        <v>1.1869216075369522E-2</v>
      </c>
      <c r="S47" s="1"/>
      <c r="T47" s="1">
        <f>SUM(OSRRefT22_7x_0)</f>
        <v>3200</v>
      </c>
      <c r="U47" s="1"/>
      <c r="V47" s="5">
        <f t="shared" si="33"/>
        <v>2.5987525987525989E-2</v>
      </c>
      <c r="W47" s="1"/>
      <c r="X47" s="1">
        <f t="shared" si="34"/>
        <v>0</v>
      </c>
      <c r="Y47" s="1"/>
      <c r="Z47" s="5">
        <f t="shared" si="35"/>
        <v>0</v>
      </c>
    </row>
    <row r="48" spans="1:26" s="24" customFormat="1" hidden="1" outlineLevel="2" x14ac:dyDescent="0.25">
      <c r="A48" s="28"/>
      <c r="B48" s="11" t="str">
        <f>CONCATENATE("          ", "6273", " - ", "RENT")</f>
        <v xml:space="preserve">          6273 - RENT</v>
      </c>
      <c r="C48" s="11"/>
      <c r="D48" s="6">
        <v>800</v>
      </c>
      <c r="E48" s="2"/>
      <c r="F48" s="7">
        <f t="shared" si="28"/>
        <v>5.2783331024062602E-3</v>
      </c>
      <c r="G48" s="2"/>
      <c r="H48" s="6">
        <v>800</v>
      </c>
      <c r="I48" s="2"/>
      <c r="J48" s="7">
        <f t="shared" si="29"/>
        <v>2.9603315571343991E-2</v>
      </c>
      <c r="K48" s="2"/>
      <c r="L48" s="6">
        <f t="shared" si="30"/>
        <v>0</v>
      </c>
      <c r="M48" s="2"/>
      <c r="N48" s="7">
        <f t="shared" si="31"/>
        <v>0</v>
      </c>
      <c r="O48" s="11"/>
      <c r="P48" s="6">
        <v>3200</v>
      </c>
      <c r="Q48" s="2"/>
      <c r="R48" s="7">
        <f t="shared" si="32"/>
        <v>1.1869216075369522E-2</v>
      </c>
      <c r="S48" s="2"/>
      <c r="T48" s="6">
        <v>3200</v>
      </c>
      <c r="U48" s="2"/>
      <c r="V48" s="7">
        <f t="shared" si="33"/>
        <v>2.5987525987525989E-2</v>
      </c>
      <c r="W48" s="2"/>
      <c r="X48" s="6">
        <f t="shared" si="34"/>
        <v>0</v>
      </c>
      <c r="Y48" s="2"/>
      <c r="Z48" s="7">
        <f t="shared" si="35"/>
        <v>0</v>
      </c>
    </row>
    <row r="49" spans="1:26" s="29" customFormat="1" outlineLevel="1" collapsed="1" x14ac:dyDescent="0.25">
      <c r="A49" s="27"/>
      <c r="B49" s="14" t="str">
        <f>CONCATENATE("     ","Repair and Maintenance                            ")</f>
        <v xml:space="preserve">     Repair and Maintenance                            </v>
      </c>
      <c r="C49" s="14"/>
      <c r="D49" s="1">
        <f>SUM(OSRRefD22_8x_0)</f>
        <v>117265.90000000001</v>
      </c>
      <c r="E49" s="1"/>
      <c r="F49" s="5">
        <f t="shared" si="28"/>
        <v>0.77371060219182786</v>
      </c>
      <c r="G49" s="1"/>
      <c r="H49" s="1">
        <f>SUM(OSRRefH22_8x_0)</f>
        <v>0</v>
      </c>
      <c r="I49" s="1"/>
      <c r="J49" s="5">
        <f t="shared" si="29"/>
        <v>0</v>
      </c>
      <c r="K49" s="1"/>
      <c r="L49" s="1">
        <f t="shared" si="30"/>
        <v>117265.90000000001</v>
      </c>
      <c r="M49" s="1"/>
      <c r="N49" s="5">
        <f t="shared" si="31"/>
        <v>0</v>
      </c>
      <c r="O49" s="14"/>
      <c r="P49" s="1">
        <f>SUM(OSRRefP22_8x_0)</f>
        <v>123827.90000000001</v>
      </c>
      <c r="Q49" s="1"/>
      <c r="R49" s="5">
        <f t="shared" si="32"/>
        <v>0.45929378164351553</v>
      </c>
      <c r="S49" s="1"/>
      <c r="T49" s="1">
        <f>SUM(OSRRefT22_8x_0)</f>
        <v>437.31</v>
      </c>
      <c r="U49" s="1"/>
      <c r="V49" s="5">
        <f t="shared" si="33"/>
        <v>3.5514390592515594E-3</v>
      </c>
      <c r="W49" s="1"/>
      <c r="X49" s="1">
        <f t="shared" si="34"/>
        <v>123390.59000000001</v>
      </c>
      <c r="Y49" s="1"/>
      <c r="Z49" s="5">
        <f t="shared" si="35"/>
        <v>282.15817154878692</v>
      </c>
    </row>
    <row r="50" spans="1:26" s="24" customFormat="1" hidden="1" outlineLevel="2" x14ac:dyDescent="0.25">
      <c r="A50" s="28"/>
      <c r="B50" s="11" t="str">
        <f>CONCATENATE("          ", "6371", " - ", "COMPUTER SOFTWARE MAINTENANCE")</f>
        <v xml:space="preserve">          6371 - COMPUTER SOFTWARE MAINTENANCE</v>
      </c>
      <c r="C50" s="11"/>
      <c r="D50" s="6"/>
      <c r="E50" s="2"/>
      <c r="F50" s="7">
        <f t="shared" si="28"/>
        <v>0</v>
      </c>
      <c r="G50" s="2"/>
      <c r="H50" s="6"/>
      <c r="I50" s="2"/>
      <c r="J50" s="7">
        <f t="shared" si="29"/>
        <v>0</v>
      </c>
      <c r="K50" s="2"/>
      <c r="L50" s="6">
        <f t="shared" si="30"/>
        <v>0</v>
      </c>
      <c r="M50" s="2"/>
      <c r="N50" s="7">
        <f t="shared" si="31"/>
        <v>0</v>
      </c>
      <c r="O50" s="11"/>
      <c r="P50" s="6"/>
      <c r="Q50" s="2"/>
      <c r="R50" s="7">
        <f t="shared" si="32"/>
        <v>0</v>
      </c>
      <c r="S50" s="2"/>
      <c r="T50" s="6">
        <v>437.31</v>
      </c>
      <c r="U50" s="2"/>
      <c r="V50" s="7">
        <f t="shared" si="33"/>
        <v>3.5514390592515594E-3</v>
      </c>
      <c r="W50" s="2"/>
      <c r="X50" s="6">
        <f t="shared" si="34"/>
        <v>-437.31</v>
      </c>
      <c r="Y50" s="2"/>
      <c r="Z50" s="7">
        <f t="shared" si="35"/>
        <v>-1</v>
      </c>
    </row>
    <row r="51" spans="1:26" s="24" customFormat="1" hidden="1" outlineLevel="2" x14ac:dyDescent="0.25">
      <c r="A51" s="28"/>
      <c r="B51" s="11" t="str">
        <f>CONCATENATE("          ", "6373", " - ", "MAINTENANCE CONTRACTS")</f>
        <v xml:space="preserve">          6373 - MAINTENANCE CONTRACTS</v>
      </c>
      <c r="C51" s="11"/>
      <c r="D51" s="6">
        <v>117265.90000000001</v>
      </c>
      <c r="E51" s="2"/>
      <c r="F51" s="7">
        <f t="shared" si="28"/>
        <v>0.77371060219182786</v>
      </c>
      <c r="G51" s="2"/>
      <c r="H51" s="6"/>
      <c r="I51" s="2"/>
      <c r="J51" s="7">
        <f t="shared" si="29"/>
        <v>0</v>
      </c>
      <c r="K51" s="2"/>
      <c r="L51" s="6">
        <f t="shared" si="30"/>
        <v>117265.90000000001</v>
      </c>
      <c r="M51" s="2"/>
      <c r="N51" s="7">
        <f t="shared" si="31"/>
        <v>0</v>
      </c>
      <c r="O51" s="11"/>
      <c r="P51" s="6">
        <v>117265.90000000001</v>
      </c>
      <c r="Q51" s="2"/>
      <c r="R51" s="7">
        <f t="shared" si="32"/>
        <v>0.4349544704289609</v>
      </c>
      <c r="S51" s="2"/>
      <c r="T51" s="6"/>
      <c r="U51" s="2"/>
      <c r="V51" s="7">
        <f t="shared" si="33"/>
        <v>0</v>
      </c>
      <c r="W51" s="2"/>
      <c r="X51" s="6">
        <f t="shared" si="34"/>
        <v>117265.90000000001</v>
      </c>
      <c r="Y51" s="2"/>
      <c r="Z51" s="7">
        <f t="shared" si="35"/>
        <v>0</v>
      </c>
    </row>
    <row r="52" spans="1:26" s="24" customFormat="1" hidden="1" outlineLevel="2" x14ac:dyDescent="0.25">
      <c r="A52" s="28"/>
      <c r="B52" s="11" t="str">
        <f>CONCATENATE("          ", "6375", " - ", "OUTSIDE REPAIRS &amp; MAINTENANCE")</f>
        <v xml:space="preserve">          6375 - OUTSIDE REPAIRS &amp; MAINTENANCE</v>
      </c>
      <c r="C52" s="11"/>
      <c r="D52" s="6"/>
      <c r="E52" s="2"/>
      <c r="F52" s="7">
        <f t="shared" si="28"/>
        <v>0</v>
      </c>
      <c r="G52" s="2"/>
      <c r="H52" s="6"/>
      <c r="I52" s="2"/>
      <c r="J52" s="7">
        <f t="shared" si="29"/>
        <v>0</v>
      </c>
      <c r="K52" s="2"/>
      <c r="L52" s="6">
        <f t="shared" si="30"/>
        <v>0</v>
      </c>
      <c r="M52" s="2"/>
      <c r="N52" s="7">
        <f t="shared" si="31"/>
        <v>0</v>
      </c>
      <c r="O52" s="11"/>
      <c r="P52" s="6">
        <v>6562</v>
      </c>
      <c r="Q52" s="2"/>
      <c r="R52" s="7">
        <f t="shared" si="32"/>
        <v>2.4339311214554626E-2</v>
      </c>
      <c r="S52" s="2"/>
      <c r="T52" s="6"/>
      <c r="U52" s="2"/>
      <c r="V52" s="7">
        <f t="shared" si="33"/>
        <v>0</v>
      </c>
      <c r="W52" s="2"/>
      <c r="X52" s="6">
        <f t="shared" si="34"/>
        <v>6562</v>
      </c>
      <c r="Y52" s="2"/>
      <c r="Z52" s="7">
        <f t="shared" si="35"/>
        <v>0</v>
      </c>
    </row>
    <row r="53" spans="1:26" s="29" customFormat="1" outlineLevel="1" collapsed="1" x14ac:dyDescent="0.25">
      <c r="A53" s="27"/>
      <c r="B53" s="14" t="str">
        <f>CONCATENATE("     ","Supplies                                          ")</f>
        <v xml:space="preserve">     Supplies                                          </v>
      </c>
      <c r="C53" s="14"/>
      <c r="D53" s="1">
        <f>SUM(OSRRefD22_9x_0)</f>
        <v>6088.55</v>
      </c>
      <c r="E53" s="1"/>
      <c r="F53" s="5">
        <f t="shared" ref="F53:F56" si="36">IF(D$12=0,0,D53/D$12)</f>
        <v>4.0171743763319542E-2</v>
      </c>
      <c r="G53" s="1"/>
      <c r="H53" s="1">
        <f>SUM(OSRRefH22_9x_0)</f>
        <v>215.67</v>
      </c>
      <c r="I53" s="1"/>
      <c r="J53" s="5">
        <f t="shared" ref="J53:J56" si="37">IF(H$12=0,0,H53/H$12)</f>
        <v>7.9806838365896974E-3</v>
      </c>
      <c r="K53" s="1"/>
      <c r="L53" s="1">
        <f t="shared" ref="L53:L56" si="38">+D53-H53</f>
        <v>5872.88</v>
      </c>
      <c r="M53" s="1"/>
      <c r="N53" s="5">
        <f t="shared" ref="N53:N56" si="39">IF(H53=0,0,L53/H53)</f>
        <v>27.230861965039182</v>
      </c>
      <c r="O53" s="14"/>
      <c r="P53" s="1">
        <f>SUM(OSRRefP22_9x_0)</f>
        <v>41271.699999999997</v>
      </c>
      <c r="Q53" s="1"/>
      <c r="R53" s="5">
        <f t="shared" ref="R53:R56" si="40">IF(P$12=0,0,P53/P$12)</f>
        <v>0.15308210159307134</v>
      </c>
      <c r="S53" s="1"/>
      <c r="T53" s="1">
        <f>SUM(OSRRefT22_9x_0)</f>
        <v>18352.650000000005</v>
      </c>
      <c r="U53" s="1"/>
      <c r="V53" s="5">
        <f t="shared" ref="V53:V56" si="41">IF(T$12=0,0,T53/T$12)</f>
        <v>0.14904374025467779</v>
      </c>
      <c r="W53" s="1"/>
      <c r="X53" s="1">
        <f t="shared" ref="X53:X56" si="42">+P53-T53</f>
        <v>22919.049999999992</v>
      </c>
      <c r="Y53" s="1"/>
      <c r="Z53" s="5">
        <f t="shared" ref="Z53:Z56" si="43">IF(T53=0,0,X53/T53)</f>
        <v>1.248814203943299</v>
      </c>
    </row>
    <row r="54" spans="1:26" s="24" customFormat="1" hidden="1" outlineLevel="2" x14ac:dyDescent="0.25">
      <c r="A54" s="28"/>
      <c r="B54" s="11" t="str">
        <f>CONCATENATE("          ", "6234", " - ", "EXPENDABLE SUPPLIES &amp; EQUIPMEN")</f>
        <v xml:space="preserve">          6234 - EXPENDABLE SUPPLIES &amp; EQUIPMEN</v>
      </c>
      <c r="C54" s="11"/>
      <c r="D54" s="6"/>
      <c r="E54" s="2"/>
      <c r="F54" s="7">
        <f t="shared" si="36"/>
        <v>0</v>
      </c>
      <c r="G54" s="2"/>
      <c r="H54" s="6"/>
      <c r="I54" s="2"/>
      <c r="J54" s="7">
        <f t="shared" si="37"/>
        <v>0</v>
      </c>
      <c r="K54" s="2"/>
      <c r="L54" s="6">
        <f t="shared" si="38"/>
        <v>0</v>
      </c>
      <c r="M54" s="2"/>
      <c r="N54" s="7">
        <f t="shared" si="39"/>
        <v>0</v>
      </c>
      <c r="O54" s="11"/>
      <c r="P54" s="6"/>
      <c r="Q54" s="2"/>
      <c r="R54" s="7">
        <f t="shared" si="40"/>
        <v>0</v>
      </c>
      <c r="S54" s="2"/>
      <c r="T54" s="6">
        <v>413.27</v>
      </c>
      <c r="U54" s="2"/>
      <c r="V54" s="7">
        <f t="shared" si="41"/>
        <v>3.3562077702702703E-3</v>
      </c>
      <c r="W54" s="2"/>
      <c r="X54" s="6">
        <f t="shared" si="42"/>
        <v>-413.27</v>
      </c>
      <c r="Y54" s="2"/>
      <c r="Z54" s="7">
        <f t="shared" si="43"/>
        <v>-1</v>
      </c>
    </row>
    <row r="55" spans="1:26" s="24" customFormat="1" hidden="1" outlineLevel="2" x14ac:dyDescent="0.25">
      <c r="A55" s="28"/>
      <c r="B55" s="11" t="str">
        <f>CONCATENATE("          ", "6241", " - ", "OFFICE EXPENSE")</f>
        <v xml:space="preserve">          6241 - OFFICE EXPENSE</v>
      </c>
      <c r="C55" s="11"/>
      <c r="D55" s="6">
        <v>6088.55</v>
      </c>
      <c r="E55" s="2"/>
      <c r="F55" s="7">
        <f t="shared" si="36"/>
        <v>4.0171743763319542E-2</v>
      </c>
      <c r="G55" s="2"/>
      <c r="H55" s="6">
        <v>215.67</v>
      </c>
      <c r="I55" s="2"/>
      <c r="J55" s="7">
        <f t="shared" si="37"/>
        <v>7.9806838365896974E-3</v>
      </c>
      <c r="K55" s="2"/>
      <c r="L55" s="6">
        <f t="shared" si="38"/>
        <v>5872.88</v>
      </c>
      <c r="M55" s="2"/>
      <c r="N55" s="7">
        <f t="shared" si="39"/>
        <v>27.230861965039182</v>
      </c>
      <c r="O55" s="11"/>
      <c r="P55" s="6">
        <v>41271.699999999997</v>
      </c>
      <c r="Q55" s="2"/>
      <c r="R55" s="7">
        <f t="shared" si="40"/>
        <v>0.15308210159307134</v>
      </c>
      <c r="S55" s="2"/>
      <c r="T55" s="6">
        <v>17818.550000000003</v>
      </c>
      <c r="U55" s="2"/>
      <c r="V55" s="7">
        <f t="shared" si="41"/>
        <v>0.14470625974532228</v>
      </c>
      <c r="W55" s="2"/>
      <c r="X55" s="6">
        <f t="shared" si="42"/>
        <v>23453.149999999994</v>
      </c>
      <c r="Y55" s="2"/>
      <c r="Z55" s="7">
        <f t="shared" si="43"/>
        <v>1.3162210168616408</v>
      </c>
    </row>
    <row r="56" spans="1:26" s="24" customFormat="1" hidden="1" outlineLevel="2" x14ac:dyDescent="0.25">
      <c r="A56" s="28"/>
      <c r="B56" s="11" t="str">
        <f>CONCATENATE("          ", "6245", " - ", "PRINTING")</f>
        <v xml:space="preserve">          6245 - PRINTING</v>
      </c>
      <c r="C56" s="11"/>
      <c r="D56" s="6"/>
      <c r="E56" s="2"/>
      <c r="F56" s="7">
        <f t="shared" si="36"/>
        <v>0</v>
      </c>
      <c r="G56" s="2"/>
      <c r="H56" s="6"/>
      <c r="I56" s="2"/>
      <c r="J56" s="7">
        <f t="shared" si="37"/>
        <v>0</v>
      </c>
      <c r="K56" s="2"/>
      <c r="L56" s="6">
        <f t="shared" si="38"/>
        <v>0</v>
      </c>
      <c r="M56" s="2"/>
      <c r="N56" s="7">
        <f t="shared" si="39"/>
        <v>0</v>
      </c>
      <c r="O56" s="11"/>
      <c r="P56" s="6"/>
      <c r="Q56" s="2"/>
      <c r="R56" s="7">
        <f t="shared" si="40"/>
        <v>0</v>
      </c>
      <c r="S56" s="2"/>
      <c r="T56" s="6">
        <v>120.83</v>
      </c>
      <c r="U56" s="2"/>
      <c r="V56" s="7">
        <f t="shared" si="41"/>
        <v>9.8127273908523902E-4</v>
      </c>
      <c r="W56" s="2"/>
      <c r="X56" s="6">
        <f t="shared" si="42"/>
        <v>-120.83</v>
      </c>
      <c r="Y56" s="2"/>
      <c r="Z56" s="7">
        <f t="shared" si="43"/>
        <v>-1</v>
      </c>
    </row>
    <row r="57" spans="1:26" s="29" customFormat="1" outlineLevel="1" collapsed="1" x14ac:dyDescent="0.25">
      <c r="A57" s="27"/>
      <c r="B57" s="14" t="str">
        <f>CONCATENATE("     ","Telephone/Data Lines                              ")</f>
        <v xml:space="preserve">     Telephone/Data Lines                              </v>
      </c>
      <c r="C57" s="14"/>
      <c r="D57" s="1">
        <f>SUM(OSRRefD22_10x_0)</f>
        <v>136.65</v>
      </c>
      <c r="E57" s="1"/>
      <c r="F57" s="5">
        <f t="shared" ref="F57:F58" si="44">IF(D$12=0,0,D57/D$12)</f>
        <v>9.0160527305476932E-4</v>
      </c>
      <c r="G57" s="1"/>
      <c r="H57" s="1">
        <f>SUM(OSRRefH22_10x_0)</f>
        <v>188.95</v>
      </c>
      <c r="I57" s="1"/>
      <c r="J57" s="5">
        <f t="shared" ref="J57:J58" si="45">IF(H$12=0,0,H57/H$12)</f>
        <v>6.9919330965068083E-3</v>
      </c>
      <c r="K57" s="1"/>
      <c r="L57" s="1">
        <f t="shared" ref="L57:L58" si="46">+D57-H57</f>
        <v>-52.299999999999983</v>
      </c>
      <c r="M57" s="1"/>
      <c r="N57" s="5">
        <f t="shared" ref="N57:N58" si="47">IF(H57=0,0,L57/H57)</f>
        <v>-0.27679280232865833</v>
      </c>
      <c r="O57" s="14"/>
      <c r="P57" s="1">
        <f>SUM(OSRRefP22_10x_0)</f>
        <v>1178.73</v>
      </c>
      <c r="Q57" s="1"/>
      <c r="R57" s="5">
        <f t="shared" ref="R57:R58" si="48">IF(P$12=0,0,P57/P$12)</f>
        <v>4.3720628326625989E-3</v>
      </c>
      <c r="S57" s="1"/>
      <c r="T57" s="1">
        <f>SUM(OSRRefT22_10x_0)</f>
        <v>764.6</v>
      </c>
      <c r="U57" s="1"/>
      <c r="V57" s="5">
        <f t="shared" ref="V57:V58" si="49">IF(T$12=0,0,T57/T$12)</f>
        <v>6.2093944906444912E-3</v>
      </c>
      <c r="W57" s="1"/>
      <c r="X57" s="1">
        <f t="shared" ref="X57:X58" si="50">+P57-T57</f>
        <v>414.13</v>
      </c>
      <c r="Y57" s="1"/>
      <c r="Z57" s="5">
        <f t="shared" ref="Z57:Z58" si="51">IF(T57=0,0,X57/T57)</f>
        <v>0.54162961025372747</v>
      </c>
    </row>
    <row r="58" spans="1:26" s="24" customFormat="1" hidden="1" outlineLevel="2" x14ac:dyDescent="0.25">
      <c r="A58" s="28"/>
      <c r="B58" s="11" t="str">
        <f>CONCATENATE("          ", "6309", " - ", "TELEPHONE")</f>
        <v xml:space="preserve">          6309 - TELEPHONE</v>
      </c>
      <c r="C58" s="11"/>
      <c r="D58" s="6">
        <v>136.65</v>
      </c>
      <c r="E58" s="2"/>
      <c r="F58" s="7">
        <f t="shared" si="44"/>
        <v>9.0160527305476932E-4</v>
      </c>
      <c r="G58" s="2"/>
      <c r="H58" s="6">
        <v>188.95</v>
      </c>
      <c r="I58" s="2"/>
      <c r="J58" s="7">
        <f t="shared" si="45"/>
        <v>6.9919330965068083E-3</v>
      </c>
      <c r="K58" s="2"/>
      <c r="L58" s="6">
        <f t="shared" si="46"/>
        <v>-52.299999999999983</v>
      </c>
      <c r="M58" s="2"/>
      <c r="N58" s="7">
        <f t="shared" si="47"/>
        <v>-0.27679280232865833</v>
      </c>
      <c r="O58" s="11"/>
      <c r="P58" s="6">
        <v>1178.73</v>
      </c>
      <c r="Q58" s="2"/>
      <c r="R58" s="7">
        <f t="shared" si="48"/>
        <v>4.3720628326625989E-3</v>
      </c>
      <c r="S58" s="2"/>
      <c r="T58" s="6">
        <v>764.6</v>
      </c>
      <c r="U58" s="2"/>
      <c r="V58" s="7">
        <f t="shared" si="49"/>
        <v>6.2093944906444912E-3</v>
      </c>
      <c r="W58" s="2"/>
      <c r="X58" s="6">
        <f t="shared" si="50"/>
        <v>414.13</v>
      </c>
      <c r="Y58" s="2"/>
      <c r="Z58" s="7">
        <f t="shared" si="51"/>
        <v>0.54162961025372747</v>
      </c>
    </row>
    <row r="59" spans="1:26" s="57" customFormat="1" x14ac:dyDescent="0.25">
      <c r="A59" s="37"/>
      <c r="B59" s="37"/>
      <c r="C59" s="37"/>
      <c r="D59" s="1"/>
      <c r="E59" s="1"/>
      <c r="F59" s="5"/>
      <c r="G59" s="1"/>
      <c r="H59" s="1"/>
      <c r="I59" s="1"/>
      <c r="J59" s="5"/>
      <c r="K59" s="1"/>
      <c r="L59" s="1"/>
      <c r="M59" s="1"/>
      <c r="N59" s="5"/>
      <c r="O59" s="37"/>
      <c r="P59" s="1"/>
      <c r="Q59" s="1"/>
      <c r="R59" s="5"/>
      <c r="S59" s="1"/>
      <c r="T59" s="1"/>
      <c r="U59" s="1"/>
      <c r="V59" s="5"/>
      <c r="W59" s="1"/>
      <c r="X59" s="1"/>
      <c r="Y59" s="1"/>
      <c r="Z59" s="5"/>
    </row>
    <row r="60" spans="1:26" s="23" customFormat="1" collapsed="1" x14ac:dyDescent="0.25">
      <c r="A60" s="10"/>
      <c r="B60" s="26" t="s">
        <v>0</v>
      </c>
      <c r="C60" s="10"/>
      <c r="D60" s="4">
        <f>SUM(OSRRefD25x_0)</f>
        <v>225.16</v>
      </c>
      <c r="E60" s="4"/>
      <c r="F60" s="12">
        <f t="shared" ref="F60:F61" si="52">IF(D$12=0,0,D60/D$12)</f>
        <v>1.485586851672242E-3</v>
      </c>
      <c r="G60" s="4"/>
      <c r="H60" s="4">
        <f>SUM(OSRRefH25x_0)</f>
        <v>3196.59</v>
      </c>
      <c r="I60" s="4"/>
      <c r="J60" s="12">
        <f t="shared" ref="J60:J61" si="53">IF(H$12=0,0,H60/H$12)</f>
        <v>0.11828707815275312</v>
      </c>
      <c r="K60" s="4"/>
      <c r="L60" s="4">
        <f t="shared" ref="L60:L61" si="54">+D60-H60</f>
        <v>-2971.4300000000003</v>
      </c>
      <c r="M60" s="4"/>
      <c r="N60" s="12">
        <f t="shared" ref="N60:N61" si="55">IF(H60=0,0,L60/H60)</f>
        <v>-0.92956243997509846</v>
      </c>
      <c r="O60" s="10"/>
      <c r="P60" s="4">
        <f>SUM(OSRRefP25x_0)</f>
        <v>975.16</v>
      </c>
      <c r="Q60" s="4"/>
      <c r="R60" s="12">
        <f t="shared" ref="R60:R61" si="56">IF(P$12=0,0,P60/P$12)</f>
        <v>3.6169952337679195E-3</v>
      </c>
      <c r="S60" s="4"/>
      <c r="T60" s="4">
        <f>SUM(OSRRefT25x_0)</f>
        <v>10247.49</v>
      </c>
      <c r="U60" s="4"/>
      <c r="V60" s="12">
        <f t="shared" ref="V60:V61" si="57">IF(T$12=0,0,T60/T$12)</f>
        <v>8.3220910213097715E-2</v>
      </c>
      <c r="W60" s="4"/>
      <c r="X60" s="4">
        <f t="shared" ref="X60:X61" si="58">+P60-T60</f>
        <v>-9272.33</v>
      </c>
      <c r="Y60" s="4"/>
      <c r="Z60" s="12">
        <f t="shared" ref="Z60:Z61" si="59">IF(T60=0,0,X60/T60)</f>
        <v>-0.90483913621774703</v>
      </c>
    </row>
    <row r="61" spans="1:26" s="24" customFormat="1" hidden="1" outlineLevel="1" x14ac:dyDescent="0.25">
      <c r="A61" s="44"/>
      <c r="B61" s="11" t="str">
        <f>CONCATENATE("          ", "9150", " - ", "MISC. INCOME")</f>
        <v xml:space="preserve">          9150 - MISC. INCOME</v>
      </c>
      <c r="C61" s="11"/>
      <c r="D61" s="2">
        <f>--225.16</f>
        <v>225.16</v>
      </c>
      <c r="E61" s="2"/>
      <c r="F61" s="19">
        <f t="shared" si="52"/>
        <v>1.485586851672242E-3</v>
      </c>
      <c r="G61" s="2"/>
      <c r="H61" s="2">
        <f>--3196.59</f>
        <v>3196.59</v>
      </c>
      <c r="I61" s="2"/>
      <c r="J61" s="19">
        <f t="shared" si="53"/>
        <v>0.11828707815275312</v>
      </c>
      <c r="K61" s="2"/>
      <c r="L61" s="2">
        <f t="shared" si="54"/>
        <v>-2971.4300000000003</v>
      </c>
      <c r="M61" s="2"/>
      <c r="N61" s="19">
        <f t="shared" si="55"/>
        <v>-0.92956243997509846</v>
      </c>
      <c r="O61" s="11"/>
      <c r="P61" s="2">
        <f>--975.16</f>
        <v>975.16</v>
      </c>
      <c r="Q61" s="2"/>
      <c r="R61" s="19">
        <f t="shared" si="56"/>
        <v>3.6169952337679195E-3</v>
      </c>
      <c r="S61" s="2"/>
      <c r="T61" s="2">
        <f>--10247.49</f>
        <v>10247.49</v>
      </c>
      <c r="U61" s="2"/>
      <c r="V61" s="19">
        <f t="shared" si="57"/>
        <v>8.3220910213097715E-2</v>
      </c>
      <c r="W61" s="2"/>
      <c r="X61" s="2">
        <f t="shared" si="58"/>
        <v>-9272.33</v>
      </c>
      <c r="Y61" s="2"/>
      <c r="Z61" s="19">
        <f t="shared" si="59"/>
        <v>-0.90483913621774703</v>
      </c>
    </row>
    <row r="62" spans="1:26" x14ac:dyDescent="0.25">
      <c r="A62" s="9"/>
      <c r="B62" s="10"/>
      <c r="C62" s="10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O62" s="10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3" customFormat="1" x14ac:dyDescent="0.25">
      <c r="A63" s="10"/>
      <c r="B63" s="25" t="s">
        <v>3</v>
      </c>
      <c r="C63" s="25"/>
      <c r="D63" s="20">
        <f>+D17-D19+D60</f>
        <v>7039.1700000000092</v>
      </c>
      <c r="E63" s="13"/>
      <c r="F63" s="21">
        <f>IF(D$12=0,0,D63/D$12)</f>
        <v>4.6443855030581405E-2</v>
      </c>
      <c r="G63" s="13"/>
      <c r="H63" s="20">
        <f>+H17-H19+H60</f>
        <v>1859.4800000000032</v>
      </c>
      <c r="I63" s="13"/>
      <c r="J63" s="21">
        <f>IF(H$12=0,0,H63/H$12)</f>
        <v>6.8808466548253525E-2</v>
      </c>
      <c r="K63" s="15"/>
      <c r="L63" s="20">
        <f>+D63-H63</f>
        <v>5179.690000000006</v>
      </c>
      <c r="M63" s="15"/>
      <c r="N63" s="21">
        <f>IF(H63=0,0,L63/H63)</f>
        <v>2.7855583281347456</v>
      </c>
      <c r="O63" s="26"/>
      <c r="P63" s="20">
        <f>+P17-P19+P60</f>
        <v>21868.179999999989</v>
      </c>
      <c r="Q63" s="13"/>
      <c r="R63" s="21">
        <f>IF(P$12=0,0,P63/P$12)</f>
        <v>8.1111922998460678E-2</v>
      </c>
      <c r="S63" s="13"/>
      <c r="T63" s="20">
        <f>+T17-T19+T60</f>
        <v>10323.769999999984</v>
      </c>
      <c r="U63" s="13"/>
      <c r="V63" s="21">
        <f>IF(T$12=0,0,T63/T$12)</f>
        <v>8.3840387863825236E-2</v>
      </c>
      <c r="W63" s="15"/>
      <c r="X63" s="20">
        <f>+P63-T63</f>
        <v>11544.410000000005</v>
      </c>
      <c r="Y63" s="15"/>
      <c r="Z63" s="21">
        <f>IF(T63=0,0,X63/T63)</f>
        <v>1.118235877010048</v>
      </c>
    </row>
    <row r="64" spans="1:26" x14ac:dyDescent="0.25">
      <c r="A64" s="9"/>
      <c r="B64" s="10"/>
      <c r="C64" s="9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x14ac:dyDescent="0.25">
      <c r="A65" s="51"/>
      <c r="B65" s="10" t="s">
        <v>13</v>
      </c>
      <c r="C65" s="10"/>
      <c r="D65" s="4">
        <v>36534.380000000005</v>
      </c>
      <c r="E65" s="4"/>
      <c r="F65" s="12">
        <f>IF(D$12=0,0,D65/D$12)</f>
        <v>0.24105078416236156</v>
      </c>
      <c r="G65" s="4"/>
      <c r="H65" s="4">
        <v>2071.48</v>
      </c>
      <c r="I65" s="4"/>
      <c r="J65" s="12">
        <f>IF(H$12=0,0,H65/H$12)</f>
        <v>7.6653345174659562E-2</v>
      </c>
      <c r="K65" s="4"/>
      <c r="L65" s="4">
        <f>+D65-H65</f>
        <v>34462.9</v>
      </c>
      <c r="M65" s="4"/>
      <c r="N65" s="12">
        <f>IF(H65=0,0,L65/H65)</f>
        <v>16.636849016162358</v>
      </c>
      <c r="O65" s="10"/>
      <c r="P65" s="4">
        <v>58402.25</v>
      </c>
      <c r="Q65" s="4"/>
      <c r="R65" s="12">
        <f>IF(P$12=0,0,P65/P$12)</f>
        <v>0.21662153891804678</v>
      </c>
      <c r="S65" s="4"/>
      <c r="T65" s="4">
        <v>12395.18</v>
      </c>
      <c r="U65" s="4"/>
      <c r="V65" s="12">
        <f>IF(T$12=0,0,T65/T$12)</f>
        <v>0.10066251949064449</v>
      </c>
      <c r="W65" s="4"/>
      <c r="X65" s="4">
        <f>+P65-T65</f>
        <v>46007.07</v>
      </c>
      <c r="Y65" s="4"/>
      <c r="Z65" s="12">
        <f>IF(T65=0,0,X65/T65)</f>
        <v>3.7116903506040249</v>
      </c>
    </row>
    <row r="66" spans="1:26" x14ac:dyDescent="0.25">
      <c r="A66" s="9"/>
      <c r="B66" s="10"/>
      <c r="C66" s="10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O66" s="10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ht="15.75" thickBot="1" x14ac:dyDescent="0.3">
      <c r="A67" s="10"/>
      <c r="B67" s="25" t="s">
        <v>4</v>
      </c>
      <c r="C67" s="25"/>
      <c r="D67" s="30">
        <f>+D63-D65</f>
        <v>-29495.209999999995</v>
      </c>
      <c r="E67" s="13"/>
      <c r="F67" s="33">
        <f>IF(D$12=0,0,D67/D$12)</f>
        <v>-0.19460692913178015</v>
      </c>
      <c r="G67" s="13"/>
      <c r="H67" s="30">
        <f>+H63-H65</f>
        <v>-211.99999999999682</v>
      </c>
      <c r="I67" s="13"/>
      <c r="J67" s="33">
        <f>IF(H$12=0,0,H67/H$12)</f>
        <v>-7.8448786264060395E-3</v>
      </c>
      <c r="K67" s="15"/>
      <c r="L67" s="30">
        <f>D67-H67</f>
        <v>-29283.21</v>
      </c>
      <c r="M67" s="15"/>
      <c r="N67" s="33">
        <f>IF(H67=0,0,L67/H67)</f>
        <v>138.12834905660586</v>
      </c>
      <c r="O67" s="26"/>
      <c r="P67" s="30">
        <f>+P63-P65</f>
        <v>-36534.070000000007</v>
      </c>
      <c r="Q67" s="13"/>
      <c r="R67" s="33">
        <f>IF(P$12=0,0,P67/P$12)</f>
        <v>-0.13550961591958607</v>
      </c>
      <c r="S67" s="13"/>
      <c r="T67" s="30">
        <f>+T63-T65</f>
        <v>-2071.4100000000162</v>
      </c>
      <c r="U67" s="13"/>
      <c r="V67" s="33">
        <f>IF(T$12=0,0,T67/T$12)</f>
        <v>-1.682213162681926E-2</v>
      </c>
      <c r="W67" s="15"/>
      <c r="X67" s="30">
        <f>P67-T67</f>
        <v>-34462.659999999989</v>
      </c>
      <c r="Y67" s="15"/>
      <c r="Z67" s="33">
        <f>IF(T67=0,0,X67/T67)</f>
        <v>16.637295368854897</v>
      </c>
    </row>
    <row r="68" spans="1:26" ht="15.75" thickTop="1" x14ac:dyDescent="0.25">
      <c r="A68" s="9"/>
      <c r="B68" s="9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x14ac:dyDescent="0.25">
      <c r="A69" s="9"/>
      <c r="B69" s="9"/>
      <c r="C69" s="9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ht="15.75" thickBot="1" x14ac:dyDescent="0.3">
      <c r="A70" s="10"/>
      <c r="B70" s="25" t="s">
        <v>5</v>
      </c>
      <c r="C70" s="25"/>
      <c r="D70" s="34">
        <f>SUM(D67:D69)</f>
        <v>-29495.209999999995</v>
      </c>
      <c r="E70" s="13"/>
      <c r="F70" s="35">
        <f>IF(D$12=0,0,D70/D$12)</f>
        <v>-0.19460692913178015</v>
      </c>
      <c r="G70" s="13"/>
      <c r="H70" s="34">
        <f>SUM(H67:H69)</f>
        <v>-211.99999999999682</v>
      </c>
      <c r="I70" s="13"/>
      <c r="J70" s="35">
        <f>IF(H$12=0,0,H70/H$12)</f>
        <v>-7.8448786264060395E-3</v>
      </c>
      <c r="K70" s="15"/>
      <c r="L70" s="34">
        <f>+D70-H70</f>
        <v>-29283.21</v>
      </c>
      <c r="M70" s="15"/>
      <c r="N70" s="35">
        <f>IF(H70=0,0,L70/H70)</f>
        <v>138.12834905660586</v>
      </c>
      <c r="O70" s="26"/>
      <c r="P70" s="34">
        <f>SUM(P67:P69)</f>
        <v>-36534.070000000007</v>
      </c>
      <c r="Q70" s="13"/>
      <c r="R70" s="35">
        <f>IF(P$12=0,0,P70/P$12)</f>
        <v>-0.13550961591958607</v>
      </c>
      <c r="S70" s="13"/>
      <c r="T70" s="34">
        <f>SUM(T67:T69)</f>
        <v>-2071.4100000000162</v>
      </c>
      <c r="U70" s="13"/>
      <c r="V70" s="35">
        <f>IF(T$12=0,0,T70/T$12)</f>
        <v>-1.682213162681926E-2</v>
      </c>
      <c r="W70" s="15"/>
      <c r="X70" s="34">
        <f>+P70-T70</f>
        <v>-34462.659999999989</v>
      </c>
      <c r="Y70" s="15"/>
      <c r="Z70" s="35">
        <f>IF(T70=0,0,X70/T70)</f>
        <v>16.637295368854897</v>
      </c>
    </row>
    <row r="71" spans="1:26" ht="15.75" thickTop="1" x14ac:dyDescent="0.25">
      <c r="A71" s="9"/>
      <c r="C71" s="9"/>
      <c r="D71" s="18"/>
      <c r="E71" s="18"/>
      <c r="G71" s="18"/>
      <c r="H71" s="18"/>
      <c r="I71" s="18"/>
      <c r="J71" s="43"/>
      <c r="K71" s="18"/>
      <c r="L71" s="18"/>
      <c r="M71" s="18"/>
      <c r="P71" s="18"/>
      <c r="Q71" s="18"/>
      <c r="R71" s="43"/>
      <c r="S71" s="18"/>
      <c r="T71" s="18"/>
      <c r="U71" s="18"/>
      <c r="V71" s="43"/>
      <c r="W71" s="18"/>
      <c r="X71" s="18"/>
    </row>
    <row r="72" spans="1:26" x14ac:dyDescent="0.25">
      <c r="A72" s="9"/>
      <c r="B72" s="56">
        <v>44151.57208943287</v>
      </c>
      <c r="D72" s="18"/>
      <c r="E72" s="18"/>
      <c r="G72" s="18"/>
      <c r="H72" s="18"/>
      <c r="I72" s="18"/>
      <c r="J72" s="43"/>
      <c r="K72" s="18"/>
      <c r="L72" s="18"/>
      <c r="M72" s="18"/>
      <c r="P72" s="18"/>
      <c r="Q72" s="18"/>
      <c r="R72" s="43"/>
      <c r="S72" s="18"/>
      <c r="T72" s="18"/>
      <c r="U72" s="18"/>
      <c r="V72" s="43"/>
      <c r="W72" s="18"/>
      <c r="X72" s="18"/>
    </row>
    <row r="73" spans="1:26" x14ac:dyDescent="0.25">
      <c r="A73" s="9"/>
      <c r="B73" s="62" t="s">
        <v>313</v>
      </c>
      <c r="D73" s="18"/>
      <c r="E73" s="18"/>
      <c r="G73" s="18"/>
      <c r="H73" s="18"/>
      <c r="I73" s="18"/>
      <c r="J73" s="43"/>
      <c r="K73" s="18"/>
      <c r="L73" s="18"/>
      <c r="M73" s="18"/>
      <c r="P73" s="18"/>
      <c r="Q73" s="18"/>
      <c r="R73" s="43"/>
      <c r="S73" s="18"/>
      <c r="T73" s="18"/>
      <c r="U73" s="18"/>
      <c r="V73" s="43"/>
      <c r="W73" s="18"/>
      <c r="X73" s="18"/>
    </row>
    <row r="74" spans="1:26" x14ac:dyDescent="0.25">
      <c r="A74" s="9"/>
      <c r="B74" s="54"/>
      <c r="D74" s="18"/>
      <c r="E74" s="18"/>
      <c r="G74" s="18"/>
      <c r="H74" s="18"/>
      <c r="I74" s="18"/>
      <c r="J74" s="43"/>
      <c r="K74" s="18"/>
      <c r="L74" s="18"/>
      <c r="M74" s="18"/>
      <c r="P74" s="18"/>
      <c r="Q74" s="18"/>
      <c r="R74" s="43"/>
      <c r="S74" s="18"/>
      <c r="T74" s="18"/>
      <c r="U74" s="18"/>
      <c r="V74" s="43"/>
      <c r="W74" s="18"/>
      <c r="X74" s="18"/>
    </row>
    <row r="75" spans="1:26" x14ac:dyDescent="0.25">
      <c r="D75" s="18"/>
      <c r="E75" s="18"/>
      <c r="G75" s="18"/>
      <c r="H75" s="18"/>
      <c r="I75" s="18"/>
      <c r="J75" s="43"/>
      <c r="K75" s="18"/>
      <c r="L75" s="18"/>
      <c r="M75" s="18"/>
      <c r="P75" s="18"/>
      <c r="Q75" s="18"/>
      <c r="R75" s="43"/>
      <c r="S75" s="18"/>
      <c r="T75" s="18"/>
      <c r="U75" s="18"/>
      <c r="V75" s="43"/>
      <c r="W75" s="18"/>
      <c r="X75" s="18"/>
    </row>
  </sheetData>
  <pageMargins left="0.25" right="0.25" top="0.75" bottom="0.75" header="0.3" footer="0.3"/>
  <pageSetup scale="55" fitToWidth="2" orientation="landscape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",RIGHT(202104,2),", ",2021)</f>
        <v>Period 04,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44135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","501", " - ", "ID Card Services")</f>
        <v>Department 501 - ID Card Services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61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50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50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2"/>
      <c r="F10" s="31" t="s">
        <v>14</v>
      </c>
      <c r="G10" s="32"/>
      <c r="H10" s="49" t="s">
        <v>306</v>
      </c>
      <c r="I10" s="32"/>
      <c r="J10" s="31" t="s">
        <v>14</v>
      </c>
      <c r="K10" s="10"/>
      <c r="L10" s="42" t="s">
        <v>11</v>
      </c>
      <c r="M10" s="10"/>
      <c r="N10" s="31" t="s">
        <v>15</v>
      </c>
      <c r="O10" s="10"/>
      <c r="P10" s="59" t="s">
        <v>10</v>
      </c>
      <c r="Q10" s="32"/>
      <c r="R10" s="31" t="s">
        <v>14</v>
      </c>
      <c r="S10" s="32"/>
      <c r="T10" s="49" t="s">
        <v>306</v>
      </c>
      <c r="U10" s="32"/>
      <c r="V10" s="31" t="s">
        <v>14</v>
      </c>
      <c r="W10" s="10"/>
      <c r="X10" s="42" t="s">
        <v>11</v>
      </c>
      <c r="Y10" s="10"/>
      <c r="Z10" s="31" t="s">
        <v>15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151563</v>
      </c>
      <c r="E12" s="4"/>
      <c r="F12" s="12"/>
      <c r="G12" s="4"/>
      <c r="H12" s="4">
        <f>SUM(OSRRefH13x_0)</f>
        <v>27024</v>
      </c>
      <c r="I12" s="4"/>
      <c r="J12" s="12"/>
      <c r="K12" s="4"/>
      <c r="L12" s="4">
        <f t="shared" ref="L12:L13" si="0">+D12-H12</f>
        <v>124539</v>
      </c>
      <c r="M12" s="4"/>
      <c r="N12" s="12">
        <f t="shared" ref="N12:N13" si="1">IF(H12=0,0,L12/H12)</f>
        <v>4.6084591474245116</v>
      </c>
      <c r="O12" s="10"/>
      <c r="P12" s="4">
        <f>SUM(OSRRefP13x_0)</f>
        <v>269605</v>
      </c>
      <c r="Q12" s="4"/>
      <c r="R12" s="12"/>
      <c r="S12" s="4"/>
      <c r="T12" s="4">
        <f>SUM(OSRRefT13x_0)</f>
        <v>123136</v>
      </c>
      <c r="U12" s="4"/>
      <c r="V12" s="12"/>
      <c r="W12" s="4"/>
      <c r="X12" s="4">
        <f t="shared" ref="X12:X13" si="2">+P12-T12</f>
        <v>146469</v>
      </c>
      <c r="Y12" s="4"/>
      <c r="Z12" s="12">
        <f t="shared" ref="Z12:Z13" si="3">IF(T12=0,0,X12/T12)</f>
        <v>1.1894896699584199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--151563</f>
        <v>151563</v>
      </c>
      <c r="E13" s="2"/>
      <c r="F13" s="19"/>
      <c r="G13" s="2"/>
      <c r="H13" s="2">
        <f>--27024</f>
        <v>27024</v>
      </c>
      <c r="I13" s="2"/>
      <c r="J13" s="19"/>
      <c r="K13" s="2"/>
      <c r="L13" s="2">
        <f t="shared" si="0"/>
        <v>124539</v>
      </c>
      <c r="M13" s="2"/>
      <c r="N13" s="19">
        <f t="shared" si="1"/>
        <v>4.6084591474245116</v>
      </c>
      <c r="O13" s="11"/>
      <c r="P13" s="2">
        <f>--269605</f>
        <v>269605</v>
      </c>
      <c r="Q13" s="2"/>
      <c r="R13" s="19"/>
      <c r="S13" s="2"/>
      <c r="T13" s="2">
        <f>--123136</f>
        <v>123136</v>
      </c>
      <c r="U13" s="2"/>
      <c r="V13" s="19"/>
      <c r="W13" s="2"/>
      <c r="X13" s="2">
        <f t="shared" si="2"/>
        <v>146469</v>
      </c>
      <c r="Y13" s="2"/>
      <c r="Z13" s="19">
        <f t="shared" si="3"/>
        <v>1.1894896699584199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6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5" t="s">
        <v>6</v>
      </c>
      <c r="C17" s="25"/>
      <c r="D17" s="20">
        <f>D12-D15</f>
        <v>151563</v>
      </c>
      <c r="E17" s="13"/>
      <c r="F17" s="21">
        <f>IF(D$12=0,0,D17/D$12)</f>
        <v>1</v>
      </c>
      <c r="G17" s="13"/>
      <c r="H17" s="20">
        <f>H12-H15</f>
        <v>27024</v>
      </c>
      <c r="I17" s="13"/>
      <c r="J17" s="21">
        <f>IF(H$12=0,0,H17/H$12)</f>
        <v>1</v>
      </c>
      <c r="K17" s="15"/>
      <c r="L17" s="20">
        <f>+D17-H17</f>
        <v>124539</v>
      </c>
      <c r="M17" s="15"/>
      <c r="N17" s="21">
        <f>IF(H17=0,0,L17/H17)</f>
        <v>4.6084591474245116</v>
      </c>
      <c r="O17" s="26"/>
      <c r="P17" s="20">
        <f>P12-P15</f>
        <v>269605</v>
      </c>
      <c r="Q17" s="13"/>
      <c r="R17" s="21">
        <f>IF(P$12=0,0,P17/P$12)</f>
        <v>1</v>
      </c>
      <c r="S17" s="13"/>
      <c r="T17" s="20">
        <f>T12-T15</f>
        <v>123136</v>
      </c>
      <c r="U17" s="13"/>
      <c r="V17" s="21">
        <f>IF(T$12=0,0,T17/T$12)</f>
        <v>1</v>
      </c>
      <c r="W17" s="15"/>
      <c r="X17" s="20">
        <f>+P17-T17</f>
        <v>146469</v>
      </c>
      <c r="Y17" s="15"/>
      <c r="Z17" s="21">
        <f>IF(T17=0,0,X17/T17)</f>
        <v>1.1894896699584199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6" t="s">
        <v>9</v>
      </c>
      <c r="C19" s="10"/>
      <c r="D19" s="22">
        <f>SUM(OSRRefD22x_0)</f>
        <v>144748.99</v>
      </c>
      <c r="E19" s="22"/>
      <c r="F19" s="36">
        <f t="shared" ref="F19:F29" si="4">IF(D$12=0,0,D19/D$12)</f>
        <v>0.95504173182109087</v>
      </c>
      <c r="G19" s="22"/>
      <c r="H19" s="22">
        <f>SUM(OSRRefH22x_0)</f>
        <v>28361.109999999997</v>
      </c>
      <c r="I19" s="22"/>
      <c r="J19" s="36">
        <f t="shared" ref="J19:J29" si="5">IF(H$12=0,0,H19/H$12)</f>
        <v>1.0494786116044996</v>
      </c>
      <c r="K19" s="4"/>
      <c r="L19" s="22">
        <f t="shared" ref="L19:L29" si="6">+D19-H19</f>
        <v>116387.87999999999</v>
      </c>
      <c r="M19" s="4"/>
      <c r="N19" s="36">
        <f t="shared" ref="N19:N29" si="7">IF(H19=0,0,L19/H19)</f>
        <v>4.1037843723323943</v>
      </c>
      <c r="O19" s="10"/>
      <c r="P19" s="22">
        <f>SUM(OSRRefP22x_0)</f>
        <v>248711.98</v>
      </c>
      <c r="Q19" s="22"/>
      <c r="R19" s="36">
        <f t="shared" ref="R19:R29" si="8">IF(P$12=0,0,P19/P$12)</f>
        <v>0.9225050722353072</v>
      </c>
      <c r="S19" s="22"/>
      <c r="T19" s="22">
        <f>SUM(OSRRefT22x_0)</f>
        <v>123059.72000000002</v>
      </c>
      <c r="U19" s="22"/>
      <c r="V19" s="36">
        <f t="shared" ref="V19:V29" si="9">IF(T$12=0,0,T19/T$12)</f>
        <v>0.99938052234927244</v>
      </c>
      <c r="W19" s="4"/>
      <c r="X19" s="22">
        <f t="shared" ref="X19:X29" si="10">+P19-T19</f>
        <v>125652.26</v>
      </c>
      <c r="Y19" s="4"/>
      <c r="Z19" s="36">
        <f t="shared" ref="Z19:Z29" si="11">IF(T19=0,0,X19/T19)</f>
        <v>1.0210673321863561</v>
      </c>
    </row>
    <row r="20" spans="1:26" s="29" customFormat="1" outlineLevel="1" collapsed="1" x14ac:dyDescent="0.25">
      <c r="A20" s="27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4682.09</v>
      </c>
      <c r="E20" s="1"/>
      <c r="F20" s="5">
        <f t="shared" si="4"/>
        <v>3.0892038294306659E-2</v>
      </c>
      <c r="G20" s="1"/>
      <c r="H20" s="1">
        <f>SUM(OSRRefH22_0x_0)</f>
        <v>5753.8899999999985</v>
      </c>
      <c r="I20" s="1"/>
      <c r="J20" s="5">
        <f t="shared" si="5"/>
        <v>0.21291777679100055</v>
      </c>
      <c r="K20" s="1"/>
      <c r="L20" s="1">
        <f t="shared" si="6"/>
        <v>-1071.7999999999984</v>
      </c>
      <c r="M20" s="1"/>
      <c r="N20" s="5">
        <f t="shared" si="7"/>
        <v>-0.18627398160201161</v>
      </c>
      <c r="O20" s="14"/>
      <c r="P20" s="1">
        <f>SUM(OSRRefP22_0x_0)</f>
        <v>16858.739999999998</v>
      </c>
      <c r="Q20" s="1"/>
      <c r="R20" s="5">
        <f t="shared" si="8"/>
        <v>6.2531258693273487E-2</v>
      </c>
      <c r="S20" s="1"/>
      <c r="T20" s="1">
        <f>SUM(OSRRefT22_0x_0)</f>
        <v>19249.959999999995</v>
      </c>
      <c r="U20" s="1"/>
      <c r="V20" s="5">
        <f t="shared" si="9"/>
        <v>0.15633088617463614</v>
      </c>
      <c r="W20" s="1"/>
      <c r="X20" s="1">
        <f t="shared" si="10"/>
        <v>-2391.2199999999975</v>
      </c>
      <c r="Y20" s="1"/>
      <c r="Z20" s="5">
        <f t="shared" si="11"/>
        <v>-0.12421947889761839</v>
      </c>
    </row>
    <row r="21" spans="1:26" s="24" customFormat="1" hidden="1" outlineLevel="2" x14ac:dyDescent="0.25">
      <c r="A21" s="28"/>
      <c r="B21" s="11" t="str">
        <f>CONCATENATE("          ", "6111", " - ", "F.I.C.A.")</f>
        <v xml:space="preserve">          6111 - F.I.C.A.</v>
      </c>
      <c r="C21" s="11"/>
      <c r="D21" s="6">
        <v>1375.38</v>
      </c>
      <c r="E21" s="2"/>
      <c r="F21" s="7">
        <f t="shared" si="4"/>
        <v>9.074642227984403E-3</v>
      </c>
      <c r="G21" s="2"/>
      <c r="H21" s="6">
        <v>1531.59</v>
      </c>
      <c r="I21" s="2"/>
      <c r="J21" s="7">
        <f t="shared" si="5"/>
        <v>5.6675177619893428E-2</v>
      </c>
      <c r="K21" s="2"/>
      <c r="L21" s="6">
        <f t="shared" si="6"/>
        <v>-156.20999999999981</v>
      </c>
      <c r="M21" s="2"/>
      <c r="N21" s="7">
        <f t="shared" si="7"/>
        <v>-0.10199204748006961</v>
      </c>
      <c r="O21" s="11"/>
      <c r="P21" s="6">
        <v>4521.6400000000003</v>
      </c>
      <c r="Q21" s="2"/>
      <c r="R21" s="7">
        <f t="shared" si="8"/>
        <v>1.6771350679698076E-2</v>
      </c>
      <c r="S21" s="2"/>
      <c r="T21" s="6">
        <v>4955.83</v>
      </c>
      <c r="U21" s="2"/>
      <c r="V21" s="7">
        <f t="shared" si="9"/>
        <v>4.0246800285862784E-2</v>
      </c>
      <c r="W21" s="2"/>
      <c r="X21" s="6">
        <f t="shared" si="10"/>
        <v>-434.1899999999996</v>
      </c>
      <c r="Y21" s="2"/>
      <c r="Z21" s="7">
        <f t="shared" si="11"/>
        <v>-8.7611964090777858E-2</v>
      </c>
    </row>
    <row r="22" spans="1:26" s="24" customFormat="1" hidden="1" outlineLevel="2" x14ac:dyDescent="0.25">
      <c r="A22" s="28"/>
      <c r="B22" s="11" t="str">
        <f>CONCATENATE("          ", "6112", " - ", "COMPENSATION INSURANCE")</f>
        <v xml:space="preserve">          6112 - COMPENSATION INSURANCE</v>
      </c>
      <c r="C22" s="11"/>
      <c r="D22" s="6">
        <v>79.05</v>
      </c>
      <c r="E22" s="2"/>
      <c r="F22" s="7">
        <f t="shared" si="4"/>
        <v>5.2156528968151856E-4</v>
      </c>
      <c r="G22" s="2"/>
      <c r="H22" s="6">
        <v>-7.08</v>
      </c>
      <c r="I22" s="2"/>
      <c r="J22" s="7">
        <f t="shared" si="5"/>
        <v>-2.6198934280639434E-4</v>
      </c>
      <c r="K22" s="2"/>
      <c r="L22" s="6">
        <f t="shared" si="6"/>
        <v>86.13</v>
      </c>
      <c r="M22" s="2"/>
      <c r="N22" s="7">
        <f t="shared" si="7"/>
        <v>-12.165254237288135</v>
      </c>
      <c r="O22" s="11"/>
      <c r="P22" s="6">
        <v>323.54000000000002</v>
      </c>
      <c r="Q22" s="2"/>
      <c r="R22" s="7">
        <f t="shared" si="8"/>
        <v>1.2000519278203298E-3</v>
      </c>
      <c r="S22" s="2"/>
      <c r="T22" s="6">
        <v>163.41</v>
      </c>
      <c r="U22" s="2"/>
      <c r="V22" s="7">
        <f t="shared" si="9"/>
        <v>1.3270692567567566E-3</v>
      </c>
      <c r="W22" s="2"/>
      <c r="X22" s="6">
        <f t="shared" si="10"/>
        <v>160.13000000000002</v>
      </c>
      <c r="Y22" s="2"/>
      <c r="Z22" s="7">
        <f t="shared" si="11"/>
        <v>0.97992778899700161</v>
      </c>
    </row>
    <row r="23" spans="1:26" s="24" customFormat="1" hidden="1" outlineLevel="2" x14ac:dyDescent="0.25">
      <c r="A23" s="28"/>
      <c r="B23" s="11" t="str">
        <f>CONCATENATE("          ", "6113", " - ", "GROUP INSURANCE")</f>
        <v xml:space="preserve">          6113 - GROUP INSURANCE</v>
      </c>
      <c r="C23" s="11"/>
      <c r="D23" s="6">
        <v>1230.45</v>
      </c>
      <c r="E23" s="2"/>
      <c r="F23" s="7">
        <f t="shared" si="4"/>
        <v>8.118406207319729E-3</v>
      </c>
      <c r="G23" s="2"/>
      <c r="H23" s="6">
        <v>1243.31</v>
      </c>
      <c r="I23" s="2"/>
      <c r="J23" s="7">
        <f t="shared" si="5"/>
        <v>4.6007622853759617E-2</v>
      </c>
      <c r="K23" s="2"/>
      <c r="L23" s="6">
        <f t="shared" si="6"/>
        <v>-12.8599999999999</v>
      </c>
      <c r="M23" s="2"/>
      <c r="N23" s="7">
        <f t="shared" si="7"/>
        <v>-1.0343357650143489E-2</v>
      </c>
      <c r="O23" s="11"/>
      <c r="P23" s="6">
        <v>4942.1000000000004</v>
      </c>
      <c r="Q23" s="2"/>
      <c r="R23" s="7">
        <f t="shared" si="8"/>
        <v>1.8330891489401164E-2</v>
      </c>
      <c r="S23" s="2"/>
      <c r="T23" s="6">
        <v>4973.24</v>
      </c>
      <c r="U23" s="2"/>
      <c r="V23" s="7">
        <f t="shared" si="9"/>
        <v>4.038818866943867E-2</v>
      </c>
      <c r="W23" s="2"/>
      <c r="X23" s="6">
        <f t="shared" si="10"/>
        <v>-31.139999999999418</v>
      </c>
      <c r="Y23" s="2"/>
      <c r="Z23" s="7">
        <f t="shared" si="11"/>
        <v>-6.2615116101373391E-3</v>
      </c>
    </row>
    <row r="24" spans="1:26" s="24" customFormat="1" hidden="1" outlineLevel="2" x14ac:dyDescent="0.25">
      <c r="A24" s="28"/>
      <c r="B24" s="11" t="str">
        <f>CONCATENATE("          ", "6114", " - ", "STATE UNEMPLOYMENT INSURANCE")</f>
        <v xml:space="preserve">          6114 - STATE UNEMPLOYMENT INSURANCE</v>
      </c>
      <c r="C24" s="11"/>
      <c r="D24" s="6">
        <v>35.130000000000003</v>
      </c>
      <c r="E24" s="2"/>
      <c r="F24" s="7">
        <f t="shared" si="4"/>
        <v>2.3178480235941493E-4</v>
      </c>
      <c r="G24" s="2"/>
      <c r="H24" s="6">
        <v>63.86</v>
      </c>
      <c r="I24" s="2"/>
      <c r="J24" s="7">
        <f t="shared" si="5"/>
        <v>2.3630846654825342E-3</v>
      </c>
      <c r="K24" s="2"/>
      <c r="L24" s="6">
        <f t="shared" si="6"/>
        <v>-28.729999999999997</v>
      </c>
      <c r="M24" s="2"/>
      <c r="N24" s="7">
        <f t="shared" si="7"/>
        <v>-0.44989038521766361</v>
      </c>
      <c r="O24" s="11"/>
      <c r="P24" s="6">
        <v>146.30000000000001</v>
      </c>
      <c r="Q24" s="2"/>
      <c r="R24" s="7">
        <f t="shared" si="8"/>
        <v>5.4264572244580036E-4</v>
      </c>
      <c r="S24" s="2"/>
      <c r="T24" s="6">
        <v>194.21</v>
      </c>
      <c r="U24" s="2"/>
      <c r="V24" s="7">
        <f t="shared" si="9"/>
        <v>1.5771991943866945E-3</v>
      </c>
      <c r="W24" s="2"/>
      <c r="X24" s="6">
        <f t="shared" si="10"/>
        <v>-47.91</v>
      </c>
      <c r="Y24" s="2"/>
      <c r="Z24" s="7">
        <f t="shared" si="11"/>
        <v>-0.24669172545183046</v>
      </c>
    </row>
    <row r="25" spans="1:26" s="24" customFormat="1" hidden="1" outlineLevel="2" x14ac:dyDescent="0.25">
      <c r="A25" s="28"/>
      <c r="B25" s="11" t="str">
        <f>CONCATENATE("          ", "6115", " - ", "P.E.R.S.")</f>
        <v xml:space="preserve">          6115 - P.E.R.S.</v>
      </c>
      <c r="C25" s="11"/>
      <c r="D25" s="6">
        <v>640.35</v>
      </c>
      <c r="E25" s="2"/>
      <c r="F25" s="7">
        <f t="shared" si="4"/>
        <v>4.2249757526573112E-3</v>
      </c>
      <c r="G25" s="2"/>
      <c r="H25" s="6">
        <v>1470.79</v>
      </c>
      <c r="I25" s="2"/>
      <c r="J25" s="7">
        <f t="shared" si="5"/>
        <v>5.4425325636471282E-2</v>
      </c>
      <c r="K25" s="2"/>
      <c r="L25" s="6">
        <f t="shared" si="6"/>
        <v>-830.43999999999994</v>
      </c>
      <c r="M25" s="2"/>
      <c r="N25" s="7">
        <f t="shared" si="7"/>
        <v>-0.5646217338981091</v>
      </c>
      <c r="O25" s="11"/>
      <c r="P25" s="6">
        <v>2860.49</v>
      </c>
      <c r="Q25" s="2"/>
      <c r="R25" s="7">
        <f t="shared" si="8"/>
        <v>1.0609929341073051E-2</v>
      </c>
      <c r="S25" s="2"/>
      <c r="T25" s="6">
        <v>3328.3</v>
      </c>
      <c r="U25" s="2"/>
      <c r="V25" s="7">
        <f t="shared" si="9"/>
        <v>2.7029463357588358E-2</v>
      </c>
      <c r="W25" s="2"/>
      <c r="X25" s="6">
        <f t="shared" si="10"/>
        <v>-467.8100000000004</v>
      </c>
      <c r="Y25" s="2"/>
      <c r="Z25" s="7">
        <f t="shared" si="11"/>
        <v>-0.1405552384099992</v>
      </c>
    </row>
    <row r="26" spans="1:26" s="24" customFormat="1" hidden="1" outlineLevel="2" x14ac:dyDescent="0.25">
      <c r="A26" s="28"/>
      <c r="B26" s="11" t="str">
        <f>CONCATENATE("          ", "6117", " - ", "RETIREMENT STAFF HOURLY")</f>
        <v xml:space="preserve">          6117 - RETIREMENT STAFF HOURLY</v>
      </c>
      <c r="C26" s="11"/>
      <c r="D26" s="6">
        <v>92.8</v>
      </c>
      <c r="E26" s="2"/>
      <c r="F26" s="7">
        <f t="shared" si="4"/>
        <v>6.1228663987912611E-4</v>
      </c>
      <c r="G26" s="2"/>
      <c r="H26" s="6"/>
      <c r="I26" s="2"/>
      <c r="J26" s="7">
        <f t="shared" si="5"/>
        <v>0</v>
      </c>
      <c r="K26" s="2"/>
      <c r="L26" s="6">
        <f t="shared" si="6"/>
        <v>92.8</v>
      </c>
      <c r="M26" s="2"/>
      <c r="N26" s="7">
        <f t="shared" si="7"/>
        <v>0</v>
      </c>
      <c r="O26" s="11"/>
      <c r="P26" s="6">
        <v>377.9</v>
      </c>
      <c r="Q26" s="2"/>
      <c r="R26" s="7">
        <f t="shared" si="8"/>
        <v>1.4016802359006694E-3</v>
      </c>
      <c r="S26" s="2"/>
      <c r="T26" s="6"/>
      <c r="U26" s="2"/>
      <c r="V26" s="7">
        <f t="shared" si="9"/>
        <v>0</v>
      </c>
      <c r="W26" s="2"/>
      <c r="X26" s="6">
        <f t="shared" si="10"/>
        <v>377.9</v>
      </c>
      <c r="Y26" s="2"/>
      <c r="Z26" s="7">
        <f t="shared" si="11"/>
        <v>0</v>
      </c>
    </row>
    <row r="27" spans="1:26" s="24" customFormat="1" hidden="1" outlineLevel="2" x14ac:dyDescent="0.25">
      <c r="A27" s="28"/>
      <c r="B27" s="11" t="str">
        <f>CONCATENATE("          ", "6118", " - ", "VACATION")</f>
        <v xml:space="preserve">          6118 - VACATION</v>
      </c>
      <c r="C27" s="11"/>
      <c r="D27" s="6">
        <v>780.03</v>
      </c>
      <c r="E27" s="2"/>
      <c r="F27" s="7">
        <f t="shared" si="4"/>
        <v>5.1465727123374437E-3</v>
      </c>
      <c r="G27" s="2"/>
      <c r="H27" s="6">
        <v>866.91</v>
      </c>
      <c r="I27" s="2"/>
      <c r="J27" s="7">
        <f t="shared" si="5"/>
        <v>3.2079262877442269E-2</v>
      </c>
      <c r="K27" s="2"/>
      <c r="L27" s="6">
        <f t="shared" si="6"/>
        <v>-86.88</v>
      </c>
      <c r="M27" s="2"/>
      <c r="N27" s="7">
        <f t="shared" si="7"/>
        <v>-0.10021801571097345</v>
      </c>
      <c r="O27" s="11"/>
      <c r="P27" s="6">
        <v>2340.09</v>
      </c>
      <c r="Q27" s="2"/>
      <c r="R27" s="7">
        <f t="shared" si="8"/>
        <v>8.6796980768160826E-3</v>
      </c>
      <c r="S27" s="2"/>
      <c r="T27" s="6">
        <v>3336.99</v>
      </c>
      <c r="U27" s="2"/>
      <c r="V27" s="7">
        <f t="shared" si="9"/>
        <v>2.7100035732848232E-2</v>
      </c>
      <c r="W27" s="2"/>
      <c r="X27" s="6">
        <f t="shared" si="10"/>
        <v>-996.89999999999964</v>
      </c>
      <c r="Y27" s="2"/>
      <c r="Z27" s="7">
        <f t="shared" si="11"/>
        <v>-0.29874227971914802</v>
      </c>
    </row>
    <row r="28" spans="1:26" s="24" customFormat="1" hidden="1" outlineLevel="2" x14ac:dyDescent="0.25">
      <c r="A28" s="28"/>
      <c r="B28" s="11" t="str">
        <f>CONCATENATE("          ", "6119", " - ", "SICK LEAVE")</f>
        <v xml:space="preserve">          6119 - SICK LEAVE</v>
      </c>
      <c r="C28" s="11"/>
      <c r="D28" s="6">
        <v>448.9</v>
      </c>
      <c r="E28" s="2"/>
      <c r="F28" s="7">
        <f t="shared" si="4"/>
        <v>2.9618046620877125E-3</v>
      </c>
      <c r="G28" s="2"/>
      <c r="H28" s="6">
        <v>432.86</v>
      </c>
      <c r="I28" s="2"/>
      <c r="J28" s="7">
        <f t="shared" si="5"/>
        <v>1.6017613972764952E-2</v>
      </c>
      <c r="K28" s="2"/>
      <c r="L28" s="6">
        <f t="shared" si="6"/>
        <v>16.039999999999964</v>
      </c>
      <c r="M28" s="2"/>
      <c r="N28" s="7">
        <f t="shared" si="7"/>
        <v>3.7055861017418944E-2</v>
      </c>
      <c r="O28" s="11"/>
      <c r="P28" s="6">
        <v>1346.68</v>
      </c>
      <c r="Q28" s="2"/>
      <c r="R28" s="7">
        <f t="shared" si="8"/>
        <v>4.9950112201183217E-3</v>
      </c>
      <c r="S28" s="2"/>
      <c r="T28" s="6">
        <v>1688.56</v>
      </c>
      <c r="U28" s="2"/>
      <c r="V28" s="7">
        <f t="shared" si="9"/>
        <v>1.3712967775467775E-2</v>
      </c>
      <c r="W28" s="2"/>
      <c r="X28" s="6">
        <f t="shared" si="10"/>
        <v>-341.87999999999988</v>
      </c>
      <c r="Y28" s="2"/>
      <c r="Z28" s="7">
        <f t="shared" si="11"/>
        <v>-0.20246837542047655</v>
      </c>
    </row>
    <row r="29" spans="1:26" s="24" customFormat="1" hidden="1" outlineLevel="2" x14ac:dyDescent="0.25">
      <c r="A29" s="28"/>
      <c r="B29" s="11" t="str">
        <f>CONCATENATE("          ", "6156", " - ", "EMPLOYEE MEALS")</f>
        <v xml:space="preserve">          6156 - EMPLOYEE MEALS</v>
      </c>
      <c r="C29" s="11"/>
      <c r="D29" s="6"/>
      <c r="E29" s="2"/>
      <c r="F29" s="7">
        <f t="shared" si="4"/>
        <v>0</v>
      </c>
      <c r="G29" s="2"/>
      <c r="H29" s="6">
        <v>151.65</v>
      </c>
      <c r="I29" s="2"/>
      <c r="J29" s="7">
        <f t="shared" si="5"/>
        <v>5.6116785079928953E-3</v>
      </c>
      <c r="K29" s="2"/>
      <c r="L29" s="6">
        <f t="shared" si="6"/>
        <v>-151.65</v>
      </c>
      <c r="M29" s="2"/>
      <c r="N29" s="7">
        <f t="shared" si="7"/>
        <v>-1</v>
      </c>
      <c r="O29" s="11"/>
      <c r="P29" s="6"/>
      <c r="Q29" s="2"/>
      <c r="R29" s="7">
        <f t="shared" si="8"/>
        <v>0</v>
      </c>
      <c r="S29" s="2"/>
      <c r="T29" s="6">
        <v>609.41999999999996</v>
      </c>
      <c r="U29" s="2"/>
      <c r="V29" s="7">
        <f t="shared" si="9"/>
        <v>4.949161902286902E-3</v>
      </c>
      <c r="W29" s="2"/>
      <c r="X29" s="6">
        <f t="shared" si="10"/>
        <v>-609.41999999999996</v>
      </c>
      <c r="Y29" s="2"/>
      <c r="Z29" s="7">
        <f t="shared" si="11"/>
        <v>-1</v>
      </c>
    </row>
    <row r="30" spans="1:26" s="29" customFormat="1" outlineLevel="1" collapsed="1" x14ac:dyDescent="0.25">
      <c r="A30" s="27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15690.42</v>
      </c>
      <c r="E30" s="1"/>
      <c r="F30" s="5">
        <f t="shared" ref="F30:F35" si="12">IF(D$12=0,0,D30/D$12)</f>
        <v>0.10352407909582154</v>
      </c>
      <c r="G30" s="1"/>
      <c r="H30" s="1">
        <f>SUM(OSRRefH22_1x_0)</f>
        <v>18394.18</v>
      </c>
      <c r="I30" s="1"/>
      <c r="J30" s="5">
        <f t="shared" ref="J30:J35" si="13">IF(H$12=0,0,H30/H$12)</f>
        <v>0.6806608940201303</v>
      </c>
      <c r="K30" s="1"/>
      <c r="L30" s="1">
        <f t="shared" ref="L30:L35" si="14">+D30-H30</f>
        <v>-2703.76</v>
      </c>
      <c r="M30" s="1"/>
      <c r="N30" s="5">
        <f t="shared" ref="N30:N35" si="15">IF(H30=0,0,L30/H30)</f>
        <v>-0.14698997182804563</v>
      </c>
      <c r="O30" s="14"/>
      <c r="P30" s="1">
        <f>SUM(OSRRefP22_1x_0)</f>
        <v>61737.279999999999</v>
      </c>
      <c r="Q30" s="1"/>
      <c r="R30" s="5">
        <f t="shared" ref="R30:R35" si="16">IF(P$12=0,0,P30/P$12)</f>
        <v>0.22899159882049666</v>
      </c>
      <c r="S30" s="1"/>
      <c r="T30" s="1">
        <f>SUM(OSRRefT22_1x_0)</f>
        <v>72251.460000000006</v>
      </c>
      <c r="U30" s="1"/>
      <c r="V30" s="5">
        <f t="shared" ref="V30:V35" si="17">IF(T$12=0,0,T30/T$12)</f>
        <v>0.58676146699584208</v>
      </c>
      <c r="W30" s="1"/>
      <c r="X30" s="1">
        <f t="shared" ref="X30:X35" si="18">+P30-T30</f>
        <v>-10514.180000000008</v>
      </c>
      <c r="Y30" s="1"/>
      <c r="Z30" s="5">
        <f t="shared" ref="Z30:Z35" si="19">IF(T30=0,0,X30/T30)</f>
        <v>-0.14552204204593244</v>
      </c>
    </row>
    <row r="31" spans="1:26" s="24" customFormat="1" hidden="1" outlineLevel="2" x14ac:dyDescent="0.25">
      <c r="A31" s="28"/>
      <c r="B31" s="11" t="str">
        <f>CONCATENATE("          ", "6001", " - ", "ADMINISTRATIVE SALARIES")</f>
        <v xml:space="preserve">          6001 - ADMINISTRATIVE SALARIES</v>
      </c>
      <c r="C31" s="11"/>
      <c r="D31" s="6">
        <v>4205.1400000000003</v>
      </c>
      <c r="E31" s="2"/>
      <c r="F31" s="7">
        <f t="shared" si="12"/>
        <v>2.7745162077815827E-2</v>
      </c>
      <c r="G31" s="2"/>
      <c r="H31" s="6"/>
      <c r="I31" s="2"/>
      <c r="J31" s="7">
        <f t="shared" si="13"/>
        <v>0</v>
      </c>
      <c r="K31" s="2"/>
      <c r="L31" s="6">
        <f t="shared" si="14"/>
        <v>4205.1400000000003</v>
      </c>
      <c r="M31" s="2"/>
      <c r="N31" s="7">
        <f t="shared" si="15"/>
        <v>0</v>
      </c>
      <c r="O31" s="11"/>
      <c r="P31" s="6">
        <v>17874.3</v>
      </c>
      <c r="Q31" s="2"/>
      <c r="R31" s="7">
        <f t="shared" si="16"/>
        <v>6.6298102779992957E-2</v>
      </c>
      <c r="S31" s="2"/>
      <c r="T31" s="6"/>
      <c r="U31" s="2"/>
      <c r="V31" s="7">
        <f t="shared" si="17"/>
        <v>0</v>
      </c>
      <c r="W31" s="2"/>
      <c r="X31" s="6">
        <f t="shared" si="18"/>
        <v>17874.3</v>
      </c>
      <c r="Y31" s="2"/>
      <c r="Z31" s="7">
        <f t="shared" si="19"/>
        <v>0</v>
      </c>
    </row>
    <row r="32" spans="1:26" s="24" customFormat="1" hidden="1" outlineLevel="2" x14ac:dyDescent="0.25">
      <c r="A32" s="28"/>
      <c r="B32" s="11" t="str">
        <f>CONCATENATE("          ", "6002", " - ", "STAFF SALARIES")</f>
        <v xml:space="preserve">          6002 - STAFF SALARIES</v>
      </c>
      <c r="C32" s="11"/>
      <c r="D32" s="6">
        <v>2852.45</v>
      </c>
      <c r="E32" s="2"/>
      <c r="F32" s="7">
        <f t="shared" si="12"/>
        <v>1.8820226572448421E-2</v>
      </c>
      <c r="G32" s="2"/>
      <c r="H32" s="6">
        <v>5005.29</v>
      </c>
      <c r="I32" s="2"/>
      <c r="J32" s="7">
        <f t="shared" si="13"/>
        <v>0.18521647424511545</v>
      </c>
      <c r="K32" s="2"/>
      <c r="L32" s="6">
        <f t="shared" si="14"/>
        <v>-2152.84</v>
      </c>
      <c r="M32" s="2"/>
      <c r="N32" s="7">
        <f t="shared" si="15"/>
        <v>-0.43011294050894155</v>
      </c>
      <c r="O32" s="11"/>
      <c r="P32" s="6">
        <v>9813.89</v>
      </c>
      <c r="Q32" s="2"/>
      <c r="R32" s="7">
        <f t="shared" si="16"/>
        <v>3.6400994046846311E-2</v>
      </c>
      <c r="S32" s="2"/>
      <c r="T32" s="6">
        <v>23238.240000000002</v>
      </c>
      <c r="U32" s="2"/>
      <c r="V32" s="7">
        <f t="shared" si="17"/>
        <v>0.18872011434511435</v>
      </c>
      <c r="W32" s="2"/>
      <c r="X32" s="6">
        <f t="shared" si="18"/>
        <v>-13424.350000000002</v>
      </c>
      <c r="Y32" s="2"/>
      <c r="Z32" s="7">
        <f t="shared" si="19"/>
        <v>-0.57768359393826729</v>
      </c>
    </row>
    <row r="33" spans="1:26" s="24" customFormat="1" hidden="1" outlineLevel="2" x14ac:dyDescent="0.25">
      <c r="A33" s="28"/>
      <c r="B33" s="11" t="str">
        <f>CONCATENATE("          ", "6005", " - ", "TEMPORARY WAGES-HOURLY")</f>
        <v xml:space="preserve">          6005 - TEMPORARY WAGES-HOURLY</v>
      </c>
      <c r="C33" s="11"/>
      <c r="D33" s="6">
        <v>8347.7999999999993</v>
      </c>
      <c r="E33" s="2"/>
      <c r="F33" s="7">
        <f t="shared" si="12"/>
        <v>5.5078086340333718E-2</v>
      </c>
      <c r="G33" s="2"/>
      <c r="H33" s="6">
        <v>11332.53</v>
      </c>
      <c r="I33" s="2"/>
      <c r="J33" s="7">
        <f t="shared" si="13"/>
        <v>0.41935057726465369</v>
      </c>
      <c r="K33" s="2"/>
      <c r="L33" s="6">
        <f t="shared" si="14"/>
        <v>-2984.7300000000014</v>
      </c>
      <c r="M33" s="2"/>
      <c r="N33" s="7">
        <f t="shared" si="15"/>
        <v>-0.26337719820728478</v>
      </c>
      <c r="O33" s="11"/>
      <c r="P33" s="6">
        <v>29353.32</v>
      </c>
      <c r="Q33" s="2"/>
      <c r="R33" s="7">
        <f t="shared" si="16"/>
        <v>0.10887528050295803</v>
      </c>
      <c r="S33" s="2"/>
      <c r="T33" s="6">
        <v>32682.59</v>
      </c>
      <c r="U33" s="2"/>
      <c r="V33" s="7">
        <f t="shared" si="17"/>
        <v>0.26541864280145533</v>
      </c>
      <c r="W33" s="2"/>
      <c r="X33" s="6">
        <f t="shared" si="18"/>
        <v>-3329.2700000000004</v>
      </c>
      <c r="Y33" s="2"/>
      <c r="Z33" s="7">
        <f t="shared" si="19"/>
        <v>-0.10186677371652615</v>
      </c>
    </row>
    <row r="34" spans="1:26" s="24" customFormat="1" hidden="1" outlineLevel="2" x14ac:dyDescent="0.25">
      <c r="A34" s="28"/>
      <c r="B34" s="11" t="str">
        <f>CONCATENATE("          ", "6007", " - ", "STUDENT HOURLY")</f>
        <v xml:space="preserve">          6007 - STUDENT HOURLY</v>
      </c>
      <c r="C34" s="11"/>
      <c r="D34" s="6">
        <v>-756.15</v>
      </c>
      <c r="E34" s="2"/>
      <c r="F34" s="7">
        <f t="shared" si="12"/>
        <v>-4.989014469230617E-3</v>
      </c>
      <c r="G34" s="2"/>
      <c r="H34" s="6">
        <v>1068.23</v>
      </c>
      <c r="I34" s="2"/>
      <c r="J34" s="7">
        <f t="shared" si="13"/>
        <v>3.9528937240970986E-2</v>
      </c>
      <c r="K34" s="2"/>
      <c r="L34" s="6">
        <f t="shared" si="14"/>
        <v>-1824.38</v>
      </c>
      <c r="M34" s="2"/>
      <c r="N34" s="7">
        <f t="shared" si="15"/>
        <v>-1.7078531776864534</v>
      </c>
      <c r="O34" s="11"/>
      <c r="P34" s="6">
        <v>2811.23</v>
      </c>
      <c r="Q34" s="2"/>
      <c r="R34" s="7">
        <f t="shared" si="16"/>
        <v>1.0427217596112832E-2</v>
      </c>
      <c r="S34" s="2"/>
      <c r="T34" s="6">
        <v>13267.43</v>
      </c>
      <c r="U34" s="2"/>
      <c r="V34" s="7">
        <f t="shared" si="17"/>
        <v>0.1077461505977131</v>
      </c>
      <c r="W34" s="2"/>
      <c r="X34" s="6">
        <f t="shared" si="18"/>
        <v>-10456.200000000001</v>
      </c>
      <c r="Y34" s="2"/>
      <c r="Z34" s="7">
        <f t="shared" si="19"/>
        <v>-0.7881104328419295</v>
      </c>
    </row>
    <row r="35" spans="1:26" s="24" customFormat="1" hidden="1" outlineLevel="2" x14ac:dyDescent="0.25">
      <c r="A35" s="28"/>
      <c r="B35" s="11" t="str">
        <f>CONCATENATE("          ", "6008", " - ", "STUDENT HOURLY-FICA EXEMPT")</f>
        <v xml:space="preserve">          6008 - STUDENT HOURLY-FICA EXEMPT</v>
      </c>
      <c r="C35" s="11"/>
      <c r="D35" s="6">
        <v>1041.18</v>
      </c>
      <c r="E35" s="2"/>
      <c r="F35" s="7">
        <f t="shared" si="12"/>
        <v>6.8696185744541874E-3</v>
      </c>
      <c r="G35" s="2"/>
      <c r="H35" s="6">
        <v>988.13</v>
      </c>
      <c r="I35" s="2"/>
      <c r="J35" s="7">
        <f t="shared" si="13"/>
        <v>3.6564905269390172E-2</v>
      </c>
      <c r="K35" s="2"/>
      <c r="L35" s="6">
        <f t="shared" si="14"/>
        <v>53.050000000000068</v>
      </c>
      <c r="M35" s="2"/>
      <c r="N35" s="7">
        <f t="shared" si="15"/>
        <v>5.3687267869612365E-2</v>
      </c>
      <c r="O35" s="11"/>
      <c r="P35" s="6">
        <v>1884.54</v>
      </c>
      <c r="Q35" s="2"/>
      <c r="R35" s="7">
        <f t="shared" si="16"/>
        <v>6.9900038945865245E-3</v>
      </c>
      <c r="S35" s="2"/>
      <c r="T35" s="6">
        <v>3063.2</v>
      </c>
      <c r="U35" s="2"/>
      <c r="V35" s="7">
        <f t="shared" si="17"/>
        <v>2.4876559251559249E-2</v>
      </c>
      <c r="W35" s="2"/>
      <c r="X35" s="6">
        <f t="shared" si="18"/>
        <v>-1178.6599999999999</v>
      </c>
      <c r="Y35" s="2"/>
      <c r="Z35" s="7">
        <f t="shared" si="19"/>
        <v>-0.38478062157221204</v>
      </c>
    </row>
    <row r="36" spans="1:26" s="29" customFormat="1" outlineLevel="1" collapsed="1" x14ac:dyDescent="0.25">
      <c r="A36" s="27"/>
      <c r="B36" s="14" t="str">
        <f>CONCATENATE("     ","Advertising/Promo                                 ")</f>
        <v xml:space="preserve">     Advertising/Promo                                 </v>
      </c>
      <c r="C36" s="14"/>
      <c r="D36" s="1">
        <f>SUM(OSRRefD22_2x_0)</f>
        <v>0</v>
      </c>
      <c r="E36" s="1"/>
      <c r="F36" s="5">
        <f t="shared" ref="F36:F44" si="20">IF(D$12=0,0,D36/D$12)</f>
        <v>0</v>
      </c>
      <c r="G36" s="1"/>
      <c r="H36" s="1">
        <f>SUM(OSRRefH22_2x_0)</f>
        <v>68.77</v>
      </c>
      <c r="I36" s="1"/>
      <c r="J36" s="5">
        <f t="shared" ref="J36:J44" si="21">IF(H$12=0,0,H36/H$12)</f>
        <v>2.5447750148016577E-3</v>
      </c>
      <c r="K36" s="1"/>
      <c r="L36" s="1">
        <f t="shared" ref="L36:L44" si="22">+D36-H36</f>
        <v>-68.77</v>
      </c>
      <c r="M36" s="1"/>
      <c r="N36" s="5">
        <f t="shared" ref="N36:N44" si="23">IF(H36=0,0,L36/H36)</f>
        <v>-1</v>
      </c>
      <c r="O36" s="14"/>
      <c r="P36" s="1">
        <f>SUM(OSRRefP22_2x_0)</f>
        <v>0</v>
      </c>
      <c r="Q36" s="1"/>
      <c r="R36" s="5">
        <f t="shared" ref="R36:R44" si="24">IF(P$12=0,0,P36/P$12)</f>
        <v>0</v>
      </c>
      <c r="S36" s="1"/>
      <c r="T36" s="1">
        <f>SUM(OSRRefT22_2x_0)</f>
        <v>106.77</v>
      </c>
      <c r="U36" s="1"/>
      <c r="V36" s="5">
        <f t="shared" ref="V36:V44" si="25">IF(T$12=0,0,T36/T$12)</f>
        <v>8.6709004677754673E-4</v>
      </c>
      <c r="W36" s="1"/>
      <c r="X36" s="1">
        <f t="shared" ref="X36:X44" si="26">+P36-T36</f>
        <v>-106.77</v>
      </c>
      <c r="Y36" s="1"/>
      <c r="Z36" s="5">
        <f t="shared" ref="Z36:Z44" si="27">IF(T36=0,0,X36/T36)</f>
        <v>-1</v>
      </c>
    </row>
    <row r="37" spans="1:26" s="24" customFormat="1" hidden="1" outlineLevel="2" x14ac:dyDescent="0.25">
      <c r="A37" s="28"/>
      <c r="B37" s="11" t="str">
        <f>CONCATENATE("          ", "6362", " - ", "ADVERTISING EXPENSE")</f>
        <v xml:space="preserve">          6362 - ADVERTISING EXPENSE</v>
      </c>
      <c r="C37" s="11"/>
      <c r="D37" s="6"/>
      <c r="E37" s="2"/>
      <c r="F37" s="7">
        <f t="shared" si="20"/>
        <v>0</v>
      </c>
      <c r="G37" s="2"/>
      <c r="H37" s="6">
        <v>68.77</v>
      </c>
      <c r="I37" s="2"/>
      <c r="J37" s="7">
        <f t="shared" si="21"/>
        <v>2.5447750148016577E-3</v>
      </c>
      <c r="K37" s="2"/>
      <c r="L37" s="6">
        <f t="shared" si="22"/>
        <v>-68.77</v>
      </c>
      <c r="M37" s="2"/>
      <c r="N37" s="7">
        <f t="shared" si="23"/>
        <v>-1</v>
      </c>
      <c r="O37" s="11"/>
      <c r="P37" s="6"/>
      <c r="Q37" s="2"/>
      <c r="R37" s="7">
        <f t="shared" si="24"/>
        <v>0</v>
      </c>
      <c r="S37" s="2"/>
      <c r="T37" s="6">
        <v>106.77</v>
      </c>
      <c r="U37" s="2"/>
      <c r="V37" s="7">
        <f t="shared" si="25"/>
        <v>8.6709004677754673E-4</v>
      </c>
      <c r="W37" s="2"/>
      <c r="X37" s="6">
        <f t="shared" si="26"/>
        <v>-106.77</v>
      </c>
      <c r="Y37" s="2"/>
      <c r="Z37" s="7">
        <f t="shared" si="27"/>
        <v>-1</v>
      </c>
    </row>
    <row r="38" spans="1:26" s="29" customFormat="1" outlineLevel="1" collapsed="1" x14ac:dyDescent="0.25">
      <c r="A38" s="27"/>
      <c r="B38" s="14" t="str">
        <f>CONCATENATE("     ","Bank/card Fees                                    ")</f>
        <v xml:space="preserve">     Bank/card Fees                                    </v>
      </c>
      <c r="C38" s="14"/>
      <c r="D38" s="1">
        <f>SUM(OSRRefD22_3x_0)</f>
        <v>55.04</v>
      </c>
      <c r="E38" s="1"/>
      <c r="F38" s="5">
        <f t="shared" si="20"/>
        <v>3.631493174455507E-4</v>
      </c>
      <c r="G38" s="1"/>
      <c r="H38" s="1">
        <f>SUM(OSRRefH22_3x_0)</f>
        <v>2910.64</v>
      </c>
      <c r="I38" s="1"/>
      <c r="J38" s="5">
        <f t="shared" si="21"/>
        <v>0.10770574304322084</v>
      </c>
      <c r="K38" s="1"/>
      <c r="L38" s="1">
        <f t="shared" si="22"/>
        <v>-2855.6</v>
      </c>
      <c r="M38" s="1"/>
      <c r="N38" s="5">
        <f t="shared" si="23"/>
        <v>-0.98109006953797107</v>
      </c>
      <c r="O38" s="14"/>
      <c r="P38" s="1">
        <f>SUM(OSRRefP22_3x_0)</f>
        <v>519.47</v>
      </c>
      <c r="Q38" s="1"/>
      <c r="R38" s="5">
        <f t="shared" si="24"/>
        <v>1.9267817733350644E-3</v>
      </c>
      <c r="S38" s="1"/>
      <c r="T38" s="1">
        <f>SUM(OSRRefT22_3x_0)</f>
        <v>8516.69</v>
      </c>
      <c r="U38" s="1"/>
      <c r="V38" s="5">
        <f t="shared" si="25"/>
        <v>6.9164907094594594E-2</v>
      </c>
      <c r="W38" s="1"/>
      <c r="X38" s="1">
        <f t="shared" si="26"/>
        <v>-7997.22</v>
      </c>
      <c r="Y38" s="1"/>
      <c r="Z38" s="5">
        <f t="shared" si="27"/>
        <v>-0.9390056465598724</v>
      </c>
    </row>
    <row r="39" spans="1:26" s="24" customFormat="1" hidden="1" outlineLevel="2" x14ac:dyDescent="0.25">
      <c r="A39" s="28"/>
      <c r="B39" s="11" t="str">
        <f>CONCATENATE("          ", "6381", " - ", "BANK/CREDIT CARD FEES")</f>
        <v xml:space="preserve">          6381 - BANK/CREDIT CARD FEES</v>
      </c>
      <c r="C39" s="11"/>
      <c r="D39" s="6">
        <v>55.04</v>
      </c>
      <c r="E39" s="2"/>
      <c r="F39" s="7">
        <f t="shared" si="20"/>
        <v>3.631493174455507E-4</v>
      </c>
      <c r="G39" s="2"/>
      <c r="H39" s="6">
        <v>2910.64</v>
      </c>
      <c r="I39" s="2"/>
      <c r="J39" s="7">
        <f t="shared" si="21"/>
        <v>0.10770574304322084</v>
      </c>
      <c r="K39" s="2"/>
      <c r="L39" s="6">
        <f t="shared" si="22"/>
        <v>-2855.6</v>
      </c>
      <c r="M39" s="2"/>
      <c r="N39" s="7">
        <f t="shared" si="23"/>
        <v>-0.98109006953797107</v>
      </c>
      <c r="O39" s="11"/>
      <c r="P39" s="6">
        <v>519.47</v>
      </c>
      <c r="Q39" s="2"/>
      <c r="R39" s="7">
        <f t="shared" si="24"/>
        <v>1.9267817733350644E-3</v>
      </c>
      <c r="S39" s="2"/>
      <c r="T39" s="6">
        <v>8516.69</v>
      </c>
      <c r="U39" s="2"/>
      <c r="V39" s="7">
        <f t="shared" si="25"/>
        <v>6.9164907094594594E-2</v>
      </c>
      <c r="W39" s="2"/>
      <c r="X39" s="6">
        <f t="shared" si="26"/>
        <v>-7997.22</v>
      </c>
      <c r="Y39" s="2"/>
      <c r="Z39" s="7">
        <f t="shared" si="27"/>
        <v>-0.9390056465598724</v>
      </c>
    </row>
    <row r="40" spans="1:26" s="29" customFormat="1" outlineLevel="1" collapsed="1" x14ac:dyDescent="0.25">
      <c r="A40" s="27"/>
      <c r="B40" s="14" t="str">
        <f>CONCATENATE("     ","Employees' Appreciation                           ")</f>
        <v xml:space="preserve">     Employees' Appreciation                           </v>
      </c>
      <c r="C40" s="14"/>
      <c r="D40" s="1">
        <f>SUM(OSRRefD22_4x_0)</f>
        <v>0</v>
      </c>
      <c r="E40" s="1"/>
      <c r="F40" s="5">
        <f t="shared" si="20"/>
        <v>0</v>
      </c>
      <c r="G40" s="1"/>
      <c r="H40" s="1">
        <f>SUM(OSRRefH22_4x_0)</f>
        <v>0</v>
      </c>
      <c r="I40" s="1"/>
      <c r="J40" s="5">
        <f t="shared" si="21"/>
        <v>0</v>
      </c>
      <c r="K40" s="1"/>
      <c r="L40" s="1">
        <f t="shared" si="22"/>
        <v>0</v>
      </c>
      <c r="M40" s="1"/>
      <c r="N40" s="5">
        <f t="shared" si="23"/>
        <v>0</v>
      </c>
      <c r="O40" s="14"/>
      <c r="P40" s="1">
        <f>SUM(OSRRefP22_4x_0)</f>
        <v>0</v>
      </c>
      <c r="Q40" s="1"/>
      <c r="R40" s="5">
        <f t="shared" si="24"/>
        <v>0</v>
      </c>
      <c r="S40" s="1"/>
      <c r="T40" s="1">
        <f>SUM(OSRRefT22_4x_0)</f>
        <v>64.239999999999995</v>
      </c>
      <c r="U40" s="1"/>
      <c r="V40" s="5">
        <f t="shared" si="25"/>
        <v>5.2169958419958414E-4</v>
      </c>
      <c r="W40" s="1"/>
      <c r="X40" s="1">
        <f t="shared" si="26"/>
        <v>-64.239999999999995</v>
      </c>
      <c r="Y40" s="1"/>
      <c r="Z40" s="5">
        <f t="shared" si="27"/>
        <v>-1</v>
      </c>
    </row>
    <row r="41" spans="1:26" s="24" customFormat="1" hidden="1" outlineLevel="2" x14ac:dyDescent="0.25">
      <c r="A41" s="28"/>
      <c r="B41" s="11" t="str">
        <f>CONCATENATE("          ", "6277", " - ", "EMPLOYEE APPRECIATION")</f>
        <v xml:space="preserve">          6277 - EMPLOYEE APPRECIATION</v>
      </c>
      <c r="C41" s="11"/>
      <c r="D41" s="6"/>
      <c r="E41" s="2"/>
      <c r="F41" s="7">
        <f t="shared" si="20"/>
        <v>0</v>
      </c>
      <c r="G41" s="2"/>
      <c r="H41" s="6"/>
      <c r="I41" s="2"/>
      <c r="J41" s="7">
        <f t="shared" si="21"/>
        <v>0</v>
      </c>
      <c r="K41" s="2"/>
      <c r="L41" s="6">
        <f t="shared" si="22"/>
        <v>0</v>
      </c>
      <c r="M41" s="2"/>
      <c r="N41" s="7">
        <f t="shared" si="23"/>
        <v>0</v>
      </c>
      <c r="O41" s="11"/>
      <c r="P41" s="6"/>
      <c r="Q41" s="2"/>
      <c r="R41" s="7">
        <f t="shared" si="24"/>
        <v>0</v>
      </c>
      <c r="S41" s="2"/>
      <c r="T41" s="6">
        <v>64.239999999999995</v>
      </c>
      <c r="U41" s="2"/>
      <c r="V41" s="7">
        <f t="shared" si="25"/>
        <v>5.2169958419958414E-4</v>
      </c>
      <c r="W41" s="2"/>
      <c r="X41" s="6">
        <f t="shared" si="26"/>
        <v>-64.239999999999995</v>
      </c>
      <c r="Y41" s="2"/>
      <c r="Z41" s="7">
        <f t="shared" si="27"/>
        <v>-1</v>
      </c>
    </row>
    <row r="42" spans="1:26" s="29" customFormat="1" outlineLevel="1" collapsed="1" x14ac:dyDescent="0.25">
      <c r="A42" s="27"/>
      <c r="B42" s="14" t="str">
        <f>CONCATENATE("     ","Freight out/Postage                               ")</f>
        <v xml:space="preserve">     Freight out/Postage                               </v>
      </c>
      <c r="C42" s="14"/>
      <c r="D42" s="1">
        <f>SUM(OSRRefD22_5x_0)</f>
        <v>1.33</v>
      </c>
      <c r="E42" s="1"/>
      <c r="F42" s="5">
        <f t="shared" si="20"/>
        <v>8.7752287827504075E-6</v>
      </c>
      <c r="G42" s="1"/>
      <c r="H42" s="1">
        <f>SUM(OSRRefH22_5x_0)</f>
        <v>0</v>
      </c>
      <c r="I42" s="1"/>
      <c r="J42" s="5">
        <f t="shared" si="21"/>
        <v>0</v>
      </c>
      <c r="K42" s="1"/>
      <c r="L42" s="1">
        <f t="shared" si="22"/>
        <v>1.33</v>
      </c>
      <c r="M42" s="1"/>
      <c r="N42" s="5">
        <f t="shared" si="23"/>
        <v>0</v>
      </c>
      <c r="O42" s="14"/>
      <c r="P42" s="1">
        <f>SUM(OSRRefP22_5x_0)</f>
        <v>2.12</v>
      </c>
      <c r="Q42" s="1"/>
      <c r="R42" s="5">
        <f t="shared" si="24"/>
        <v>7.8633556499323092E-6</v>
      </c>
      <c r="S42" s="1"/>
      <c r="T42" s="1">
        <f>SUM(OSRRefT22_5x_0)</f>
        <v>0</v>
      </c>
      <c r="U42" s="1"/>
      <c r="V42" s="5">
        <f t="shared" si="25"/>
        <v>0</v>
      </c>
      <c r="W42" s="1"/>
      <c r="X42" s="1">
        <f t="shared" si="26"/>
        <v>2.12</v>
      </c>
      <c r="Y42" s="1"/>
      <c r="Z42" s="5">
        <f t="shared" si="27"/>
        <v>0</v>
      </c>
    </row>
    <row r="43" spans="1:26" s="24" customFormat="1" hidden="1" outlineLevel="2" x14ac:dyDescent="0.25">
      <c r="A43" s="28"/>
      <c r="B43" s="11" t="str">
        <f>CONCATENATE("          ", "6305", " - ", "FREIGHT OUT")</f>
        <v xml:space="preserve">          6305 - FREIGHT OUT</v>
      </c>
      <c r="C43" s="11"/>
      <c r="D43" s="6">
        <v>1.33</v>
      </c>
      <c r="E43" s="2"/>
      <c r="F43" s="7">
        <f t="shared" si="20"/>
        <v>8.7752287827504075E-6</v>
      </c>
      <c r="G43" s="2"/>
      <c r="H43" s="6"/>
      <c r="I43" s="2"/>
      <c r="J43" s="7">
        <f t="shared" si="21"/>
        <v>0</v>
      </c>
      <c r="K43" s="2"/>
      <c r="L43" s="6">
        <f t="shared" si="22"/>
        <v>1.33</v>
      </c>
      <c r="M43" s="2"/>
      <c r="N43" s="7">
        <f t="shared" si="23"/>
        <v>0</v>
      </c>
      <c r="O43" s="11"/>
      <c r="P43" s="6">
        <v>1.62</v>
      </c>
      <c r="Q43" s="2"/>
      <c r="R43" s="7">
        <f t="shared" si="24"/>
        <v>6.0087906381558211E-6</v>
      </c>
      <c r="S43" s="2"/>
      <c r="T43" s="6"/>
      <c r="U43" s="2"/>
      <c r="V43" s="7">
        <f t="shared" si="25"/>
        <v>0</v>
      </c>
      <c r="W43" s="2"/>
      <c r="X43" s="6">
        <f t="shared" si="26"/>
        <v>1.62</v>
      </c>
      <c r="Y43" s="2"/>
      <c r="Z43" s="7">
        <f t="shared" si="27"/>
        <v>0</v>
      </c>
    </row>
    <row r="44" spans="1:26" s="24" customFormat="1" hidden="1" outlineLevel="2" x14ac:dyDescent="0.25">
      <c r="A44" s="28"/>
      <c r="B44" s="11" t="str">
        <f>CONCATENATE("          ", "6307", " - ", "POSTAGE")</f>
        <v xml:space="preserve">          6307 - POSTAGE</v>
      </c>
      <c r="C44" s="11"/>
      <c r="D44" s="6"/>
      <c r="E44" s="2"/>
      <c r="F44" s="7">
        <f t="shared" si="20"/>
        <v>0</v>
      </c>
      <c r="G44" s="2"/>
      <c r="H44" s="6"/>
      <c r="I44" s="2"/>
      <c r="J44" s="7">
        <f t="shared" si="21"/>
        <v>0</v>
      </c>
      <c r="K44" s="2"/>
      <c r="L44" s="6">
        <f t="shared" si="22"/>
        <v>0</v>
      </c>
      <c r="M44" s="2"/>
      <c r="N44" s="7">
        <f t="shared" si="23"/>
        <v>0</v>
      </c>
      <c r="O44" s="11"/>
      <c r="P44" s="6">
        <v>0.5</v>
      </c>
      <c r="Q44" s="2"/>
      <c r="R44" s="7">
        <f t="shared" si="24"/>
        <v>1.8545650117764878E-6</v>
      </c>
      <c r="S44" s="2"/>
      <c r="T44" s="6"/>
      <c r="U44" s="2"/>
      <c r="V44" s="7">
        <f t="shared" si="25"/>
        <v>0</v>
      </c>
      <c r="W44" s="2"/>
      <c r="X44" s="6">
        <f t="shared" si="26"/>
        <v>0.5</v>
      </c>
      <c r="Y44" s="2"/>
      <c r="Z44" s="7">
        <f t="shared" si="27"/>
        <v>0</v>
      </c>
    </row>
    <row r="45" spans="1:26" s="29" customFormat="1" outlineLevel="1" collapsed="1" x14ac:dyDescent="0.25">
      <c r="A45" s="27"/>
      <c r="B45" s="14" t="str">
        <f>CONCATENATE("     ","Insurance                                         ")</f>
        <v xml:space="preserve">     Insurance                                         </v>
      </c>
      <c r="C45" s="14"/>
      <c r="D45" s="1">
        <f>SUM(OSRRefD22_6x_0)</f>
        <v>29.01</v>
      </c>
      <c r="E45" s="1"/>
      <c r="F45" s="5">
        <f t="shared" ref="F45:F52" si="28">IF(D$12=0,0,D45/D$12)</f>
        <v>1.9140555412600703E-4</v>
      </c>
      <c r="G45" s="1"/>
      <c r="H45" s="1">
        <f>SUM(OSRRefH22_6x_0)</f>
        <v>29.01</v>
      </c>
      <c r="I45" s="1"/>
      <c r="J45" s="5">
        <f t="shared" ref="J45:J52" si="29">IF(H$12=0,0,H45/H$12)</f>
        <v>1.0734902309058616E-3</v>
      </c>
      <c r="K45" s="1"/>
      <c r="L45" s="1">
        <f t="shared" ref="L45:L52" si="30">+D45-H45</f>
        <v>0</v>
      </c>
      <c r="M45" s="1"/>
      <c r="N45" s="5">
        <f t="shared" ref="N45:N52" si="31">IF(H45=0,0,L45/H45)</f>
        <v>0</v>
      </c>
      <c r="O45" s="14"/>
      <c r="P45" s="1">
        <f>SUM(OSRRefP22_6x_0)</f>
        <v>116.04</v>
      </c>
      <c r="Q45" s="1"/>
      <c r="R45" s="5">
        <f t="shared" ref="R45:R52" si="32">IF(P$12=0,0,P45/P$12)</f>
        <v>4.3040744793308732E-4</v>
      </c>
      <c r="S45" s="1"/>
      <c r="T45" s="1">
        <f>SUM(OSRRefT22_6x_0)</f>
        <v>116.04</v>
      </c>
      <c r="U45" s="1"/>
      <c r="V45" s="5">
        <f t="shared" ref="V45:V52" si="33">IF(T$12=0,0,T45/T$12)</f>
        <v>9.423726611226612E-4</v>
      </c>
      <c r="W45" s="1"/>
      <c r="X45" s="1">
        <f t="shared" ref="X45:X52" si="34">+P45-T45</f>
        <v>0</v>
      </c>
      <c r="Y45" s="1"/>
      <c r="Z45" s="5">
        <f t="shared" ref="Z45:Z52" si="35">IF(T45=0,0,X45/T45)</f>
        <v>0</v>
      </c>
    </row>
    <row r="46" spans="1:26" s="24" customFormat="1" hidden="1" outlineLevel="2" x14ac:dyDescent="0.25">
      <c r="A46" s="28"/>
      <c r="B46" s="11" t="str">
        <f>CONCATENATE("          ", "6314", " - ", "LIABILITY INSURANCE")</f>
        <v xml:space="preserve">          6314 - LIABILITY INSURANCE</v>
      </c>
      <c r="C46" s="11"/>
      <c r="D46" s="6">
        <v>29.01</v>
      </c>
      <c r="E46" s="2"/>
      <c r="F46" s="7">
        <f t="shared" si="28"/>
        <v>1.9140555412600703E-4</v>
      </c>
      <c r="G46" s="2"/>
      <c r="H46" s="6">
        <v>29.01</v>
      </c>
      <c r="I46" s="2"/>
      <c r="J46" s="7">
        <f t="shared" si="29"/>
        <v>1.0734902309058616E-3</v>
      </c>
      <c r="K46" s="2"/>
      <c r="L46" s="6">
        <f t="shared" si="30"/>
        <v>0</v>
      </c>
      <c r="M46" s="2"/>
      <c r="N46" s="7">
        <f t="shared" si="31"/>
        <v>0</v>
      </c>
      <c r="O46" s="11"/>
      <c r="P46" s="6">
        <v>116.04</v>
      </c>
      <c r="Q46" s="2"/>
      <c r="R46" s="7">
        <f t="shared" si="32"/>
        <v>4.3040744793308732E-4</v>
      </c>
      <c r="S46" s="2"/>
      <c r="T46" s="6">
        <v>116.04</v>
      </c>
      <c r="U46" s="2"/>
      <c r="V46" s="7">
        <f t="shared" si="33"/>
        <v>9.423726611226612E-4</v>
      </c>
      <c r="W46" s="2"/>
      <c r="X46" s="6">
        <f t="shared" si="34"/>
        <v>0</v>
      </c>
      <c r="Y46" s="2"/>
      <c r="Z46" s="7">
        <f t="shared" si="35"/>
        <v>0</v>
      </c>
    </row>
    <row r="47" spans="1:26" s="29" customFormat="1" outlineLevel="1" collapsed="1" x14ac:dyDescent="0.25">
      <c r="A47" s="27"/>
      <c r="B47" s="14" t="str">
        <f>CONCATENATE("     ","Rent                                              ")</f>
        <v xml:space="preserve">     Rent                                              </v>
      </c>
      <c r="C47" s="14"/>
      <c r="D47" s="1">
        <f>SUM(OSRRefD22_7x_0)</f>
        <v>800</v>
      </c>
      <c r="E47" s="1"/>
      <c r="F47" s="5">
        <f t="shared" si="28"/>
        <v>5.2783331024062602E-3</v>
      </c>
      <c r="G47" s="1"/>
      <c r="H47" s="1">
        <f>SUM(OSRRefH22_7x_0)</f>
        <v>800</v>
      </c>
      <c r="I47" s="1"/>
      <c r="J47" s="5">
        <f t="shared" si="29"/>
        <v>2.9603315571343991E-2</v>
      </c>
      <c r="K47" s="1"/>
      <c r="L47" s="1">
        <f t="shared" si="30"/>
        <v>0</v>
      </c>
      <c r="M47" s="1"/>
      <c r="N47" s="5">
        <f t="shared" si="31"/>
        <v>0</v>
      </c>
      <c r="O47" s="14"/>
      <c r="P47" s="1">
        <f>SUM(OSRRefP22_7x_0)</f>
        <v>3200</v>
      </c>
      <c r="Q47" s="1"/>
      <c r="R47" s="5">
        <f t="shared" si="32"/>
        <v>1.1869216075369522E-2</v>
      </c>
      <c r="S47" s="1"/>
      <c r="T47" s="1">
        <f>SUM(OSRRefT22_7x_0)</f>
        <v>3200</v>
      </c>
      <c r="U47" s="1"/>
      <c r="V47" s="5">
        <f t="shared" si="33"/>
        <v>2.5987525987525989E-2</v>
      </c>
      <c r="W47" s="1"/>
      <c r="X47" s="1">
        <f t="shared" si="34"/>
        <v>0</v>
      </c>
      <c r="Y47" s="1"/>
      <c r="Z47" s="5">
        <f t="shared" si="35"/>
        <v>0</v>
      </c>
    </row>
    <row r="48" spans="1:26" s="24" customFormat="1" hidden="1" outlineLevel="2" x14ac:dyDescent="0.25">
      <c r="A48" s="28"/>
      <c r="B48" s="11" t="str">
        <f>CONCATENATE("          ", "6273", " - ", "RENT")</f>
        <v xml:space="preserve">          6273 - RENT</v>
      </c>
      <c r="C48" s="11"/>
      <c r="D48" s="6">
        <v>800</v>
      </c>
      <c r="E48" s="2"/>
      <c r="F48" s="7">
        <f t="shared" si="28"/>
        <v>5.2783331024062602E-3</v>
      </c>
      <c r="G48" s="2"/>
      <c r="H48" s="6">
        <v>800</v>
      </c>
      <c r="I48" s="2"/>
      <c r="J48" s="7">
        <f t="shared" si="29"/>
        <v>2.9603315571343991E-2</v>
      </c>
      <c r="K48" s="2"/>
      <c r="L48" s="6">
        <f t="shared" si="30"/>
        <v>0</v>
      </c>
      <c r="M48" s="2"/>
      <c r="N48" s="7">
        <f t="shared" si="31"/>
        <v>0</v>
      </c>
      <c r="O48" s="11"/>
      <c r="P48" s="6">
        <v>3200</v>
      </c>
      <c r="Q48" s="2"/>
      <c r="R48" s="7">
        <f t="shared" si="32"/>
        <v>1.1869216075369522E-2</v>
      </c>
      <c r="S48" s="2"/>
      <c r="T48" s="6">
        <v>3200</v>
      </c>
      <c r="U48" s="2"/>
      <c r="V48" s="7">
        <f t="shared" si="33"/>
        <v>2.5987525987525989E-2</v>
      </c>
      <c r="W48" s="2"/>
      <c r="X48" s="6">
        <f t="shared" si="34"/>
        <v>0</v>
      </c>
      <c r="Y48" s="2"/>
      <c r="Z48" s="7">
        <f t="shared" si="35"/>
        <v>0</v>
      </c>
    </row>
    <row r="49" spans="1:26" s="29" customFormat="1" outlineLevel="1" collapsed="1" x14ac:dyDescent="0.25">
      <c r="A49" s="27"/>
      <c r="B49" s="14" t="str">
        <f>CONCATENATE("     ","Repair and Maintenance                            ")</f>
        <v xml:space="preserve">     Repair and Maintenance                            </v>
      </c>
      <c r="C49" s="14"/>
      <c r="D49" s="1">
        <f>SUM(OSRRefD22_8x_0)</f>
        <v>117265.90000000001</v>
      </c>
      <c r="E49" s="1"/>
      <c r="F49" s="5">
        <f t="shared" si="28"/>
        <v>0.77371060219182786</v>
      </c>
      <c r="G49" s="1"/>
      <c r="H49" s="1">
        <f>SUM(OSRRefH22_8x_0)</f>
        <v>0</v>
      </c>
      <c r="I49" s="1"/>
      <c r="J49" s="5">
        <f t="shared" si="29"/>
        <v>0</v>
      </c>
      <c r="K49" s="1"/>
      <c r="L49" s="1">
        <f t="shared" si="30"/>
        <v>117265.90000000001</v>
      </c>
      <c r="M49" s="1"/>
      <c r="N49" s="5">
        <f t="shared" si="31"/>
        <v>0</v>
      </c>
      <c r="O49" s="14"/>
      <c r="P49" s="1">
        <f>SUM(OSRRefP22_8x_0)</f>
        <v>123827.90000000001</v>
      </c>
      <c r="Q49" s="1"/>
      <c r="R49" s="5">
        <f t="shared" si="32"/>
        <v>0.45929378164351553</v>
      </c>
      <c r="S49" s="1"/>
      <c r="T49" s="1">
        <f>SUM(OSRRefT22_8x_0)</f>
        <v>437.31</v>
      </c>
      <c r="U49" s="1"/>
      <c r="V49" s="5">
        <f t="shared" si="33"/>
        <v>3.5514390592515594E-3</v>
      </c>
      <c r="W49" s="1"/>
      <c r="X49" s="1">
        <f t="shared" si="34"/>
        <v>123390.59000000001</v>
      </c>
      <c r="Y49" s="1"/>
      <c r="Z49" s="5">
        <f t="shared" si="35"/>
        <v>282.15817154878692</v>
      </c>
    </row>
    <row r="50" spans="1:26" s="24" customFormat="1" hidden="1" outlineLevel="2" x14ac:dyDescent="0.25">
      <c r="A50" s="28"/>
      <c r="B50" s="11" t="str">
        <f>CONCATENATE("          ", "6371", " - ", "COMPUTER SOFTWARE MAINTENANCE")</f>
        <v xml:space="preserve">          6371 - COMPUTER SOFTWARE MAINTENANCE</v>
      </c>
      <c r="C50" s="11"/>
      <c r="D50" s="6"/>
      <c r="E50" s="2"/>
      <c r="F50" s="7">
        <f t="shared" si="28"/>
        <v>0</v>
      </c>
      <c r="G50" s="2"/>
      <c r="H50" s="6"/>
      <c r="I50" s="2"/>
      <c r="J50" s="7">
        <f t="shared" si="29"/>
        <v>0</v>
      </c>
      <c r="K50" s="2"/>
      <c r="L50" s="6">
        <f t="shared" si="30"/>
        <v>0</v>
      </c>
      <c r="M50" s="2"/>
      <c r="N50" s="7">
        <f t="shared" si="31"/>
        <v>0</v>
      </c>
      <c r="O50" s="11"/>
      <c r="P50" s="6"/>
      <c r="Q50" s="2"/>
      <c r="R50" s="7">
        <f t="shared" si="32"/>
        <v>0</v>
      </c>
      <c r="S50" s="2"/>
      <c r="T50" s="6">
        <v>437.31</v>
      </c>
      <c r="U50" s="2"/>
      <c r="V50" s="7">
        <f t="shared" si="33"/>
        <v>3.5514390592515594E-3</v>
      </c>
      <c r="W50" s="2"/>
      <c r="X50" s="6">
        <f t="shared" si="34"/>
        <v>-437.31</v>
      </c>
      <c r="Y50" s="2"/>
      <c r="Z50" s="7">
        <f t="shared" si="35"/>
        <v>-1</v>
      </c>
    </row>
    <row r="51" spans="1:26" s="24" customFormat="1" hidden="1" outlineLevel="2" x14ac:dyDescent="0.25">
      <c r="A51" s="28"/>
      <c r="B51" s="11" t="str">
        <f>CONCATENATE("          ", "6373", " - ", "MAINTENANCE CONTRACTS")</f>
        <v xml:space="preserve">          6373 - MAINTENANCE CONTRACTS</v>
      </c>
      <c r="C51" s="11"/>
      <c r="D51" s="6">
        <v>117265.90000000001</v>
      </c>
      <c r="E51" s="2"/>
      <c r="F51" s="7">
        <f t="shared" si="28"/>
        <v>0.77371060219182786</v>
      </c>
      <c r="G51" s="2"/>
      <c r="H51" s="6"/>
      <c r="I51" s="2"/>
      <c r="J51" s="7">
        <f t="shared" si="29"/>
        <v>0</v>
      </c>
      <c r="K51" s="2"/>
      <c r="L51" s="6">
        <f t="shared" si="30"/>
        <v>117265.90000000001</v>
      </c>
      <c r="M51" s="2"/>
      <c r="N51" s="7">
        <f t="shared" si="31"/>
        <v>0</v>
      </c>
      <c r="O51" s="11"/>
      <c r="P51" s="6">
        <v>117265.90000000001</v>
      </c>
      <c r="Q51" s="2"/>
      <c r="R51" s="7">
        <f t="shared" si="32"/>
        <v>0.4349544704289609</v>
      </c>
      <c r="S51" s="2"/>
      <c r="T51" s="6"/>
      <c r="U51" s="2"/>
      <c r="V51" s="7">
        <f t="shared" si="33"/>
        <v>0</v>
      </c>
      <c r="W51" s="2"/>
      <c r="X51" s="6">
        <f t="shared" si="34"/>
        <v>117265.90000000001</v>
      </c>
      <c r="Y51" s="2"/>
      <c r="Z51" s="7">
        <f t="shared" si="35"/>
        <v>0</v>
      </c>
    </row>
    <row r="52" spans="1:26" s="24" customFormat="1" hidden="1" outlineLevel="2" x14ac:dyDescent="0.25">
      <c r="A52" s="28"/>
      <c r="B52" s="11" t="str">
        <f>CONCATENATE("          ", "6375", " - ", "OUTSIDE REPAIRS &amp; MAINTENANCE")</f>
        <v xml:space="preserve">          6375 - OUTSIDE REPAIRS &amp; MAINTENANCE</v>
      </c>
      <c r="C52" s="11"/>
      <c r="D52" s="6"/>
      <c r="E52" s="2"/>
      <c r="F52" s="7">
        <f t="shared" si="28"/>
        <v>0</v>
      </c>
      <c r="G52" s="2"/>
      <c r="H52" s="6"/>
      <c r="I52" s="2"/>
      <c r="J52" s="7">
        <f t="shared" si="29"/>
        <v>0</v>
      </c>
      <c r="K52" s="2"/>
      <c r="L52" s="6">
        <f t="shared" si="30"/>
        <v>0</v>
      </c>
      <c r="M52" s="2"/>
      <c r="N52" s="7">
        <f t="shared" si="31"/>
        <v>0</v>
      </c>
      <c r="O52" s="11"/>
      <c r="P52" s="6">
        <v>6562</v>
      </c>
      <c r="Q52" s="2"/>
      <c r="R52" s="7">
        <f t="shared" si="32"/>
        <v>2.4339311214554626E-2</v>
      </c>
      <c r="S52" s="2"/>
      <c r="T52" s="6"/>
      <c r="U52" s="2"/>
      <c r="V52" s="7">
        <f t="shared" si="33"/>
        <v>0</v>
      </c>
      <c r="W52" s="2"/>
      <c r="X52" s="6">
        <f t="shared" si="34"/>
        <v>6562</v>
      </c>
      <c r="Y52" s="2"/>
      <c r="Z52" s="7">
        <f t="shared" si="35"/>
        <v>0</v>
      </c>
    </row>
    <row r="53" spans="1:26" s="29" customFormat="1" outlineLevel="1" collapsed="1" x14ac:dyDescent="0.25">
      <c r="A53" s="27"/>
      <c r="B53" s="14" t="str">
        <f>CONCATENATE("     ","Supplies                                          ")</f>
        <v xml:space="preserve">     Supplies                                          </v>
      </c>
      <c r="C53" s="14"/>
      <c r="D53" s="1">
        <f>SUM(OSRRefD22_9x_0)</f>
        <v>6088.55</v>
      </c>
      <c r="E53" s="1"/>
      <c r="F53" s="5">
        <f t="shared" ref="F53:F56" si="36">IF(D$12=0,0,D53/D$12)</f>
        <v>4.0171743763319542E-2</v>
      </c>
      <c r="G53" s="1"/>
      <c r="H53" s="1">
        <f>SUM(OSRRefH22_9x_0)</f>
        <v>215.67</v>
      </c>
      <c r="I53" s="1"/>
      <c r="J53" s="5">
        <f t="shared" ref="J53:J56" si="37">IF(H$12=0,0,H53/H$12)</f>
        <v>7.9806838365896974E-3</v>
      </c>
      <c r="K53" s="1"/>
      <c r="L53" s="1">
        <f t="shared" ref="L53:L56" si="38">+D53-H53</f>
        <v>5872.88</v>
      </c>
      <c r="M53" s="1"/>
      <c r="N53" s="5">
        <f t="shared" ref="N53:N56" si="39">IF(H53=0,0,L53/H53)</f>
        <v>27.230861965039182</v>
      </c>
      <c r="O53" s="14"/>
      <c r="P53" s="1">
        <f>SUM(OSRRefP22_9x_0)</f>
        <v>41271.699999999997</v>
      </c>
      <c r="Q53" s="1"/>
      <c r="R53" s="5">
        <f t="shared" ref="R53:R56" si="40">IF(P$12=0,0,P53/P$12)</f>
        <v>0.15308210159307134</v>
      </c>
      <c r="S53" s="1"/>
      <c r="T53" s="1">
        <f>SUM(OSRRefT22_9x_0)</f>
        <v>18352.650000000005</v>
      </c>
      <c r="U53" s="1"/>
      <c r="V53" s="5">
        <f t="shared" ref="V53:V56" si="41">IF(T$12=0,0,T53/T$12)</f>
        <v>0.14904374025467779</v>
      </c>
      <c r="W53" s="1"/>
      <c r="X53" s="1">
        <f t="shared" ref="X53:X56" si="42">+P53-T53</f>
        <v>22919.049999999992</v>
      </c>
      <c r="Y53" s="1"/>
      <c r="Z53" s="5">
        <f t="shared" ref="Z53:Z56" si="43">IF(T53=0,0,X53/T53)</f>
        <v>1.248814203943299</v>
      </c>
    </row>
    <row r="54" spans="1:26" s="24" customFormat="1" hidden="1" outlineLevel="2" x14ac:dyDescent="0.25">
      <c r="A54" s="28"/>
      <c r="B54" s="11" t="str">
        <f>CONCATENATE("          ", "6234", " - ", "EXPENDABLE SUPPLIES &amp; EQUIPMEN")</f>
        <v xml:space="preserve">          6234 - EXPENDABLE SUPPLIES &amp; EQUIPMEN</v>
      </c>
      <c r="C54" s="11"/>
      <c r="D54" s="6"/>
      <c r="E54" s="2"/>
      <c r="F54" s="7">
        <f t="shared" si="36"/>
        <v>0</v>
      </c>
      <c r="G54" s="2"/>
      <c r="H54" s="6"/>
      <c r="I54" s="2"/>
      <c r="J54" s="7">
        <f t="shared" si="37"/>
        <v>0</v>
      </c>
      <c r="K54" s="2"/>
      <c r="L54" s="6">
        <f t="shared" si="38"/>
        <v>0</v>
      </c>
      <c r="M54" s="2"/>
      <c r="N54" s="7">
        <f t="shared" si="39"/>
        <v>0</v>
      </c>
      <c r="O54" s="11"/>
      <c r="P54" s="6"/>
      <c r="Q54" s="2"/>
      <c r="R54" s="7">
        <f t="shared" si="40"/>
        <v>0</v>
      </c>
      <c r="S54" s="2"/>
      <c r="T54" s="6">
        <v>413.27</v>
      </c>
      <c r="U54" s="2"/>
      <c r="V54" s="7">
        <f t="shared" si="41"/>
        <v>3.3562077702702703E-3</v>
      </c>
      <c r="W54" s="2"/>
      <c r="X54" s="6">
        <f t="shared" si="42"/>
        <v>-413.27</v>
      </c>
      <c r="Y54" s="2"/>
      <c r="Z54" s="7">
        <f t="shared" si="43"/>
        <v>-1</v>
      </c>
    </row>
    <row r="55" spans="1:26" s="24" customFormat="1" hidden="1" outlineLevel="2" x14ac:dyDescent="0.25">
      <c r="A55" s="28"/>
      <c r="B55" s="11" t="str">
        <f>CONCATENATE("          ", "6241", " - ", "OFFICE EXPENSE")</f>
        <v xml:space="preserve">          6241 - OFFICE EXPENSE</v>
      </c>
      <c r="C55" s="11"/>
      <c r="D55" s="6">
        <v>6088.55</v>
      </c>
      <c r="E55" s="2"/>
      <c r="F55" s="7">
        <f t="shared" si="36"/>
        <v>4.0171743763319542E-2</v>
      </c>
      <c r="G55" s="2"/>
      <c r="H55" s="6">
        <v>215.67</v>
      </c>
      <c r="I55" s="2"/>
      <c r="J55" s="7">
        <f t="shared" si="37"/>
        <v>7.9806838365896974E-3</v>
      </c>
      <c r="K55" s="2"/>
      <c r="L55" s="6">
        <f t="shared" si="38"/>
        <v>5872.88</v>
      </c>
      <c r="M55" s="2"/>
      <c r="N55" s="7">
        <f t="shared" si="39"/>
        <v>27.230861965039182</v>
      </c>
      <c r="O55" s="11"/>
      <c r="P55" s="6">
        <v>41271.699999999997</v>
      </c>
      <c r="Q55" s="2"/>
      <c r="R55" s="7">
        <f t="shared" si="40"/>
        <v>0.15308210159307134</v>
      </c>
      <c r="S55" s="2"/>
      <c r="T55" s="6">
        <v>17818.550000000003</v>
      </c>
      <c r="U55" s="2"/>
      <c r="V55" s="7">
        <f t="shared" si="41"/>
        <v>0.14470625974532228</v>
      </c>
      <c r="W55" s="2"/>
      <c r="X55" s="6">
        <f t="shared" si="42"/>
        <v>23453.149999999994</v>
      </c>
      <c r="Y55" s="2"/>
      <c r="Z55" s="7">
        <f t="shared" si="43"/>
        <v>1.3162210168616408</v>
      </c>
    </row>
    <row r="56" spans="1:26" s="24" customFormat="1" hidden="1" outlineLevel="2" x14ac:dyDescent="0.25">
      <c r="A56" s="28"/>
      <c r="B56" s="11" t="str">
        <f>CONCATENATE("          ", "6245", " - ", "PRINTING")</f>
        <v xml:space="preserve">          6245 - PRINTING</v>
      </c>
      <c r="C56" s="11"/>
      <c r="D56" s="6"/>
      <c r="E56" s="2"/>
      <c r="F56" s="7">
        <f t="shared" si="36"/>
        <v>0</v>
      </c>
      <c r="G56" s="2"/>
      <c r="H56" s="6"/>
      <c r="I56" s="2"/>
      <c r="J56" s="7">
        <f t="shared" si="37"/>
        <v>0</v>
      </c>
      <c r="K56" s="2"/>
      <c r="L56" s="6">
        <f t="shared" si="38"/>
        <v>0</v>
      </c>
      <c r="M56" s="2"/>
      <c r="N56" s="7">
        <f t="shared" si="39"/>
        <v>0</v>
      </c>
      <c r="O56" s="11"/>
      <c r="P56" s="6"/>
      <c r="Q56" s="2"/>
      <c r="R56" s="7">
        <f t="shared" si="40"/>
        <v>0</v>
      </c>
      <c r="S56" s="2"/>
      <c r="T56" s="6">
        <v>120.83</v>
      </c>
      <c r="U56" s="2"/>
      <c r="V56" s="7">
        <f t="shared" si="41"/>
        <v>9.8127273908523902E-4</v>
      </c>
      <c r="W56" s="2"/>
      <c r="X56" s="6">
        <f t="shared" si="42"/>
        <v>-120.83</v>
      </c>
      <c r="Y56" s="2"/>
      <c r="Z56" s="7">
        <f t="shared" si="43"/>
        <v>-1</v>
      </c>
    </row>
    <row r="57" spans="1:26" s="29" customFormat="1" outlineLevel="1" collapsed="1" x14ac:dyDescent="0.25">
      <c r="A57" s="27"/>
      <c r="B57" s="14" t="str">
        <f>CONCATENATE("     ","Telephone/Data Lines                              ")</f>
        <v xml:space="preserve">     Telephone/Data Lines                              </v>
      </c>
      <c r="C57" s="14"/>
      <c r="D57" s="1">
        <f>SUM(OSRRefD22_10x_0)</f>
        <v>136.65</v>
      </c>
      <c r="E57" s="1"/>
      <c r="F57" s="5">
        <f t="shared" ref="F57:F58" si="44">IF(D$12=0,0,D57/D$12)</f>
        <v>9.0160527305476932E-4</v>
      </c>
      <c r="G57" s="1"/>
      <c r="H57" s="1">
        <f>SUM(OSRRefH22_10x_0)</f>
        <v>188.95</v>
      </c>
      <c r="I57" s="1"/>
      <c r="J57" s="5">
        <f t="shared" ref="J57:J58" si="45">IF(H$12=0,0,H57/H$12)</f>
        <v>6.9919330965068083E-3</v>
      </c>
      <c r="K57" s="1"/>
      <c r="L57" s="1">
        <f t="shared" ref="L57:L58" si="46">+D57-H57</f>
        <v>-52.299999999999983</v>
      </c>
      <c r="M57" s="1"/>
      <c r="N57" s="5">
        <f t="shared" ref="N57:N58" si="47">IF(H57=0,0,L57/H57)</f>
        <v>-0.27679280232865833</v>
      </c>
      <c r="O57" s="14"/>
      <c r="P57" s="1">
        <f>SUM(OSRRefP22_10x_0)</f>
        <v>1178.73</v>
      </c>
      <c r="Q57" s="1"/>
      <c r="R57" s="5">
        <f t="shared" ref="R57:R58" si="48">IF(P$12=0,0,P57/P$12)</f>
        <v>4.3720628326625989E-3</v>
      </c>
      <c r="S57" s="1"/>
      <c r="T57" s="1">
        <f>SUM(OSRRefT22_10x_0)</f>
        <v>764.6</v>
      </c>
      <c r="U57" s="1"/>
      <c r="V57" s="5">
        <f t="shared" ref="V57:V58" si="49">IF(T$12=0,0,T57/T$12)</f>
        <v>6.2093944906444912E-3</v>
      </c>
      <c r="W57" s="1"/>
      <c r="X57" s="1">
        <f t="shared" ref="X57:X58" si="50">+P57-T57</f>
        <v>414.13</v>
      </c>
      <c r="Y57" s="1"/>
      <c r="Z57" s="5">
        <f t="shared" ref="Z57:Z58" si="51">IF(T57=0,0,X57/T57)</f>
        <v>0.54162961025372747</v>
      </c>
    </row>
    <row r="58" spans="1:26" s="24" customFormat="1" hidden="1" outlineLevel="2" x14ac:dyDescent="0.25">
      <c r="A58" s="28"/>
      <c r="B58" s="11" t="str">
        <f>CONCATENATE("          ", "6309", " - ", "TELEPHONE")</f>
        <v xml:space="preserve">          6309 - TELEPHONE</v>
      </c>
      <c r="C58" s="11"/>
      <c r="D58" s="6">
        <v>136.65</v>
      </c>
      <c r="E58" s="2"/>
      <c r="F58" s="7">
        <f t="shared" si="44"/>
        <v>9.0160527305476932E-4</v>
      </c>
      <c r="G58" s="2"/>
      <c r="H58" s="6">
        <v>188.95</v>
      </c>
      <c r="I58" s="2"/>
      <c r="J58" s="7">
        <f t="shared" si="45"/>
        <v>6.9919330965068083E-3</v>
      </c>
      <c r="K58" s="2"/>
      <c r="L58" s="6">
        <f t="shared" si="46"/>
        <v>-52.299999999999983</v>
      </c>
      <c r="M58" s="2"/>
      <c r="N58" s="7">
        <f t="shared" si="47"/>
        <v>-0.27679280232865833</v>
      </c>
      <c r="O58" s="11"/>
      <c r="P58" s="6">
        <v>1178.73</v>
      </c>
      <c r="Q58" s="2"/>
      <c r="R58" s="7">
        <f t="shared" si="48"/>
        <v>4.3720628326625989E-3</v>
      </c>
      <c r="S58" s="2"/>
      <c r="T58" s="6">
        <v>764.6</v>
      </c>
      <c r="U58" s="2"/>
      <c r="V58" s="7">
        <f t="shared" si="49"/>
        <v>6.2093944906444912E-3</v>
      </c>
      <c r="W58" s="2"/>
      <c r="X58" s="6">
        <f t="shared" si="50"/>
        <v>414.13</v>
      </c>
      <c r="Y58" s="2"/>
      <c r="Z58" s="7">
        <f t="shared" si="51"/>
        <v>0.54162961025372747</v>
      </c>
    </row>
    <row r="59" spans="1:26" s="57" customFormat="1" x14ac:dyDescent="0.25">
      <c r="A59" s="37"/>
      <c r="B59" s="37"/>
      <c r="C59" s="37"/>
      <c r="D59" s="1"/>
      <c r="E59" s="1"/>
      <c r="F59" s="5"/>
      <c r="G59" s="1"/>
      <c r="H59" s="1"/>
      <c r="I59" s="1"/>
      <c r="J59" s="5"/>
      <c r="K59" s="1"/>
      <c r="L59" s="1"/>
      <c r="M59" s="1"/>
      <c r="N59" s="5"/>
      <c r="O59" s="37"/>
      <c r="P59" s="1"/>
      <c r="Q59" s="1"/>
      <c r="R59" s="5"/>
      <c r="S59" s="1"/>
      <c r="T59" s="1"/>
      <c r="U59" s="1"/>
      <c r="V59" s="5"/>
      <c r="W59" s="1"/>
      <c r="X59" s="1"/>
      <c r="Y59" s="1"/>
      <c r="Z59" s="5"/>
    </row>
    <row r="60" spans="1:26" s="23" customFormat="1" collapsed="1" x14ac:dyDescent="0.25">
      <c r="A60" s="10"/>
      <c r="B60" s="26" t="s">
        <v>0</v>
      </c>
      <c r="C60" s="10"/>
      <c r="D60" s="4">
        <f>SUM(OSRRefD25x_0)</f>
        <v>225.16</v>
      </c>
      <c r="E60" s="4"/>
      <c r="F60" s="12">
        <f t="shared" ref="F60:F61" si="52">IF(D$12=0,0,D60/D$12)</f>
        <v>1.485586851672242E-3</v>
      </c>
      <c r="G60" s="4"/>
      <c r="H60" s="4">
        <f>SUM(OSRRefH25x_0)</f>
        <v>3196.59</v>
      </c>
      <c r="I60" s="4"/>
      <c r="J60" s="12">
        <f t="shared" ref="J60:J61" si="53">IF(H$12=0,0,H60/H$12)</f>
        <v>0.11828707815275312</v>
      </c>
      <c r="K60" s="4"/>
      <c r="L60" s="4">
        <f t="shared" ref="L60:L61" si="54">+D60-H60</f>
        <v>-2971.4300000000003</v>
      </c>
      <c r="M60" s="4"/>
      <c r="N60" s="12">
        <f t="shared" ref="N60:N61" si="55">IF(H60=0,0,L60/H60)</f>
        <v>-0.92956243997509846</v>
      </c>
      <c r="O60" s="10"/>
      <c r="P60" s="4">
        <f>SUM(OSRRefP25x_0)</f>
        <v>975.16</v>
      </c>
      <c r="Q60" s="4"/>
      <c r="R60" s="12">
        <f t="shared" ref="R60:R61" si="56">IF(P$12=0,0,P60/P$12)</f>
        <v>3.6169952337679195E-3</v>
      </c>
      <c r="S60" s="4"/>
      <c r="T60" s="4">
        <f>SUM(OSRRefT25x_0)</f>
        <v>10247.49</v>
      </c>
      <c r="U60" s="4"/>
      <c r="V60" s="12">
        <f t="shared" ref="V60:V61" si="57">IF(T$12=0,0,T60/T$12)</f>
        <v>8.3220910213097715E-2</v>
      </c>
      <c r="W60" s="4"/>
      <c r="X60" s="4">
        <f t="shared" ref="X60:X61" si="58">+P60-T60</f>
        <v>-9272.33</v>
      </c>
      <c r="Y60" s="4"/>
      <c r="Z60" s="12">
        <f t="shared" ref="Z60:Z61" si="59">IF(T60=0,0,X60/T60)</f>
        <v>-0.90483913621774703</v>
      </c>
    </row>
    <row r="61" spans="1:26" s="24" customFormat="1" hidden="1" outlineLevel="1" x14ac:dyDescent="0.25">
      <c r="A61" s="44"/>
      <c r="B61" s="11" t="str">
        <f>CONCATENATE("          ", "9150", " - ", "MISC. INCOME")</f>
        <v xml:space="preserve">          9150 - MISC. INCOME</v>
      </c>
      <c r="C61" s="11"/>
      <c r="D61" s="2">
        <f>--225.16</f>
        <v>225.16</v>
      </c>
      <c r="E61" s="2"/>
      <c r="F61" s="19">
        <f t="shared" si="52"/>
        <v>1.485586851672242E-3</v>
      </c>
      <c r="G61" s="2"/>
      <c r="H61" s="2">
        <f>--3196.59</f>
        <v>3196.59</v>
      </c>
      <c r="I61" s="2"/>
      <c r="J61" s="19">
        <f t="shared" si="53"/>
        <v>0.11828707815275312</v>
      </c>
      <c r="K61" s="2"/>
      <c r="L61" s="2">
        <f t="shared" si="54"/>
        <v>-2971.4300000000003</v>
      </c>
      <c r="M61" s="2"/>
      <c r="N61" s="19">
        <f t="shared" si="55"/>
        <v>-0.92956243997509846</v>
      </c>
      <c r="O61" s="11"/>
      <c r="P61" s="2">
        <f>--975.16</f>
        <v>975.16</v>
      </c>
      <c r="Q61" s="2"/>
      <c r="R61" s="19">
        <f t="shared" si="56"/>
        <v>3.6169952337679195E-3</v>
      </c>
      <c r="S61" s="2"/>
      <c r="T61" s="2">
        <f>--10247.49</f>
        <v>10247.49</v>
      </c>
      <c r="U61" s="2"/>
      <c r="V61" s="19">
        <f t="shared" si="57"/>
        <v>8.3220910213097715E-2</v>
      </c>
      <c r="W61" s="2"/>
      <c r="X61" s="2">
        <f t="shared" si="58"/>
        <v>-9272.33</v>
      </c>
      <c r="Y61" s="2"/>
      <c r="Z61" s="19">
        <f t="shared" si="59"/>
        <v>-0.90483913621774703</v>
      </c>
    </row>
    <row r="62" spans="1:26" x14ac:dyDescent="0.25">
      <c r="A62" s="9"/>
      <c r="B62" s="10"/>
      <c r="C62" s="10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O62" s="10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3" customFormat="1" x14ac:dyDescent="0.25">
      <c r="A63" s="10"/>
      <c r="B63" s="25" t="s">
        <v>3</v>
      </c>
      <c r="C63" s="25"/>
      <c r="D63" s="20">
        <f>+D17-D19+D60</f>
        <v>7039.1700000000092</v>
      </c>
      <c r="E63" s="13"/>
      <c r="F63" s="21">
        <f>IF(D$12=0,0,D63/D$12)</f>
        <v>4.6443855030581405E-2</v>
      </c>
      <c r="G63" s="13"/>
      <c r="H63" s="20">
        <f>+H17-H19+H60</f>
        <v>1859.4800000000032</v>
      </c>
      <c r="I63" s="13"/>
      <c r="J63" s="21">
        <f>IF(H$12=0,0,H63/H$12)</f>
        <v>6.8808466548253525E-2</v>
      </c>
      <c r="K63" s="15"/>
      <c r="L63" s="20">
        <f>+D63-H63</f>
        <v>5179.690000000006</v>
      </c>
      <c r="M63" s="15"/>
      <c r="N63" s="21">
        <f>IF(H63=0,0,L63/H63)</f>
        <v>2.7855583281347456</v>
      </c>
      <c r="O63" s="26"/>
      <c r="P63" s="20">
        <f>+P17-P19+P60</f>
        <v>21868.179999999989</v>
      </c>
      <c r="Q63" s="13"/>
      <c r="R63" s="21">
        <f>IF(P$12=0,0,P63/P$12)</f>
        <v>8.1111922998460678E-2</v>
      </c>
      <c r="S63" s="13"/>
      <c r="T63" s="20">
        <f>+T17-T19+T60</f>
        <v>10323.769999999984</v>
      </c>
      <c r="U63" s="13"/>
      <c r="V63" s="21">
        <f>IF(T$12=0,0,T63/T$12)</f>
        <v>8.3840387863825236E-2</v>
      </c>
      <c r="W63" s="15"/>
      <c r="X63" s="20">
        <f>+P63-T63</f>
        <v>11544.410000000005</v>
      </c>
      <c r="Y63" s="15"/>
      <c r="Z63" s="21">
        <f>IF(T63=0,0,X63/T63)</f>
        <v>1.118235877010048</v>
      </c>
    </row>
    <row r="64" spans="1:26" x14ac:dyDescent="0.25">
      <c r="A64" s="9"/>
      <c r="B64" s="10"/>
      <c r="C64" s="9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x14ac:dyDescent="0.25">
      <c r="A65" s="51"/>
      <c r="B65" s="10" t="s">
        <v>13</v>
      </c>
      <c r="C65" s="10"/>
      <c r="D65" s="4">
        <v>36534.380000000005</v>
      </c>
      <c r="E65" s="4"/>
      <c r="F65" s="12">
        <f>IF(D$12=0,0,D65/D$12)</f>
        <v>0.24105078416236156</v>
      </c>
      <c r="G65" s="4"/>
      <c r="H65" s="4">
        <v>2071.48</v>
      </c>
      <c r="I65" s="4"/>
      <c r="J65" s="12">
        <f>IF(H$12=0,0,H65/H$12)</f>
        <v>7.6653345174659562E-2</v>
      </c>
      <c r="K65" s="4"/>
      <c r="L65" s="4">
        <f>+D65-H65</f>
        <v>34462.9</v>
      </c>
      <c r="M65" s="4"/>
      <c r="N65" s="12">
        <f>IF(H65=0,0,L65/H65)</f>
        <v>16.636849016162358</v>
      </c>
      <c r="O65" s="10"/>
      <c r="P65" s="4">
        <v>58402.25</v>
      </c>
      <c r="Q65" s="4"/>
      <c r="R65" s="12">
        <f>IF(P$12=0,0,P65/P$12)</f>
        <v>0.21662153891804678</v>
      </c>
      <c r="S65" s="4"/>
      <c r="T65" s="4">
        <v>12395.18</v>
      </c>
      <c r="U65" s="4"/>
      <c r="V65" s="12">
        <f>IF(T$12=0,0,T65/T$12)</f>
        <v>0.10066251949064449</v>
      </c>
      <c r="W65" s="4"/>
      <c r="X65" s="4">
        <f>+P65-T65</f>
        <v>46007.07</v>
      </c>
      <c r="Y65" s="4"/>
      <c r="Z65" s="12">
        <f>IF(T65=0,0,X65/T65)</f>
        <v>3.7116903506040249</v>
      </c>
    </row>
    <row r="66" spans="1:26" x14ac:dyDescent="0.25">
      <c r="A66" s="9"/>
      <c r="B66" s="10"/>
      <c r="C66" s="10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O66" s="10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ht="15.75" thickBot="1" x14ac:dyDescent="0.3">
      <c r="A67" s="10"/>
      <c r="B67" s="25" t="s">
        <v>4</v>
      </c>
      <c r="C67" s="25"/>
      <c r="D67" s="30">
        <f>+D63-D65</f>
        <v>-29495.209999999995</v>
      </c>
      <c r="E67" s="13"/>
      <c r="F67" s="33">
        <f>IF(D$12=0,0,D67/D$12)</f>
        <v>-0.19460692913178015</v>
      </c>
      <c r="G67" s="13"/>
      <c r="H67" s="30">
        <f>+H63-H65</f>
        <v>-211.99999999999682</v>
      </c>
      <c r="I67" s="13"/>
      <c r="J67" s="33">
        <f>IF(H$12=0,0,H67/H$12)</f>
        <v>-7.8448786264060395E-3</v>
      </c>
      <c r="K67" s="15"/>
      <c r="L67" s="30">
        <f>D67-H67</f>
        <v>-29283.21</v>
      </c>
      <c r="M67" s="15"/>
      <c r="N67" s="33">
        <f>IF(H67=0,0,L67/H67)</f>
        <v>138.12834905660586</v>
      </c>
      <c r="O67" s="26"/>
      <c r="P67" s="30">
        <f>+P63-P65</f>
        <v>-36534.070000000007</v>
      </c>
      <c r="Q67" s="13"/>
      <c r="R67" s="33">
        <f>IF(P$12=0,0,P67/P$12)</f>
        <v>-0.13550961591958607</v>
      </c>
      <c r="S67" s="13"/>
      <c r="T67" s="30">
        <f>+T63-T65</f>
        <v>-2071.4100000000162</v>
      </c>
      <c r="U67" s="13"/>
      <c r="V67" s="33">
        <f>IF(T$12=0,0,T67/T$12)</f>
        <v>-1.682213162681926E-2</v>
      </c>
      <c r="W67" s="15"/>
      <c r="X67" s="30">
        <f>P67-T67</f>
        <v>-34462.659999999989</v>
      </c>
      <c r="Y67" s="15"/>
      <c r="Z67" s="33">
        <f>IF(T67=0,0,X67/T67)</f>
        <v>16.637295368854897</v>
      </c>
    </row>
    <row r="68" spans="1:26" ht="15.75" thickTop="1" x14ac:dyDescent="0.25">
      <c r="A68" s="9"/>
      <c r="B68" s="9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x14ac:dyDescent="0.25">
      <c r="A69" s="9"/>
      <c r="B69" s="9"/>
      <c r="C69" s="9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ht="15.75" thickBot="1" x14ac:dyDescent="0.3">
      <c r="A70" s="10"/>
      <c r="B70" s="25" t="s">
        <v>5</v>
      </c>
      <c r="C70" s="25"/>
      <c r="D70" s="34">
        <f>SUM(D67:D69)</f>
        <v>-29495.209999999995</v>
      </c>
      <c r="E70" s="13"/>
      <c r="F70" s="35">
        <f>IF(D$12=0,0,D70/D$12)</f>
        <v>-0.19460692913178015</v>
      </c>
      <c r="G70" s="13"/>
      <c r="H70" s="34">
        <f>SUM(H67:H69)</f>
        <v>-211.99999999999682</v>
      </c>
      <c r="I70" s="13"/>
      <c r="J70" s="35">
        <f>IF(H$12=0,0,H70/H$12)</f>
        <v>-7.8448786264060395E-3</v>
      </c>
      <c r="K70" s="15"/>
      <c r="L70" s="34">
        <f>+D70-H70</f>
        <v>-29283.21</v>
      </c>
      <c r="M70" s="15"/>
      <c r="N70" s="35">
        <f>IF(H70=0,0,L70/H70)</f>
        <v>138.12834905660586</v>
      </c>
      <c r="O70" s="26"/>
      <c r="P70" s="34">
        <f>SUM(P67:P69)</f>
        <v>-36534.070000000007</v>
      </c>
      <c r="Q70" s="13"/>
      <c r="R70" s="35">
        <f>IF(P$12=0,0,P70/P$12)</f>
        <v>-0.13550961591958607</v>
      </c>
      <c r="S70" s="13"/>
      <c r="T70" s="34">
        <f>SUM(T67:T69)</f>
        <v>-2071.4100000000162</v>
      </c>
      <c r="U70" s="13"/>
      <c r="V70" s="35">
        <f>IF(T$12=0,0,T70/T$12)</f>
        <v>-1.682213162681926E-2</v>
      </c>
      <c r="W70" s="15"/>
      <c r="X70" s="34">
        <f>+P70-T70</f>
        <v>-34462.659999999989</v>
      </c>
      <c r="Y70" s="15"/>
      <c r="Z70" s="35">
        <f>IF(T70=0,0,X70/T70)</f>
        <v>16.637295368854897</v>
      </c>
    </row>
    <row r="71" spans="1:26" ht="15.75" thickTop="1" x14ac:dyDescent="0.25">
      <c r="A71" s="9"/>
      <c r="C71" s="9"/>
      <c r="D71" s="18"/>
      <c r="E71" s="18"/>
      <c r="G71" s="18"/>
      <c r="H71" s="18"/>
      <c r="I71" s="18"/>
      <c r="J71" s="43"/>
      <c r="K71" s="18"/>
      <c r="L71" s="18"/>
      <c r="M71" s="18"/>
      <c r="P71" s="18"/>
      <c r="Q71" s="18"/>
      <c r="R71" s="43"/>
      <c r="S71" s="18"/>
      <c r="T71" s="18"/>
      <c r="U71" s="18"/>
      <c r="V71" s="43"/>
      <c r="W71" s="18"/>
      <c r="X71" s="18"/>
    </row>
    <row r="72" spans="1:26" x14ac:dyDescent="0.25">
      <c r="A72" s="9"/>
      <c r="B72" s="56">
        <v>44151.57307395833</v>
      </c>
      <c r="D72" s="18"/>
      <c r="E72" s="18"/>
      <c r="G72" s="18"/>
      <c r="H72" s="18"/>
      <c r="I72" s="18"/>
      <c r="J72" s="43"/>
      <c r="K72" s="18"/>
      <c r="L72" s="18"/>
      <c r="M72" s="18"/>
      <c r="P72" s="18"/>
      <c r="Q72" s="18"/>
      <c r="R72" s="43"/>
      <c r="S72" s="18"/>
      <c r="T72" s="18"/>
      <c r="U72" s="18"/>
      <c r="V72" s="43"/>
      <c r="W72" s="18"/>
      <c r="X72" s="18"/>
    </row>
    <row r="73" spans="1:26" x14ac:dyDescent="0.25">
      <c r="A73" s="9"/>
      <c r="B73" s="62" t="s">
        <v>313</v>
      </c>
      <c r="D73" s="18"/>
      <c r="E73" s="18"/>
      <c r="G73" s="18"/>
      <c r="H73" s="18"/>
      <c r="I73" s="18"/>
      <c r="J73" s="43"/>
      <c r="K73" s="18"/>
      <c r="L73" s="18"/>
      <c r="M73" s="18"/>
      <c r="P73" s="18"/>
      <c r="Q73" s="18"/>
      <c r="R73" s="43"/>
      <c r="S73" s="18"/>
      <c r="T73" s="18"/>
      <c r="U73" s="18"/>
      <c r="V73" s="43"/>
      <c r="W73" s="18"/>
      <c r="X73" s="18"/>
    </row>
    <row r="74" spans="1:26" x14ac:dyDescent="0.25">
      <c r="A74" s="9"/>
      <c r="B74" s="54"/>
      <c r="D74" s="18"/>
      <c r="E74" s="18"/>
      <c r="G74" s="18"/>
      <c r="H74" s="18"/>
      <c r="I74" s="18"/>
      <c r="J74" s="43"/>
      <c r="K74" s="18"/>
      <c r="L74" s="18"/>
      <c r="M74" s="18"/>
      <c r="P74" s="18"/>
      <c r="Q74" s="18"/>
      <c r="R74" s="43"/>
      <c r="S74" s="18"/>
      <c r="T74" s="18"/>
      <c r="U74" s="18"/>
      <c r="V74" s="43"/>
      <c r="W74" s="18"/>
      <c r="X74" s="18"/>
    </row>
    <row r="75" spans="1:26" x14ac:dyDescent="0.25">
      <c r="D75" s="18"/>
      <c r="E75" s="18"/>
      <c r="G75" s="18"/>
      <c r="H75" s="18"/>
      <c r="I75" s="18"/>
      <c r="J75" s="43"/>
      <c r="K75" s="18"/>
      <c r="L75" s="18"/>
      <c r="M75" s="18"/>
      <c r="P75" s="18"/>
      <c r="Q75" s="18"/>
      <c r="R75" s="43"/>
      <c r="S75" s="18"/>
      <c r="T75" s="18"/>
      <c r="U75" s="18"/>
      <c r="V75" s="43"/>
      <c r="W75" s="18"/>
      <c r="X75" s="18"/>
    </row>
  </sheetData>
  <pageMargins left="0.25" right="0.25" top="0.75" bottom="0.75" header="0.3" footer="0.3"/>
  <pageSetup scale="55" fitToWidth="2" orientation="landscape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e">
        <f ca="1">CONCATENATE("Department ",_xll.OneStop.ReportPlayer.OSRFunctions.OSRGet("d_dim0","Code"), " - ", _xll.OneStop.ReportPlayer.OSRFunctions.OSRGet("d_dim0","Description"))</f>
        <v>#NAME?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61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50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50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2"/>
      <c r="F10" s="31" t="s">
        <v>14</v>
      </c>
      <c r="G10" s="32"/>
      <c r="H10" s="49" t="s">
        <v>306</v>
      </c>
      <c r="I10" s="32"/>
      <c r="J10" s="31" t="s">
        <v>14</v>
      </c>
      <c r="K10" s="10"/>
      <c r="L10" s="42" t="s">
        <v>11</v>
      </c>
      <c r="M10" s="10"/>
      <c r="N10" s="31" t="s">
        <v>15</v>
      </c>
      <c r="O10" s="10"/>
      <c r="P10" s="59" t="s">
        <v>10</v>
      </c>
      <c r="Q10" s="32"/>
      <c r="R10" s="31" t="s">
        <v>14</v>
      </c>
      <c r="S10" s="32"/>
      <c r="T10" s="49" t="s">
        <v>306</v>
      </c>
      <c r="U10" s="32"/>
      <c r="V10" s="31" t="s">
        <v>14</v>
      </c>
      <c r="W10" s="10"/>
      <c r="X10" s="42" t="s">
        <v>11</v>
      </c>
      <c r="Y10" s="10"/>
      <c r="Z10" s="31" t="s">
        <v>15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6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2" t="e">
        <f ca="1">SUM(_xll.OneStop.ReportPlayer.OSRFunctions.OSRRef(D22))</f>
        <v>#NAME?</v>
      </c>
      <c r="E20" s="22"/>
      <c r="F20" s="36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6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6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6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7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6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0" t="e">
        <f ca="1">+D27-D29</f>
        <v>#NAME?</v>
      </c>
      <c r="E31" s="13"/>
      <c r="F31" s="33" t="e">
        <f ca="1">IF(D$12=0,0,D31/D$12)</f>
        <v>#NAME?</v>
      </c>
      <c r="G31" s="13"/>
      <c r="H31" s="30" t="e">
        <f ca="1">+H27-H29</f>
        <v>#NAME?</v>
      </c>
      <c r="I31" s="13"/>
      <c r="J31" s="33" t="e">
        <f ca="1">IF(H$12=0,0,H31/H$12)</f>
        <v>#NAME?</v>
      </c>
      <c r="K31" s="15"/>
      <c r="L31" s="30" t="e">
        <f ca="1">D31-H31</f>
        <v>#NAME?</v>
      </c>
      <c r="M31" s="15"/>
      <c r="N31" s="33" t="e">
        <f ca="1">IF(H31=0,0,L31/H31)</f>
        <v>#NAME?</v>
      </c>
      <c r="O31" s="26"/>
      <c r="P31" s="30" t="e">
        <f ca="1">+P27-P29</f>
        <v>#NAME?</v>
      </c>
      <c r="Q31" s="13"/>
      <c r="R31" s="33" t="e">
        <f ca="1">IF(P$12=0,0,P31/P$12)</f>
        <v>#NAME?</v>
      </c>
      <c r="S31" s="13"/>
      <c r="T31" s="30" t="e">
        <f ca="1">+T27-T29</f>
        <v>#NAME?</v>
      </c>
      <c r="U31" s="13"/>
      <c r="V31" s="33" t="e">
        <f ca="1">IF(T$12=0,0,T31/T$12)</f>
        <v>#NAME?</v>
      </c>
      <c r="W31" s="15"/>
      <c r="X31" s="30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4" t="e">
        <f ca="1">SUM(D31:D35)</f>
        <v>#NAME?</v>
      </c>
      <c r="E36" s="13"/>
      <c r="F36" s="35" t="e">
        <f ca="1">IF(D$12=0,0,D36/D$12)</f>
        <v>#NAME?</v>
      </c>
      <c r="G36" s="13"/>
      <c r="H36" s="34" t="e">
        <f ca="1">SUM(H31:H35)</f>
        <v>#NAME?</v>
      </c>
      <c r="I36" s="13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6"/>
      <c r="P36" s="34" t="e">
        <f ca="1">SUM(P31:P35)</f>
        <v>#NAME?</v>
      </c>
      <c r="Q36" s="13"/>
      <c r="R36" s="35" t="e">
        <f ca="1">IF(P$12=0,0,P36/P$12)</f>
        <v>#NAME?</v>
      </c>
      <c r="S36" s="13"/>
      <c r="T36" s="34" t="e">
        <f ca="1">SUM(T31:T35)</f>
        <v>#NAME?</v>
      </c>
      <c r="U36" s="13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e">
        <f ca="1">CONCATENATE("Department ",_xll.OneStop.ReportPlayer.OSRFunctions.OSRGet("d_dim0","Code"), " - ", _xll.OneStop.ReportPlayer.OSRFunctions.OSRGet("d_dim0","Description"))</f>
        <v>#NAME?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61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50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50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2"/>
      <c r="F10" s="31" t="s">
        <v>14</v>
      </c>
      <c r="G10" s="32"/>
      <c r="H10" s="49" t="s">
        <v>306</v>
      </c>
      <c r="I10" s="32"/>
      <c r="J10" s="31" t="s">
        <v>14</v>
      </c>
      <c r="K10" s="10"/>
      <c r="L10" s="42" t="s">
        <v>11</v>
      </c>
      <c r="M10" s="10"/>
      <c r="N10" s="31" t="s">
        <v>15</v>
      </c>
      <c r="O10" s="10"/>
      <c r="P10" s="59" t="s">
        <v>10</v>
      </c>
      <c r="Q10" s="32"/>
      <c r="R10" s="31" t="s">
        <v>14</v>
      </c>
      <c r="S10" s="32"/>
      <c r="T10" s="49" t="s">
        <v>306</v>
      </c>
      <c r="U10" s="32"/>
      <c r="V10" s="31" t="s">
        <v>14</v>
      </c>
      <c r="W10" s="10"/>
      <c r="X10" s="42" t="s">
        <v>11</v>
      </c>
      <c r="Y10" s="10"/>
      <c r="Z10" s="31" t="s">
        <v>15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6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2" t="e">
        <f ca="1">SUM(_xll.OneStop.ReportPlayer.OSRFunctions.OSRRef(D22))</f>
        <v>#NAME?</v>
      </c>
      <c r="E20" s="22"/>
      <c r="F20" s="36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6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6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6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7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6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0" t="e">
        <f ca="1">+D27-D29</f>
        <v>#NAME?</v>
      </c>
      <c r="E31" s="13"/>
      <c r="F31" s="33" t="e">
        <f ca="1">IF(D$12=0,0,D31/D$12)</f>
        <v>#NAME?</v>
      </c>
      <c r="G31" s="13"/>
      <c r="H31" s="30" t="e">
        <f ca="1">+H27-H29</f>
        <v>#NAME?</v>
      </c>
      <c r="I31" s="13"/>
      <c r="J31" s="33" t="e">
        <f ca="1">IF(H$12=0,0,H31/H$12)</f>
        <v>#NAME?</v>
      </c>
      <c r="K31" s="15"/>
      <c r="L31" s="30" t="e">
        <f ca="1">D31-H31</f>
        <v>#NAME?</v>
      </c>
      <c r="M31" s="15"/>
      <c r="N31" s="33" t="e">
        <f ca="1">IF(H31=0,0,L31/H31)</f>
        <v>#NAME?</v>
      </c>
      <c r="O31" s="26"/>
      <c r="P31" s="30" t="e">
        <f ca="1">+P27-P29</f>
        <v>#NAME?</v>
      </c>
      <c r="Q31" s="13"/>
      <c r="R31" s="33" t="e">
        <f ca="1">IF(P$12=0,0,P31/P$12)</f>
        <v>#NAME?</v>
      </c>
      <c r="S31" s="13"/>
      <c r="T31" s="30" t="e">
        <f ca="1">+T27-T29</f>
        <v>#NAME?</v>
      </c>
      <c r="U31" s="13"/>
      <c r="V31" s="33" t="e">
        <f ca="1">IF(T$12=0,0,T31/T$12)</f>
        <v>#NAME?</v>
      </c>
      <c r="W31" s="15"/>
      <c r="X31" s="30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4" t="e">
        <f ca="1">SUM(D31:D35)</f>
        <v>#NAME?</v>
      </c>
      <c r="E36" s="13"/>
      <c r="F36" s="35" t="e">
        <f ca="1">IF(D$12=0,0,D36/D$12)</f>
        <v>#NAME?</v>
      </c>
      <c r="G36" s="13"/>
      <c r="H36" s="34" t="e">
        <f ca="1">SUM(H31:H35)</f>
        <v>#NAME?</v>
      </c>
      <c r="I36" s="13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6"/>
      <c r="P36" s="34" t="e">
        <f ca="1">SUM(P31:P35)</f>
        <v>#NAME?</v>
      </c>
      <c r="Q36" s="13"/>
      <c r="R36" s="35" t="e">
        <f ca="1">IF(P$12=0,0,P36/P$12)</f>
        <v>#NAME?</v>
      </c>
      <c r="S36" s="13"/>
      <c r="T36" s="34" t="e">
        <f ca="1">SUM(T31:T35)</f>
        <v>#NAME?</v>
      </c>
      <c r="U36" s="13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100</vt:i4>
      </vt:variant>
      <vt:variant>
        <vt:lpstr>Named Ranges</vt:lpstr>
      </vt:variant>
      <vt:variant>
        <vt:i4>4236</vt:i4>
      </vt:variant>
    </vt:vector>
  </HeadingPairs>
  <TitlesOfParts>
    <vt:vector size="4336" baseType="lpstr">
      <vt:lpstr>Interface</vt:lpstr>
      <vt:lpstr>DataSetting</vt:lpstr>
      <vt:lpstr>Summary</vt:lpstr>
      <vt:lpstr>OSR_Summary_18VAVWG</vt:lpstr>
      <vt:lpstr>OSR_Current ...69b7dd8c_1IEQKFK</vt:lpstr>
      <vt:lpstr>Div 1</vt:lpstr>
      <vt:lpstr>OSR_Div 1_7H47HR</vt:lpstr>
      <vt:lpstr>OSR_Div 3 (2)...4cb81c06_PBSMLS</vt:lpstr>
      <vt:lpstr>OSR_Div 2_1PQ800A</vt:lpstr>
      <vt:lpstr>OSR_Div 1 (2)...789fe994_2NV3KA</vt:lpstr>
      <vt:lpstr>OSR_Div 3_18723PH</vt:lpstr>
      <vt:lpstr>OSR_300 (2)_7...54cb56fc_UFX0O2</vt:lpstr>
      <vt:lpstr>OSR_300_IYZXI6</vt:lpstr>
      <vt:lpstr>OSR_Div 3 (2)...b7db256a_40ITCB</vt:lpstr>
      <vt:lpstr>OSR_300 &amp; 317_1C00ID4</vt:lpstr>
      <vt:lpstr>OSR_300 (2)_c...79cd3046_1TJM0H</vt:lpstr>
      <vt:lpstr>OSR_310_1CMTOSB</vt:lpstr>
      <vt:lpstr>OSR_300 (2)_e...5d0da5bf_6BPGAO</vt:lpstr>
      <vt:lpstr>OSR_330_10VFP5Y</vt:lpstr>
      <vt:lpstr>OSR_310 (2)_...6e684f08_1FLCNJG</vt:lpstr>
      <vt:lpstr>OSR_308_UAWDAG</vt:lpstr>
      <vt:lpstr>OSR_330 (2)_...8a14c83e_1NSH7XI</vt:lpstr>
      <vt:lpstr>OSR_331_10VKQAJ</vt:lpstr>
      <vt:lpstr>OSR_308 (2)_...47685838_1YQW4QY</vt:lpstr>
      <vt:lpstr>OSR_332_6NDVBW</vt:lpstr>
      <vt:lpstr>OSR_331 (2)_...7280af70_1P5SPLT</vt:lpstr>
      <vt:lpstr>OSR_Div 4_1740TMT</vt:lpstr>
      <vt:lpstr>OSR_310 (2)_...8cac1423_1JTU33X</vt:lpstr>
      <vt:lpstr>OSR_310 &amp; 491_1NGRCS9</vt:lpstr>
      <vt:lpstr>OSR_491 (2)_0...c51cc666_QIOT67</vt:lpstr>
      <vt:lpstr>OSR_491_9Z9JH5</vt:lpstr>
      <vt:lpstr>OSR_Div 4 (2...2533da42_174R6QX</vt:lpstr>
      <vt:lpstr>OSR_492_943FP1</vt:lpstr>
      <vt:lpstr>OSR_Div 4 (2)...1a9a4454_CQFRNE</vt:lpstr>
      <vt:lpstr>OSR_Div 5_16NAZO2</vt:lpstr>
      <vt:lpstr>OSR_492 (2)_...cd97c6a6_13HYXEV</vt:lpstr>
      <vt:lpstr>OSR_Div 6_P37YY7</vt:lpstr>
      <vt:lpstr>OSR_Div 5 (2...09141158_1BG9FGV</vt:lpstr>
      <vt:lpstr>100</vt:lpstr>
      <vt:lpstr>Div 2</vt:lpstr>
      <vt:lpstr>200</vt:lpstr>
      <vt:lpstr>201</vt:lpstr>
      <vt:lpstr>202</vt:lpstr>
      <vt:lpstr>203</vt:lpstr>
      <vt:lpstr>204</vt:lpstr>
      <vt:lpstr>205</vt:lpstr>
      <vt:lpstr>206</vt:lpstr>
      <vt:lpstr>Div 3</vt:lpstr>
      <vt:lpstr>300</vt:lpstr>
      <vt:lpstr>300 &amp; 317</vt:lpstr>
      <vt:lpstr>301</vt:lpstr>
      <vt:lpstr>306</vt:lpstr>
      <vt:lpstr>330</vt:lpstr>
      <vt:lpstr>307</vt:lpstr>
      <vt:lpstr>314</vt:lpstr>
      <vt:lpstr>308</vt:lpstr>
      <vt:lpstr>311</vt:lpstr>
      <vt:lpstr>324</vt:lpstr>
      <vt:lpstr>331</vt:lpstr>
      <vt:lpstr>315</vt:lpstr>
      <vt:lpstr>326</vt:lpstr>
      <vt:lpstr>332</vt:lpstr>
      <vt:lpstr>316</vt:lpstr>
      <vt:lpstr>320</vt:lpstr>
      <vt:lpstr>Div 6</vt:lpstr>
      <vt:lpstr>317</vt:lpstr>
      <vt:lpstr>310</vt:lpstr>
      <vt:lpstr>309</vt:lpstr>
      <vt:lpstr>313</vt:lpstr>
      <vt:lpstr>321</vt:lpstr>
      <vt:lpstr>322</vt:lpstr>
      <vt:lpstr>325</vt:lpstr>
      <vt:lpstr>327</vt:lpstr>
      <vt:lpstr>Div 4</vt:lpstr>
      <vt:lpstr>310 &amp; 491</vt:lpstr>
      <vt:lpstr>491</vt:lpstr>
      <vt:lpstr>405</vt:lpstr>
      <vt:lpstr>406</vt:lpstr>
      <vt:lpstr>411</vt:lpstr>
      <vt:lpstr>412</vt:lpstr>
      <vt:lpstr>413</vt:lpstr>
      <vt:lpstr>414</vt:lpstr>
      <vt:lpstr>415</vt:lpstr>
      <vt:lpstr>418</vt:lpstr>
      <vt:lpstr>420</vt:lpstr>
      <vt:lpstr>423</vt:lpstr>
      <vt:lpstr>424</vt:lpstr>
      <vt:lpstr>425</vt:lpstr>
      <vt:lpstr>455</vt:lpstr>
      <vt:lpstr>492</vt:lpstr>
      <vt:lpstr>430</vt:lpstr>
      <vt:lpstr>433</vt:lpstr>
      <vt:lpstr>435</vt:lpstr>
      <vt:lpstr>444</vt:lpstr>
      <vt:lpstr>450</vt:lpstr>
      <vt:lpstr>Div 5</vt:lpstr>
      <vt:lpstr>501</vt:lpstr>
      <vt:lpstr>Dept</vt:lpstr>
      <vt:lpstr>OSR_Dept_Y0WUKY</vt:lpstr>
      <vt:lpstr>OSR_Summary (...56e5d78f_5JEYZH</vt:lpstr>
      <vt:lpstr>'300'!OSRRefD13x_0</vt:lpstr>
      <vt:lpstr>'300 &amp; 317'!OSRRefD13x_0</vt:lpstr>
      <vt:lpstr>'307'!OSRRefD13x_0</vt:lpstr>
      <vt:lpstr>'308'!OSRRefD13x_0</vt:lpstr>
      <vt:lpstr>'309'!OSRRefD13x_0</vt:lpstr>
      <vt:lpstr>'310'!OSRRefD13x_0</vt:lpstr>
      <vt:lpstr>'310 &amp; 491'!OSRRefD13x_0</vt:lpstr>
      <vt:lpstr>'311'!OSRRefD13x_0</vt:lpstr>
      <vt:lpstr>'313'!OSRRefD13x_0</vt:lpstr>
      <vt:lpstr>'314'!OSRRefD13x_0</vt:lpstr>
      <vt:lpstr>'315'!OSRRefD13x_0</vt:lpstr>
      <vt:lpstr>'316'!OSRRefD13x_0</vt:lpstr>
      <vt:lpstr>'317'!OSRRefD13x_0</vt:lpstr>
      <vt:lpstr>'320'!OSRRefD13x_0</vt:lpstr>
      <vt:lpstr>'321'!OSRRefD13x_0</vt:lpstr>
      <vt:lpstr>'322'!OSRRefD13x_0</vt:lpstr>
      <vt:lpstr>'324'!OSRRefD13x_0</vt:lpstr>
      <vt:lpstr>'325'!OSRRefD13x_0</vt:lpstr>
      <vt:lpstr>'326'!OSRRefD13x_0</vt:lpstr>
      <vt:lpstr>'327'!OSRRefD13x_0</vt:lpstr>
      <vt:lpstr>'330'!OSRRefD13x_0</vt:lpstr>
      <vt:lpstr>'331'!OSRRefD13x_0</vt:lpstr>
      <vt:lpstr>'332'!OSRRefD13x_0</vt:lpstr>
      <vt:lpstr>'405'!OSRRefD13x_0</vt:lpstr>
      <vt:lpstr>'406'!OSRRefD13x_0</vt:lpstr>
      <vt:lpstr>'412'!OSRRefD13x_0</vt:lpstr>
      <vt:lpstr>'413'!OSRRefD13x_0</vt:lpstr>
      <vt:lpstr>'414'!OSRRefD13x_0</vt:lpstr>
      <vt:lpstr>'415'!OSRRefD13x_0</vt:lpstr>
      <vt:lpstr>'418'!OSRRefD13x_0</vt:lpstr>
      <vt:lpstr>'420'!OSRRefD13x_0</vt:lpstr>
      <vt:lpstr>'424'!OSRRefD13x_0</vt:lpstr>
      <vt:lpstr>'425'!OSRRefD13x_0</vt:lpstr>
      <vt:lpstr>'433'!OSRRefD13x_0</vt:lpstr>
      <vt:lpstr>'435'!OSRRefD13x_0</vt:lpstr>
      <vt:lpstr>'444'!OSRRefD13x_0</vt:lpstr>
      <vt:lpstr>'450'!OSRRefD13x_0</vt:lpstr>
      <vt:lpstr>'491'!OSRRefD13x_0</vt:lpstr>
      <vt:lpstr>'492'!OSRRefD13x_0</vt:lpstr>
      <vt:lpstr>'501'!OSRRefD13x_0</vt:lpstr>
      <vt:lpstr>'Div 3'!OSRRefD13x_0</vt:lpstr>
      <vt:lpstr>'Div 4'!OSRRefD13x_0</vt:lpstr>
      <vt:lpstr>'Div 5'!OSRRefD13x_0</vt:lpstr>
      <vt:lpstr>'Div 6'!OSRRefD13x_0</vt:lpstr>
      <vt:lpstr>Summary!OSRRefD13x_0</vt:lpstr>
      <vt:lpstr>'300'!OSRRefD16x_0</vt:lpstr>
      <vt:lpstr>'300 &amp; 317'!OSRRefD16x_0</vt:lpstr>
      <vt:lpstr>'307'!OSRRefD16x_0</vt:lpstr>
      <vt:lpstr>'308'!OSRRefD16x_0</vt:lpstr>
      <vt:lpstr>'309'!OSRRefD16x_0</vt:lpstr>
      <vt:lpstr>'310'!OSRRefD16x_0</vt:lpstr>
      <vt:lpstr>'310 &amp; 491'!OSRRefD16x_0</vt:lpstr>
      <vt:lpstr>'311'!OSRRefD16x_0</vt:lpstr>
      <vt:lpstr>'313'!OSRRefD16x_0</vt:lpstr>
      <vt:lpstr>'314'!OSRRefD16x_0</vt:lpstr>
      <vt:lpstr>'315'!OSRRefD16x_0</vt:lpstr>
      <vt:lpstr>'317'!OSRRefD16x_0</vt:lpstr>
      <vt:lpstr>'320'!OSRRefD16x_0</vt:lpstr>
      <vt:lpstr>'321'!OSRRefD16x_0</vt:lpstr>
      <vt:lpstr>'322'!OSRRefD16x_0</vt:lpstr>
      <vt:lpstr>'324'!OSRRefD16x_0</vt:lpstr>
      <vt:lpstr>'325'!OSRRefD16x_0</vt:lpstr>
      <vt:lpstr>'326'!OSRRefD16x_0</vt:lpstr>
      <vt:lpstr>'327'!OSRRefD16x_0</vt:lpstr>
      <vt:lpstr>'330'!OSRRefD16x_0</vt:lpstr>
      <vt:lpstr>'331'!OSRRefD16x_0</vt:lpstr>
      <vt:lpstr>'332'!OSRRefD16x_0</vt:lpstr>
      <vt:lpstr>'405'!OSRRefD16x_0</vt:lpstr>
      <vt:lpstr>'406'!OSRRefD16x_0</vt:lpstr>
      <vt:lpstr>'412'!OSRRefD16x_0</vt:lpstr>
      <vt:lpstr>'413'!OSRRefD16x_0</vt:lpstr>
      <vt:lpstr>'414'!OSRRefD16x_0</vt:lpstr>
      <vt:lpstr>'415'!OSRRefD16x_0</vt:lpstr>
      <vt:lpstr>'418'!OSRRefD16x_0</vt:lpstr>
      <vt:lpstr>'423'!OSRRefD16x_0</vt:lpstr>
      <vt:lpstr>'424'!OSRRefD16x_0</vt:lpstr>
      <vt:lpstr>'425'!OSRRefD16x_0</vt:lpstr>
      <vt:lpstr>'433'!OSRRefD16x_0</vt:lpstr>
      <vt:lpstr>'435'!OSRRefD16x_0</vt:lpstr>
      <vt:lpstr>'444'!OSRRefD16x_0</vt:lpstr>
      <vt:lpstr>'450'!OSRRefD16x_0</vt:lpstr>
      <vt:lpstr>'491'!OSRRefD16x_0</vt:lpstr>
      <vt:lpstr>'492'!OSRRefD16x_0</vt:lpstr>
      <vt:lpstr>'Div 3'!OSRRefD16x_0</vt:lpstr>
      <vt:lpstr>'Div 4'!OSRRefD16x_0</vt:lpstr>
      <vt:lpstr>'Div 6'!OSRRefD16x_0</vt:lpstr>
      <vt:lpstr>Summary!OSRRefD16x_0</vt:lpstr>
      <vt:lpstr>'200'!OSRRefD22_0x_0</vt:lpstr>
      <vt:lpstr>'201'!OSRRefD22_0x_0</vt:lpstr>
      <vt:lpstr>'202'!OSRRefD22_0x_0</vt:lpstr>
      <vt:lpstr>'203'!OSRRefD22_0x_0</vt:lpstr>
      <vt:lpstr>'204'!OSRRefD22_0x_0</vt:lpstr>
      <vt:lpstr>'205'!OSRRefD22_0x_0</vt:lpstr>
      <vt:lpstr>'206'!OSRRefD22_0x_0</vt:lpstr>
      <vt:lpstr>'300'!OSRRefD22_0x_0</vt:lpstr>
      <vt:lpstr>'300 &amp; 317'!OSRRefD22_0x_0</vt:lpstr>
      <vt:lpstr>'301'!OSRRefD22_0x_0</vt:lpstr>
      <vt:lpstr>'306'!OSRRefD22_0x_0</vt:lpstr>
      <vt:lpstr>'307'!OSRRefD22_0x_0</vt:lpstr>
      <vt:lpstr>'308'!OSRRefD22_0x_0</vt:lpstr>
      <vt:lpstr>'309'!OSRRefD22_0x_0</vt:lpstr>
      <vt:lpstr>'310'!OSRRefD22_0x_0</vt:lpstr>
      <vt:lpstr>'310 &amp; 491'!OSRRefD22_0x_0</vt:lpstr>
      <vt:lpstr>'311'!OSRRefD22_0x_0</vt:lpstr>
      <vt:lpstr>'313'!OSRRefD22_0x_0</vt:lpstr>
      <vt:lpstr>'314'!OSRRefD22_0x_0</vt:lpstr>
      <vt:lpstr>'315'!OSRRefD22_0x_0</vt:lpstr>
      <vt:lpstr>'316'!OSRRefD22_0x_0</vt:lpstr>
      <vt:lpstr>'317'!OSRRefD22_0x_0</vt:lpstr>
      <vt:lpstr>'320'!OSRRefD22_0x_0</vt:lpstr>
      <vt:lpstr>'321'!OSRRefD22_0x_0</vt:lpstr>
      <vt:lpstr>'322'!OSRRefD22_0x_0</vt:lpstr>
      <vt:lpstr>'325'!OSRRefD22_0x_0</vt:lpstr>
      <vt:lpstr>'326'!OSRRefD22_0x_0</vt:lpstr>
      <vt:lpstr>'327'!OSRRefD22_0x_0</vt:lpstr>
      <vt:lpstr>'330'!OSRRefD22_0x_0</vt:lpstr>
      <vt:lpstr>'331'!OSRRefD22_0x_0</vt:lpstr>
      <vt:lpstr>'332'!OSRRefD22_0x_0</vt:lpstr>
      <vt:lpstr>'405'!OSRRefD22_0x_0</vt:lpstr>
      <vt:lpstr>'406'!OSRRefD22_0x_0</vt:lpstr>
      <vt:lpstr>'411'!OSRRefD22_0x_0</vt:lpstr>
      <vt:lpstr>'412'!OSRRefD22_0x_0</vt:lpstr>
      <vt:lpstr>'413'!OSRRefD22_0x_0</vt:lpstr>
      <vt:lpstr>'414'!OSRRefD22_0x_0</vt:lpstr>
      <vt:lpstr>'415'!OSRRefD22_0x_0</vt:lpstr>
      <vt:lpstr>'418'!OSRRefD22_0x_0</vt:lpstr>
      <vt:lpstr>'420'!OSRRefD22_0x_0</vt:lpstr>
      <vt:lpstr>'423'!OSRRefD22_0x_0</vt:lpstr>
      <vt:lpstr>'424'!OSRRefD22_0x_0</vt:lpstr>
      <vt:lpstr>'425'!OSRRefD22_0x_0</vt:lpstr>
      <vt:lpstr>'430'!OSRRefD22_0x_0</vt:lpstr>
      <vt:lpstr>'433'!OSRRefD22_0x_0</vt:lpstr>
      <vt:lpstr>'435'!OSRRefD22_0x_0</vt:lpstr>
      <vt:lpstr>'444'!OSRRefD22_0x_0</vt:lpstr>
      <vt:lpstr>'450'!OSRRefD22_0x_0</vt:lpstr>
      <vt:lpstr>'455'!OSRRefD22_0x_0</vt:lpstr>
      <vt:lpstr>'491'!OSRRefD22_0x_0</vt:lpstr>
      <vt:lpstr>'492'!OSRRefD22_0x_0</vt:lpstr>
      <vt:lpstr>'501'!OSRRefD22_0x_0</vt:lpstr>
      <vt:lpstr>'Div 2'!OSRRefD22_0x_0</vt:lpstr>
      <vt:lpstr>'Div 3'!OSRRefD22_0x_0</vt:lpstr>
      <vt:lpstr>'Div 4'!OSRRefD22_0x_0</vt:lpstr>
      <vt:lpstr>'Div 5'!OSRRefD22_0x_0</vt:lpstr>
      <vt:lpstr>'Div 6'!OSRRefD22_0x_0</vt:lpstr>
      <vt:lpstr>Summary!OSRRefD22_0x_0</vt:lpstr>
      <vt:lpstr>'201'!OSRRefD22_10x_0</vt:lpstr>
      <vt:lpstr>'202'!OSRRefD22_10x_0</vt:lpstr>
      <vt:lpstr>'203'!OSRRefD22_10x_0</vt:lpstr>
      <vt:lpstr>'300'!OSRRefD22_10x_0</vt:lpstr>
      <vt:lpstr>'300 &amp; 317'!OSRRefD22_10x_0</vt:lpstr>
      <vt:lpstr>'301'!OSRRefD22_10x_0</vt:lpstr>
      <vt:lpstr>'307'!OSRRefD22_10x_0</vt:lpstr>
      <vt:lpstr>'308'!OSRRefD22_10x_0</vt:lpstr>
      <vt:lpstr>'309'!OSRRefD22_10x_0</vt:lpstr>
      <vt:lpstr>'310'!OSRRefD22_10x_0</vt:lpstr>
      <vt:lpstr>'310 &amp; 491'!OSRRefD22_10x_0</vt:lpstr>
      <vt:lpstr>'311'!OSRRefD22_10x_0</vt:lpstr>
      <vt:lpstr>'313'!OSRRefD22_10x_0</vt:lpstr>
      <vt:lpstr>'315'!OSRRefD22_10x_0</vt:lpstr>
      <vt:lpstr>'316'!OSRRefD22_10x_0</vt:lpstr>
      <vt:lpstr>'317'!OSRRefD22_10x_0</vt:lpstr>
      <vt:lpstr>'321'!OSRRefD22_10x_0</vt:lpstr>
      <vt:lpstr>'322'!OSRRefD22_10x_0</vt:lpstr>
      <vt:lpstr>'325'!OSRRefD22_10x_0</vt:lpstr>
      <vt:lpstr>'326'!OSRRefD22_10x_0</vt:lpstr>
      <vt:lpstr>'330'!OSRRefD22_10x_0</vt:lpstr>
      <vt:lpstr>'331'!OSRRefD22_10x_0</vt:lpstr>
      <vt:lpstr>'332'!OSRRefD22_10x_0</vt:lpstr>
      <vt:lpstr>'405'!OSRRefD22_10x_0</vt:lpstr>
      <vt:lpstr>'406'!OSRRefD22_10x_0</vt:lpstr>
      <vt:lpstr>'411'!OSRRefD22_10x_0</vt:lpstr>
      <vt:lpstr>'412'!OSRRefD22_10x_0</vt:lpstr>
      <vt:lpstr>'413'!OSRRefD22_10x_0</vt:lpstr>
      <vt:lpstr>'414'!OSRRefD22_10x_0</vt:lpstr>
      <vt:lpstr>'415'!OSRRefD22_10x_0</vt:lpstr>
      <vt:lpstr>'418'!OSRRefD22_10x_0</vt:lpstr>
      <vt:lpstr>'424'!OSRRefD22_10x_0</vt:lpstr>
      <vt:lpstr>'425'!OSRRefD22_10x_0</vt:lpstr>
      <vt:lpstr>'433'!OSRRefD22_10x_0</vt:lpstr>
      <vt:lpstr>'444'!OSRRefD22_10x_0</vt:lpstr>
      <vt:lpstr>'450'!OSRRefD22_10x_0</vt:lpstr>
      <vt:lpstr>'491'!OSRRefD22_10x_0</vt:lpstr>
      <vt:lpstr>'492'!OSRRefD22_10x_0</vt:lpstr>
      <vt:lpstr>'501'!OSRRefD22_10x_0</vt:lpstr>
      <vt:lpstr>'Div 2'!OSRRefD22_10x_0</vt:lpstr>
      <vt:lpstr>'Div 3'!OSRRefD22_10x_0</vt:lpstr>
      <vt:lpstr>'Div 4'!OSRRefD22_10x_0</vt:lpstr>
      <vt:lpstr>'Div 5'!OSRRefD22_10x_0</vt:lpstr>
      <vt:lpstr>'Div 6'!OSRRefD22_10x_0</vt:lpstr>
      <vt:lpstr>Summary!OSRRefD22_10x_0</vt:lpstr>
      <vt:lpstr>'201'!OSRRefD22_11x_0</vt:lpstr>
      <vt:lpstr>'202'!OSRRefD22_11x_0</vt:lpstr>
      <vt:lpstr>'203'!OSRRefD22_11x_0</vt:lpstr>
      <vt:lpstr>'300'!OSRRefD22_11x_0</vt:lpstr>
      <vt:lpstr>'300 &amp; 317'!OSRRefD22_11x_0</vt:lpstr>
      <vt:lpstr>'301'!OSRRefD22_11x_0</vt:lpstr>
      <vt:lpstr>'307'!OSRRefD22_11x_0</vt:lpstr>
      <vt:lpstr>'308'!OSRRefD22_11x_0</vt:lpstr>
      <vt:lpstr>'310'!OSRRefD22_11x_0</vt:lpstr>
      <vt:lpstr>'310 &amp; 491'!OSRRefD22_11x_0</vt:lpstr>
      <vt:lpstr>'311'!OSRRefD22_11x_0</vt:lpstr>
      <vt:lpstr>'313'!OSRRefD22_11x_0</vt:lpstr>
      <vt:lpstr>'315'!OSRRefD22_11x_0</vt:lpstr>
      <vt:lpstr>'316'!OSRRefD22_11x_0</vt:lpstr>
      <vt:lpstr>'317'!OSRRefD22_11x_0</vt:lpstr>
      <vt:lpstr>'321'!OSRRefD22_11x_0</vt:lpstr>
      <vt:lpstr>'322'!OSRRefD22_11x_0</vt:lpstr>
      <vt:lpstr>'325'!OSRRefD22_11x_0</vt:lpstr>
      <vt:lpstr>'326'!OSRRefD22_11x_0</vt:lpstr>
      <vt:lpstr>'330'!OSRRefD22_11x_0</vt:lpstr>
      <vt:lpstr>'331'!OSRRefD22_11x_0</vt:lpstr>
      <vt:lpstr>'332'!OSRRefD22_11x_0</vt:lpstr>
      <vt:lpstr>'405'!OSRRefD22_11x_0</vt:lpstr>
      <vt:lpstr>'406'!OSRRefD22_11x_0</vt:lpstr>
      <vt:lpstr>'411'!OSRRefD22_11x_0</vt:lpstr>
      <vt:lpstr>'412'!OSRRefD22_11x_0</vt:lpstr>
      <vt:lpstr>'414'!OSRRefD22_11x_0</vt:lpstr>
      <vt:lpstr>'415'!OSRRefD22_11x_0</vt:lpstr>
      <vt:lpstr>'418'!OSRRefD22_11x_0</vt:lpstr>
      <vt:lpstr>'424'!OSRRefD22_11x_0</vt:lpstr>
      <vt:lpstr>'425'!OSRRefD22_11x_0</vt:lpstr>
      <vt:lpstr>'433'!OSRRefD22_11x_0</vt:lpstr>
      <vt:lpstr>'444'!OSRRefD22_11x_0</vt:lpstr>
      <vt:lpstr>'450'!OSRRefD22_11x_0</vt:lpstr>
      <vt:lpstr>'491'!OSRRefD22_11x_0</vt:lpstr>
      <vt:lpstr>'492'!OSRRefD22_11x_0</vt:lpstr>
      <vt:lpstr>'Div 2'!OSRRefD22_11x_0</vt:lpstr>
      <vt:lpstr>'Div 3'!OSRRefD22_11x_0</vt:lpstr>
      <vt:lpstr>'Div 4'!OSRRefD22_11x_0</vt:lpstr>
      <vt:lpstr>'Div 6'!OSRRefD22_11x_0</vt:lpstr>
      <vt:lpstr>Summary!OSRRefD22_11x_0</vt:lpstr>
      <vt:lpstr>'201'!OSRRefD22_12x_0</vt:lpstr>
      <vt:lpstr>'202'!OSRRefD22_12x_0</vt:lpstr>
      <vt:lpstr>'203'!OSRRefD22_12x_0</vt:lpstr>
      <vt:lpstr>'300'!OSRRefD22_12x_0</vt:lpstr>
      <vt:lpstr>'300 &amp; 317'!OSRRefD22_12x_0</vt:lpstr>
      <vt:lpstr>'301'!OSRRefD22_12x_0</vt:lpstr>
      <vt:lpstr>'308'!OSRRefD22_12x_0</vt:lpstr>
      <vt:lpstr>'310'!OSRRefD22_12x_0</vt:lpstr>
      <vt:lpstr>'310 &amp; 491'!OSRRefD22_12x_0</vt:lpstr>
      <vt:lpstr>'311'!OSRRefD22_12x_0</vt:lpstr>
      <vt:lpstr>'313'!OSRRefD22_12x_0</vt:lpstr>
      <vt:lpstr>'315'!OSRRefD22_12x_0</vt:lpstr>
      <vt:lpstr>'322'!OSRRefD22_12x_0</vt:lpstr>
      <vt:lpstr>'325'!OSRRefD22_12x_0</vt:lpstr>
      <vt:lpstr>'326'!OSRRefD22_12x_0</vt:lpstr>
      <vt:lpstr>'330'!OSRRefD22_12x_0</vt:lpstr>
      <vt:lpstr>'331'!OSRRefD22_12x_0</vt:lpstr>
      <vt:lpstr>'332'!OSRRefD22_12x_0</vt:lpstr>
      <vt:lpstr>'405'!OSRRefD22_12x_0</vt:lpstr>
      <vt:lpstr>'406'!OSRRefD22_12x_0</vt:lpstr>
      <vt:lpstr>'411'!OSRRefD22_12x_0</vt:lpstr>
      <vt:lpstr>'412'!OSRRefD22_12x_0</vt:lpstr>
      <vt:lpstr>'414'!OSRRefD22_12x_0</vt:lpstr>
      <vt:lpstr>'415'!OSRRefD22_12x_0</vt:lpstr>
      <vt:lpstr>'418'!OSRRefD22_12x_0</vt:lpstr>
      <vt:lpstr>'424'!OSRRefD22_12x_0</vt:lpstr>
      <vt:lpstr>'425'!OSRRefD22_12x_0</vt:lpstr>
      <vt:lpstr>'433'!OSRRefD22_12x_0</vt:lpstr>
      <vt:lpstr>'444'!OSRRefD22_12x_0</vt:lpstr>
      <vt:lpstr>'450'!OSRRefD22_12x_0</vt:lpstr>
      <vt:lpstr>'491'!OSRRefD22_12x_0</vt:lpstr>
      <vt:lpstr>'492'!OSRRefD22_12x_0</vt:lpstr>
      <vt:lpstr>'Div 2'!OSRRefD22_12x_0</vt:lpstr>
      <vt:lpstr>'Div 3'!OSRRefD22_12x_0</vt:lpstr>
      <vt:lpstr>'Div 4'!OSRRefD22_12x_0</vt:lpstr>
      <vt:lpstr>Summary!OSRRefD22_12x_0</vt:lpstr>
      <vt:lpstr>'201'!OSRRefD22_13x_0</vt:lpstr>
      <vt:lpstr>'202'!OSRRefD22_13x_0</vt:lpstr>
      <vt:lpstr>'203'!OSRRefD22_13x_0</vt:lpstr>
      <vt:lpstr>'300'!OSRRefD22_13x_0</vt:lpstr>
      <vt:lpstr>'300 &amp; 317'!OSRRefD22_13x_0</vt:lpstr>
      <vt:lpstr>'301'!OSRRefD22_13x_0</vt:lpstr>
      <vt:lpstr>'308'!OSRRefD22_13x_0</vt:lpstr>
      <vt:lpstr>'310'!OSRRefD22_13x_0</vt:lpstr>
      <vt:lpstr>'310 &amp; 491'!OSRRefD22_13x_0</vt:lpstr>
      <vt:lpstr>'311'!OSRRefD22_13x_0</vt:lpstr>
      <vt:lpstr>'325'!OSRRefD22_13x_0</vt:lpstr>
      <vt:lpstr>'326'!OSRRefD22_13x_0</vt:lpstr>
      <vt:lpstr>'331'!OSRRefD22_13x_0</vt:lpstr>
      <vt:lpstr>'332'!OSRRefD22_13x_0</vt:lpstr>
      <vt:lpstr>'405'!OSRRefD22_13x_0</vt:lpstr>
      <vt:lpstr>'411'!OSRRefD22_13x_0</vt:lpstr>
      <vt:lpstr>'414'!OSRRefD22_13x_0</vt:lpstr>
      <vt:lpstr>'415'!OSRRefD22_13x_0</vt:lpstr>
      <vt:lpstr>'418'!OSRRefD22_13x_0</vt:lpstr>
      <vt:lpstr>'425'!OSRRefD22_13x_0</vt:lpstr>
      <vt:lpstr>'433'!OSRRefD22_13x_0</vt:lpstr>
      <vt:lpstr>'444'!OSRRefD22_13x_0</vt:lpstr>
      <vt:lpstr>'450'!OSRRefD22_13x_0</vt:lpstr>
      <vt:lpstr>'491'!OSRRefD22_13x_0</vt:lpstr>
      <vt:lpstr>'492'!OSRRefD22_13x_0</vt:lpstr>
      <vt:lpstr>'Div 2'!OSRRefD22_13x_0</vt:lpstr>
      <vt:lpstr>'Div 3'!OSRRefD22_13x_0</vt:lpstr>
      <vt:lpstr>'Div 4'!OSRRefD22_13x_0</vt:lpstr>
      <vt:lpstr>Summary!OSRRefD22_13x_0</vt:lpstr>
      <vt:lpstr>'201'!OSRRefD22_14x_0</vt:lpstr>
      <vt:lpstr>'203'!OSRRefD22_14x_0</vt:lpstr>
      <vt:lpstr>'300'!OSRRefD22_14x_0</vt:lpstr>
      <vt:lpstr>'300 &amp; 317'!OSRRefD22_14x_0</vt:lpstr>
      <vt:lpstr>'301'!OSRRefD22_14x_0</vt:lpstr>
      <vt:lpstr>'308'!OSRRefD22_14x_0</vt:lpstr>
      <vt:lpstr>'310'!OSRRefD22_14x_0</vt:lpstr>
      <vt:lpstr>'310 &amp; 491'!OSRRefD22_14x_0</vt:lpstr>
      <vt:lpstr>'311'!OSRRefD22_14x_0</vt:lpstr>
      <vt:lpstr>'325'!OSRRefD22_14x_0</vt:lpstr>
      <vt:lpstr>'326'!OSRRefD22_14x_0</vt:lpstr>
      <vt:lpstr>'331'!OSRRefD22_14x_0</vt:lpstr>
      <vt:lpstr>'332'!OSRRefD22_14x_0</vt:lpstr>
      <vt:lpstr>'405'!OSRRefD22_14x_0</vt:lpstr>
      <vt:lpstr>'411'!OSRRefD22_14x_0</vt:lpstr>
      <vt:lpstr>'414'!OSRRefD22_14x_0</vt:lpstr>
      <vt:lpstr>'415'!OSRRefD22_14x_0</vt:lpstr>
      <vt:lpstr>'418'!OSRRefD22_14x_0</vt:lpstr>
      <vt:lpstr>'425'!OSRRefD22_14x_0</vt:lpstr>
      <vt:lpstr>'433'!OSRRefD22_14x_0</vt:lpstr>
      <vt:lpstr>'444'!OSRRefD22_14x_0</vt:lpstr>
      <vt:lpstr>'450'!OSRRefD22_14x_0</vt:lpstr>
      <vt:lpstr>'491'!OSRRefD22_14x_0</vt:lpstr>
      <vt:lpstr>'492'!OSRRefD22_14x_0</vt:lpstr>
      <vt:lpstr>'Div 2'!OSRRefD22_14x_0</vt:lpstr>
      <vt:lpstr>'Div 3'!OSRRefD22_14x_0</vt:lpstr>
      <vt:lpstr>'Div 4'!OSRRefD22_14x_0</vt:lpstr>
      <vt:lpstr>Summary!OSRRefD22_14x_0</vt:lpstr>
      <vt:lpstr>'201'!OSRRefD22_15x_0</vt:lpstr>
      <vt:lpstr>'203'!OSRRefD22_15x_0</vt:lpstr>
      <vt:lpstr>'300'!OSRRefD22_15x_0</vt:lpstr>
      <vt:lpstr>'300 &amp; 317'!OSRRefD22_15x_0</vt:lpstr>
      <vt:lpstr>'301'!OSRRefD22_15x_0</vt:lpstr>
      <vt:lpstr>'310'!OSRRefD22_15x_0</vt:lpstr>
      <vt:lpstr>'310 &amp; 491'!OSRRefD22_15x_0</vt:lpstr>
      <vt:lpstr>'325'!OSRRefD22_15x_0</vt:lpstr>
      <vt:lpstr>'326'!OSRRefD22_15x_0</vt:lpstr>
      <vt:lpstr>'331'!OSRRefD22_15x_0</vt:lpstr>
      <vt:lpstr>'405'!OSRRefD22_15x_0</vt:lpstr>
      <vt:lpstr>'411'!OSRRefD22_15x_0</vt:lpstr>
      <vt:lpstr>'415'!OSRRefD22_15x_0</vt:lpstr>
      <vt:lpstr>'433'!OSRRefD22_15x_0</vt:lpstr>
      <vt:lpstr>'444'!OSRRefD22_15x_0</vt:lpstr>
      <vt:lpstr>'450'!OSRRefD22_15x_0</vt:lpstr>
      <vt:lpstr>'491'!OSRRefD22_15x_0</vt:lpstr>
      <vt:lpstr>'492'!OSRRefD22_15x_0</vt:lpstr>
      <vt:lpstr>'Div 2'!OSRRefD22_15x_0</vt:lpstr>
      <vt:lpstr>'Div 3'!OSRRefD22_15x_0</vt:lpstr>
      <vt:lpstr>'Div 4'!OSRRefD22_15x_0</vt:lpstr>
      <vt:lpstr>Summary!OSRRefD22_15x_0</vt:lpstr>
      <vt:lpstr>'300'!OSRRefD22_16x_0</vt:lpstr>
      <vt:lpstr>'300 &amp; 317'!OSRRefD22_16x_0</vt:lpstr>
      <vt:lpstr>'301'!OSRRefD22_16x_0</vt:lpstr>
      <vt:lpstr>'310'!OSRRefD22_16x_0</vt:lpstr>
      <vt:lpstr>'310 &amp; 491'!OSRRefD22_16x_0</vt:lpstr>
      <vt:lpstr>'325'!OSRRefD22_16x_0</vt:lpstr>
      <vt:lpstr>'326'!OSRRefD22_16x_0</vt:lpstr>
      <vt:lpstr>'331'!OSRRefD22_16x_0</vt:lpstr>
      <vt:lpstr>'405'!OSRRefD22_16x_0</vt:lpstr>
      <vt:lpstr>'411'!OSRRefD22_16x_0</vt:lpstr>
      <vt:lpstr>'415'!OSRRefD22_16x_0</vt:lpstr>
      <vt:lpstr>'433'!OSRRefD22_16x_0</vt:lpstr>
      <vt:lpstr>'444'!OSRRefD22_16x_0</vt:lpstr>
      <vt:lpstr>'450'!OSRRefD22_16x_0</vt:lpstr>
      <vt:lpstr>'491'!OSRRefD22_16x_0</vt:lpstr>
      <vt:lpstr>'492'!OSRRefD22_16x_0</vt:lpstr>
      <vt:lpstr>'Div 2'!OSRRefD22_16x_0</vt:lpstr>
      <vt:lpstr>'Div 3'!OSRRefD22_16x_0</vt:lpstr>
      <vt:lpstr>'Div 4'!OSRRefD22_16x_0</vt:lpstr>
      <vt:lpstr>Summary!OSRRefD22_16x_0</vt:lpstr>
      <vt:lpstr>'300'!OSRRefD22_17x_0</vt:lpstr>
      <vt:lpstr>'300 &amp; 317'!OSRRefD22_17x_0</vt:lpstr>
      <vt:lpstr>'301'!OSRRefD22_17x_0</vt:lpstr>
      <vt:lpstr>'310'!OSRRefD22_17x_0</vt:lpstr>
      <vt:lpstr>'310 &amp; 491'!OSRRefD22_17x_0</vt:lpstr>
      <vt:lpstr>'326'!OSRRefD22_17x_0</vt:lpstr>
      <vt:lpstr>'331'!OSRRefD22_17x_0</vt:lpstr>
      <vt:lpstr>'411'!OSRRefD22_17x_0</vt:lpstr>
      <vt:lpstr>'415'!OSRRefD22_17x_0</vt:lpstr>
      <vt:lpstr>'450'!OSRRefD22_17x_0</vt:lpstr>
      <vt:lpstr>'491'!OSRRefD22_17x_0</vt:lpstr>
      <vt:lpstr>'492'!OSRRefD22_17x_0</vt:lpstr>
      <vt:lpstr>'Div 2'!OSRRefD22_17x_0</vt:lpstr>
      <vt:lpstr>'Div 3'!OSRRefD22_17x_0</vt:lpstr>
      <vt:lpstr>'Div 4'!OSRRefD22_17x_0</vt:lpstr>
      <vt:lpstr>Summary!OSRRefD22_17x_0</vt:lpstr>
      <vt:lpstr>'300'!OSRRefD22_18x_0</vt:lpstr>
      <vt:lpstr>'300 &amp; 317'!OSRRefD22_18x_0</vt:lpstr>
      <vt:lpstr>'301'!OSRRefD22_18x_0</vt:lpstr>
      <vt:lpstr>'310'!OSRRefD22_18x_0</vt:lpstr>
      <vt:lpstr>'310 &amp; 491'!OSRRefD22_18x_0</vt:lpstr>
      <vt:lpstr>'331'!OSRRefD22_18x_0</vt:lpstr>
      <vt:lpstr>'411'!OSRRefD22_18x_0</vt:lpstr>
      <vt:lpstr>'491'!OSRRefD22_18x_0</vt:lpstr>
      <vt:lpstr>'Div 2'!OSRRefD22_18x_0</vt:lpstr>
      <vt:lpstr>'Div 3'!OSRRefD22_18x_0</vt:lpstr>
      <vt:lpstr>'Div 4'!OSRRefD22_18x_0</vt:lpstr>
      <vt:lpstr>Summary!OSRRefD22_18x_0</vt:lpstr>
      <vt:lpstr>'300'!OSRRefD22_19x_0</vt:lpstr>
      <vt:lpstr>'300 &amp; 317'!OSRRefD22_19x_0</vt:lpstr>
      <vt:lpstr>'301'!OSRRefD22_19x_0</vt:lpstr>
      <vt:lpstr>'310'!OSRRefD22_19x_0</vt:lpstr>
      <vt:lpstr>'310 &amp; 491'!OSRRefD22_19x_0</vt:lpstr>
      <vt:lpstr>'331'!OSRRefD22_19x_0</vt:lpstr>
      <vt:lpstr>'491'!OSRRefD22_19x_0</vt:lpstr>
      <vt:lpstr>'Div 2'!OSRRefD22_19x_0</vt:lpstr>
      <vt:lpstr>'Div 3'!OSRRefD22_19x_0</vt:lpstr>
      <vt:lpstr>'Div 4'!OSRRefD22_19x_0</vt:lpstr>
      <vt:lpstr>Summary!OSRRefD22_19x_0</vt:lpstr>
      <vt:lpstr>'200'!OSRRefD22_1x_0</vt:lpstr>
      <vt:lpstr>'201'!OSRRefD22_1x_0</vt:lpstr>
      <vt:lpstr>'202'!OSRRefD22_1x_0</vt:lpstr>
      <vt:lpstr>'203'!OSRRefD22_1x_0</vt:lpstr>
      <vt:lpstr>'204'!OSRRefD22_1x_0</vt:lpstr>
      <vt:lpstr>'205'!OSRRefD22_1x_0</vt:lpstr>
      <vt:lpstr>'206'!OSRRefD22_1x_0</vt:lpstr>
      <vt:lpstr>'300'!OSRRefD22_1x_0</vt:lpstr>
      <vt:lpstr>'300 &amp; 317'!OSRRefD22_1x_0</vt:lpstr>
      <vt:lpstr>'301'!OSRRefD22_1x_0</vt:lpstr>
      <vt:lpstr>'306'!OSRRefD22_1x_0</vt:lpstr>
      <vt:lpstr>'307'!OSRRefD22_1x_0</vt:lpstr>
      <vt:lpstr>'308'!OSRRefD22_1x_0</vt:lpstr>
      <vt:lpstr>'309'!OSRRefD22_1x_0</vt:lpstr>
      <vt:lpstr>'310'!OSRRefD22_1x_0</vt:lpstr>
      <vt:lpstr>'310 &amp; 491'!OSRRefD22_1x_0</vt:lpstr>
      <vt:lpstr>'311'!OSRRefD22_1x_0</vt:lpstr>
      <vt:lpstr>'313'!OSRRefD22_1x_0</vt:lpstr>
      <vt:lpstr>'314'!OSRRefD22_1x_0</vt:lpstr>
      <vt:lpstr>'315'!OSRRefD22_1x_0</vt:lpstr>
      <vt:lpstr>'316'!OSRRefD22_1x_0</vt:lpstr>
      <vt:lpstr>'317'!OSRRefD22_1x_0</vt:lpstr>
      <vt:lpstr>'320'!OSRRefD22_1x_0</vt:lpstr>
      <vt:lpstr>'321'!OSRRefD22_1x_0</vt:lpstr>
      <vt:lpstr>'322'!OSRRefD22_1x_0</vt:lpstr>
      <vt:lpstr>'325'!OSRRefD22_1x_0</vt:lpstr>
      <vt:lpstr>'326'!OSRRefD22_1x_0</vt:lpstr>
      <vt:lpstr>'327'!OSRRefD22_1x_0</vt:lpstr>
      <vt:lpstr>'330'!OSRRefD22_1x_0</vt:lpstr>
      <vt:lpstr>'331'!OSRRefD22_1x_0</vt:lpstr>
      <vt:lpstr>'332'!OSRRefD22_1x_0</vt:lpstr>
      <vt:lpstr>'405'!OSRRefD22_1x_0</vt:lpstr>
      <vt:lpstr>'406'!OSRRefD22_1x_0</vt:lpstr>
      <vt:lpstr>'411'!OSRRefD22_1x_0</vt:lpstr>
      <vt:lpstr>'412'!OSRRefD22_1x_0</vt:lpstr>
      <vt:lpstr>'413'!OSRRefD22_1x_0</vt:lpstr>
      <vt:lpstr>'414'!OSRRefD22_1x_0</vt:lpstr>
      <vt:lpstr>'415'!OSRRefD22_1x_0</vt:lpstr>
      <vt:lpstr>'418'!OSRRefD22_1x_0</vt:lpstr>
      <vt:lpstr>'420'!OSRRefD22_1x_0</vt:lpstr>
      <vt:lpstr>'423'!OSRRefD22_1x_0</vt:lpstr>
      <vt:lpstr>'424'!OSRRefD22_1x_0</vt:lpstr>
      <vt:lpstr>'425'!OSRRefD22_1x_0</vt:lpstr>
      <vt:lpstr>'430'!OSRRefD22_1x_0</vt:lpstr>
      <vt:lpstr>'433'!OSRRefD22_1x_0</vt:lpstr>
      <vt:lpstr>'435'!OSRRefD22_1x_0</vt:lpstr>
      <vt:lpstr>'444'!OSRRefD22_1x_0</vt:lpstr>
      <vt:lpstr>'450'!OSRRefD22_1x_0</vt:lpstr>
      <vt:lpstr>'455'!OSRRefD22_1x_0</vt:lpstr>
      <vt:lpstr>'491'!OSRRefD22_1x_0</vt:lpstr>
      <vt:lpstr>'492'!OSRRefD22_1x_0</vt:lpstr>
      <vt:lpstr>'501'!OSRRefD22_1x_0</vt:lpstr>
      <vt:lpstr>'Div 2'!OSRRefD22_1x_0</vt:lpstr>
      <vt:lpstr>'Div 3'!OSRRefD22_1x_0</vt:lpstr>
      <vt:lpstr>'Div 4'!OSRRefD22_1x_0</vt:lpstr>
      <vt:lpstr>'Div 5'!OSRRefD22_1x_0</vt:lpstr>
      <vt:lpstr>'Div 6'!OSRRefD22_1x_0</vt:lpstr>
      <vt:lpstr>Summary!OSRRefD22_1x_0</vt:lpstr>
      <vt:lpstr>'300'!OSRRefD22_20x_0</vt:lpstr>
      <vt:lpstr>'300 &amp; 317'!OSRRefD22_20x_0</vt:lpstr>
      <vt:lpstr>'301'!OSRRefD22_20x_0</vt:lpstr>
      <vt:lpstr>'310'!OSRRefD22_20x_0</vt:lpstr>
      <vt:lpstr>'310 &amp; 491'!OSRRefD22_20x_0</vt:lpstr>
      <vt:lpstr>'331'!OSRRefD22_20x_0</vt:lpstr>
      <vt:lpstr>'491'!OSRRefD22_20x_0</vt:lpstr>
      <vt:lpstr>'Div 3'!OSRRefD22_20x_0</vt:lpstr>
      <vt:lpstr>'Div 4'!OSRRefD22_20x_0</vt:lpstr>
      <vt:lpstr>Summary!OSRRefD22_20x_0</vt:lpstr>
      <vt:lpstr>'300'!OSRRefD22_21x_0</vt:lpstr>
      <vt:lpstr>'300 &amp; 317'!OSRRefD22_21x_0</vt:lpstr>
      <vt:lpstr>'301'!OSRRefD22_21x_0</vt:lpstr>
      <vt:lpstr>'310'!OSRRefD22_21x_0</vt:lpstr>
      <vt:lpstr>'310 &amp; 491'!OSRRefD22_21x_0</vt:lpstr>
      <vt:lpstr>'491'!OSRRefD22_21x_0</vt:lpstr>
      <vt:lpstr>'Div 3'!OSRRefD22_21x_0</vt:lpstr>
      <vt:lpstr>'Div 4'!OSRRefD22_21x_0</vt:lpstr>
      <vt:lpstr>Summary!OSRRefD22_21x_0</vt:lpstr>
      <vt:lpstr>'300'!OSRRefD22_22x_0</vt:lpstr>
      <vt:lpstr>'300 &amp; 317'!OSRRefD22_22x_0</vt:lpstr>
      <vt:lpstr>'301'!OSRRefD22_22x_0</vt:lpstr>
      <vt:lpstr>'310 &amp; 491'!OSRRefD22_22x_0</vt:lpstr>
      <vt:lpstr>'491'!OSRRefD22_22x_0</vt:lpstr>
      <vt:lpstr>'Div 3'!OSRRefD22_22x_0</vt:lpstr>
      <vt:lpstr>'Div 4'!OSRRefD22_22x_0</vt:lpstr>
      <vt:lpstr>Summary!OSRRefD22_22x_0</vt:lpstr>
      <vt:lpstr>'300'!OSRRefD22_23x_0</vt:lpstr>
      <vt:lpstr>'300 &amp; 317'!OSRRefD22_23x_0</vt:lpstr>
      <vt:lpstr>'310 &amp; 491'!OSRRefD22_23x_0</vt:lpstr>
      <vt:lpstr>'491'!OSRRefD22_23x_0</vt:lpstr>
      <vt:lpstr>'Div 3'!OSRRefD22_23x_0</vt:lpstr>
      <vt:lpstr>'Div 4'!OSRRefD22_23x_0</vt:lpstr>
      <vt:lpstr>Summary!OSRRefD22_23x_0</vt:lpstr>
      <vt:lpstr>'300'!OSRRefD22_24x_0</vt:lpstr>
      <vt:lpstr>'300 &amp; 317'!OSRRefD22_24x_0</vt:lpstr>
      <vt:lpstr>'310 &amp; 491'!OSRRefD22_24x_0</vt:lpstr>
      <vt:lpstr>'Div 3'!OSRRefD22_24x_0</vt:lpstr>
      <vt:lpstr>'Div 4'!OSRRefD22_24x_0</vt:lpstr>
      <vt:lpstr>Summary!OSRRefD22_24x_0</vt:lpstr>
      <vt:lpstr>'Div 3'!OSRRefD22_25x_0</vt:lpstr>
      <vt:lpstr>Summary!OSRRefD22_25x_0</vt:lpstr>
      <vt:lpstr>Summary!OSRRefD22_26x_0</vt:lpstr>
      <vt:lpstr>'200'!OSRRefD22_2x_0</vt:lpstr>
      <vt:lpstr>'201'!OSRRefD22_2x_0</vt:lpstr>
      <vt:lpstr>'202'!OSRRefD22_2x_0</vt:lpstr>
      <vt:lpstr>'203'!OSRRefD22_2x_0</vt:lpstr>
      <vt:lpstr>'204'!OSRRefD22_2x_0</vt:lpstr>
      <vt:lpstr>'205'!OSRRefD22_2x_0</vt:lpstr>
      <vt:lpstr>'206'!OSRRefD22_2x_0</vt:lpstr>
      <vt:lpstr>'300'!OSRRefD22_2x_0</vt:lpstr>
      <vt:lpstr>'300 &amp; 317'!OSRRefD22_2x_0</vt:lpstr>
      <vt:lpstr>'301'!OSRRefD22_2x_0</vt:lpstr>
      <vt:lpstr>'306'!OSRRefD22_2x_0</vt:lpstr>
      <vt:lpstr>'307'!OSRRefD22_2x_0</vt:lpstr>
      <vt:lpstr>'308'!OSRRefD22_2x_0</vt:lpstr>
      <vt:lpstr>'309'!OSRRefD22_2x_0</vt:lpstr>
      <vt:lpstr>'310'!OSRRefD22_2x_0</vt:lpstr>
      <vt:lpstr>'310 &amp; 491'!OSRRefD22_2x_0</vt:lpstr>
      <vt:lpstr>'311'!OSRRefD22_2x_0</vt:lpstr>
      <vt:lpstr>'313'!OSRRefD22_2x_0</vt:lpstr>
      <vt:lpstr>'314'!OSRRefD22_2x_0</vt:lpstr>
      <vt:lpstr>'315'!OSRRefD22_2x_0</vt:lpstr>
      <vt:lpstr>'316'!OSRRefD22_2x_0</vt:lpstr>
      <vt:lpstr>'317'!OSRRefD22_2x_0</vt:lpstr>
      <vt:lpstr>'320'!OSRRefD22_2x_0</vt:lpstr>
      <vt:lpstr>'321'!OSRRefD22_2x_0</vt:lpstr>
      <vt:lpstr>'322'!OSRRefD22_2x_0</vt:lpstr>
      <vt:lpstr>'325'!OSRRefD22_2x_0</vt:lpstr>
      <vt:lpstr>'326'!OSRRefD22_2x_0</vt:lpstr>
      <vt:lpstr>'327'!OSRRefD22_2x_0</vt:lpstr>
      <vt:lpstr>'330'!OSRRefD22_2x_0</vt:lpstr>
      <vt:lpstr>'331'!OSRRefD22_2x_0</vt:lpstr>
      <vt:lpstr>'332'!OSRRefD22_2x_0</vt:lpstr>
      <vt:lpstr>'405'!OSRRefD22_2x_0</vt:lpstr>
      <vt:lpstr>'406'!OSRRefD22_2x_0</vt:lpstr>
      <vt:lpstr>'411'!OSRRefD22_2x_0</vt:lpstr>
      <vt:lpstr>'412'!OSRRefD22_2x_0</vt:lpstr>
      <vt:lpstr>'413'!OSRRefD22_2x_0</vt:lpstr>
      <vt:lpstr>'414'!OSRRefD22_2x_0</vt:lpstr>
      <vt:lpstr>'415'!OSRRefD22_2x_0</vt:lpstr>
      <vt:lpstr>'418'!OSRRefD22_2x_0</vt:lpstr>
      <vt:lpstr>'420'!OSRRefD22_2x_0</vt:lpstr>
      <vt:lpstr>'423'!OSRRefD22_2x_0</vt:lpstr>
      <vt:lpstr>'424'!OSRRefD22_2x_0</vt:lpstr>
      <vt:lpstr>'425'!OSRRefD22_2x_0</vt:lpstr>
      <vt:lpstr>'430'!OSRRefD22_2x_0</vt:lpstr>
      <vt:lpstr>'433'!OSRRefD22_2x_0</vt:lpstr>
      <vt:lpstr>'435'!OSRRefD22_2x_0</vt:lpstr>
      <vt:lpstr>'444'!OSRRefD22_2x_0</vt:lpstr>
      <vt:lpstr>'450'!OSRRefD22_2x_0</vt:lpstr>
      <vt:lpstr>'491'!OSRRefD22_2x_0</vt:lpstr>
      <vt:lpstr>'492'!OSRRefD22_2x_0</vt:lpstr>
      <vt:lpstr>'501'!OSRRefD22_2x_0</vt:lpstr>
      <vt:lpstr>'Div 2'!OSRRefD22_2x_0</vt:lpstr>
      <vt:lpstr>'Div 3'!OSRRefD22_2x_0</vt:lpstr>
      <vt:lpstr>'Div 4'!OSRRefD22_2x_0</vt:lpstr>
      <vt:lpstr>'Div 5'!OSRRefD22_2x_0</vt:lpstr>
      <vt:lpstr>'Div 6'!OSRRefD22_2x_0</vt:lpstr>
      <vt:lpstr>Summary!OSRRefD22_2x_0</vt:lpstr>
      <vt:lpstr>'200'!OSRRefD22_3x_0</vt:lpstr>
      <vt:lpstr>'201'!OSRRefD22_3x_0</vt:lpstr>
      <vt:lpstr>'202'!OSRRefD22_3x_0</vt:lpstr>
      <vt:lpstr>'203'!OSRRefD22_3x_0</vt:lpstr>
      <vt:lpstr>'204'!OSRRefD22_3x_0</vt:lpstr>
      <vt:lpstr>'205'!OSRRefD22_3x_0</vt:lpstr>
      <vt:lpstr>'206'!OSRRefD22_3x_0</vt:lpstr>
      <vt:lpstr>'300'!OSRRefD22_3x_0</vt:lpstr>
      <vt:lpstr>'300 &amp; 317'!OSRRefD22_3x_0</vt:lpstr>
      <vt:lpstr>'301'!OSRRefD22_3x_0</vt:lpstr>
      <vt:lpstr>'306'!OSRRefD22_3x_0</vt:lpstr>
      <vt:lpstr>'307'!OSRRefD22_3x_0</vt:lpstr>
      <vt:lpstr>'308'!OSRRefD22_3x_0</vt:lpstr>
      <vt:lpstr>'309'!OSRRefD22_3x_0</vt:lpstr>
      <vt:lpstr>'310'!OSRRefD22_3x_0</vt:lpstr>
      <vt:lpstr>'310 &amp; 491'!OSRRefD22_3x_0</vt:lpstr>
      <vt:lpstr>'311'!OSRRefD22_3x_0</vt:lpstr>
      <vt:lpstr>'313'!OSRRefD22_3x_0</vt:lpstr>
      <vt:lpstr>'314'!OSRRefD22_3x_0</vt:lpstr>
      <vt:lpstr>'315'!OSRRefD22_3x_0</vt:lpstr>
      <vt:lpstr>'316'!OSRRefD22_3x_0</vt:lpstr>
      <vt:lpstr>'317'!OSRRefD22_3x_0</vt:lpstr>
      <vt:lpstr>'320'!OSRRefD22_3x_0</vt:lpstr>
      <vt:lpstr>'321'!OSRRefD22_3x_0</vt:lpstr>
      <vt:lpstr>'322'!OSRRefD22_3x_0</vt:lpstr>
      <vt:lpstr>'325'!OSRRefD22_3x_0</vt:lpstr>
      <vt:lpstr>'326'!OSRRefD22_3x_0</vt:lpstr>
      <vt:lpstr>'330'!OSRRefD22_3x_0</vt:lpstr>
      <vt:lpstr>'331'!OSRRefD22_3x_0</vt:lpstr>
      <vt:lpstr>'332'!OSRRefD22_3x_0</vt:lpstr>
      <vt:lpstr>'405'!OSRRefD22_3x_0</vt:lpstr>
      <vt:lpstr>'406'!OSRRefD22_3x_0</vt:lpstr>
      <vt:lpstr>'411'!OSRRefD22_3x_0</vt:lpstr>
      <vt:lpstr>'412'!OSRRefD22_3x_0</vt:lpstr>
      <vt:lpstr>'413'!OSRRefD22_3x_0</vt:lpstr>
      <vt:lpstr>'414'!OSRRefD22_3x_0</vt:lpstr>
      <vt:lpstr>'415'!OSRRefD22_3x_0</vt:lpstr>
      <vt:lpstr>'418'!OSRRefD22_3x_0</vt:lpstr>
      <vt:lpstr>'420'!OSRRefD22_3x_0</vt:lpstr>
      <vt:lpstr>'423'!OSRRefD22_3x_0</vt:lpstr>
      <vt:lpstr>'424'!OSRRefD22_3x_0</vt:lpstr>
      <vt:lpstr>'425'!OSRRefD22_3x_0</vt:lpstr>
      <vt:lpstr>'430'!OSRRefD22_3x_0</vt:lpstr>
      <vt:lpstr>'433'!OSRRefD22_3x_0</vt:lpstr>
      <vt:lpstr>'435'!OSRRefD22_3x_0</vt:lpstr>
      <vt:lpstr>'444'!OSRRefD22_3x_0</vt:lpstr>
      <vt:lpstr>'450'!OSRRefD22_3x_0</vt:lpstr>
      <vt:lpstr>'491'!OSRRefD22_3x_0</vt:lpstr>
      <vt:lpstr>'492'!OSRRefD22_3x_0</vt:lpstr>
      <vt:lpstr>'501'!OSRRefD22_3x_0</vt:lpstr>
      <vt:lpstr>'Div 2'!OSRRefD22_3x_0</vt:lpstr>
      <vt:lpstr>'Div 3'!OSRRefD22_3x_0</vt:lpstr>
      <vt:lpstr>'Div 4'!OSRRefD22_3x_0</vt:lpstr>
      <vt:lpstr>'Div 5'!OSRRefD22_3x_0</vt:lpstr>
      <vt:lpstr>'Div 6'!OSRRefD22_3x_0</vt:lpstr>
      <vt:lpstr>Summary!OSRRefD22_3x_0</vt:lpstr>
      <vt:lpstr>'201'!OSRRefD22_4x_0</vt:lpstr>
      <vt:lpstr>'202'!OSRRefD22_4x_0</vt:lpstr>
      <vt:lpstr>'203'!OSRRefD22_4x_0</vt:lpstr>
      <vt:lpstr>'204'!OSRRefD22_4x_0</vt:lpstr>
      <vt:lpstr>'205'!OSRRefD22_4x_0</vt:lpstr>
      <vt:lpstr>'206'!OSRRefD22_4x_0</vt:lpstr>
      <vt:lpstr>'300'!OSRRefD22_4x_0</vt:lpstr>
      <vt:lpstr>'300 &amp; 317'!OSRRefD22_4x_0</vt:lpstr>
      <vt:lpstr>'301'!OSRRefD22_4x_0</vt:lpstr>
      <vt:lpstr>'306'!OSRRefD22_4x_0</vt:lpstr>
      <vt:lpstr>'307'!OSRRefD22_4x_0</vt:lpstr>
      <vt:lpstr>'308'!OSRRefD22_4x_0</vt:lpstr>
      <vt:lpstr>'309'!OSRRefD22_4x_0</vt:lpstr>
      <vt:lpstr>'310'!OSRRefD22_4x_0</vt:lpstr>
      <vt:lpstr>'310 &amp; 491'!OSRRefD22_4x_0</vt:lpstr>
      <vt:lpstr>'311'!OSRRefD22_4x_0</vt:lpstr>
      <vt:lpstr>'313'!OSRRefD22_4x_0</vt:lpstr>
      <vt:lpstr>'314'!OSRRefD22_4x_0</vt:lpstr>
      <vt:lpstr>'315'!OSRRefD22_4x_0</vt:lpstr>
      <vt:lpstr>'316'!OSRRefD22_4x_0</vt:lpstr>
      <vt:lpstr>'317'!OSRRefD22_4x_0</vt:lpstr>
      <vt:lpstr>'320'!OSRRefD22_4x_0</vt:lpstr>
      <vt:lpstr>'321'!OSRRefD22_4x_0</vt:lpstr>
      <vt:lpstr>'322'!OSRRefD22_4x_0</vt:lpstr>
      <vt:lpstr>'325'!OSRRefD22_4x_0</vt:lpstr>
      <vt:lpstr>'326'!OSRRefD22_4x_0</vt:lpstr>
      <vt:lpstr>'330'!OSRRefD22_4x_0</vt:lpstr>
      <vt:lpstr>'331'!OSRRefD22_4x_0</vt:lpstr>
      <vt:lpstr>'332'!OSRRefD22_4x_0</vt:lpstr>
      <vt:lpstr>'405'!OSRRefD22_4x_0</vt:lpstr>
      <vt:lpstr>'406'!OSRRefD22_4x_0</vt:lpstr>
      <vt:lpstr>'411'!OSRRefD22_4x_0</vt:lpstr>
      <vt:lpstr>'412'!OSRRefD22_4x_0</vt:lpstr>
      <vt:lpstr>'413'!OSRRefD22_4x_0</vt:lpstr>
      <vt:lpstr>'414'!OSRRefD22_4x_0</vt:lpstr>
      <vt:lpstr>'415'!OSRRefD22_4x_0</vt:lpstr>
      <vt:lpstr>'418'!OSRRefD22_4x_0</vt:lpstr>
      <vt:lpstr>'423'!OSRRefD22_4x_0</vt:lpstr>
      <vt:lpstr>'424'!OSRRefD22_4x_0</vt:lpstr>
      <vt:lpstr>'425'!OSRRefD22_4x_0</vt:lpstr>
      <vt:lpstr>'430'!OSRRefD22_4x_0</vt:lpstr>
      <vt:lpstr>'433'!OSRRefD22_4x_0</vt:lpstr>
      <vt:lpstr>'435'!OSRRefD22_4x_0</vt:lpstr>
      <vt:lpstr>'444'!OSRRefD22_4x_0</vt:lpstr>
      <vt:lpstr>'450'!OSRRefD22_4x_0</vt:lpstr>
      <vt:lpstr>'491'!OSRRefD22_4x_0</vt:lpstr>
      <vt:lpstr>'492'!OSRRefD22_4x_0</vt:lpstr>
      <vt:lpstr>'501'!OSRRefD22_4x_0</vt:lpstr>
      <vt:lpstr>'Div 2'!OSRRefD22_4x_0</vt:lpstr>
      <vt:lpstr>'Div 3'!OSRRefD22_4x_0</vt:lpstr>
      <vt:lpstr>'Div 4'!OSRRefD22_4x_0</vt:lpstr>
      <vt:lpstr>'Div 5'!OSRRefD22_4x_0</vt:lpstr>
      <vt:lpstr>'Div 6'!OSRRefD22_4x_0</vt:lpstr>
      <vt:lpstr>Summary!OSRRefD22_4x_0</vt:lpstr>
      <vt:lpstr>'201'!OSRRefD22_5x_0</vt:lpstr>
      <vt:lpstr>'202'!OSRRefD22_5x_0</vt:lpstr>
      <vt:lpstr>'203'!OSRRefD22_5x_0</vt:lpstr>
      <vt:lpstr>'204'!OSRRefD22_5x_0</vt:lpstr>
      <vt:lpstr>'205'!OSRRefD22_5x_0</vt:lpstr>
      <vt:lpstr>'206'!OSRRefD22_5x_0</vt:lpstr>
      <vt:lpstr>'300'!OSRRefD22_5x_0</vt:lpstr>
      <vt:lpstr>'300 &amp; 317'!OSRRefD22_5x_0</vt:lpstr>
      <vt:lpstr>'301'!OSRRefD22_5x_0</vt:lpstr>
      <vt:lpstr>'306'!OSRRefD22_5x_0</vt:lpstr>
      <vt:lpstr>'307'!OSRRefD22_5x_0</vt:lpstr>
      <vt:lpstr>'308'!OSRRefD22_5x_0</vt:lpstr>
      <vt:lpstr>'309'!OSRRefD22_5x_0</vt:lpstr>
      <vt:lpstr>'310'!OSRRefD22_5x_0</vt:lpstr>
      <vt:lpstr>'310 &amp; 491'!OSRRefD22_5x_0</vt:lpstr>
      <vt:lpstr>'311'!OSRRefD22_5x_0</vt:lpstr>
      <vt:lpstr>'313'!OSRRefD22_5x_0</vt:lpstr>
      <vt:lpstr>'314'!OSRRefD22_5x_0</vt:lpstr>
      <vt:lpstr>'315'!OSRRefD22_5x_0</vt:lpstr>
      <vt:lpstr>'316'!OSRRefD22_5x_0</vt:lpstr>
      <vt:lpstr>'317'!OSRRefD22_5x_0</vt:lpstr>
      <vt:lpstr>'320'!OSRRefD22_5x_0</vt:lpstr>
      <vt:lpstr>'321'!OSRRefD22_5x_0</vt:lpstr>
      <vt:lpstr>'322'!OSRRefD22_5x_0</vt:lpstr>
      <vt:lpstr>'325'!OSRRefD22_5x_0</vt:lpstr>
      <vt:lpstr>'326'!OSRRefD22_5x_0</vt:lpstr>
      <vt:lpstr>'330'!OSRRefD22_5x_0</vt:lpstr>
      <vt:lpstr>'331'!OSRRefD22_5x_0</vt:lpstr>
      <vt:lpstr>'332'!OSRRefD22_5x_0</vt:lpstr>
      <vt:lpstr>'405'!OSRRefD22_5x_0</vt:lpstr>
      <vt:lpstr>'406'!OSRRefD22_5x_0</vt:lpstr>
      <vt:lpstr>'411'!OSRRefD22_5x_0</vt:lpstr>
      <vt:lpstr>'412'!OSRRefD22_5x_0</vt:lpstr>
      <vt:lpstr>'413'!OSRRefD22_5x_0</vt:lpstr>
      <vt:lpstr>'414'!OSRRefD22_5x_0</vt:lpstr>
      <vt:lpstr>'415'!OSRRefD22_5x_0</vt:lpstr>
      <vt:lpstr>'418'!OSRRefD22_5x_0</vt:lpstr>
      <vt:lpstr>'423'!OSRRefD22_5x_0</vt:lpstr>
      <vt:lpstr>'424'!OSRRefD22_5x_0</vt:lpstr>
      <vt:lpstr>'425'!OSRRefD22_5x_0</vt:lpstr>
      <vt:lpstr>'430'!OSRRefD22_5x_0</vt:lpstr>
      <vt:lpstr>'433'!OSRRefD22_5x_0</vt:lpstr>
      <vt:lpstr>'435'!OSRRefD22_5x_0</vt:lpstr>
      <vt:lpstr>'444'!OSRRefD22_5x_0</vt:lpstr>
      <vt:lpstr>'450'!OSRRefD22_5x_0</vt:lpstr>
      <vt:lpstr>'491'!OSRRefD22_5x_0</vt:lpstr>
      <vt:lpstr>'492'!OSRRefD22_5x_0</vt:lpstr>
      <vt:lpstr>'501'!OSRRefD22_5x_0</vt:lpstr>
      <vt:lpstr>'Div 2'!OSRRefD22_5x_0</vt:lpstr>
      <vt:lpstr>'Div 3'!OSRRefD22_5x_0</vt:lpstr>
      <vt:lpstr>'Div 4'!OSRRefD22_5x_0</vt:lpstr>
      <vt:lpstr>'Div 5'!OSRRefD22_5x_0</vt:lpstr>
      <vt:lpstr>'Div 6'!OSRRefD22_5x_0</vt:lpstr>
      <vt:lpstr>Summary!OSRRefD22_5x_0</vt:lpstr>
      <vt:lpstr>'201'!OSRRefD22_6x_0</vt:lpstr>
      <vt:lpstr>'202'!OSRRefD22_6x_0</vt:lpstr>
      <vt:lpstr>'203'!OSRRefD22_6x_0</vt:lpstr>
      <vt:lpstr>'204'!OSRRefD22_6x_0</vt:lpstr>
      <vt:lpstr>'205'!OSRRefD22_6x_0</vt:lpstr>
      <vt:lpstr>'206'!OSRRefD22_6x_0</vt:lpstr>
      <vt:lpstr>'300'!OSRRefD22_6x_0</vt:lpstr>
      <vt:lpstr>'300 &amp; 317'!OSRRefD22_6x_0</vt:lpstr>
      <vt:lpstr>'301'!OSRRefD22_6x_0</vt:lpstr>
      <vt:lpstr>'306'!OSRRefD22_6x_0</vt:lpstr>
      <vt:lpstr>'307'!OSRRefD22_6x_0</vt:lpstr>
      <vt:lpstr>'308'!OSRRefD22_6x_0</vt:lpstr>
      <vt:lpstr>'309'!OSRRefD22_6x_0</vt:lpstr>
      <vt:lpstr>'310'!OSRRefD22_6x_0</vt:lpstr>
      <vt:lpstr>'310 &amp; 491'!OSRRefD22_6x_0</vt:lpstr>
      <vt:lpstr>'311'!OSRRefD22_6x_0</vt:lpstr>
      <vt:lpstr>'313'!OSRRefD22_6x_0</vt:lpstr>
      <vt:lpstr>'315'!OSRRefD22_6x_0</vt:lpstr>
      <vt:lpstr>'316'!OSRRefD22_6x_0</vt:lpstr>
      <vt:lpstr>'317'!OSRRefD22_6x_0</vt:lpstr>
      <vt:lpstr>'320'!OSRRefD22_6x_0</vt:lpstr>
      <vt:lpstr>'321'!OSRRefD22_6x_0</vt:lpstr>
      <vt:lpstr>'322'!OSRRefD22_6x_0</vt:lpstr>
      <vt:lpstr>'325'!OSRRefD22_6x_0</vt:lpstr>
      <vt:lpstr>'326'!OSRRefD22_6x_0</vt:lpstr>
      <vt:lpstr>'330'!OSRRefD22_6x_0</vt:lpstr>
      <vt:lpstr>'331'!OSRRefD22_6x_0</vt:lpstr>
      <vt:lpstr>'332'!OSRRefD22_6x_0</vt:lpstr>
      <vt:lpstr>'405'!OSRRefD22_6x_0</vt:lpstr>
      <vt:lpstr>'406'!OSRRefD22_6x_0</vt:lpstr>
      <vt:lpstr>'411'!OSRRefD22_6x_0</vt:lpstr>
      <vt:lpstr>'412'!OSRRefD22_6x_0</vt:lpstr>
      <vt:lpstr>'413'!OSRRefD22_6x_0</vt:lpstr>
      <vt:lpstr>'414'!OSRRefD22_6x_0</vt:lpstr>
      <vt:lpstr>'415'!OSRRefD22_6x_0</vt:lpstr>
      <vt:lpstr>'418'!OSRRefD22_6x_0</vt:lpstr>
      <vt:lpstr>'424'!OSRRefD22_6x_0</vt:lpstr>
      <vt:lpstr>'425'!OSRRefD22_6x_0</vt:lpstr>
      <vt:lpstr>'430'!OSRRefD22_6x_0</vt:lpstr>
      <vt:lpstr>'433'!OSRRefD22_6x_0</vt:lpstr>
      <vt:lpstr>'435'!OSRRefD22_6x_0</vt:lpstr>
      <vt:lpstr>'444'!OSRRefD22_6x_0</vt:lpstr>
      <vt:lpstr>'450'!OSRRefD22_6x_0</vt:lpstr>
      <vt:lpstr>'491'!OSRRefD22_6x_0</vt:lpstr>
      <vt:lpstr>'492'!OSRRefD22_6x_0</vt:lpstr>
      <vt:lpstr>'501'!OSRRefD22_6x_0</vt:lpstr>
      <vt:lpstr>'Div 2'!OSRRefD22_6x_0</vt:lpstr>
      <vt:lpstr>'Div 3'!OSRRefD22_6x_0</vt:lpstr>
      <vt:lpstr>'Div 4'!OSRRefD22_6x_0</vt:lpstr>
      <vt:lpstr>'Div 5'!OSRRefD22_6x_0</vt:lpstr>
      <vt:lpstr>'Div 6'!OSRRefD22_6x_0</vt:lpstr>
      <vt:lpstr>Summary!OSRRefD22_6x_0</vt:lpstr>
      <vt:lpstr>'201'!OSRRefD22_7x_0</vt:lpstr>
      <vt:lpstr>'202'!OSRRefD22_7x_0</vt:lpstr>
      <vt:lpstr>'203'!OSRRefD22_7x_0</vt:lpstr>
      <vt:lpstr>'204'!OSRRefD22_7x_0</vt:lpstr>
      <vt:lpstr>'205'!OSRRefD22_7x_0</vt:lpstr>
      <vt:lpstr>'206'!OSRRefD22_7x_0</vt:lpstr>
      <vt:lpstr>'300'!OSRRefD22_7x_0</vt:lpstr>
      <vt:lpstr>'300 &amp; 317'!OSRRefD22_7x_0</vt:lpstr>
      <vt:lpstr>'301'!OSRRefD22_7x_0</vt:lpstr>
      <vt:lpstr>'306'!OSRRefD22_7x_0</vt:lpstr>
      <vt:lpstr>'307'!OSRRefD22_7x_0</vt:lpstr>
      <vt:lpstr>'308'!OSRRefD22_7x_0</vt:lpstr>
      <vt:lpstr>'309'!OSRRefD22_7x_0</vt:lpstr>
      <vt:lpstr>'310'!OSRRefD22_7x_0</vt:lpstr>
      <vt:lpstr>'310 &amp; 491'!OSRRefD22_7x_0</vt:lpstr>
      <vt:lpstr>'311'!OSRRefD22_7x_0</vt:lpstr>
      <vt:lpstr>'313'!OSRRefD22_7x_0</vt:lpstr>
      <vt:lpstr>'315'!OSRRefD22_7x_0</vt:lpstr>
      <vt:lpstr>'316'!OSRRefD22_7x_0</vt:lpstr>
      <vt:lpstr>'317'!OSRRefD22_7x_0</vt:lpstr>
      <vt:lpstr>'320'!OSRRefD22_7x_0</vt:lpstr>
      <vt:lpstr>'321'!OSRRefD22_7x_0</vt:lpstr>
      <vt:lpstr>'322'!OSRRefD22_7x_0</vt:lpstr>
      <vt:lpstr>'325'!OSRRefD22_7x_0</vt:lpstr>
      <vt:lpstr>'326'!OSRRefD22_7x_0</vt:lpstr>
      <vt:lpstr>'330'!OSRRefD22_7x_0</vt:lpstr>
      <vt:lpstr>'331'!OSRRefD22_7x_0</vt:lpstr>
      <vt:lpstr>'332'!OSRRefD22_7x_0</vt:lpstr>
      <vt:lpstr>'405'!OSRRefD22_7x_0</vt:lpstr>
      <vt:lpstr>'406'!OSRRefD22_7x_0</vt:lpstr>
      <vt:lpstr>'411'!OSRRefD22_7x_0</vt:lpstr>
      <vt:lpstr>'412'!OSRRefD22_7x_0</vt:lpstr>
      <vt:lpstr>'413'!OSRRefD22_7x_0</vt:lpstr>
      <vt:lpstr>'414'!OSRRefD22_7x_0</vt:lpstr>
      <vt:lpstr>'415'!OSRRefD22_7x_0</vt:lpstr>
      <vt:lpstr>'418'!OSRRefD22_7x_0</vt:lpstr>
      <vt:lpstr>'424'!OSRRefD22_7x_0</vt:lpstr>
      <vt:lpstr>'425'!OSRRefD22_7x_0</vt:lpstr>
      <vt:lpstr>'430'!OSRRefD22_7x_0</vt:lpstr>
      <vt:lpstr>'433'!OSRRefD22_7x_0</vt:lpstr>
      <vt:lpstr>'435'!OSRRefD22_7x_0</vt:lpstr>
      <vt:lpstr>'444'!OSRRefD22_7x_0</vt:lpstr>
      <vt:lpstr>'450'!OSRRefD22_7x_0</vt:lpstr>
      <vt:lpstr>'491'!OSRRefD22_7x_0</vt:lpstr>
      <vt:lpstr>'492'!OSRRefD22_7x_0</vt:lpstr>
      <vt:lpstr>'501'!OSRRefD22_7x_0</vt:lpstr>
      <vt:lpstr>'Div 2'!OSRRefD22_7x_0</vt:lpstr>
      <vt:lpstr>'Div 3'!OSRRefD22_7x_0</vt:lpstr>
      <vt:lpstr>'Div 4'!OSRRefD22_7x_0</vt:lpstr>
      <vt:lpstr>'Div 5'!OSRRefD22_7x_0</vt:lpstr>
      <vt:lpstr>'Div 6'!OSRRefD22_7x_0</vt:lpstr>
      <vt:lpstr>Summary!OSRRefD22_7x_0</vt:lpstr>
      <vt:lpstr>'201'!OSRRefD22_8x_0</vt:lpstr>
      <vt:lpstr>'202'!OSRRefD22_8x_0</vt:lpstr>
      <vt:lpstr>'203'!OSRRefD22_8x_0</vt:lpstr>
      <vt:lpstr>'204'!OSRRefD22_8x_0</vt:lpstr>
      <vt:lpstr>'205'!OSRRefD22_8x_0</vt:lpstr>
      <vt:lpstr>'300'!OSRRefD22_8x_0</vt:lpstr>
      <vt:lpstr>'300 &amp; 317'!OSRRefD22_8x_0</vt:lpstr>
      <vt:lpstr>'301'!OSRRefD22_8x_0</vt:lpstr>
      <vt:lpstr>'306'!OSRRefD22_8x_0</vt:lpstr>
      <vt:lpstr>'307'!OSRRefD22_8x_0</vt:lpstr>
      <vt:lpstr>'308'!OSRRefD22_8x_0</vt:lpstr>
      <vt:lpstr>'309'!OSRRefD22_8x_0</vt:lpstr>
      <vt:lpstr>'310'!OSRRefD22_8x_0</vt:lpstr>
      <vt:lpstr>'310 &amp; 491'!OSRRefD22_8x_0</vt:lpstr>
      <vt:lpstr>'311'!OSRRefD22_8x_0</vt:lpstr>
      <vt:lpstr>'313'!OSRRefD22_8x_0</vt:lpstr>
      <vt:lpstr>'315'!OSRRefD22_8x_0</vt:lpstr>
      <vt:lpstr>'316'!OSRRefD22_8x_0</vt:lpstr>
      <vt:lpstr>'317'!OSRRefD22_8x_0</vt:lpstr>
      <vt:lpstr>'320'!OSRRefD22_8x_0</vt:lpstr>
      <vt:lpstr>'321'!OSRRefD22_8x_0</vt:lpstr>
      <vt:lpstr>'322'!OSRRefD22_8x_0</vt:lpstr>
      <vt:lpstr>'325'!OSRRefD22_8x_0</vt:lpstr>
      <vt:lpstr>'326'!OSRRefD22_8x_0</vt:lpstr>
      <vt:lpstr>'330'!OSRRefD22_8x_0</vt:lpstr>
      <vt:lpstr>'331'!OSRRefD22_8x_0</vt:lpstr>
      <vt:lpstr>'332'!OSRRefD22_8x_0</vt:lpstr>
      <vt:lpstr>'405'!OSRRefD22_8x_0</vt:lpstr>
      <vt:lpstr>'406'!OSRRefD22_8x_0</vt:lpstr>
      <vt:lpstr>'411'!OSRRefD22_8x_0</vt:lpstr>
      <vt:lpstr>'412'!OSRRefD22_8x_0</vt:lpstr>
      <vt:lpstr>'413'!OSRRefD22_8x_0</vt:lpstr>
      <vt:lpstr>'414'!OSRRefD22_8x_0</vt:lpstr>
      <vt:lpstr>'415'!OSRRefD22_8x_0</vt:lpstr>
      <vt:lpstr>'418'!OSRRefD22_8x_0</vt:lpstr>
      <vt:lpstr>'424'!OSRRefD22_8x_0</vt:lpstr>
      <vt:lpstr>'425'!OSRRefD22_8x_0</vt:lpstr>
      <vt:lpstr>'433'!OSRRefD22_8x_0</vt:lpstr>
      <vt:lpstr>'444'!OSRRefD22_8x_0</vt:lpstr>
      <vt:lpstr>'450'!OSRRefD22_8x_0</vt:lpstr>
      <vt:lpstr>'491'!OSRRefD22_8x_0</vt:lpstr>
      <vt:lpstr>'492'!OSRRefD22_8x_0</vt:lpstr>
      <vt:lpstr>'501'!OSRRefD22_8x_0</vt:lpstr>
      <vt:lpstr>'Div 2'!OSRRefD22_8x_0</vt:lpstr>
      <vt:lpstr>'Div 3'!OSRRefD22_8x_0</vt:lpstr>
      <vt:lpstr>'Div 4'!OSRRefD22_8x_0</vt:lpstr>
      <vt:lpstr>'Div 5'!OSRRefD22_8x_0</vt:lpstr>
      <vt:lpstr>'Div 6'!OSRRefD22_8x_0</vt:lpstr>
      <vt:lpstr>Summary!OSRRefD22_8x_0</vt:lpstr>
      <vt:lpstr>'201'!OSRRefD22_9x_0</vt:lpstr>
      <vt:lpstr>'202'!OSRRefD22_9x_0</vt:lpstr>
      <vt:lpstr>'203'!OSRRefD22_9x_0</vt:lpstr>
      <vt:lpstr>'204'!OSRRefD22_9x_0</vt:lpstr>
      <vt:lpstr>'300'!OSRRefD22_9x_0</vt:lpstr>
      <vt:lpstr>'300 &amp; 317'!OSRRefD22_9x_0</vt:lpstr>
      <vt:lpstr>'301'!OSRRefD22_9x_0</vt:lpstr>
      <vt:lpstr>'307'!OSRRefD22_9x_0</vt:lpstr>
      <vt:lpstr>'308'!OSRRefD22_9x_0</vt:lpstr>
      <vt:lpstr>'309'!OSRRefD22_9x_0</vt:lpstr>
      <vt:lpstr>'310'!OSRRefD22_9x_0</vt:lpstr>
      <vt:lpstr>'310 &amp; 491'!OSRRefD22_9x_0</vt:lpstr>
      <vt:lpstr>'311'!OSRRefD22_9x_0</vt:lpstr>
      <vt:lpstr>'313'!OSRRefD22_9x_0</vt:lpstr>
      <vt:lpstr>'315'!OSRRefD22_9x_0</vt:lpstr>
      <vt:lpstr>'316'!OSRRefD22_9x_0</vt:lpstr>
      <vt:lpstr>'317'!OSRRefD22_9x_0</vt:lpstr>
      <vt:lpstr>'321'!OSRRefD22_9x_0</vt:lpstr>
      <vt:lpstr>'322'!OSRRefD22_9x_0</vt:lpstr>
      <vt:lpstr>'325'!OSRRefD22_9x_0</vt:lpstr>
      <vt:lpstr>'326'!OSRRefD22_9x_0</vt:lpstr>
      <vt:lpstr>'330'!OSRRefD22_9x_0</vt:lpstr>
      <vt:lpstr>'331'!OSRRefD22_9x_0</vt:lpstr>
      <vt:lpstr>'332'!OSRRefD22_9x_0</vt:lpstr>
      <vt:lpstr>'405'!OSRRefD22_9x_0</vt:lpstr>
      <vt:lpstr>'406'!OSRRefD22_9x_0</vt:lpstr>
      <vt:lpstr>'411'!OSRRefD22_9x_0</vt:lpstr>
      <vt:lpstr>'412'!OSRRefD22_9x_0</vt:lpstr>
      <vt:lpstr>'413'!OSRRefD22_9x_0</vt:lpstr>
      <vt:lpstr>'414'!OSRRefD22_9x_0</vt:lpstr>
      <vt:lpstr>'415'!OSRRefD22_9x_0</vt:lpstr>
      <vt:lpstr>'418'!OSRRefD22_9x_0</vt:lpstr>
      <vt:lpstr>'424'!OSRRefD22_9x_0</vt:lpstr>
      <vt:lpstr>'425'!OSRRefD22_9x_0</vt:lpstr>
      <vt:lpstr>'433'!OSRRefD22_9x_0</vt:lpstr>
      <vt:lpstr>'444'!OSRRefD22_9x_0</vt:lpstr>
      <vt:lpstr>'450'!OSRRefD22_9x_0</vt:lpstr>
      <vt:lpstr>'491'!OSRRefD22_9x_0</vt:lpstr>
      <vt:lpstr>'492'!OSRRefD22_9x_0</vt:lpstr>
      <vt:lpstr>'501'!OSRRefD22_9x_0</vt:lpstr>
      <vt:lpstr>'Div 2'!OSRRefD22_9x_0</vt:lpstr>
      <vt:lpstr>'Div 3'!OSRRefD22_9x_0</vt:lpstr>
      <vt:lpstr>'Div 4'!OSRRefD22_9x_0</vt:lpstr>
      <vt:lpstr>'Div 5'!OSRRefD22_9x_0</vt:lpstr>
      <vt:lpstr>'Div 6'!OSRRefD22_9x_0</vt:lpstr>
      <vt:lpstr>Summary!OSRRefD22_9x_0</vt:lpstr>
      <vt:lpstr>'200'!OSRRefD22x_0</vt:lpstr>
      <vt:lpstr>'201'!OSRRefD22x_0</vt:lpstr>
      <vt:lpstr>'202'!OSRRefD22x_0</vt:lpstr>
      <vt:lpstr>'203'!OSRRefD22x_0</vt:lpstr>
      <vt:lpstr>'204'!OSRRefD22x_0</vt:lpstr>
      <vt:lpstr>'205'!OSRRefD22x_0</vt:lpstr>
      <vt:lpstr>'206'!OSRRefD22x_0</vt:lpstr>
      <vt:lpstr>'300'!OSRRefD22x_0</vt:lpstr>
      <vt:lpstr>'300 &amp; 317'!OSRRefD22x_0</vt:lpstr>
      <vt:lpstr>'301'!OSRRefD22x_0</vt:lpstr>
      <vt:lpstr>'306'!OSRRefD22x_0</vt:lpstr>
      <vt:lpstr>'307'!OSRRefD22x_0</vt:lpstr>
      <vt:lpstr>'308'!OSRRefD22x_0</vt:lpstr>
      <vt:lpstr>'309'!OSRRefD22x_0</vt:lpstr>
      <vt:lpstr>'310'!OSRRefD22x_0</vt:lpstr>
      <vt:lpstr>'310 &amp; 491'!OSRRefD22x_0</vt:lpstr>
      <vt:lpstr>'311'!OSRRefD22x_0</vt:lpstr>
      <vt:lpstr>'313'!OSRRefD22x_0</vt:lpstr>
      <vt:lpstr>'314'!OSRRefD22x_0</vt:lpstr>
      <vt:lpstr>'315'!OSRRefD22x_0</vt:lpstr>
      <vt:lpstr>'316'!OSRRefD22x_0</vt:lpstr>
      <vt:lpstr>'317'!OSRRefD22x_0</vt:lpstr>
      <vt:lpstr>'320'!OSRRefD22x_0</vt:lpstr>
      <vt:lpstr>'321'!OSRRefD22x_0</vt:lpstr>
      <vt:lpstr>'322'!OSRRefD22x_0</vt:lpstr>
      <vt:lpstr>'325'!OSRRefD22x_0</vt:lpstr>
      <vt:lpstr>'326'!OSRRefD22x_0</vt:lpstr>
      <vt:lpstr>'327'!OSRRefD22x_0</vt:lpstr>
      <vt:lpstr>'330'!OSRRefD22x_0</vt:lpstr>
      <vt:lpstr>'331'!OSRRefD22x_0</vt:lpstr>
      <vt:lpstr>'332'!OSRRefD22x_0</vt:lpstr>
      <vt:lpstr>'405'!OSRRefD22x_0</vt:lpstr>
      <vt:lpstr>'406'!OSRRefD22x_0</vt:lpstr>
      <vt:lpstr>'411'!OSRRefD22x_0</vt:lpstr>
      <vt:lpstr>'412'!OSRRefD22x_0</vt:lpstr>
      <vt:lpstr>'413'!OSRRefD22x_0</vt:lpstr>
      <vt:lpstr>'414'!OSRRefD22x_0</vt:lpstr>
      <vt:lpstr>'415'!OSRRefD22x_0</vt:lpstr>
      <vt:lpstr>'418'!OSRRefD22x_0</vt:lpstr>
      <vt:lpstr>'420'!OSRRefD22x_0</vt:lpstr>
      <vt:lpstr>'423'!OSRRefD22x_0</vt:lpstr>
      <vt:lpstr>'424'!OSRRefD22x_0</vt:lpstr>
      <vt:lpstr>'425'!OSRRefD22x_0</vt:lpstr>
      <vt:lpstr>'430'!OSRRefD22x_0</vt:lpstr>
      <vt:lpstr>'433'!OSRRefD22x_0</vt:lpstr>
      <vt:lpstr>'435'!OSRRefD22x_0</vt:lpstr>
      <vt:lpstr>'444'!OSRRefD22x_0</vt:lpstr>
      <vt:lpstr>'450'!OSRRefD22x_0</vt:lpstr>
      <vt:lpstr>'455'!OSRRefD22x_0</vt:lpstr>
      <vt:lpstr>'491'!OSRRefD22x_0</vt:lpstr>
      <vt:lpstr>'492'!OSRRefD22x_0</vt:lpstr>
      <vt:lpstr>'501'!OSRRefD22x_0</vt:lpstr>
      <vt:lpstr>'Div 2'!OSRRefD22x_0</vt:lpstr>
      <vt:lpstr>'Div 3'!OSRRefD22x_0</vt:lpstr>
      <vt:lpstr>'Div 4'!OSRRefD22x_0</vt:lpstr>
      <vt:lpstr>'Div 5'!OSRRefD22x_0</vt:lpstr>
      <vt:lpstr>'Div 6'!OSRRefD22x_0</vt:lpstr>
      <vt:lpstr>Summary!OSRRefD22x_0</vt:lpstr>
      <vt:lpstr>'300'!OSRRefD25x_0</vt:lpstr>
      <vt:lpstr>'300 &amp; 317'!OSRRefD25x_0</vt:lpstr>
      <vt:lpstr>'301'!OSRRefD25x_0</vt:lpstr>
      <vt:lpstr>'308'!OSRRefD25x_0</vt:lpstr>
      <vt:lpstr>'310 &amp; 491'!OSRRefD25x_0</vt:lpstr>
      <vt:lpstr>'311'!OSRRefD25x_0</vt:lpstr>
      <vt:lpstr>'315'!OSRRefD25x_0</vt:lpstr>
      <vt:lpstr>'316'!OSRRefD25x_0</vt:lpstr>
      <vt:lpstr>'317'!OSRRefD25x_0</vt:lpstr>
      <vt:lpstr>'320'!OSRRefD25x_0</vt:lpstr>
      <vt:lpstr>'331'!OSRRefD25x_0</vt:lpstr>
      <vt:lpstr>'332'!OSRRefD25x_0</vt:lpstr>
      <vt:lpstr>'411'!OSRRefD25x_0</vt:lpstr>
      <vt:lpstr>'413'!OSRRefD25x_0</vt:lpstr>
      <vt:lpstr>'418'!OSRRefD25x_0</vt:lpstr>
      <vt:lpstr>'423'!OSRRefD25x_0</vt:lpstr>
      <vt:lpstr>'424'!OSRRefD25x_0</vt:lpstr>
      <vt:lpstr>'425'!OSRRefD25x_0</vt:lpstr>
      <vt:lpstr>'455'!OSRRefD25x_0</vt:lpstr>
      <vt:lpstr>'491'!OSRRefD25x_0</vt:lpstr>
      <vt:lpstr>'501'!OSRRefD25x_0</vt:lpstr>
      <vt:lpstr>'Div 3'!OSRRefD25x_0</vt:lpstr>
      <vt:lpstr>'Div 4'!OSRRefD25x_0</vt:lpstr>
      <vt:lpstr>'Div 5'!OSRRefD25x_0</vt:lpstr>
      <vt:lpstr>'Div 6'!OSRRefD25x_0</vt:lpstr>
      <vt:lpstr>Summary!OSRRefD25x_0</vt:lpstr>
      <vt:lpstr>'300'!OSRRefH13x_0</vt:lpstr>
      <vt:lpstr>'300 &amp; 317'!OSRRefH13x_0</vt:lpstr>
      <vt:lpstr>'307'!OSRRefH13x_0</vt:lpstr>
      <vt:lpstr>'308'!OSRRefH13x_0</vt:lpstr>
      <vt:lpstr>'309'!OSRRefH13x_0</vt:lpstr>
      <vt:lpstr>'310'!OSRRefH13x_0</vt:lpstr>
      <vt:lpstr>'310 &amp; 491'!OSRRefH13x_0</vt:lpstr>
      <vt:lpstr>'311'!OSRRefH13x_0</vt:lpstr>
      <vt:lpstr>'313'!OSRRefH13x_0</vt:lpstr>
      <vt:lpstr>'314'!OSRRefH13x_0</vt:lpstr>
      <vt:lpstr>'315'!OSRRefH13x_0</vt:lpstr>
      <vt:lpstr>'316'!OSRRefH13x_0</vt:lpstr>
      <vt:lpstr>'317'!OSRRefH13x_0</vt:lpstr>
      <vt:lpstr>'320'!OSRRefH13x_0</vt:lpstr>
      <vt:lpstr>'321'!OSRRefH13x_0</vt:lpstr>
      <vt:lpstr>'322'!OSRRefH13x_0</vt:lpstr>
      <vt:lpstr>'324'!OSRRefH13x_0</vt:lpstr>
      <vt:lpstr>'325'!OSRRefH13x_0</vt:lpstr>
      <vt:lpstr>'326'!OSRRefH13x_0</vt:lpstr>
      <vt:lpstr>'327'!OSRRefH13x_0</vt:lpstr>
      <vt:lpstr>'330'!OSRRefH13x_0</vt:lpstr>
      <vt:lpstr>'331'!OSRRefH13x_0</vt:lpstr>
      <vt:lpstr>'332'!OSRRefH13x_0</vt:lpstr>
      <vt:lpstr>'405'!OSRRefH13x_0</vt:lpstr>
      <vt:lpstr>'406'!OSRRefH13x_0</vt:lpstr>
      <vt:lpstr>'412'!OSRRefH13x_0</vt:lpstr>
      <vt:lpstr>'413'!OSRRefH13x_0</vt:lpstr>
      <vt:lpstr>'414'!OSRRefH13x_0</vt:lpstr>
      <vt:lpstr>'415'!OSRRefH13x_0</vt:lpstr>
      <vt:lpstr>'418'!OSRRefH13x_0</vt:lpstr>
      <vt:lpstr>'420'!OSRRefH13x_0</vt:lpstr>
      <vt:lpstr>'424'!OSRRefH13x_0</vt:lpstr>
      <vt:lpstr>'425'!OSRRefH13x_0</vt:lpstr>
      <vt:lpstr>'433'!OSRRefH13x_0</vt:lpstr>
      <vt:lpstr>'435'!OSRRefH13x_0</vt:lpstr>
      <vt:lpstr>'444'!OSRRefH13x_0</vt:lpstr>
      <vt:lpstr>'450'!OSRRefH13x_0</vt:lpstr>
      <vt:lpstr>'491'!OSRRefH13x_0</vt:lpstr>
      <vt:lpstr>'492'!OSRRefH13x_0</vt:lpstr>
      <vt:lpstr>'501'!OSRRefH13x_0</vt:lpstr>
      <vt:lpstr>'Div 3'!OSRRefH13x_0</vt:lpstr>
      <vt:lpstr>'Div 4'!OSRRefH13x_0</vt:lpstr>
      <vt:lpstr>'Div 5'!OSRRefH13x_0</vt:lpstr>
      <vt:lpstr>'Div 6'!OSRRefH13x_0</vt:lpstr>
      <vt:lpstr>Summary!OSRRefH13x_0</vt:lpstr>
      <vt:lpstr>'300'!OSRRefH16x_0</vt:lpstr>
      <vt:lpstr>'300 &amp; 317'!OSRRefH16x_0</vt:lpstr>
      <vt:lpstr>'307'!OSRRefH16x_0</vt:lpstr>
      <vt:lpstr>'308'!OSRRefH16x_0</vt:lpstr>
      <vt:lpstr>'309'!OSRRefH16x_0</vt:lpstr>
      <vt:lpstr>'310'!OSRRefH16x_0</vt:lpstr>
      <vt:lpstr>'310 &amp; 491'!OSRRefH16x_0</vt:lpstr>
      <vt:lpstr>'311'!OSRRefH16x_0</vt:lpstr>
      <vt:lpstr>'313'!OSRRefH16x_0</vt:lpstr>
      <vt:lpstr>'314'!OSRRefH16x_0</vt:lpstr>
      <vt:lpstr>'315'!OSRRefH16x_0</vt:lpstr>
      <vt:lpstr>'317'!OSRRefH16x_0</vt:lpstr>
      <vt:lpstr>'320'!OSRRefH16x_0</vt:lpstr>
      <vt:lpstr>'321'!OSRRefH16x_0</vt:lpstr>
      <vt:lpstr>'322'!OSRRefH16x_0</vt:lpstr>
      <vt:lpstr>'324'!OSRRefH16x_0</vt:lpstr>
      <vt:lpstr>'325'!OSRRefH16x_0</vt:lpstr>
      <vt:lpstr>'326'!OSRRefH16x_0</vt:lpstr>
      <vt:lpstr>'327'!OSRRefH16x_0</vt:lpstr>
      <vt:lpstr>'330'!OSRRefH16x_0</vt:lpstr>
      <vt:lpstr>'331'!OSRRefH16x_0</vt:lpstr>
      <vt:lpstr>'332'!OSRRefH16x_0</vt:lpstr>
      <vt:lpstr>'405'!OSRRefH16x_0</vt:lpstr>
      <vt:lpstr>'406'!OSRRefH16x_0</vt:lpstr>
      <vt:lpstr>'412'!OSRRefH16x_0</vt:lpstr>
      <vt:lpstr>'413'!OSRRefH16x_0</vt:lpstr>
      <vt:lpstr>'414'!OSRRefH16x_0</vt:lpstr>
      <vt:lpstr>'415'!OSRRefH16x_0</vt:lpstr>
      <vt:lpstr>'418'!OSRRefH16x_0</vt:lpstr>
      <vt:lpstr>'423'!OSRRefH16x_0</vt:lpstr>
      <vt:lpstr>'424'!OSRRefH16x_0</vt:lpstr>
      <vt:lpstr>'425'!OSRRefH16x_0</vt:lpstr>
      <vt:lpstr>'433'!OSRRefH16x_0</vt:lpstr>
      <vt:lpstr>'435'!OSRRefH16x_0</vt:lpstr>
      <vt:lpstr>'444'!OSRRefH16x_0</vt:lpstr>
      <vt:lpstr>'450'!OSRRefH16x_0</vt:lpstr>
      <vt:lpstr>'491'!OSRRefH16x_0</vt:lpstr>
      <vt:lpstr>'492'!OSRRefH16x_0</vt:lpstr>
      <vt:lpstr>'Div 3'!OSRRefH16x_0</vt:lpstr>
      <vt:lpstr>'Div 4'!OSRRefH16x_0</vt:lpstr>
      <vt:lpstr>'Div 6'!OSRRefH16x_0</vt:lpstr>
      <vt:lpstr>Summary!OSRRefH16x_0</vt:lpstr>
      <vt:lpstr>'200'!OSRRefH22_0x_0</vt:lpstr>
      <vt:lpstr>'201'!OSRRefH22_0x_0</vt:lpstr>
      <vt:lpstr>'202'!OSRRefH22_0x_0</vt:lpstr>
      <vt:lpstr>'203'!OSRRefH22_0x_0</vt:lpstr>
      <vt:lpstr>'204'!OSRRefH22_0x_0</vt:lpstr>
      <vt:lpstr>'205'!OSRRefH22_0x_0</vt:lpstr>
      <vt:lpstr>'206'!OSRRefH22_0x_0</vt:lpstr>
      <vt:lpstr>'300'!OSRRefH22_0x_0</vt:lpstr>
      <vt:lpstr>'300 &amp; 317'!OSRRefH22_0x_0</vt:lpstr>
      <vt:lpstr>'301'!OSRRefH22_0x_0</vt:lpstr>
      <vt:lpstr>'306'!OSRRefH22_0x_0</vt:lpstr>
      <vt:lpstr>'307'!OSRRefH22_0x_0</vt:lpstr>
      <vt:lpstr>'308'!OSRRefH22_0x_0</vt:lpstr>
      <vt:lpstr>'309'!OSRRefH22_0x_0</vt:lpstr>
      <vt:lpstr>'310'!OSRRefH22_0x_0</vt:lpstr>
      <vt:lpstr>'310 &amp; 491'!OSRRefH22_0x_0</vt:lpstr>
      <vt:lpstr>'311'!OSRRefH22_0x_0</vt:lpstr>
      <vt:lpstr>'313'!OSRRefH22_0x_0</vt:lpstr>
      <vt:lpstr>'314'!OSRRefH22_0x_0</vt:lpstr>
      <vt:lpstr>'315'!OSRRefH22_0x_0</vt:lpstr>
      <vt:lpstr>'316'!OSRRefH22_0x_0</vt:lpstr>
      <vt:lpstr>'317'!OSRRefH22_0x_0</vt:lpstr>
      <vt:lpstr>'320'!OSRRefH22_0x_0</vt:lpstr>
      <vt:lpstr>'321'!OSRRefH22_0x_0</vt:lpstr>
      <vt:lpstr>'322'!OSRRefH22_0x_0</vt:lpstr>
      <vt:lpstr>'325'!OSRRefH22_0x_0</vt:lpstr>
      <vt:lpstr>'326'!OSRRefH22_0x_0</vt:lpstr>
      <vt:lpstr>'327'!OSRRefH22_0x_0</vt:lpstr>
      <vt:lpstr>'330'!OSRRefH22_0x_0</vt:lpstr>
      <vt:lpstr>'331'!OSRRefH22_0x_0</vt:lpstr>
      <vt:lpstr>'332'!OSRRefH22_0x_0</vt:lpstr>
      <vt:lpstr>'405'!OSRRefH22_0x_0</vt:lpstr>
      <vt:lpstr>'406'!OSRRefH22_0x_0</vt:lpstr>
      <vt:lpstr>'411'!OSRRefH22_0x_0</vt:lpstr>
      <vt:lpstr>'412'!OSRRefH22_0x_0</vt:lpstr>
      <vt:lpstr>'413'!OSRRefH22_0x_0</vt:lpstr>
      <vt:lpstr>'414'!OSRRefH22_0x_0</vt:lpstr>
      <vt:lpstr>'415'!OSRRefH22_0x_0</vt:lpstr>
      <vt:lpstr>'418'!OSRRefH22_0x_0</vt:lpstr>
      <vt:lpstr>'420'!OSRRefH22_0x_0</vt:lpstr>
      <vt:lpstr>'423'!OSRRefH22_0x_0</vt:lpstr>
      <vt:lpstr>'424'!OSRRefH22_0x_0</vt:lpstr>
      <vt:lpstr>'425'!OSRRefH22_0x_0</vt:lpstr>
      <vt:lpstr>'430'!OSRRefH22_0x_0</vt:lpstr>
      <vt:lpstr>'433'!OSRRefH22_0x_0</vt:lpstr>
      <vt:lpstr>'435'!OSRRefH22_0x_0</vt:lpstr>
      <vt:lpstr>'444'!OSRRefH22_0x_0</vt:lpstr>
      <vt:lpstr>'450'!OSRRefH22_0x_0</vt:lpstr>
      <vt:lpstr>'455'!OSRRefH22_0x_0</vt:lpstr>
      <vt:lpstr>'491'!OSRRefH22_0x_0</vt:lpstr>
      <vt:lpstr>'492'!OSRRefH22_0x_0</vt:lpstr>
      <vt:lpstr>'501'!OSRRefH22_0x_0</vt:lpstr>
      <vt:lpstr>'Div 2'!OSRRefH22_0x_0</vt:lpstr>
      <vt:lpstr>'Div 3'!OSRRefH22_0x_0</vt:lpstr>
      <vt:lpstr>'Div 4'!OSRRefH22_0x_0</vt:lpstr>
      <vt:lpstr>'Div 5'!OSRRefH22_0x_0</vt:lpstr>
      <vt:lpstr>'Div 6'!OSRRefH22_0x_0</vt:lpstr>
      <vt:lpstr>Summary!OSRRefH22_0x_0</vt:lpstr>
      <vt:lpstr>'201'!OSRRefH22_10x_0</vt:lpstr>
      <vt:lpstr>'202'!OSRRefH22_10x_0</vt:lpstr>
      <vt:lpstr>'203'!OSRRefH22_10x_0</vt:lpstr>
      <vt:lpstr>'300'!OSRRefH22_10x_0</vt:lpstr>
      <vt:lpstr>'300 &amp; 317'!OSRRefH22_10x_0</vt:lpstr>
      <vt:lpstr>'301'!OSRRefH22_10x_0</vt:lpstr>
      <vt:lpstr>'307'!OSRRefH22_10x_0</vt:lpstr>
      <vt:lpstr>'308'!OSRRefH22_10x_0</vt:lpstr>
      <vt:lpstr>'309'!OSRRefH22_10x_0</vt:lpstr>
      <vt:lpstr>'310'!OSRRefH22_10x_0</vt:lpstr>
      <vt:lpstr>'310 &amp; 491'!OSRRefH22_10x_0</vt:lpstr>
      <vt:lpstr>'311'!OSRRefH22_10x_0</vt:lpstr>
      <vt:lpstr>'313'!OSRRefH22_10x_0</vt:lpstr>
      <vt:lpstr>'315'!OSRRefH22_10x_0</vt:lpstr>
      <vt:lpstr>'316'!OSRRefH22_10x_0</vt:lpstr>
      <vt:lpstr>'317'!OSRRefH22_10x_0</vt:lpstr>
      <vt:lpstr>'321'!OSRRefH22_10x_0</vt:lpstr>
      <vt:lpstr>'322'!OSRRefH22_10x_0</vt:lpstr>
      <vt:lpstr>'325'!OSRRefH22_10x_0</vt:lpstr>
      <vt:lpstr>'326'!OSRRefH22_10x_0</vt:lpstr>
      <vt:lpstr>'330'!OSRRefH22_10x_0</vt:lpstr>
      <vt:lpstr>'331'!OSRRefH22_10x_0</vt:lpstr>
      <vt:lpstr>'332'!OSRRefH22_10x_0</vt:lpstr>
      <vt:lpstr>'405'!OSRRefH22_10x_0</vt:lpstr>
      <vt:lpstr>'406'!OSRRefH22_10x_0</vt:lpstr>
      <vt:lpstr>'411'!OSRRefH22_10x_0</vt:lpstr>
      <vt:lpstr>'412'!OSRRefH22_10x_0</vt:lpstr>
      <vt:lpstr>'413'!OSRRefH22_10x_0</vt:lpstr>
      <vt:lpstr>'414'!OSRRefH22_10x_0</vt:lpstr>
      <vt:lpstr>'415'!OSRRefH22_10x_0</vt:lpstr>
      <vt:lpstr>'418'!OSRRefH22_10x_0</vt:lpstr>
      <vt:lpstr>'424'!OSRRefH22_10x_0</vt:lpstr>
      <vt:lpstr>'425'!OSRRefH22_10x_0</vt:lpstr>
      <vt:lpstr>'433'!OSRRefH22_10x_0</vt:lpstr>
      <vt:lpstr>'444'!OSRRefH22_10x_0</vt:lpstr>
      <vt:lpstr>'450'!OSRRefH22_10x_0</vt:lpstr>
      <vt:lpstr>'491'!OSRRefH22_10x_0</vt:lpstr>
      <vt:lpstr>'492'!OSRRefH22_10x_0</vt:lpstr>
      <vt:lpstr>'501'!OSRRefH22_10x_0</vt:lpstr>
      <vt:lpstr>'Div 2'!OSRRefH22_10x_0</vt:lpstr>
      <vt:lpstr>'Div 3'!OSRRefH22_10x_0</vt:lpstr>
      <vt:lpstr>'Div 4'!OSRRefH22_10x_0</vt:lpstr>
      <vt:lpstr>'Div 5'!OSRRefH22_10x_0</vt:lpstr>
      <vt:lpstr>'Div 6'!OSRRefH22_10x_0</vt:lpstr>
      <vt:lpstr>Summary!OSRRefH22_10x_0</vt:lpstr>
      <vt:lpstr>'201'!OSRRefH22_11x_0</vt:lpstr>
      <vt:lpstr>'202'!OSRRefH22_11x_0</vt:lpstr>
      <vt:lpstr>'203'!OSRRefH22_11x_0</vt:lpstr>
      <vt:lpstr>'300'!OSRRefH22_11x_0</vt:lpstr>
      <vt:lpstr>'300 &amp; 317'!OSRRefH22_11x_0</vt:lpstr>
      <vt:lpstr>'301'!OSRRefH22_11x_0</vt:lpstr>
      <vt:lpstr>'307'!OSRRefH22_11x_0</vt:lpstr>
      <vt:lpstr>'308'!OSRRefH22_11x_0</vt:lpstr>
      <vt:lpstr>'310'!OSRRefH22_11x_0</vt:lpstr>
      <vt:lpstr>'310 &amp; 491'!OSRRefH22_11x_0</vt:lpstr>
      <vt:lpstr>'311'!OSRRefH22_11x_0</vt:lpstr>
      <vt:lpstr>'313'!OSRRefH22_11x_0</vt:lpstr>
      <vt:lpstr>'315'!OSRRefH22_11x_0</vt:lpstr>
      <vt:lpstr>'316'!OSRRefH22_11x_0</vt:lpstr>
      <vt:lpstr>'317'!OSRRefH22_11x_0</vt:lpstr>
      <vt:lpstr>'321'!OSRRefH22_11x_0</vt:lpstr>
      <vt:lpstr>'322'!OSRRefH22_11x_0</vt:lpstr>
      <vt:lpstr>'325'!OSRRefH22_11x_0</vt:lpstr>
      <vt:lpstr>'326'!OSRRefH22_11x_0</vt:lpstr>
      <vt:lpstr>'330'!OSRRefH22_11x_0</vt:lpstr>
      <vt:lpstr>'331'!OSRRefH22_11x_0</vt:lpstr>
      <vt:lpstr>'332'!OSRRefH22_11x_0</vt:lpstr>
      <vt:lpstr>'405'!OSRRefH22_11x_0</vt:lpstr>
      <vt:lpstr>'406'!OSRRefH22_11x_0</vt:lpstr>
      <vt:lpstr>'411'!OSRRefH22_11x_0</vt:lpstr>
      <vt:lpstr>'412'!OSRRefH22_11x_0</vt:lpstr>
      <vt:lpstr>'414'!OSRRefH22_11x_0</vt:lpstr>
      <vt:lpstr>'415'!OSRRefH22_11x_0</vt:lpstr>
      <vt:lpstr>'418'!OSRRefH22_11x_0</vt:lpstr>
      <vt:lpstr>'424'!OSRRefH22_11x_0</vt:lpstr>
      <vt:lpstr>'425'!OSRRefH22_11x_0</vt:lpstr>
      <vt:lpstr>'433'!OSRRefH22_11x_0</vt:lpstr>
      <vt:lpstr>'444'!OSRRefH22_11x_0</vt:lpstr>
      <vt:lpstr>'450'!OSRRefH22_11x_0</vt:lpstr>
      <vt:lpstr>'491'!OSRRefH22_11x_0</vt:lpstr>
      <vt:lpstr>'492'!OSRRefH22_11x_0</vt:lpstr>
      <vt:lpstr>'Div 2'!OSRRefH22_11x_0</vt:lpstr>
      <vt:lpstr>'Div 3'!OSRRefH22_11x_0</vt:lpstr>
      <vt:lpstr>'Div 4'!OSRRefH22_11x_0</vt:lpstr>
      <vt:lpstr>'Div 6'!OSRRefH22_11x_0</vt:lpstr>
      <vt:lpstr>Summary!OSRRefH22_11x_0</vt:lpstr>
      <vt:lpstr>'201'!OSRRefH22_12x_0</vt:lpstr>
      <vt:lpstr>'202'!OSRRefH22_12x_0</vt:lpstr>
      <vt:lpstr>'203'!OSRRefH22_12x_0</vt:lpstr>
      <vt:lpstr>'300'!OSRRefH22_12x_0</vt:lpstr>
      <vt:lpstr>'300 &amp; 317'!OSRRefH22_12x_0</vt:lpstr>
      <vt:lpstr>'301'!OSRRefH22_12x_0</vt:lpstr>
      <vt:lpstr>'308'!OSRRefH22_12x_0</vt:lpstr>
      <vt:lpstr>'310'!OSRRefH22_12x_0</vt:lpstr>
      <vt:lpstr>'310 &amp; 491'!OSRRefH22_12x_0</vt:lpstr>
      <vt:lpstr>'311'!OSRRefH22_12x_0</vt:lpstr>
      <vt:lpstr>'313'!OSRRefH22_12x_0</vt:lpstr>
      <vt:lpstr>'315'!OSRRefH22_12x_0</vt:lpstr>
      <vt:lpstr>'322'!OSRRefH22_12x_0</vt:lpstr>
      <vt:lpstr>'325'!OSRRefH22_12x_0</vt:lpstr>
      <vt:lpstr>'326'!OSRRefH22_12x_0</vt:lpstr>
      <vt:lpstr>'330'!OSRRefH22_12x_0</vt:lpstr>
      <vt:lpstr>'331'!OSRRefH22_12x_0</vt:lpstr>
      <vt:lpstr>'332'!OSRRefH22_12x_0</vt:lpstr>
      <vt:lpstr>'405'!OSRRefH22_12x_0</vt:lpstr>
      <vt:lpstr>'406'!OSRRefH22_12x_0</vt:lpstr>
      <vt:lpstr>'411'!OSRRefH22_12x_0</vt:lpstr>
      <vt:lpstr>'412'!OSRRefH22_12x_0</vt:lpstr>
      <vt:lpstr>'414'!OSRRefH22_12x_0</vt:lpstr>
      <vt:lpstr>'415'!OSRRefH22_12x_0</vt:lpstr>
      <vt:lpstr>'418'!OSRRefH22_12x_0</vt:lpstr>
      <vt:lpstr>'424'!OSRRefH22_12x_0</vt:lpstr>
      <vt:lpstr>'425'!OSRRefH22_12x_0</vt:lpstr>
      <vt:lpstr>'433'!OSRRefH22_12x_0</vt:lpstr>
      <vt:lpstr>'444'!OSRRefH22_12x_0</vt:lpstr>
      <vt:lpstr>'450'!OSRRefH22_12x_0</vt:lpstr>
      <vt:lpstr>'491'!OSRRefH22_12x_0</vt:lpstr>
      <vt:lpstr>'492'!OSRRefH22_12x_0</vt:lpstr>
      <vt:lpstr>'Div 2'!OSRRefH22_12x_0</vt:lpstr>
      <vt:lpstr>'Div 3'!OSRRefH22_12x_0</vt:lpstr>
      <vt:lpstr>'Div 4'!OSRRefH22_12x_0</vt:lpstr>
      <vt:lpstr>Summary!OSRRefH22_12x_0</vt:lpstr>
      <vt:lpstr>'201'!OSRRefH22_13x_0</vt:lpstr>
      <vt:lpstr>'202'!OSRRefH22_13x_0</vt:lpstr>
      <vt:lpstr>'203'!OSRRefH22_13x_0</vt:lpstr>
      <vt:lpstr>'300'!OSRRefH22_13x_0</vt:lpstr>
      <vt:lpstr>'300 &amp; 317'!OSRRefH22_13x_0</vt:lpstr>
      <vt:lpstr>'301'!OSRRefH22_13x_0</vt:lpstr>
      <vt:lpstr>'308'!OSRRefH22_13x_0</vt:lpstr>
      <vt:lpstr>'310'!OSRRefH22_13x_0</vt:lpstr>
      <vt:lpstr>'310 &amp; 491'!OSRRefH22_13x_0</vt:lpstr>
      <vt:lpstr>'311'!OSRRefH22_13x_0</vt:lpstr>
      <vt:lpstr>'325'!OSRRefH22_13x_0</vt:lpstr>
      <vt:lpstr>'326'!OSRRefH22_13x_0</vt:lpstr>
      <vt:lpstr>'331'!OSRRefH22_13x_0</vt:lpstr>
      <vt:lpstr>'332'!OSRRefH22_13x_0</vt:lpstr>
      <vt:lpstr>'405'!OSRRefH22_13x_0</vt:lpstr>
      <vt:lpstr>'411'!OSRRefH22_13x_0</vt:lpstr>
      <vt:lpstr>'414'!OSRRefH22_13x_0</vt:lpstr>
      <vt:lpstr>'415'!OSRRefH22_13x_0</vt:lpstr>
      <vt:lpstr>'418'!OSRRefH22_13x_0</vt:lpstr>
      <vt:lpstr>'425'!OSRRefH22_13x_0</vt:lpstr>
      <vt:lpstr>'433'!OSRRefH22_13x_0</vt:lpstr>
      <vt:lpstr>'444'!OSRRefH22_13x_0</vt:lpstr>
      <vt:lpstr>'450'!OSRRefH22_13x_0</vt:lpstr>
      <vt:lpstr>'491'!OSRRefH22_13x_0</vt:lpstr>
      <vt:lpstr>'492'!OSRRefH22_13x_0</vt:lpstr>
      <vt:lpstr>'Div 2'!OSRRefH22_13x_0</vt:lpstr>
      <vt:lpstr>'Div 3'!OSRRefH22_13x_0</vt:lpstr>
      <vt:lpstr>'Div 4'!OSRRefH22_13x_0</vt:lpstr>
      <vt:lpstr>Summary!OSRRefH22_13x_0</vt:lpstr>
      <vt:lpstr>'201'!OSRRefH22_14x_0</vt:lpstr>
      <vt:lpstr>'203'!OSRRefH22_14x_0</vt:lpstr>
      <vt:lpstr>'300'!OSRRefH22_14x_0</vt:lpstr>
      <vt:lpstr>'300 &amp; 317'!OSRRefH22_14x_0</vt:lpstr>
      <vt:lpstr>'301'!OSRRefH22_14x_0</vt:lpstr>
      <vt:lpstr>'308'!OSRRefH22_14x_0</vt:lpstr>
      <vt:lpstr>'310'!OSRRefH22_14x_0</vt:lpstr>
      <vt:lpstr>'310 &amp; 491'!OSRRefH22_14x_0</vt:lpstr>
      <vt:lpstr>'311'!OSRRefH22_14x_0</vt:lpstr>
      <vt:lpstr>'325'!OSRRefH22_14x_0</vt:lpstr>
      <vt:lpstr>'326'!OSRRefH22_14x_0</vt:lpstr>
      <vt:lpstr>'331'!OSRRefH22_14x_0</vt:lpstr>
      <vt:lpstr>'332'!OSRRefH22_14x_0</vt:lpstr>
      <vt:lpstr>'405'!OSRRefH22_14x_0</vt:lpstr>
      <vt:lpstr>'411'!OSRRefH22_14x_0</vt:lpstr>
      <vt:lpstr>'414'!OSRRefH22_14x_0</vt:lpstr>
      <vt:lpstr>'415'!OSRRefH22_14x_0</vt:lpstr>
      <vt:lpstr>'418'!OSRRefH22_14x_0</vt:lpstr>
      <vt:lpstr>'425'!OSRRefH22_14x_0</vt:lpstr>
      <vt:lpstr>'433'!OSRRefH22_14x_0</vt:lpstr>
      <vt:lpstr>'444'!OSRRefH22_14x_0</vt:lpstr>
      <vt:lpstr>'450'!OSRRefH22_14x_0</vt:lpstr>
      <vt:lpstr>'491'!OSRRefH22_14x_0</vt:lpstr>
      <vt:lpstr>'492'!OSRRefH22_14x_0</vt:lpstr>
      <vt:lpstr>'Div 2'!OSRRefH22_14x_0</vt:lpstr>
      <vt:lpstr>'Div 3'!OSRRefH22_14x_0</vt:lpstr>
      <vt:lpstr>'Div 4'!OSRRefH22_14x_0</vt:lpstr>
      <vt:lpstr>Summary!OSRRefH22_14x_0</vt:lpstr>
      <vt:lpstr>'201'!OSRRefH22_15x_0</vt:lpstr>
      <vt:lpstr>'203'!OSRRefH22_15x_0</vt:lpstr>
      <vt:lpstr>'300'!OSRRefH22_15x_0</vt:lpstr>
      <vt:lpstr>'300 &amp; 317'!OSRRefH22_15x_0</vt:lpstr>
      <vt:lpstr>'301'!OSRRefH22_15x_0</vt:lpstr>
      <vt:lpstr>'310'!OSRRefH22_15x_0</vt:lpstr>
      <vt:lpstr>'310 &amp; 491'!OSRRefH22_15x_0</vt:lpstr>
      <vt:lpstr>'325'!OSRRefH22_15x_0</vt:lpstr>
      <vt:lpstr>'326'!OSRRefH22_15x_0</vt:lpstr>
      <vt:lpstr>'331'!OSRRefH22_15x_0</vt:lpstr>
      <vt:lpstr>'405'!OSRRefH22_15x_0</vt:lpstr>
      <vt:lpstr>'411'!OSRRefH22_15x_0</vt:lpstr>
      <vt:lpstr>'415'!OSRRefH22_15x_0</vt:lpstr>
      <vt:lpstr>'433'!OSRRefH22_15x_0</vt:lpstr>
      <vt:lpstr>'444'!OSRRefH22_15x_0</vt:lpstr>
      <vt:lpstr>'450'!OSRRefH22_15x_0</vt:lpstr>
      <vt:lpstr>'491'!OSRRefH22_15x_0</vt:lpstr>
      <vt:lpstr>'492'!OSRRefH22_15x_0</vt:lpstr>
      <vt:lpstr>'Div 2'!OSRRefH22_15x_0</vt:lpstr>
      <vt:lpstr>'Div 3'!OSRRefH22_15x_0</vt:lpstr>
      <vt:lpstr>'Div 4'!OSRRefH22_15x_0</vt:lpstr>
      <vt:lpstr>Summary!OSRRefH22_15x_0</vt:lpstr>
      <vt:lpstr>'300'!OSRRefH22_16x_0</vt:lpstr>
      <vt:lpstr>'300 &amp; 317'!OSRRefH22_16x_0</vt:lpstr>
      <vt:lpstr>'301'!OSRRefH22_16x_0</vt:lpstr>
      <vt:lpstr>'310'!OSRRefH22_16x_0</vt:lpstr>
      <vt:lpstr>'310 &amp; 491'!OSRRefH22_16x_0</vt:lpstr>
      <vt:lpstr>'325'!OSRRefH22_16x_0</vt:lpstr>
      <vt:lpstr>'326'!OSRRefH22_16x_0</vt:lpstr>
      <vt:lpstr>'331'!OSRRefH22_16x_0</vt:lpstr>
      <vt:lpstr>'405'!OSRRefH22_16x_0</vt:lpstr>
      <vt:lpstr>'411'!OSRRefH22_16x_0</vt:lpstr>
      <vt:lpstr>'415'!OSRRefH22_16x_0</vt:lpstr>
      <vt:lpstr>'433'!OSRRefH22_16x_0</vt:lpstr>
      <vt:lpstr>'444'!OSRRefH22_16x_0</vt:lpstr>
      <vt:lpstr>'450'!OSRRefH22_16x_0</vt:lpstr>
      <vt:lpstr>'491'!OSRRefH22_16x_0</vt:lpstr>
      <vt:lpstr>'492'!OSRRefH22_16x_0</vt:lpstr>
      <vt:lpstr>'Div 2'!OSRRefH22_16x_0</vt:lpstr>
      <vt:lpstr>'Div 3'!OSRRefH22_16x_0</vt:lpstr>
      <vt:lpstr>'Div 4'!OSRRefH22_16x_0</vt:lpstr>
      <vt:lpstr>Summary!OSRRefH22_16x_0</vt:lpstr>
      <vt:lpstr>'300'!OSRRefH22_17x_0</vt:lpstr>
      <vt:lpstr>'300 &amp; 317'!OSRRefH22_17x_0</vt:lpstr>
      <vt:lpstr>'301'!OSRRefH22_17x_0</vt:lpstr>
      <vt:lpstr>'310'!OSRRefH22_17x_0</vt:lpstr>
      <vt:lpstr>'310 &amp; 491'!OSRRefH22_17x_0</vt:lpstr>
      <vt:lpstr>'326'!OSRRefH22_17x_0</vt:lpstr>
      <vt:lpstr>'331'!OSRRefH22_17x_0</vt:lpstr>
      <vt:lpstr>'411'!OSRRefH22_17x_0</vt:lpstr>
      <vt:lpstr>'415'!OSRRefH22_17x_0</vt:lpstr>
      <vt:lpstr>'450'!OSRRefH22_17x_0</vt:lpstr>
      <vt:lpstr>'491'!OSRRefH22_17x_0</vt:lpstr>
      <vt:lpstr>'492'!OSRRefH22_17x_0</vt:lpstr>
      <vt:lpstr>'Div 2'!OSRRefH22_17x_0</vt:lpstr>
      <vt:lpstr>'Div 3'!OSRRefH22_17x_0</vt:lpstr>
      <vt:lpstr>'Div 4'!OSRRefH22_17x_0</vt:lpstr>
      <vt:lpstr>Summary!OSRRefH22_17x_0</vt:lpstr>
      <vt:lpstr>'300'!OSRRefH22_18x_0</vt:lpstr>
      <vt:lpstr>'300 &amp; 317'!OSRRefH22_18x_0</vt:lpstr>
      <vt:lpstr>'301'!OSRRefH22_18x_0</vt:lpstr>
      <vt:lpstr>'310'!OSRRefH22_18x_0</vt:lpstr>
      <vt:lpstr>'310 &amp; 491'!OSRRefH22_18x_0</vt:lpstr>
      <vt:lpstr>'331'!OSRRefH22_18x_0</vt:lpstr>
      <vt:lpstr>'411'!OSRRefH22_18x_0</vt:lpstr>
      <vt:lpstr>'491'!OSRRefH22_18x_0</vt:lpstr>
      <vt:lpstr>'Div 2'!OSRRefH22_18x_0</vt:lpstr>
      <vt:lpstr>'Div 3'!OSRRefH22_18x_0</vt:lpstr>
      <vt:lpstr>'Div 4'!OSRRefH22_18x_0</vt:lpstr>
      <vt:lpstr>Summary!OSRRefH22_18x_0</vt:lpstr>
      <vt:lpstr>'300'!OSRRefH22_19x_0</vt:lpstr>
      <vt:lpstr>'300 &amp; 317'!OSRRefH22_19x_0</vt:lpstr>
      <vt:lpstr>'301'!OSRRefH22_19x_0</vt:lpstr>
      <vt:lpstr>'310'!OSRRefH22_19x_0</vt:lpstr>
      <vt:lpstr>'310 &amp; 491'!OSRRefH22_19x_0</vt:lpstr>
      <vt:lpstr>'331'!OSRRefH22_19x_0</vt:lpstr>
      <vt:lpstr>'491'!OSRRefH22_19x_0</vt:lpstr>
      <vt:lpstr>'Div 2'!OSRRefH22_19x_0</vt:lpstr>
      <vt:lpstr>'Div 3'!OSRRefH22_19x_0</vt:lpstr>
      <vt:lpstr>'Div 4'!OSRRefH22_19x_0</vt:lpstr>
      <vt:lpstr>Summary!OSRRefH22_19x_0</vt:lpstr>
      <vt:lpstr>'200'!OSRRefH22_1x_0</vt:lpstr>
      <vt:lpstr>'201'!OSRRefH22_1x_0</vt:lpstr>
      <vt:lpstr>'202'!OSRRefH22_1x_0</vt:lpstr>
      <vt:lpstr>'203'!OSRRefH22_1x_0</vt:lpstr>
      <vt:lpstr>'204'!OSRRefH22_1x_0</vt:lpstr>
      <vt:lpstr>'205'!OSRRefH22_1x_0</vt:lpstr>
      <vt:lpstr>'206'!OSRRefH22_1x_0</vt:lpstr>
      <vt:lpstr>'300'!OSRRefH22_1x_0</vt:lpstr>
      <vt:lpstr>'300 &amp; 317'!OSRRefH22_1x_0</vt:lpstr>
      <vt:lpstr>'301'!OSRRefH22_1x_0</vt:lpstr>
      <vt:lpstr>'306'!OSRRefH22_1x_0</vt:lpstr>
      <vt:lpstr>'307'!OSRRefH22_1x_0</vt:lpstr>
      <vt:lpstr>'308'!OSRRefH22_1x_0</vt:lpstr>
      <vt:lpstr>'309'!OSRRefH22_1x_0</vt:lpstr>
      <vt:lpstr>'310'!OSRRefH22_1x_0</vt:lpstr>
      <vt:lpstr>'310 &amp; 491'!OSRRefH22_1x_0</vt:lpstr>
      <vt:lpstr>'311'!OSRRefH22_1x_0</vt:lpstr>
      <vt:lpstr>'313'!OSRRefH22_1x_0</vt:lpstr>
      <vt:lpstr>'314'!OSRRefH22_1x_0</vt:lpstr>
      <vt:lpstr>'315'!OSRRefH22_1x_0</vt:lpstr>
      <vt:lpstr>'316'!OSRRefH22_1x_0</vt:lpstr>
      <vt:lpstr>'317'!OSRRefH22_1x_0</vt:lpstr>
      <vt:lpstr>'320'!OSRRefH22_1x_0</vt:lpstr>
      <vt:lpstr>'321'!OSRRefH22_1x_0</vt:lpstr>
      <vt:lpstr>'322'!OSRRefH22_1x_0</vt:lpstr>
      <vt:lpstr>'325'!OSRRefH22_1x_0</vt:lpstr>
      <vt:lpstr>'326'!OSRRefH22_1x_0</vt:lpstr>
      <vt:lpstr>'327'!OSRRefH22_1x_0</vt:lpstr>
      <vt:lpstr>'330'!OSRRefH22_1x_0</vt:lpstr>
      <vt:lpstr>'331'!OSRRefH22_1x_0</vt:lpstr>
      <vt:lpstr>'332'!OSRRefH22_1x_0</vt:lpstr>
      <vt:lpstr>'405'!OSRRefH22_1x_0</vt:lpstr>
      <vt:lpstr>'406'!OSRRefH22_1x_0</vt:lpstr>
      <vt:lpstr>'411'!OSRRefH22_1x_0</vt:lpstr>
      <vt:lpstr>'412'!OSRRefH22_1x_0</vt:lpstr>
      <vt:lpstr>'413'!OSRRefH22_1x_0</vt:lpstr>
      <vt:lpstr>'414'!OSRRefH22_1x_0</vt:lpstr>
      <vt:lpstr>'415'!OSRRefH22_1x_0</vt:lpstr>
      <vt:lpstr>'418'!OSRRefH22_1x_0</vt:lpstr>
      <vt:lpstr>'420'!OSRRefH22_1x_0</vt:lpstr>
      <vt:lpstr>'423'!OSRRefH22_1x_0</vt:lpstr>
      <vt:lpstr>'424'!OSRRefH22_1x_0</vt:lpstr>
      <vt:lpstr>'425'!OSRRefH22_1x_0</vt:lpstr>
      <vt:lpstr>'430'!OSRRefH22_1x_0</vt:lpstr>
      <vt:lpstr>'433'!OSRRefH22_1x_0</vt:lpstr>
      <vt:lpstr>'435'!OSRRefH22_1x_0</vt:lpstr>
      <vt:lpstr>'444'!OSRRefH22_1x_0</vt:lpstr>
      <vt:lpstr>'450'!OSRRefH22_1x_0</vt:lpstr>
      <vt:lpstr>'455'!OSRRefH22_1x_0</vt:lpstr>
      <vt:lpstr>'491'!OSRRefH22_1x_0</vt:lpstr>
      <vt:lpstr>'492'!OSRRefH22_1x_0</vt:lpstr>
      <vt:lpstr>'501'!OSRRefH22_1x_0</vt:lpstr>
      <vt:lpstr>'Div 2'!OSRRefH22_1x_0</vt:lpstr>
      <vt:lpstr>'Div 3'!OSRRefH22_1x_0</vt:lpstr>
      <vt:lpstr>'Div 4'!OSRRefH22_1x_0</vt:lpstr>
      <vt:lpstr>'Div 5'!OSRRefH22_1x_0</vt:lpstr>
      <vt:lpstr>'Div 6'!OSRRefH22_1x_0</vt:lpstr>
      <vt:lpstr>Summary!OSRRefH22_1x_0</vt:lpstr>
      <vt:lpstr>'300'!OSRRefH22_20x_0</vt:lpstr>
      <vt:lpstr>'300 &amp; 317'!OSRRefH22_20x_0</vt:lpstr>
      <vt:lpstr>'301'!OSRRefH22_20x_0</vt:lpstr>
      <vt:lpstr>'310'!OSRRefH22_20x_0</vt:lpstr>
      <vt:lpstr>'310 &amp; 491'!OSRRefH22_20x_0</vt:lpstr>
      <vt:lpstr>'331'!OSRRefH22_20x_0</vt:lpstr>
      <vt:lpstr>'491'!OSRRefH22_20x_0</vt:lpstr>
      <vt:lpstr>'Div 3'!OSRRefH22_20x_0</vt:lpstr>
      <vt:lpstr>'Div 4'!OSRRefH22_20x_0</vt:lpstr>
      <vt:lpstr>Summary!OSRRefH22_20x_0</vt:lpstr>
      <vt:lpstr>'300'!OSRRefH22_21x_0</vt:lpstr>
      <vt:lpstr>'300 &amp; 317'!OSRRefH22_21x_0</vt:lpstr>
      <vt:lpstr>'301'!OSRRefH22_21x_0</vt:lpstr>
      <vt:lpstr>'310'!OSRRefH22_21x_0</vt:lpstr>
      <vt:lpstr>'310 &amp; 491'!OSRRefH22_21x_0</vt:lpstr>
      <vt:lpstr>'491'!OSRRefH22_21x_0</vt:lpstr>
      <vt:lpstr>'Div 3'!OSRRefH22_21x_0</vt:lpstr>
      <vt:lpstr>'Div 4'!OSRRefH22_21x_0</vt:lpstr>
      <vt:lpstr>Summary!OSRRefH22_21x_0</vt:lpstr>
      <vt:lpstr>'300'!OSRRefH22_22x_0</vt:lpstr>
      <vt:lpstr>'300 &amp; 317'!OSRRefH22_22x_0</vt:lpstr>
      <vt:lpstr>'301'!OSRRefH22_22x_0</vt:lpstr>
      <vt:lpstr>'310 &amp; 491'!OSRRefH22_22x_0</vt:lpstr>
      <vt:lpstr>'491'!OSRRefH22_22x_0</vt:lpstr>
      <vt:lpstr>'Div 3'!OSRRefH22_22x_0</vt:lpstr>
      <vt:lpstr>'Div 4'!OSRRefH22_22x_0</vt:lpstr>
      <vt:lpstr>Summary!OSRRefH22_22x_0</vt:lpstr>
      <vt:lpstr>'300'!OSRRefH22_23x_0</vt:lpstr>
      <vt:lpstr>'300 &amp; 317'!OSRRefH22_23x_0</vt:lpstr>
      <vt:lpstr>'310 &amp; 491'!OSRRefH22_23x_0</vt:lpstr>
      <vt:lpstr>'491'!OSRRefH22_23x_0</vt:lpstr>
      <vt:lpstr>'Div 3'!OSRRefH22_23x_0</vt:lpstr>
      <vt:lpstr>'Div 4'!OSRRefH22_23x_0</vt:lpstr>
      <vt:lpstr>Summary!OSRRefH22_23x_0</vt:lpstr>
      <vt:lpstr>'300'!OSRRefH22_24x_0</vt:lpstr>
      <vt:lpstr>'300 &amp; 317'!OSRRefH22_24x_0</vt:lpstr>
      <vt:lpstr>'310 &amp; 491'!OSRRefH22_24x_0</vt:lpstr>
      <vt:lpstr>'Div 3'!OSRRefH22_24x_0</vt:lpstr>
      <vt:lpstr>'Div 4'!OSRRefH22_24x_0</vt:lpstr>
      <vt:lpstr>Summary!OSRRefH22_24x_0</vt:lpstr>
      <vt:lpstr>'Div 3'!OSRRefH22_25x_0</vt:lpstr>
      <vt:lpstr>Summary!OSRRefH22_25x_0</vt:lpstr>
      <vt:lpstr>Summary!OSRRefH22_26x_0</vt:lpstr>
      <vt:lpstr>'200'!OSRRefH22_2x_0</vt:lpstr>
      <vt:lpstr>'201'!OSRRefH22_2x_0</vt:lpstr>
      <vt:lpstr>'202'!OSRRefH22_2x_0</vt:lpstr>
      <vt:lpstr>'203'!OSRRefH22_2x_0</vt:lpstr>
      <vt:lpstr>'204'!OSRRefH22_2x_0</vt:lpstr>
      <vt:lpstr>'205'!OSRRefH22_2x_0</vt:lpstr>
      <vt:lpstr>'206'!OSRRefH22_2x_0</vt:lpstr>
      <vt:lpstr>'300'!OSRRefH22_2x_0</vt:lpstr>
      <vt:lpstr>'300 &amp; 317'!OSRRefH22_2x_0</vt:lpstr>
      <vt:lpstr>'301'!OSRRefH22_2x_0</vt:lpstr>
      <vt:lpstr>'306'!OSRRefH22_2x_0</vt:lpstr>
      <vt:lpstr>'307'!OSRRefH22_2x_0</vt:lpstr>
      <vt:lpstr>'308'!OSRRefH22_2x_0</vt:lpstr>
      <vt:lpstr>'309'!OSRRefH22_2x_0</vt:lpstr>
      <vt:lpstr>'310'!OSRRefH22_2x_0</vt:lpstr>
      <vt:lpstr>'310 &amp; 491'!OSRRefH22_2x_0</vt:lpstr>
      <vt:lpstr>'311'!OSRRefH22_2x_0</vt:lpstr>
      <vt:lpstr>'313'!OSRRefH22_2x_0</vt:lpstr>
      <vt:lpstr>'314'!OSRRefH22_2x_0</vt:lpstr>
      <vt:lpstr>'315'!OSRRefH22_2x_0</vt:lpstr>
      <vt:lpstr>'316'!OSRRefH22_2x_0</vt:lpstr>
      <vt:lpstr>'317'!OSRRefH22_2x_0</vt:lpstr>
      <vt:lpstr>'320'!OSRRefH22_2x_0</vt:lpstr>
      <vt:lpstr>'321'!OSRRefH22_2x_0</vt:lpstr>
      <vt:lpstr>'322'!OSRRefH22_2x_0</vt:lpstr>
      <vt:lpstr>'325'!OSRRefH22_2x_0</vt:lpstr>
      <vt:lpstr>'326'!OSRRefH22_2x_0</vt:lpstr>
      <vt:lpstr>'327'!OSRRefH22_2x_0</vt:lpstr>
      <vt:lpstr>'330'!OSRRefH22_2x_0</vt:lpstr>
      <vt:lpstr>'331'!OSRRefH22_2x_0</vt:lpstr>
      <vt:lpstr>'332'!OSRRefH22_2x_0</vt:lpstr>
      <vt:lpstr>'405'!OSRRefH22_2x_0</vt:lpstr>
      <vt:lpstr>'406'!OSRRefH22_2x_0</vt:lpstr>
      <vt:lpstr>'411'!OSRRefH22_2x_0</vt:lpstr>
      <vt:lpstr>'412'!OSRRefH22_2x_0</vt:lpstr>
      <vt:lpstr>'413'!OSRRefH22_2x_0</vt:lpstr>
      <vt:lpstr>'414'!OSRRefH22_2x_0</vt:lpstr>
      <vt:lpstr>'415'!OSRRefH22_2x_0</vt:lpstr>
      <vt:lpstr>'418'!OSRRefH22_2x_0</vt:lpstr>
      <vt:lpstr>'420'!OSRRefH22_2x_0</vt:lpstr>
      <vt:lpstr>'423'!OSRRefH22_2x_0</vt:lpstr>
      <vt:lpstr>'424'!OSRRefH22_2x_0</vt:lpstr>
      <vt:lpstr>'425'!OSRRefH22_2x_0</vt:lpstr>
      <vt:lpstr>'430'!OSRRefH22_2x_0</vt:lpstr>
      <vt:lpstr>'433'!OSRRefH22_2x_0</vt:lpstr>
      <vt:lpstr>'435'!OSRRefH22_2x_0</vt:lpstr>
      <vt:lpstr>'444'!OSRRefH22_2x_0</vt:lpstr>
      <vt:lpstr>'450'!OSRRefH22_2x_0</vt:lpstr>
      <vt:lpstr>'491'!OSRRefH22_2x_0</vt:lpstr>
      <vt:lpstr>'492'!OSRRefH22_2x_0</vt:lpstr>
      <vt:lpstr>'501'!OSRRefH22_2x_0</vt:lpstr>
      <vt:lpstr>'Div 2'!OSRRefH22_2x_0</vt:lpstr>
      <vt:lpstr>'Div 3'!OSRRefH22_2x_0</vt:lpstr>
      <vt:lpstr>'Div 4'!OSRRefH22_2x_0</vt:lpstr>
      <vt:lpstr>'Div 5'!OSRRefH22_2x_0</vt:lpstr>
      <vt:lpstr>'Div 6'!OSRRefH22_2x_0</vt:lpstr>
      <vt:lpstr>Summary!OSRRefH22_2x_0</vt:lpstr>
      <vt:lpstr>'200'!OSRRefH22_3x_0</vt:lpstr>
      <vt:lpstr>'201'!OSRRefH22_3x_0</vt:lpstr>
      <vt:lpstr>'202'!OSRRefH22_3x_0</vt:lpstr>
      <vt:lpstr>'203'!OSRRefH22_3x_0</vt:lpstr>
      <vt:lpstr>'204'!OSRRefH22_3x_0</vt:lpstr>
      <vt:lpstr>'205'!OSRRefH22_3x_0</vt:lpstr>
      <vt:lpstr>'206'!OSRRefH22_3x_0</vt:lpstr>
      <vt:lpstr>'300'!OSRRefH22_3x_0</vt:lpstr>
      <vt:lpstr>'300 &amp; 317'!OSRRefH22_3x_0</vt:lpstr>
      <vt:lpstr>'301'!OSRRefH22_3x_0</vt:lpstr>
      <vt:lpstr>'306'!OSRRefH22_3x_0</vt:lpstr>
      <vt:lpstr>'307'!OSRRefH22_3x_0</vt:lpstr>
      <vt:lpstr>'308'!OSRRefH22_3x_0</vt:lpstr>
      <vt:lpstr>'309'!OSRRefH22_3x_0</vt:lpstr>
      <vt:lpstr>'310'!OSRRefH22_3x_0</vt:lpstr>
      <vt:lpstr>'310 &amp; 491'!OSRRefH22_3x_0</vt:lpstr>
      <vt:lpstr>'311'!OSRRefH22_3x_0</vt:lpstr>
      <vt:lpstr>'313'!OSRRefH22_3x_0</vt:lpstr>
      <vt:lpstr>'314'!OSRRefH22_3x_0</vt:lpstr>
      <vt:lpstr>'315'!OSRRefH22_3x_0</vt:lpstr>
      <vt:lpstr>'316'!OSRRefH22_3x_0</vt:lpstr>
      <vt:lpstr>'317'!OSRRefH22_3x_0</vt:lpstr>
      <vt:lpstr>'320'!OSRRefH22_3x_0</vt:lpstr>
      <vt:lpstr>'321'!OSRRefH22_3x_0</vt:lpstr>
      <vt:lpstr>'322'!OSRRefH22_3x_0</vt:lpstr>
      <vt:lpstr>'325'!OSRRefH22_3x_0</vt:lpstr>
      <vt:lpstr>'326'!OSRRefH22_3x_0</vt:lpstr>
      <vt:lpstr>'330'!OSRRefH22_3x_0</vt:lpstr>
      <vt:lpstr>'331'!OSRRefH22_3x_0</vt:lpstr>
      <vt:lpstr>'332'!OSRRefH22_3x_0</vt:lpstr>
      <vt:lpstr>'405'!OSRRefH22_3x_0</vt:lpstr>
      <vt:lpstr>'406'!OSRRefH22_3x_0</vt:lpstr>
      <vt:lpstr>'411'!OSRRefH22_3x_0</vt:lpstr>
      <vt:lpstr>'412'!OSRRefH22_3x_0</vt:lpstr>
      <vt:lpstr>'413'!OSRRefH22_3x_0</vt:lpstr>
      <vt:lpstr>'414'!OSRRefH22_3x_0</vt:lpstr>
      <vt:lpstr>'415'!OSRRefH22_3x_0</vt:lpstr>
      <vt:lpstr>'418'!OSRRefH22_3x_0</vt:lpstr>
      <vt:lpstr>'420'!OSRRefH22_3x_0</vt:lpstr>
      <vt:lpstr>'423'!OSRRefH22_3x_0</vt:lpstr>
      <vt:lpstr>'424'!OSRRefH22_3x_0</vt:lpstr>
      <vt:lpstr>'425'!OSRRefH22_3x_0</vt:lpstr>
      <vt:lpstr>'430'!OSRRefH22_3x_0</vt:lpstr>
      <vt:lpstr>'433'!OSRRefH22_3x_0</vt:lpstr>
      <vt:lpstr>'435'!OSRRefH22_3x_0</vt:lpstr>
      <vt:lpstr>'444'!OSRRefH22_3x_0</vt:lpstr>
      <vt:lpstr>'450'!OSRRefH22_3x_0</vt:lpstr>
      <vt:lpstr>'491'!OSRRefH22_3x_0</vt:lpstr>
      <vt:lpstr>'492'!OSRRefH22_3x_0</vt:lpstr>
      <vt:lpstr>'501'!OSRRefH22_3x_0</vt:lpstr>
      <vt:lpstr>'Div 2'!OSRRefH22_3x_0</vt:lpstr>
      <vt:lpstr>'Div 3'!OSRRefH22_3x_0</vt:lpstr>
      <vt:lpstr>'Div 4'!OSRRefH22_3x_0</vt:lpstr>
      <vt:lpstr>'Div 5'!OSRRefH22_3x_0</vt:lpstr>
      <vt:lpstr>'Div 6'!OSRRefH22_3x_0</vt:lpstr>
      <vt:lpstr>Summary!OSRRefH22_3x_0</vt:lpstr>
      <vt:lpstr>'201'!OSRRefH22_4x_0</vt:lpstr>
      <vt:lpstr>'202'!OSRRefH22_4x_0</vt:lpstr>
      <vt:lpstr>'203'!OSRRefH22_4x_0</vt:lpstr>
      <vt:lpstr>'204'!OSRRefH22_4x_0</vt:lpstr>
      <vt:lpstr>'205'!OSRRefH22_4x_0</vt:lpstr>
      <vt:lpstr>'206'!OSRRefH22_4x_0</vt:lpstr>
      <vt:lpstr>'300'!OSRRefH22_4x_0</vt:lpstr>
      <vt:lpstr>'300 &amp; 317'!OSRRefH22_4x_0</vt:lpstr>
      <vt:lpstr>'301'!OSRRefH22_4x_0</vt:lpstr>
      <vt:lpstr>'306'!OSRRefH22_4x_0</vt:lpstr>
      <vt:lpstr>'307'!OSRRefH22_4x_0</vt:lpstr>
      <vt:lpstr>'308'!OSRRefH22_4x_0</vt:lpstr>
      <vt:lpstr>'309'!OSRRefH22_4x_0</vt:lpstr>
      <vt:lpstr>'310'!OSRRefH22_4x_0</vt:lpstr>
      <vt:lpstr>'310 &amp; 491'!OSRRefH22_4x_0</vt:lpstr>
      <vt:lpstr>'311'!OSRRefH22_4x_0</vt:lpstr>
      <vt:lpstr>'313'!OSRRefH22_4x_0</vt:lpstr>
      <vt:lpstr>'314'!OSRRefH22_4x_0</vt:lpstr>
      <vt:lpstr>'315'!OSRRefH22_4x_0</vt:lpstr>
      <vt:lpstr>'316'!OSRRefH22_4x_0</vt:lpstr>
      <vt:lpstr>'317'!OSRRefH22_4x_0</vt:lpstr>
      <vt:lpstr>'320'!OSRRefH22_4x_0</vt:lpstr>
      <vt:lpstr>'321'!OSRRefH22_4x_0</vt:lpstr>
      <vt:lpstr>'322'!OSRRefH22_4x_0</vt:lpstr>
      <vt:lpstr>'325'!OSRRefH22_4x_0</vt:lpstr>
      <vt:lpstr>'326'!OSRRefH22_4x_0</vt:lpstr>
      <vt:lpstr>'330'!OSRRefH22_4x_0</vt:lpstr>
      <vt:lpstr>'331'!OSRRefH22_4x_0</vt:lpstr>
      <vt:lpstr>'332'!OSRRefH22_4x_0</vt:lpstr>
      <vt:lpstr>'405'!OSRRefH22_4x_0</vt:lpstr>
      <vt:lpstr>'406'!OSRRefH22_4x_0</vt:lpstr>
      <vt:lpstr>'411'!OSRRefH22_4x_0</vt:lpstr>
      <vt:lpstr>'412'!OSRRefH22_4x_0</vt:lpstr>
      <vt:lpstr>'413'!OSRRefH22_4x_0</vt:lpstr>
      <vt:lpstr>'414'!OSRRefH22_4x_0</vt:lpstr>
      <vt:lpstr>'415'!OSRRefH22_4x_0</vt:lpstr>
      <vt:lpstr>'418'!OSRRefH22_4x_0</vt:lpstr>
      <vt:lpstr>'423'!OSRRefH22_4x_0</vt:lpstr>
      <vt:lpstr>'424'!OSRRefH22_4x_0</vt:lpstr>
      <vt:lpstr>'425'!OSRRefH22_4x_0</vt:lpstr>
      <vt:lpstr>'430'!OSRRefH22_4x_0</vt:lpstr>
      <vt:lpstr>'433'!OSRRefH22_4x_0</vt:lpstr>
      <vt:lpstr>'435'!OSRRefH22_4x_0</vt:lpstr>
      <vt:lpstr>'444'!OSRRefH22_4x_0</vt:lpstr>
      <vt:lpstr>'450'!OSRRefH22_4x_0</vt:lpstr>
      <vt:lpstr>'491'!OSRRefH22_4x_0</vt:lpstr>
      <vt:lpstr>'492'!OSRRefH22_4x_0</vt:lpstr>
      <vt:lpstr>'501'!OSRRefH22_4x_0</vt:lpstr>
      <vt:lpstr>'Div 2'!OSRRefH22_4x_0</vt:lpstr>
      <vt:lpstr>'Div 3'!OSRRefH22_4x_0</vt:lpstr>
      <vt:lpstr>'Div 4'!OSRRefH22_4x_0</vt:lpstr>
      <vt:lpstr>'Div 5'!OSRRefH22_4x_0</vt:lpstr>
      <vt:lpstr>'Div 6'!OSRRefH22_4x_0</vt:lpstr>
      <vt:lpstr>Summary!OSRRefH22_4x_0</vt:lpstr>
      <vt:lpstr>'201'!OSRRefH22_5x_0</vt:lpstr>
      <vt:lpstr>'202'!OSRRefH22_5x_0</vt:lpstr>
      <vt:lpstr>'203'!OSRRefH22_5x_0</vt:lpstr>
      <vt:lpstr>'204'!OSRRefH22_5x_0</vt:lpstr>
      <vt:lpstr>'205'!OSRRefH22_5x_0</vt:lpstr>
      <vt:lpstr>'206'!OSRRefH22_5x_0</vt:lpstr>
      <vt:lpstr>'300'!OSRRefH22_5x_0</vt:lpstr>
      <vt:lpstr>'300 &amp; 317'!OSRRefH22_5x_0</vt:lpstr>
      <vt:lpstr>'301'!OSRRefH22_5x_0</vt:lpstr>
      <vt:lpstr>'306'!OSRRefH22_5x_0</vt:lpstr>
      <vt:lpstr>'307'!OSRRefH22_5x_0</vt:lpstr>
      <vt:lpstr>'308'!OSRRefH22_5x_0</vt:lpstr>
      <vt:lpstr>'309'!OSRRefH22_5x_0</vt:lpstr>
      <vt:lpstr>'310'!OSRRefH22_5x_0</vt:lpstr>
      <vt:lpstr>'310 &amp; 491'!OSRRefH22_5x_0</vt:lpstr>
      <vt:lpstr>'311'!OSRRefH22_5x_0</vt:lpstr>
      <vt:lpstr>'313'!OSRRefH22_5x_0</vt:lpstr>
      <vt:lpstr>'314'!OSRRefH22_5x_0</vt:lpstr>
      <vt:lpstr>'315'!OSRRefH22_5x_0</vt:lpstr>
      <vt:lpstr>'316'!OSRRefH22_5x_0</vt:lpstr>
      <vt:lpstr>'317'!OSRRefH22_5x_0</vt:lpstr>
      <vt:lpstr>'320'!OSRRefH22_5x_0</vt:lpstr>
      <vt:lpstr>'321'!OSRRefH22_5x_0</vt:lpstr>
      <vt:lpstr>'322'!OSRRefH22_5x_0</vt:lpstr>
      <vt:lpstr>'325'!OSRRefH22_5x_0</vt:lpstr>
      <vt:lpstr>'326'!OSRRefH22_5x_0</vt:lpstr>
      <vt:lpstr>'330'!OSRRefH22_5x_0</vt:lpstr>
      <vt:lpstr>'331'!OSRRefH22_5x_0</vt:lpstr>
      <vt:lpstr>'332'!OSRRefH22_5x_0</vt:lpstr>
      <vt:lpstr>'405'!OSRRefH22_5x_0</vt:lpstr>
      <vt:lpstr>'406'!OSRRefH22_5x_0</vt:lpstr>
      <vt:lpstr>'411'!OSRRefH22_5x_0</vt:lpstr>
      <vt:lpstr>'412'!OSRRefH22_5x_0</vt:lpstr>
      <vt:lpstr>'413'!OSRRefH22_5x_0</vt:lpstr>
      <vt:lpstr>'414'!OSRRefH22_5x_0</vt:lpstr>
      <vt:lpstr>'415'!OSRRefH22_5x_0</vt:lpstr>
      <vt:lpstr>'418'!OSRRefH22_5x_0</vt:lpstr>
      <vt:lpstr>'423'!OSRRefH22_5x_0</vt:lpstr>
      <vt:lpstr>'424'!OSRRefH22_5x_0</vt:lpstr>
      <vt:lpstr>'425'!OSRRefH22_5x_0</vt:lpstr>
      <vt:lpstr>'430'!OSRRefH22_5x_0</vt:lpstr>
      <vt:lpstr>'433'!OSRRefH22_5x_0</vt:lpstr>
      <vt:lpstr>'435'!OSRRefH22_5x_0</vt:lpstr>
      <vt:lpstr>'444'!OSRRefH22_5x_0</vt:lpstr>
      <vt:lpstr>'450'!OSRRefH22_5x_0</vt:lpstr>
      <vt:lpstr>'491'!OSRRefH22_5x_0</vt:lpstr>
      <vt:lpstr>'492'!OSRRefH22_5x_0</vt:lpstr>
      <vt:lpstr>'501'!OSRRefH22_5x_0</vt:lpstr>
      <vt:lpstr>'Div 2'!OSRRefH22_5x_0</vt:lpstr>
      <vt:lpstr>'Div 3'!OSRRefH22_5x_0</vt:lpstr>
      <vt:lpstr>'Div 4'!OSRRefH22_5x_0</vt:lpstr>
      <vt:lpstr>'Div 5'!OSRRefH22_5x_0</vt:lpstr>
      <vt:lpstr>'Div 6'!OSRRefH22_5x_0</vt:lpstr>
      <vt:lpstr>Summary!OSRRefH22_5x_0</vt:lpstr>
      <vt:lpstr>'201'!OSRRefH22_6x_0</vt:lpstr>
      <vt:lpstr>'202'!OSRRefH22_6x_0</vt:lpstr>
      <vt:lpstr>'203'!OSRRefH22_6x_0</vt:lpstr>
      <vt:lpstr>'204'!OSRRefH22_6x_0</vt:lpstr>
      <vt:lpstr>'205'!OSRRefH22_6x_0</vt:lpstr>
      <vt:lpstr>'206'!OSRRefH22_6x_0</vt:lpstr>
      <vt:lpstr>'300'!OSRRefH22_6x_0</vt:lpstr>
      <vt:lpstr>'300 &amp; 317'!OSRRefH22_6x_0</vt:lpstr>
      <vt:lpstr>'301'!OSRRefH22_6x_0</vt:lpstr>
      <vt:lpstr>'306'!OSRRefH22_6x_0</vt:lpstr>
      <vt:lpstr>'307'!OSRRefH22_6x_0</vt:lpstr>
      <vt:lpstr>'308'!OSRRefH22_6x_0</vt:lpstr>
      <vt:lpstr>'309'!OSRRefH22_6x_0</vt:lpstr>
      <vt:lpstr>'310'!OSRRefH22_6x_0</vt:lpstr>
      <vt:lpstr>'310 &amp; 491'!OSRRefH22_6x_0</vt:lpstr>
      <vt:lpstr>'311'!OSRRefH22_6x_0</vt:lpstr>
      <vt:lpstr>'313'!OSRRefH22_6x_0</vt:lpstr>
      <vt:lpstr>'315'!OSRRefH22_6x_0</vt:lpstr>
      <vt:lpstr>'316'!OSRRefH22_6x_0</vt:lpstr>
      <vt:lpstr>'317'!OSRRefH22_6x_0</vt:lpstr>
      <vt:lpstr>'320'!OSRRefH22_6x_0</vt:lpstr>
      <vt:lpstr>'321'!OSRRefH22_6x_0</vt:lpstr>
      <vt:lpstr>'322'!OSRRefH22_6x_0</vt:lpstr>
      <vt:lpstr>'325'!OSRRefH22_6x_0</vt:lpstr>
      <vt:lpstr>'326'!OSRRefH22_6x_0</vt:lpstr>
      <vt:lpstr>'330'!OSRRefH22_6x_0</vt:lpstr>
      <vt:lpstr>'331'!OSRRefH22_6x_0</vt:lpstr>
      <vt:lpstr>'332'!OSRRefH22_6x_0</vt:lpstr>
      <vt:lpstr>'405'!OSRRefH22_6x_0</vt:lpstr>
      <vt:lpstr>'406'!OSRRefH22_6x_0</vt:lpstr>
      <vt:lpstr>'411'!OSRRefH22_6x_0</vt:lpstr>
      <vt:lpstr>'412'!OSRRefH22_6x_0</vt:lpstr>
      <vt:lpstr>'413'!OSRRefH22_6x_0</vt:lpstr>
      <vt:lpstr>'414'!OSRRefH22_6x_0</vt:lpstr>
      <vt:lpstr>'415'!OSRRefH22_6x_0</vt:lpstr>
      <vt:lpstr>'418'!OSRRefH22_6x_0</vt:lpstr>
      <vt:lpstr>'424'!OSRRefH22_6x_0</vt:lpstr>
      <vt:lpstr>'425'!OSRRefH22_6x_0</vt:lpstr>
      <vt:lpstr>'430'!OSRRefH22_6x_0</vt:lpstr>
      <vt:lpstr>'433'!OSRRefH22_6x_0</vt:lpstr>
      <vt:lpstr>'435'!OSRRefH22_6x_0</vt:lpstr>
      <vt:lpstr>'444'!OSRRefH22_6x_0</vt:lpstr>
      <vt:lpstr>'450'!OSRRefH22_6x_0</vt:lpstr>
      <vt:lpstr>'491'!OSRRefH22_6x_0</vt:lpstr>
      <vt:lpstr>'492'!OSRRefH22_6x_0</vt:lpstr>
      <vt:lpstr>'501'!OSRRefH22_6x_0</vt:lpstr>
      <vt:lpstr>'Div 2'!OSRRefH22_6x_0</vt:lpstr>
      <vt:lpstr>'Div 3'!OSRRefH22_6x_0</vt:lpstr>
      <vt:lpstr>'Div 4'!OSRRefH22_6x_0</vt:lpstr>
      <vt:lpstr>'Div 5'!OSRRefH22_6x_0</vt:lpstr>
      <vt:lpstr>'Div 6'!OSRRefH22_6x_0</vt:lpstr>
      <vt:lpstr>Summary!OSRRefH22_6x_0</vt:lpstr>
      <vt:lpstr>'201'!OSRRefH22_7x_0</vt:lpstr>
      <vt:lpstr>'202'!OSRRefH22_7x_0</vt:lpstr>
      <vt:lpstr>'203'!OSRRefH22_7x_0</vt:lpstr>
      <vt:lpstr>'204'!OSRRefH22_7x_0</vt:lpstr>
      <vt:lpstr>'205'!OSRRefH22_7x_0</vt:lpstr>
      <vt:lpstr>'206'!OSRRefH22_7x_0</vt:lpstr>
      <vt:lpstr>'300'!OSRRefH22_7x_0</vt:lpstr>
      <vt:lpstr>'300 &amp; 317'!OSRRefH22_7x_0</vt:lpstr>
      <vt:lpstr>'301'!OSRRefH22_7x_0</vt:lpstr>
      <vt:lpstr>'306'!OSRRefH22_7x_0</vt:lpstr>
      <vt:lpstr>'307'!OSRRefH22_7x_0</vt:lpstr>
      <vt:lpstr>'308'!OSRRefH22_7x_0</vt:lpstr>
      <vt:lpstr>'309'!OSRRefH22_7x_0</vt:lpstr>
      <vt:lpstr>'310'!OSRRefH22_7x_0</vt:lpstr>
      <vt:lpstr>'310 &amp; 491'!OSRRefH22_7x_0</vt:lpstr>
      <vt:lpstr>'311'!OSRRefH22_7x_0</vt:lpstr>
      <vt:lpstr>'313'!OSRRefH22_7x_0</vt:lpstr>
      <vt:lpstr>'315'!OSRRefH22_7x_0</vt:lpstr>
      <vt:lpstr>'316'!OSRRefH22_7x_0</vt:lpstr>
      <vt:lpstr>'317'!OSRRefH22_7x_0</vt:lpstr>
      <vt:lpstr>'320'!OSRRefH22_7x_0</vt:lpstr>
      <vt:lpstr>'321'!OSRRefH22_7x_0</vt:lpstr>
      <vt:lpstr>'322'!OSRRefH22_7x_0</vt:lpstr>
      <vt:lpstr>'325'!OSRRefH22_7x_0</vt:lpstr>
      <vt:lpstr>'326'!OSRRefH22_7x_0</vt:lpstr>
      <vt:lpstr>'330'!OSRRefH22_7x_0</vt:lpstr>
      <vt:lpstr>'331'!OSRRefH22_7x_0</vt:lpstr>
      <vt:lpstr>'332'!OSRRefH22_7x_0</vt:lpstr>
      <vt:lpstr>'405'!OSRRefH22_7x_0</vt:lpstr>
      <vt:lpstr>'406'!OSRRefH22_7x_0</vt:lpstr>
      <vt:lpstr>'411'!OSRRefH22_7x_0</vt:lpstr>
      <vt:lpstr>'412'!OSRRefH22_7x_0</vt:lpstr>
      <vt:lpstr>'413'!OSRRefH22_7x_0</vt:lpstr>
      <vt:lpstr>'414'!OSRRefH22_7x_0</vt:lpstr>
      <vt:lpstr>'415'!OSRRefH22_7x_0</vt:lpstr>
      <vt:lpstr>'418'!OSRRefH22_7x_0</vt:lpstr>
      <vt:lpstr>'424'!OSRRefH22_7x_0</vt:lpstr>
      <vt:lpstr>'425'!OSRRefH22_7x_0</vt:lpstr>
      <vt:lpstr>'430'!OSRRefH22_7x_0</vt:lpstr>
      <vt:lpstr>'433'!OSRRefH22_7x_0</vt:lpstr>
      <vt:lpstr>'435'!OSRRefH22_7x_0</vt:lpstr>
      <vt:lpstr>'444'!OSRRefH22_7x_0</vt:lpstr>
      <vt:lpstr>'450'!OSRRefH22_7x_0</vt:lpstr>
      <vt:lpstr>'491'!OSRRefH22_7x_0</vt:lpstr>
      <vt:lpstr>'492'!OSRRefH22_7x_0</vt:lpstr>
      <vt:lpstr>'501'!OSRRefH22_7x_0</vt:lpstr>
      <vt:lpstr>'Div 2'!OSRRefH22_7x_0</vt:lpstr>
      <vt:lpstr>'Div 3'!OSRRefH22_7x_0</vt:lpstr>
      <vt:lpstr>'Div 4'!OSRRefH22_7x_0</vt:lpstr>
      <vt:lpstr>'Div 5'!OSRRefH22_7x_0</vt:lpstr>
      <vt:lpstr>'Div 6'!OSRRefH22_7x_0</vt:lpstr>
      <vt:lpstr>Summary!OSRRefH22_7x_0</vt:lpstr>
      <vt:lpstr>'201'!OSRRefH22_8x_0</vt:lpstr>
      <vt:lpstr>'202'!OSRRefH22_8x_0</vt:lpstr>
      <vt:lpstr>'203'!OSRRefH22_8x_0</vt:lpstr>
      <vt:lpstr>'204'!OSRRefH22_8x_0</vt:lpstr>
      <vt:lpstr>'205'!OSRRefH22_8x_0</vt:lpstr>
      <vt:lpstr>'300'!OSRRefH22_8x_0</vt:lpstr>
      <vt:lpstr>'300 &amp; 317'!OSRRefH22_8x_0</vt:lpstr>
      <vt:lpstr>'301'!OSRRefH22_8x_0</vt:lpstr>
      <vt:lpstr>'306'!OSRRefH22_8x_0</vt:lpstr>
      <vt:lpstr>'307'!OSRRefH22_8x_0</vt:lpstr>
      <vt:lpstr>'308'!OSRRefH22_8x_0</vt:lpstr>
      <vt:lpstr>'309'!OSRRefH22_8x_0</vt:lpstr>
      <vt:lpstr>'310'!OSRRefH22_8x_0</vt:lpstr>
      <vt:lpstr>'310 &amp; 491'!OSRRefH22_8x_0</vt:lpstr>
      <vt:lpstr>'311'!OSRRefH22_8x_0</vt:lpstr>
      <vt:lpstr>'313'!OSRRefH22_8x_0</vt:lpstr>
      <vt:lpstr>'315'!OSRRefH22_8x_0</vt:lpstr>
      <vt:lpstr>'316'!OSRRefH22_8x_0</vt:lpstr>
      <vt:lpstr>'317'!OSRRefH22_8x_0</vt:lpstr>
      <vt:lpstr>'320'!OSRRefH22_8x_0</vt:lpstr>
      <vt:lpstr>'321'!OSRRefH22_8x_0</vt:lpstr>
      <vt:lpstr>'322'!OSRRefH22_8x_0</vt:lpstr>
      <vt:lpstr>'325'!OSRRefH22_8x_0</vt:lpstr>
      <vt:lpstr>'326'!OSRRefH22_8x_0</vt:lpstr>
      <vt:lpstr>'330'!OSRRefH22_8x_0</vt:lpstr>
      <vt:lpstr>'331'!OSRRefH22_8x_0</vt:lpstr>
      <vt:lpstr>'332'!OSRRefH22_8x_0</vt:lpstr>
      <vt:lpstr>'405'!OSRRefH22_8x_0</vt:lpstr>
      <vt:lpstr>'406'!OSRRefH22_8x_0</vt:lpstr>
      <vt:lpstr>'411'!OSRRefH22_8x_0</vt:lpstr>
      <vt:lpstr>'412'!OSRRefH22_8x_0</vt:lpstr>
      <vt:lpstr>'413'!OSRRefH22_8x_0</vt:lpstr>
      <vt:lpstr>'414'!OSRRefH22_8x_0</vt:lpstr>
      <vt:lpstr>'415'!OSRRefH22_8x_0</vt:lpstr>
      <vt:lpstr>'418'!OSRRefH22_8x_0</vt:lpstr>
      <vt:lpstr>'424'!OSRRefH22_8x_0</vt:lpstr>
      <vt:lpstr>'425'!OSRRefH22_8x_0</vt:lpstr>
      <vt:lpstr>'433'!OSRRefH22_8x_0</vt:lpstr>
      <vt:lpstr>'444'!OSRRefH22_8x_0</vt:lpstr>
      <vt:lpstr>'450'!OSRRefH22_8x_0</vt:lpstr>
      <vt:lpstr>'491'!OSRRefH22_8x_0</vt:lpstr>
      <vt:lpstr>'492'!OSRRefH22_8x_0</vt:lpstr>
      <vt:lpstr>'501'!OSRRefH22_8x_0</vt:lpstr>
      <vt:lpstr>'Div 2'!OSRRefH22_8x_0</vt:lpstr>
      <vt:lpstr>'Div 3'!OSRRefH22_8x_0</vt:lpstr>
      <vt:lpstr>'Div 4'!OSRRefH22_8x_0</vt:lpstr>
      <vt:lpstr>'Div 5'!OSRRefH22_8x_0</vt:lpstr>
      <vt:lpstr>'Div 6'!OSRRefH22_8x_0</vt:lpstr>
      <vt:lpstr>Summary!OSRRefH22_8x_0</vt:lpstr>
      <vt:lpstr>'201'!OSRRefH22_9x_0</vt:lpstr>
      <vt:lpstr>'202'!OSRRefH22_9x_0</vt:lpstr>
      <vt:lpstr>'203'!OSRRefH22_9x_0</vt:lpstr>
      <vt:lpstr>'204'!OSRRefH22_9x_0</vt:lpstr>
      <vt:lpstr>'300'!OSRRefH22_9x_0</vt:lpstr>
      <vt:lpstr>'300 &amp; 317'!OSRRefH22_9x_0</vt:lpstr>
      <vt:lpstr>'301'!OSRRefH22_9x_0</vt:lpstr>
      <vt:lpstr>'307'!OSRRefH22_9x_0</vt:lpstr>
      <vt:lpstr>'308'!OSRRefH22_9x_0</vt:lpstr>
      <vt:lpstr>'309'!OSRRefH22_9x_0</vt:lpstr>
      <vt:lpstr>'310'!OSRRefH22_9x_0</vt:lpstr>
      <vt:lpstr>'310 &amp; 491'!OSRRefH22_9x_0</vt:lpstr>
      <vt:lpstr>'311'!OSRRefH22_9x_0</vt:lpstr>
      <vt:lpstr>'313'!OSRRefH22_9x_0</vt:lpstr>
      <vt:lpstr>'315'!OSRRefH22_9x_0</vt:lpstr>
      <vt:lpstr>'316'!OSRRefH22_9x_0</vt:lpstr>
      <vt:lpstr>'317'!OSRRefH22_9x_0</vt:lpstr>
      <vt:lpstr>'321'!OSRRefH22_9x_0</vt:lpstr>
      <vt:lpstr>'322'!OSRRefH22_9x_0</vt:lpstr>
      <vt:lpstr>'325'!OSRRefH22_9x_0</vt:lpstr>
      <vt:lpstr>'326'!OSRRefH22_9x_0</vt:lpstr>
      <vt:lpstr>'330'!OSRRefH22_9x_0</vt:lpstr>
      <vt:lpstr>'331'!OSRRefH22_9x_0</vt:lpstr>
      <vt:lpstr>'332'!OSRRefH22_9x_0</vt:lpstr>
      <vt:lpstr>'405'!OSRRefH22_9x_0</vt:lpstr>
      <vt:lpstr>'406'!OSRRefH22_9x_0</vt:lpstr>
      <vt:lpstr>'411'!OSRRefH22_9x_0</vt:lpstr>
      <vt:lpstr>'412'!OSRRefH22_9x_0</vt:lpstr>
      <vt:lpstr>'413'!OSRRefH22_9x_0</vt:lpstr>
      <vt:lpstr>'414'!OSRRefH22_9x_0</vt:lpstr>
      <vt:lpstr>'415'!OSRRefH22_9x_0</vt:lpstr>
      <vt:lpstr>'418'!OSRRefH22_9x_0</vt:lpstr>
      <vt:lpstr>'424'!OSRRefH22_9x_0</vt:lpstr>
      <vt:lpstr>'425'!OSRRefH22_9x_0</vt:lpstr>
      <vt:lpstr>'433'!OSRRefH22_9x_0</vt:lpstr>
      <vt:lpstr>'444'!OSRRefH22_9x_0</vt:lpstr>
      <vt:lpstr>'450'!OSRRefH22_9x_0</vt:lpstr>
      <vt:lpstr>'491'!OSRRefH22_9x_0</vt:lpstr>
      <vt:lpstr>'492'!OSRRefH22_9x_0</vt:lpstr>
      <vt:lpstr>'501'!OSRRefH22_9x_0</vt:lpstr>
      <vt:lpstr>'Div 2'!OSRRefH22_9x_0</vt:lpstr>
      <vt:lpstr>'Div 3'!OSRRefH22_9x_0</vt:lpstr>
      <vt:lpstr>'Div 4'!OSRRefH22_9x_0</vt:lpstr>
      <vt:lpstr>'Div 5'!OSRRefH22_9x_0</vt:lpstr>
      <vt:lpstr>'Div 6'!OSRRefH22_9x_0</vt:lpstr>
      <vt:lpstr>Summary!OSRRefH22_9x_0</vt:lpstr>
      <vt:lpstr>'200'!OSRRefH22x_0</vt:lpstr>
      <vt:lpstr>'201'!OSRRefH22x_0</vt:lpstr>
      <vt:lpstr>'202'!OSRRefH22x_0</vt:lpstr>
      <vt:lpstr>'203'!OSRRefH22x_0</vt:lpstr>
      <vt:lpstr>'204'!OSRRefH22x_0</vt:lpstr>
      <vt:lpstr>'205'!OSRRefH22x_0</vt:lpstr>
      <vt:lpstr>'206'!OSRRefH22x_0</vt:lpstr>
      <vt:lpstr>'300'!OSRRefH22x_0</vt:lpstr>
      <vt:lpstr>'300 &amp; 317'!OSRRefH22x_0</vt:lpstr>
      <vt:lpstr>'301'!OSRRefH22x_0</vt:lpstr>
      <vt:lpstr>'306'!OSRRefH22x_0</vt:lpstr>
      <vt:lpstr>'307'!OSRRefH22x_0</vt:lpstr>
      <vt:lpstr>'308'!OSRRefH22x_0</vt:lpstr>
      <vt:lpstr>'309'!OSRRefH22x_0</vt:lpstr>
      <vt:lpstr>'310'!OSRRefH22x_0</vt:lpstr>
      <vt:lpstr>'310 &amp; 491'!OSRRefH22x_0</vt:lpstr>
      <vt:lpstr>'311'!OSRRefH22x_0</vt:lpstr>
      <vt:lpstr>'313'!OSRRefH22x_0</vt:lpstr>
      <vt:lpstr>'314'!OSRRefH22x_0</vt:lpstr>
      <vt:lpstr>'315'!OSRRefH22x_0</vt:lpstr>
      <vt:lpstr>'316'!OSRRefH22x_0</vt:lpstr>
      <vt:lpstr>'317'!OSRRefH22x_0</vt:lpstr>
      <vt:lpstr>'320'!OSRRefH22x_0</vt:lpstr>
      <vt:lpstr>'321'!OSRRefH22x_0</vt:lpstr>
      <vt:lpstr>'322'!OSRRefH22x_0</vt:lpstr>
      <vt:lpstr>'325'!OSRRefH22x_0</vt:lpstr>
      <vt:lpstr>'326'!OSRRefH22x_0</vt:lpstr>
      <vt:lpstr>'327'!OSRRefH22x_0</vt:lpstr>
      <vt:lpstr>'330'!OSRRefH22x_0</vt:lpstr>
      <vt:lpstr>'331'!OSRRefH22x_0</vt:lpstr>
      <vt:lpstr>'332'!OSRRefH22x_0</vt:lpstr>
      <vt:lpstr>'405'!OSRRefH22x_0</vt:lpstr>
      <vt:lpstr>'406'!OSRRefH22x_0</vt:lpstr>
      <vt:lpstr>'411'!OSRRefH22x_0</vt:lpstr>
      <vt:lpstr>'412'!OSRRefH22x_0</vt:lpstr>
      <vt:lpstr>'413'!OSRRefH22x_0</vt:lpstr>
      <vt:lpstr>'414'!OSRRefH22x_0</vt:lpstr>
      <vt:lpstr>'415'!OSRRefH22x_0</vt:lpstr>
      <vt:lpstr>'418'!OSRRefH22x_0</vt:lpstr>
      <vt:lpstr>'420'!OSRRefH22x_0</vt:lpstr>
      <vt:lpstr>'423'!OSRRefH22x_0</vt:lpstr>
      <vt:lpstr>'424'!OSRRefH22x_0</vt:lpstr>
      <vt:lpstr>'425'!OSRRefH22x_0</vt:lpstr>
      <vt:lpstr>'430'!OSRRefH22x_0</vt:lpstr>
      <vt:lpstr>'433'!OSRRefH22x_0</vt:lpstr>
      <vt:lpstr>'435'!OSRRefH22x_0</vt:lpstr>
      <vt:lpstr>'444'!OSRRefH22x_0</vt:lpstr>
      <vt:lpstr>'450'!OSRRefH22x_0</vt:lpstr>
      <vt:lpstr>'455'!OSRRefH22x_0</vt:lpstr>
      <vt:lpstr>'491'!OSRRefH22x_0</vt:lpstr>
      <vt:lpstr>'492'!OSRRefH22x_0</vt:lpstr>
      <vt:lpstr>'501'!OSRRefH22x_0</vt:lpstr>
      <vt:lpstr>'Div 2'!OSRRefH22x_0</vt:lpstr>
      <vt:lpstr>'Div 3'!OSRRefH22x_0</vt:lpstr>
      <vt:lpstr>'Div 4'!OSRRefH22x_0</vt:lpstr>
      <vt:lpstr>'Div 5'!OSRRefH22x_0</vt:lpstr>
      <vt:lpstr>'Div 6'!OSRRefH22x_0</vt:lpstr>
      <vt:lpstr>Summary!OSRRefH22x_0</vt:lpstr>
      <vt:lpstr>'300'!OSRRefH25x_0</vt:lpstr>
      <vt:lpstr>'300 &amp; 317'!OSRRefH25x_0</vt:lpstr>
      <vt:lpstr>'301'!OSRRefH25x_0</vt:lpstr>
      <vt:lpstr>'308'!OSRRefH25x_0</vt:lpstr>
      <vt:lpstr>'310 &amp; 491'!OSRRefH25x_0</vt:lpstr>
      <vt:lpstr>'311'!OSRRefH25x_0</vt:lpstr>
      <vt:lpstr>'315'!OSRRefH25x_0</vt:lpstr>
      <vt:lpstr>'316'!OSRRefH25x_0</vt:lpstr>
      <vt:lpstr>'317'!OSRRefH25x_0</vt:lpstr>
      <vt:lpstr>'320'!OSRRefH25x_0</vt:lpstr>
      <vt:lpstr>'331'!OSRRefH25x_0</vt:lpstr>
      <vt:lpstr>'332'!OSRRefH25x_0</vt:lpstr>
      <vt:lpstr>'411'!OSRRefH25x_0</vt:lpstr>
      <vt:lpstr>'413'!OSRRefH25x_0</vt:lpstr>
      <vt:lpstr>'418'!OSRRefH25x_0</vt:lpstr>
      <vt:lpstr>'423'!OSRRefH25x_0</vt:lpstr>
      <vt:lpstr>'424'!OSRRefH25x_0</vt:lpstr>
      <vt:lpstr>'425'!OSRRefH25x_0</vt:lpstr>
      <vt:lpstr>'455'!OSRRefH25x_0</vt:lpstr>
      <vt:lpstr>'491'!OSRRefH25x_0</vt:lpstr>
      <vt:lpstr>'501'!OSRRefH25x_0</vt:lpstr>
      <vt:lpstr>'Div 3'!OSRRefH25x_0</vt:lpstr>
      <vt:lpstr>'Div 4'!OSRRefH25x_0</vt:lpstr>
      <vt:lpstr>'Div 5'!OSRRefH25x_0</vt:lpstr>
      <vt:lpstr>'Div 6'!OSRRefH25x_0</vt:lpstr>
      <vt:lpstr>Summary!OSRRefH25x_0</vt:lpstr>
      <vt:lpstr>'300'!OSRRefP13x_0</vt:lpstr>
      <vt:lpstr>'300 &amp; 317'!OSRRefP13x_0</vt:lpstr>
      <vt:lpstr>'307'!OSRRefP13x_0</vt:lpstr>
      <vt:lpstr>'308'!OSRRefP13x_0</vt:lpstr>
      <vt:lpstr>'309'!OSRRefP13x_0</vt:lpstr>
      <vt:lpstr>'310'!OSRRefP13x_0</vt:lpstr>
      <vt:lpstr>'310 &amp; 491'!OSRRefP13x_0</vt:lpstr>
      <vt:lpstr>'311'!OSRRefP13x_0</vt:lpstr>
      <vt:lpstr>'313'!OSRRefP13x_0</vt:lpstr>
      <vt:lpstr>'314'!OSRRefP13x_0</vt:lpstr>
      <vt:lpstr>'315'!OSRRefP13x_0</vt:lpstr>
      <vt:lpstr>'316'!OSRRefP13x_0</vt:lpstr>
      <vt:lpstr>'317'!OSRRefP13x_0</vt:lpstr>
      <vt:lpstr>'320'!OSRRefP13x_0</vt:lpstr>
      <vt:lpstr>'321'!OSRRefP13x_0</vt:lpstr>
      <vt:lpstr>'322'!OSRRefP13x_0</vt:lpstr>
      <vt:lpstr>'324'!OSRRefP13x_0</vt:lpstr>
      <vt:lpstr>'325'!OSRRefP13x_0</vt:lpstr>
      <vt:lpstr>'326'!OSRRefP13x_0</vt:lpstr>
      <vt:lpstr>'327'!OSRRefP13x_0</vt:lpstr>
      <vt:lpstr>'330'!OSRRefP13x_0</vt:lpstr>
      <vt:lpstr>'331'!OSRRefP13x_0</vt:lpstr>
      <vt:lpstr>'332'!OSRRefP13x_0</vt:lpstr>
      <vt:lpstr>'405'!OSRRefP13x_0</vt:lpstr>
      <vt:lpstr>'406'!OSRRefP13x_0</vt:lpstr>
      <vt:lpstr>'412'!OSRRefP13x_0</vt:lpstr>
      <vt:lpstr>'413'!OSRRefP13x_0</vt:lpstr>
      <vt:lpstr>'414'!OSRRefP13x_0</vt:lpstr>
      <vt:lpstr>'415'!OSRRefP13x_0</vt:lpstr>
      <vt:lpstr>'418'!OSRRefP13x_0</vt:lpstr>
      <vt:lpstr>'420'!OSRRefP13x_0</vt:lpstr>
      <vt:lpstr>'424'!OSRRefP13x_0</vt:lpstr>
      <vt:lpstr>'425'!OSRRefP13x_0</vt:lpstr>
      <vt:lpstr>'433'!OSRRefP13x_0</vt:lpstr>
      <vt:lpstr>'435'!OSRRefP13x_0</vt:lpstr>
      <vt:lpstr>'444'!OSRRefP13x_0</vt:lpstr>
      <vt:lpstr>'450'!OSRRefP13x_0</vt:lpstr>
      <vt:lpstr>'491'!OSRRefP13x_0</vt:lpstr>
      <vt:lpstr>'492'!OSRRefP13x_0</vt:lpstr>
      <vt:lpstr>'501'!OSRRefP13x_0</vt:lpstr>
      <vt:lpstr>'Div 3'!OSRRefP13x_0</vt:lpstr>
      <vt:lpstr>'Div 4'!OSRRefP13x_0</vt:lpstr>
      <vt:lpstr>'Div 5'!OSRRefP13x_0</vt:lpstr>
      <vt:lpstr>'Div 6'!OSRRefP13x_0</vt:lpstr>
      <vt:lpstr>Summary!OSRRefP13x_0</vt:lpstr>
      <vt:lpstr>'300'!OSRRefP16x_0</vt:lpstr>
      <vt:lpstr>'300 &amp; 317'!OSRRefP16x_0</vt:lpstr>
      <vt:lpstr>'307'!OSRRefP16x_0</vt:lpstr>
      <vt:lpstr>'308'!OSRRefP16x_0</vt:lpstr>
      <vt:lpstr>'309'!OSRRefP16x_0</vt:lpstr>
      <vt:lpstr>'310'!OSRRefP16x_0</vt:lpstr>
      <vt:lpstr>'310 &amp; 491'!OSRRefP16x_0</vt:lpstr>
      <vt:lpstr>'311'!OSRRefP16x_0</vt:lpstr>
      <vt:lpstr>'313'!OSRRefP16x_0</vt:lpstr>
      <vt:lpstr>'314'!OSRRefP16x_0</vt:lpstr>
      <vt:lpstr>'315'!OSRRefP16x_0</vt:lpstr>
      <vt:lpstr>'317'!OSRRefP16x_0</vt:lpstr>
      <vt:lpstr>'320'!OSRRefP16x_0</vt:lpstr>
      <vt:lpstr>'321'!OSRRefP16x_0</vt:lpstr>
      <vt:lpstr>'322'!OSRRefP16x_0</vt:lpstr>
      <vt:lpstr>'324'!OSRRefP16x_0</vt:lpstr>
      <vt:lpstr>'325'!OSRRefP16x_0</vt:lpstr>
      <vt:lpstr>'326'!OSRRefP16x_0</vt:lpstr>
      <vt:lpstr>'327'!OSRRefP16x_0</vt:lpstr>
      <vt:lpstr>'330'!OSRRefP16x_0</vt:lpstr>
      <vt:lpstr>'331'!OSRRefP16x_0</vt:lpstr>
      <vt:lpstr>'332'!OSRRefP16x_0</vt:lpstr>
      <vt:lpstr>'405'!OSRRefP16x_0</vt:lpstr>
      <vt:lpstr>'406'!OSRRefP16x_0</vt:lpstr>
      <vt:lpstr>'412'!OSRRefP16x_0</vt:lpstr>
      <vt:lpstr>'413'!OSRRefP16x_0</vt:lpstr>
      <vt:lpstr>'414'!OSRRefP16x_0</vt:lpstr>
      <vt:lpstr>'415'!OSRRefP16x_0</vt:lpstr>
      <vt:lpstr>'418'!OSRRefP16x_0</vt:lpstr>
      <vt:lpstr>'423'!OSRRefP16x_0</vt:lpstr>
      <vt:lpstr>'424'!OSRRefP16x_0</vt:lpstr>
      <vt:lpstr>'425'!OSRRefP16x_0</vt:lpstr>
      <vt:lpstr>'433'!OSRRefP16x_0</vt:lpstr>
      <vt:lpstr>'435'!OSRRefP16x_0</vt:lpstr>
      <vt:lpstr>'444'!OSRRefP16x_0</vt:lpstr>
      <vt:lpstr>'450'!OSRRefP16x_0</vt:lpstr>
      <vt:lpstr>'491'!OSRRefP16x_0</vt:lpstr>
      <vt:lpstr>'492'!OSRRefP16x_0</vt:lpstr>
      <vt:lpstr>'Div 3'!OSRRefP16x_0</vt:lpstr>
      <vt:lpstr>'Div 4'!OSRRefP16x_0</vt:lpstr>
      <vt:lpstr>'Div 6'!OSRRefP16x_0</vt:lpstr>
      <vt:lpstr>Summary!OSRRefP16x_0</vt:lpstr>
      <vt:lpstr>'200'!OSRRefP22_0x_0</vt:lpstr>
      <vt:lpstr>'201'!OSRRefP22_0x_0</vt:lpstr>
      <vt:lpstr>'202'!OSRRefP22_0x_0</vt:lpstr>
      <vt:lpstr>'203'!OSRRefP22_0x_0</vt:lpstr>
      <vt:lpstr>'204'!OSRRefP22_0x_0</vt:lpstr>
      <vt:lpstr>'205'!OSRRefP22_0x_0</vt:lpstr>
      <vt:lpstr>'206'!OSRRefP22_0x_0</vt:lpstr>
      <vt:lpstr>'300'!OSRRefP22_0x_0</vt:lpstr>
      <vt:lpstr>'300 &amp; 317'!OSRRefP22_0x_0</vt:lpstr>
      <vt:lpstr>'301'!OSRRefP22_0x_0</vt:lpstr>
      <vt:lpstr>'306'!OSRRefP22_0x_0</vt:lpstr>
      <vt:lpstr>'307'!OSRRefP22_0x_0</vt:lpstr>
      <vt:lpstr>'308'!OSRRefP22_0x_0</vt:lpstr>
      <vt:lpstr>'309'!OSRRefP22_0x_0</vt:lpstr>
      <vt:lpstr>'310'!OSRRefP22_0x_0</vt:lpstr>
      <vt:lpstr>'310 &amp; 491'!OSRRefP22_0x_0</vt:lpstr>
      <vt:lpstr>'311'!OSRRefP22_0x_0</vt:lpstr>
      <vt:lpstr>'313'!OSRRefP22_0x_0</vt:lpstr>
      <vt:lpstr>'314'!OSRRefP22_0x_0</vt:lpstr>
      <vt:lpstr>'315'!OSRRefP22_0x_0</vt:lpstr>
      <vt:lpstr>'316'!OSRRefP22_0x_0</vt:lpstr>
      <vt:lpstr>'317'!OSRRefP22_0x_0</vt:lpstr>
      <vt:lpstr>'320'!OSRRefP22_0x_0</vt:lpstr>
      <vt:lpstr>'321'!OSRRefP22_0x_0</vt:lpstr>
      <vt:lpstr>'322'!OSRRefP22_0x_0</vt:lpstr>
      <vt:lpstr>'325'!OSRRefP22_0x_0</vt:lpstr>
      <vt:lpstr>'326'!OSRRefP22_0x_0</vt:lpstr>
      <vt:lpstr>'327'!OSRRefP22_0x_0</vt:lpstr>
      <vt:lpstr>'330'!OSRRefP22_0x_0</vt:lpstr>
      <vt:lpstr>'331'!OSRRefP22_0x_0</vt:lpstr>
      <vt:lpstr>'332'!OSRRefP22_0x_0</vt:lpstr>
      <vt:lpstr>'405'!OSRRefP22_0x_0</vt:lpstr>
      <vt:lpstr>'406'!OSRRefP22_0x_0</vt:lpstr>
      <vt:lpstr>'411'!OSRRefP22_0x_0</vt:lpstr>
      <vt:lpstr>'412'!OSRRefP22_0x_0</vt:lpstr>
      <vt:lpstr>'413'!OSRRefP22_0x_0</vt:lpstr>
      <vt:lpstr>'414'!OSRRefP22_0x_0</vt:lpstr>
      <vt:lpstr>'415'!OSRRefP22_0x_0</vt:lpstr>
      <vt:lpstr>'418'!OSRRefP22_0x_0</vt:lpstr>
      <vt:lpstr>'420'!OSRRefP22_0x_0</vt:lpstr>
      <vt:lpstr>'423'!OSRRefP22_0x_0</vt:lpstr>
      <vt:lpstr>'424'!OSRRefP22_0x_0</vt:lpstr>
      <vt:lpstr>'425'!OSRRefP22_0x_0</vt:lpstr>
      <vt:lpstr>'430'!OSRRefP22_0x_0</vt:lpstr>
      <vt:lpstr>'433'!OSRRefP22_0x_0</vt:lpstr>
      <vt:lpstr>'435'!OSRRefP22_0x_0</vt:lpstr>
      <vt:lpstr>'444'!OSRRefP22_0x_0</vt:lpstr>
      <vt:lpstr>'450'!OSRRefP22_0x_0</vt:lpstr>
      <vt:lpstr>'455'!OSRRefP22_0x_0</vt:lpstr>
      <vt:lpstr>'491'!OSRRefP22_0x_0</vt:lpstr>
      <vt:lpstr>'492'!OSRRefP22_0x_0</vt:lpstr>
      <vt:lpstr>'501'!OSRRefP22_0x_0</vt:lpstr>
      <vt:lpstr>'Div 2'!OSRRefP22_0x_0</vt:lpstr>
      <vt:lpstr>'Div 3'!OSRRefP22_0x_0</vt:lpstr>
      <vt:lpstr>'Div 4'!OSRRefP22_0x_0</vt:lpstr>
      <vt:lpstr>'Div 5'!OSRRefP22_0x_0</vt:lpstr>
      <vt:lpstr>'Div 6'!OSRRefP22_0x_0</vt:lpstr>
      <vt:lpstr>Summary!OSRRefP22_0x_0</vt:lpstr>
      <vt:lpstr>'201'!OSRRefP22_10x_0</vt:lpstr>
      <vt:lpstr>'202'!OSRRefP22_10x_0</vt:lpstr>
      <vt:lpstr>'203'!OSRRefP22_10x_0</vt:lpstr>
      <vt:lpstr>'300'!OSRRefP22_10x_0</vt:lpstr>
      <vt:lpstr>'300 &amp; 317'!OSRRefP22_10x_0</vt:lpstr>
      <vt:lpstr>'301'!OSRRefP22_10x_0</vt:lpstr>
      <vt:lpstr>'307'!OSRRefP22_10x_0</vt:lpstr>
      <vt:lpstr>'308'!OSRRefP22_10x_0</vt:lpstr>
      <vt:lpstr>'309'!OSRRefP22_10x_0</vt:lpstr>
      <vt:lpstr>'310'!OSRRefP22_10x_0</vt:lpstr>
      <vt:lpstr>'310 &amp; 491'!OSRRefP22_10x_0</vt:lpstr>
      <vt:lpstr>'311'!OSRRefP22_10x_0</vt:lpstr>
      <vt:lpstr>'313'!OSRRefP22_10x_0</vt:lpstr>
      <vt:lpstr>'315'!OSRRefP22_10x_0</vt:lpstr>
      <vt:lpstr>'316'!OSRRefP22_10x_0</vt:lpstr>
      <vt:lpstr>'317'!OSRRefP22_10x_0</vt:lpstr>
      <vt:lpstr>'321'!OSRRefP22_10x_0</vt:lpstr>
      <vt:lpstr>'322'!OSRRefP22_10x_0</vt:lpstr>
      <vt:lpstr>'325'!OSRRefP22_10x_0</vt:lpstr>
      <vt:lpstr>'326'!OSRRefP22_10x_0</vt:lpstr>
      <vt:lpstr>'330'!OSRRefP22_10x_0</vt:lpstr>
      <vt:lpstr>'331'!OSRRefP22_10x_0</vt:lpstr>
      <vt:lpstr>'332'!OSRRefP22_10x_0</vt:lpstr>
      <vt:lpstr>'405'!OSRRefP22_10x_0</vt:lpstr>
      <vt:lpstr>'406'!OSRRefP22_10x_0</vt:lpstr>
      <vt:lpstr>'411'!OSRRefP22_10x_0</vt:lpstr>
      <vt:lpstr>'412'!OSRRefP22_10x_0</vt:lpstr>
      <vt:lpstr>'413'!OSRRefP22_10x_0</vt:lpstr>
      <vt:lpstr>'414'!OSRRefP22_10x_0</vt:lpstr>
      <vt:lpstr>'415'!OSRRefP22_10x_0</vt:lpstr>
      <vt:lpstr>'418'!OSRRefP22_10x_0</vt:lpstr>
      <vt:lpstr>'424'!OSRRefP22_10x_0</vt:lpstr>
      <vt:lpstr>'425'!OSRRefP22_10x_0</vt:lpstr>
      <vt:lpstr>'433'!OSRRefP22_10x_0</vt:lpstr>
      <vt:lpstr>'444'!OSRRefP22_10x_0</vt:lpstr>
      <vt:lpstr>'450'!OSRRefP22_10x_0</vt:lpstr>
      <vt:lpstr>'491'!OSRRefP22_10x_0</vt:lpstr>
      <vt:lpstr>'492'!OSRRefP22_10x_0</vt:lpstr>
      <vt:lpstr>'501'!OSRRefP22_10x_0</vt:lpstr>
      <vt:lpstr>'Div 2'!OSRRefP22_10x_0</vt:lpstr>
      <vt:lpstr>'Div 3'!OSRRefP22_10x_0</vt:lpstr>
      <vt:lpstr>'Div 4'!OSRRefP22_10x_0</vt:lpstr>
      <vt:lpstr>'Div 5'!OSRRefP22_10x_0</vt:lpstr>
      <vt:lpstr>'Div 6'!OSRRefP22_10x_0</vt:lpstr>
      <vt:lpstr>Summary!OSRRefP22_10x_0</vt:lpstr>
      <vt:lpstr>'201'!OSRRefP22_11x_0</vt:lpstr>
      <vt:lpstr>'202'!OSRRefP22_11x_0</vt:lpstr>
      <vt:lpstr>'203'!OSRRefP22_11x_0</vt:lpstr>
      <vt:lpstr>'300'!OSRRefP22_11x_0</vt:lpstr>
      <vt:lpstr>'300 &amp; 317'!OSRRefP22_11x_0</vt:lpstr>
      <vt:lpstr>'301'!OSRRefP22_11x_0</vt:lpstr>
      <vt:lpstr>'307'!OSRRefP22_11x_0</vt:lpstr>
      <vt:lpstr>'308'!OSRRefP22_11x_0</vt:lpstr>
      <vt:lpstr>'310'!OSRRefP22_11x_0</vt:lpstr>
      <vt:lpstr>'310 &amp; 491'!OSRRefP22_11x_0</vt:lpstr>
      <vt:lpstr>'311'!OSRRefP22_11x_0</vt:lpstr>
      <vt:lpstr>'313'!OSRRefP22_11x_0</vt:lpstr>
      <vt:lpstr>'315'!OSRRefP22_11x_0</vt:lpstr>
      <vt:lpstr>'316'!OSRRefP22_11x_0</vt:lpstr>
      <vt:lpstr>'317'!OSRRefP22_11x_0</vt:lpstr>
      <vt:lpstr>'321'!OSRRefP22_11x_0</vt:lpstr>
      <vt:lpstr>'322'!OSRRefP22_11x_0</vt:lpstr>
      <vt:lpstr>'325'!OSRRefP22_11x_0</vt:lpstr>
      <vt:lpstr>'326'!OSRRefP22_11x_0</vt:lpstr>
      <vt:lpstr>'330'!OSRRefP22_11x_0</vt:lpstr>
      <vt:lpstr>'331'!OSRRefP22_11x_0</vt:lpstr>
      <vt:lpstr>'332'!OSRRefP22_11x_0</vt:lpstr>
      <vt:lpstr>'405'!OSRRefP22_11x_0</vt:lpstr>
      <vt:lpstr>'406'!OSRRefP22_11x_0</vt:lpstr>
      <vt:lpstr>'411'!OSRRefP22_11x_0</vt:lpstr>
      <vt:lpstr>'412'!OSRRefP22_11x_0</vt:lpstr>
      <vt:lpstr>'414'!OSRRefP22_11x_0</vt:lpstr>
      <vt:lpstr>'415'!OSRRefP22_11x_0</vt:lpstr>
      <vt:lpstr>'418'!OSRRefP22_11x_0</vt:lpstr>
      <vt:lpstr>'424'!OSRRefP22_11x_0</vt:lpstr>
      <vt:lpstr>'425'!OSRRefP22_11x_0</vt:lpstr>
      <vt:lpstr>'433'!OSRRefP22_11x_0</vt:lpstr>
      <vt:lpstr>'444'!OSRRefP22_11x_0</vt:lpstr>
      <vt:lpstr>'450'!OSRRefP22_11x_0</vt:lpstr>
      <vt:lpstr>'491'!OSRRefP22_11x_0</vt:lpstr>
      <vt:lpstr>'492'!OSRRefP22_11x_0</vt:lpstr>
      <vt:lpstr>'Div 2'!OSRRefP22_11x_0</vt:lpstr>
      <vt:lpstr>'Div 3'!OSRRefP22_11x_0</vt:lpstr>
      <vt:lpstr>'Div 4'!OSRRefP22_11x_0</vt:lpstr>
      <vt:lpstr>'Div 6'!OSRRefP22_11x_0</vt:lpstr>
      <vt:lpstr>Summary!OSRRefP22_11x_0</vt:lpstr>
      <vt:lpstr>'201'!OSRRefP22_12x_0</vt:lpstr>
      <vt:lpstr>'202'!OSRRefP22_12x_0</vt:lpstr>
      <vt:lpstr>'203'!OSRRefP22_12x_0</vt:lpstr>
      <vt:lpstr>'300'!OSRRefP22_12x_0</vt:lpstr>
      <vt:lpstr>'300 &amp; 317'!OSRRefP22_12x_0</vt:lpstr>
      <vt:lpstr>'301'!OSRRefP22_12x_0</vt:lpstr>
      <vt:lpstr>'308'!OSRRefP22_12x_0</vt:lpstr>
      <vt:lpstr>'310'!OSRRefP22_12x_0</vt:lpstr>
      <vt:lpstr>'310 &amp; 491'!OSRRefP22_12x_0</vt:lpstr>
      <vt:lpstr>'311'!OSRRefP22_12x_0</vt:lpstr>
      <vt:lpstr>'313'!OSRRefP22_12x_0</vt:lpstr>
      <vt:lpstr>'315'!OSRRefP22_12x_0</vt:lpstr>
      <vt:lpstr>'322'!OSRRefP22_12x_0</vt:lpstr>
      <vt:lpstr>'325'!OSRRefP22_12x_0</vt:lpstr>
      <vt:lpstr>'326'!OSRRefP22_12x_0</vt:lpstr>
      <vt:lpstr>'330'!OSRRefP22_12x_0</vt:lpstr>
      <vt:lpstr>'331'!OSRRefP22_12x_0</vt:lpstr>
      <vt:lpstr>'332'!OSRRefP22_12x_0</vt:lpstr>
      <vt:lpstr>'405'!OSRRefP22_12x_0</vt:lpstr>
      <vt:lpstr>'406'!OSRRefP22_12x_0</vt:lpstr>
      <vt:lpstr>'411'!OSRRefP22_12x_0</vt:lpstr>
      <vt:lpstr>'412'!OSRRefP22_12x_0</vt:lpstr>
      <vt:lpstr>'414'!OSRRefP22_12x_0</vt:lpstr>
      <vt:lpstr>'415'!OSRRefP22_12x_0</vt:lpstr>
      <vt:lpstr>'418'!OSRRefP22_12x_0</vt:lpstr>
      <vt:lpstr>'424'!OSRRefP22_12x_0</vt:lpstr>
      <vt:lpstr>'425'!OSRRefP22_12x_0</vt:lpstr>
      <vt:lpstr>'433'!OSRRefP22_12x_0</vt:lpstr>
      <vt:lpstr>'444'!OSRRefP22_12x_0</vt:lpstr>
      <vt:lpstr>'450'!OSRRefP22_12x_0</vt:lpstr>
      <vt:lpstr>'491'!OSRRefP22_12x_0</vt:lpstr>
      <vt:lpstr>'492'!OSRRefP22_12x_0</vt:lpstr>
      <vt:lpstr>'Div 2'!OSRRefP22_12x_0</vt:lpstr>
      <vt:lpstr>'Div 3'!OSRRefP22_12x_0</vt:lpstr>
      <vt:lpstr>'Div 4'!OSRRefP22_12x_0</vt:lpstr>
      <vt:lpstr>Summary!OSRRefP22_12x_0</vt:lpstr>
      <vt:lpstr>'201'!OSRRefP22_13x_0</vt:lpstr>
      <vt:lpstr>'202'!OSRRefP22_13x_0</vt:lpstr>
      <vt:lpstr>'203'!OSRRefP22_13x_0</vt:lpstr>
      <vt:lpstr>'300'!OSRRefP22_13x_0</vt:lpstr>
      <vt:lpstr>'300 &amp; 317'!OSRRefP22_13x_0</vt:lpstr>
      <vt:lpstr>'301'!OSRRefP22_13x_0</vt:lpstr>
      <vt:lpstr>'308'!OSRRefP22_13x_0</vt:lpstr>
      <vt:lpstr>'310'!OSRRefP22_13x_0</vt:lpstr>
      <vt:lpstr>'310 &amp; 491'!OSRRefP22_13x_0</vt:lpstr>
      <vt:lpstr>'311'!OSRRefP22_13x_0</vt:lpstr>
      <vt:lpstr>'325'!OSRRefP22_13x_0</vt:lpstr>
      <vt:lpstr>'326'!OSRRefP22_13x_0</vt:lpstr>
      <vt:lpstr>'331'!OSRRefP22_13x_0</vt:lpstr>
      <vt:lpstr>'332'!OSRRefP22_13x_0</vt:lpstr>
      <vt:lpstr>'405'!OSRRefP22_13x_0</vt:lpstr>
      <vt:lpstr>'411'!OSRRefP22_13x_0</vt:lpstr>
      <vt:lpstr>'414'!OSRRefP22_13x_0</vt:lpstr>
      <vt:lpstr>'415'!OSRRefP22_13x_0</vt:lpstr>
      <vt:lpstr>'418'!OSRRefP22_13x_0</vt:lpstr>
      <vt:lpstr>'425'!OSRRefP22_13x_0</vt:lpstr>
      <vt:lpstr>'433'!OSRRefP22_13x_0</vt:lpstr>
      <vt:lpstr>'444'!OSRRefP22_13x_0</vt:lpstr>
      <vt:lpstr>'450'!OSRRefP22_13x_0</vt:lpstr>
      <vt:lpstr>'491'!OSRRefP22_13x_0</vt:lpstr>
      <vt:lpstr>'492'!OSRRefP22_13x_0</vt:lpstr>
      <vt:lpstr>'Div 2'!OSRRefP22_13x_0</vt:lpstr>
      <vt:lpstr>'Div 3'!OSRRefP22_13x_0</vt:lpstr>
      <vt:lpstr>'Div 4'!OSRRefP22_13x_0</vt:lpstr>
      <vt:lpstr>Summary!OSRRefP22_13x_0</vt:lpstr>
      <vt:lpstr>'201'!OSRRefP22_14x_0</vt:lpstr>
      <vt:lpstr>'203'!OSRRefP22_14x_0</vt:lpstr>
      <vt:lpstr>'300'!OSRRefP22_14x_0</vt:lpstr>
      <vt:lpstr>'300 &amp; 317'!OSRRefP22_14x_0</vt:lpstr>
      <vt:lpstr>'301'!OSRRefP22_14x_0</vt:lpstr>
      <vt:lpstr>'308'!OSRRefP22_14x_0</vt:lpstr>
      <vt:lpstr>'310'!OSRRefP22_14x_0</vt:lpstr>
      <vt:lpstr>'310 &amp; 491'!OSRRefP22_14x_0</vt:lpstr>
      <vt:lpstr>'311'!OSRRefP22_14x_0</vt:lpstr>
      <vt:lpstr>'325'!OSRRefP22_14x_0</vt:lpstr>
      <vt:lpstr>'326'!OSRRefP22_14x_0</vt:lpstr>
      <vt:lpstr>'331'!OSRRefP22_14x_0</vt:lpstr>
      <vt:lpstr>'332'!OSRRefP22_14x_0</vt:lpstr>
      <vt:lpstr>'405'!OSRRefP22_14x_0</vt:lpstr>
      <vt:lpstr>'411'!OSRRefP22_14x_0</vt:lpstr>
      <vt:lpstr>'414'!OSRRefP22_14x_0</vt:lpstr>
      <vt:lpstr>'415'!OSRRefP22_14x_0</vt:lpstr>
      <vt:lpstr>'418'!OSRRefP22_14x_0</vt:lpstr>
      <vt:lpstr>'425'!OSRRefP22_14x_0</vt:lpstr>
      <vt:lpstr>'433'!OSRRefP22_14x_0</vt:lpstr>
      <vt:lpstr>'444'!OSRRefP22_14x_0</vt:lpstr>
      <vt:lpstr>'450'!OSRRefP22_14x_0</vt:lpstr>
      <vt:lpstr>'491'!OSRRefP22_14x_0</vt:lpstr>
      <vt:lpstr>'492'!OSRRefP22_14x_0</vt:lpstr>
      <vt:lpstr>'Div 2'!OSRRefP22_14x_0</vt:lpstr>
      <vt:lpstr>'Div 3'!OSRRefP22_14x_0</vt:lpstr>
      <vt:lpstr>'Div 4'!OSRRefP22_14x_0</vt:lpstr>
      <vt:lpstr>Summary!OSRRefP22_14x_0</vt:lpstr>
      <vt:lpstr>'201'!OSRRefP22_15x_0</vt:lpstr>
      <vt:lpstr>'203'!OSRRefP22_15x_0</vt:lpstr>
      <vt:lpstr>'300'!OSRRefP22_15x_0</vt:lpstr>
      <vt:lpstr>'300 &amp; 317'!OSRRefP22_15x_0</vt:lpstr>
      <vt:lpstr>'301'!OSRRefP22_15x_0</vt:lpstr>
      <vt:lpstr>'310'!OSRRefP22_15x_0</vt:lpstr>
      <vt:lpstr>'310 &amp; 491'!OSRRefP22_15x_0</vt:lpstr>
      <vt:lpstr>'325'!OSRRefP22_15x_0</vt:lpstr>
      <vt:lpstr>'326'!OSRRefP22_15x_0</vt:lpstr>
      <vt:lpstr>'331'!OSRRefP22_15x_0</vt:lpstr>
      <vt:lpstr>'405'!OSRRefP22_15x_0</vt:lpstr>
      <vt:lpstr>'411'!OSRRefP22_15x_0</vt:lpstr>
      <vt:lpstr>'415'!OSRRefP22_15x_0</vt:lpstr>
      <vt:lpstr>'433'!OSRRefP22_15x_0</vt:lpstr>
      <vt:lpstr>'444'!OSRRefP22_15x_0</vt:lpstr>
      <vt:lpstr>'450'!OSRRefP22_15x_0</vt:lpstr>
      <vt:lpstr>'491'!OSRRefP22_15x_0</vt:lpstr>
      <vt:lpstr>'492'!OSRRefP22_15x_0</vt:lpstr>
      <vt:lpstr>'Div 2'!OSRRefP22_15x_0</vt:lpstr>
      <vt:lpstr>'Div 3'!OSRRefP22_15x_0</vt:lpstr>
      <vt:lpstr>'Div 4'!OSRRefP22_15x_0</vt:lpstr>
      <vt:lpstr>Summary!OSRRefP22_15x_0</vt:lpstr>
      <vt:lpstr>'300'!OSRRefP22_16x_0</vt:lpstr>
      <vt:lpstr>'300 &amp; 317'!OSRRefP22_16x_0</vt:lpstr>
      <vt:lpstr>'301'!OSRRefP22_16x_0</vt:lpstr>
      <vt:lpstr>'310'!OSRRefP22_16x_0</vt:lpstr>
      <vt:lpstr>'310 &amp; 491'!OSRRefP22_16x_0</vt:lpstr>
      <vt:lpstr>'325'!OSRRefP22_16x_0</vt:lpstr>
      <vt:lpstr>'326'!OSRRefP22_16x_0</vt:lpstr>
      <vt:lpstr>'331'!OSRRefP22_16x_0</vt:lpstr>
      <vt:lpstr>'405'!OSRRefP22_16x_0</vt:lpstr>
      <vt:lpstr>'411'!OSRRefP22_16x_0</vt:lpstr>
      <vt:lpstr>'415'!OSRRefP22_16x_0</vt:lpstr>
      <vt:lpstr>'433'!OSRRefP22_16x_0</vt:lpstr>
      <vt:lpstr>'444'!OSRRefP22_16x_0</vt:lpstr>
      <vt:lpstr>'450'!OSRRefP22_16x_0</vt:lpstr>
      <vt:lpstr>'491'!OSRRefP22_16x_0</vt:lpstr>
      <vt:lpstr>'492'!OSRRefP22_16x_0</vt:lpstr>
      <vt:lpstr>'Div 2'!OSRRefP22_16x_0</vt:lpstr>
      <vt:lpstr>'Div 3'!OSRRefP22_16x_0</vt:lpstr>
      <vt:lpstr>'Div 4'!OSRRefP22_16x_0</vt:lpstr>
      <vt:lpstr>Summary!OSRRefP22_16x_0</vt:lpstr>
      <vt:lpstr>'300'!OSRRefP22_17x_0</vt:lpstr>
      <vt:lpstr>'300 &amp; 317'!OSRRefP22_17x_0</vt:lpstr>
      <vt:lpstr>'301'!OSRRefP22_17x_0</vt:lpstr>
      <vt:lpstr>'310'!OSRRefP22_17x_0</vt:lpstr>
      <vt:lpstr>'310 &amp; 491'!OSRRefP22_17x_0</vt:lpstr>
      <vt:lpstr>'326'!OSRRefP22_17x_0</vt:lpstr>
      <vt:lpstr>'331'!OSRRefP22_17x_0</vt:lpstr>
      <vt:lpstr>'411'!OSRRefP22_17x_0</vt:lpstr>
      <vt:lpstr>'415'!OSRRefP22_17x_0</vt:lpstr>
      <vt:lpstr>'450'!OSRRefP22_17x_0</vt:lpstr>
      <vt:lpstr>'491'!OSRRefP22_17x_0</vt:lpstr>
      <vt:lpstr>'492'!OSRRefP22_17x_0</vt:lpstr>
      <vt:lpstr>'Div 2'!OSRRefP22_17x_0</vt:lpstr>
      <vt:lpstr>'Div 3'!OSRRefP22_17x_0</vt:lpstr>
      <vt:lpstr>'Div 4'!OSRRefP22_17x_0</vt:lpstr>
      <vt:lpstr>Summary!OSRRefP22_17x_0</vt:lpstr>
      <vt:lpstr>'300'!OSRRefP22_18x_0</vt:lpstr>
      <vt:lpstr>'300 &amp; 317'!OSRRefP22_18x_0</vt:lpstr>
      <vt:lpstr>'301'!OSRRefP22_18x_0</vt:lpstr>
      <vt:lpstr>'310'!OSRRefP22_18x_0</vt:lpstr>
      <vt:lpstr>'310 &amp; 491'!OSRRefP22_18x_0</vt:lpstr>
      <vt:lpstr>'331'!OSRRefP22_18x_0</vt:lpstr>
      <vt:lpstr>'411'!OSRRefP22_18x_0</vt:lpstr>
      <vt:lpstr>'491'!OSRRefP22_18x_0</vt:lpstr>
      <vt:lpstr>'Div 2'!OSRRefP22_18x_0</vt:lpstr>
      <vt:lpstr>'Div 3'!OSRRefP22_18x_0</vt:lpstr>
      <vt:lpstr>'Div 4'!OSRRefP22_18x_0</vt:lpstr>
      <vt:lpstr>Summary!OSRRefP22_18x_0</vt:lpstr>
      <vt:lpstr>'300'!OSRRefP22_19x_0</vt:lpstr>
      <vt:lpstr>'300 &amp; 317'!OSRRefP22_19x_0</vt:lpstr>
      <vt:lpstr>'301'!OSRRefP22_19x_0</vt:lpstr>
      <vt:lpstr>'310'!OSRRefP22_19x_0</vt:lpstr>
      <vt:lpstr>'310 &amp; 491'!OSRRefP22_19x_0</vt:lpstr>
      <vt:lpstr>'331'!OSRRefP22_19x_0</vt:lpstr>
      <vt:lpstr>'491'!OSRRefP22_19x_0</vt:lpstr>
      <vt:lpstr>'Div 2'!OSRRefP22_19x_0</vt:lpstr>
      <vt:lpstr>'Div 3'!OSRRefP22_19x_0</vt:lpstr>
      <vt:lpstr>'Div 4'!OSRRefP22_19x_0</vt:lpstr>
      <vt:lpstr>Summary!OSRRefP22_19x_0</vt:lpstr>
      <vt:lpstr>'200'!OSRRefP22_1x_0</vt:lpstr>
      <vt:lpstr>'201'!OSRRefP22_1x_0</vt:lpstr>
      <vt:lpstr>'202'!OSRRefP22_1x_0</vt:lpstr>
      <vt:lpstr>'203'!OSRRefP22_1x_0</vt:lpstr>
      <vt:lpstr>'204'!OSRRefP22_1x_0</vt:lpstr>
      <vt:lpstr>'205'!OSRRefP22_1x_0</vt:lpstr>
      <vt:lpstr>'206'!OSRRefP22_1x_0</vt:lpstr>
      <vt:lpstr>'300'!OSRRefP22_1x_0</vt:lpstr>
      <vt:lpstr>'300 &amp; 317'!OSRRefP22_1x_0</vt:lpstr>
      <vt:lpstr>'301'!OSRRefP22_1x_0</vt:lpstr>
      <vt:lpstr>'306'!OSRRefP22_1x_0</vt:lpstr>
      <vt:lpstr>'307'!OSRRefP22_1x_0</vt:lpstr>
      <vt:lpstr>'308'!OSRRefP22_1x_0</vt:lpstr>
      <vt:lpstr>'309'!OSRRefP22_1x_0</vt:lpstr>
      <vt:lpstr>'310'!OSRRefP22_1x_0</vt:lpstr>
      <vt:lpstr>'310 &amp; 491'!OSRRefP22_1x_0</vt:lpstr>
      <vt:lpstr>'311'!OSRRefP22_1x_0</vt:lpstr>
      <vt:lpstr>'313'!OSRRefP22_1x_0</vt:lpstr>
      <vt:lpstr>'314'!OSRRefP22_1x_0</vt:lpstr>
      <vt:lpstr>'315'!OSRRefP22_1x_0</vt:lpstr>
      <vt:lpstr>'316'!OSRRefP22_1x_0</vt:lpstr>
      <vt:lpstr>'317'!OSRRefP22_1x_0</vt:lpstr>
      <vt:lpstr>'320'!OSRRefP22_1x_0</vt:lpstr>
      <vt:lpstr>'321'!OSRRefP22_1x_0</vt:lpstr>
      <vt:lpstr>'322'!OSRRefP22_1x_0</vt:lpstr>
      <vt:lpstr>'325'!OSRRefP22_1x_0</vt:lpstr>
      <vt:lpstr>'326'!OSRRefP22_1x_0</vt:lpstr>
      <vt:lpstr>'327'!OSRRefP22_1x_0</vt:lpstr>
      <vt:lpstr>'330'!OSRRefP22_1x_0</vt:lpstr>
      <vt:lpstr>'331'!OSRRefP22_1x_0</vt:lpstr>
      <vt:lpstr>'332'!OSRRefP22_1x_0</vt:lpstr>
      <vt:lpstr>'405'!OSRRefP22_1x_0</vt:lpstr>
      <vt:lpstr>'406'!OSRRefP22_1x_0</vt:lpstr>
      <vt:lpstr>'411'!OSRRefP22_1x_0</vt:lpstr>
      <vt:lpstr>'412'!OSRRefP22_1x_0</vt:lpstr>
      <vt:lpstr>'413'!OSRRefP22_1x_0</vt:lpstr>
      <vt:lpstr>'414'!OSRRefP22_1x_0</vt:lpstr>
      <vt:lpstr>'415'!OSRRefP22_1x_0</vt:lpstr>
      <vt:lpstr>'418'!OSRRefP22_1x_0</vt:lpstr>
      <vt:lpstr>'420'!OSRRefP22_1x_0</vt:lpstr>
      <vt:lpstr>'423'!OSRRefP22_1x_0</vt:lpstr>
      <vt:lpstr>'424'!OSRRefP22_1x_0</vt:lpstr>
      <vt:lpstr>'425'!OSRRefP22_1x_0</vt:lpstr>
      <vt:lpstr>'430'!OSRRefP22_1x_0</vt:lpstr>
      <vt:lpstr>'433'!OSRRefP22_1x_0</vt:lpstr>
      <vt:lpstr>'435'!OSRRefP22_1x_0</vt:lpstr>
      <vt:lpstr>'444'!OSRRefP22_1x_0</vt:lpstr>
      <vt:lpstr>'450'!OSRRefP22_1x_0</vt:lpstr>
      <vt:lpstr>'455'!OSRRefP22_1x_0</vt:lpstr>
      <vt:lpstr>'491'!OSRRefP22_1x_0</vt:lpstr>
      <vt:lpstr>'492'!OSRRefP22_1x_0</vt:lpstr>
      <vt:lpstr>'501'!OSRRefP22_1x_0</vt:lpstr>
      <vt:lpstr>'Div 2'!OSRRefP22_1x_0</vt:lpstr>
      <vt:lpstr>'Div 3'!OSRRefP22_1x_0</vt:lpstr>
      <vt:lpstr>'Div 4'!OSRRefP22_1x_0</vt:lpstr>
      <vt:lpstr>'Div 5'!OSRRefP22_1x_0</vt:lpstr>
      <vt:lpstr>'Div 6'!OSRRefP22_1x_0</vt:lpstr>
      <vt:lpstr>Summary!OSRRefP22_1x_0</vt:lpstr>
      <vt:lpstr>'300'!OSRRefP22_20x_0</vt:lpstr>
      <vt:lpstr>'300 &amp; 317'!OSRRefP22_20x_0</vt:lpstr>
      <vt:lpstr>'301'!OSRRefP22_20x_0</vt:lpstr>
      <vt:lpstr>'310'!OSRRefP22_20x_0</vt:lpstr>
      <vt:lpstr>'310 &amp; 491'!OSRRefP22_20x_0</vt:lpstr>
      <vt:lpstr>'331'!OSRRefP22_20x_0</vt:lpstr>
      <vt:lpstr>'491'!OSRRefP22_20x_0</vt:lpstr>
      <vt:lpstr>'Div 3'!OSRRefP22_20x_0</vt:lpstr>
      <vt:lpstr>'Div 4'!OSRRefP22_20x_0</vt:lpstr>
      <vt:lpstr>Summary!OSRRefP22_20x_0</vt:lpstr>
      <vt:lpstr>'300'!OSRRefP22_21x_0</vt:lpstr>
      <vt:lpstr>'300 &amp; 317'!OSRRefP22_21x_0</vt:lpstr>
      <vt:lpstr>'301'!OSRRefP22_21x_0</vt:lpstr>
      <vt:lpstr>'310'!OSRRefP22_21x_0</vt:lpstr>
      <vt:lpstr>'310 &amp; 491'!OSRRefP22_21x_0</vt:lpstr>
      <vt:lpstr>'491'!OSRRefP22_21x_0</vt:lpstr>
      <vt:lpstr>'Div 3'!OSRRefP22_21x_0</vt:lpstr>
      <vt:lpstr>'Div 4'!OSRRefP22_21x_0</vt:lpstr>
      <vt:lpstr>Summary!OSRRefP22_21x_0</vt:lpstr>
      <vt:lpstr>'300'!OSRRefP22_22x_0</vt:lpstr>
      <vt:lpstr>'300 &amp; 317'!OSRRefP22_22x_0</vt:lpstr>
      <vt:lpstr>'301'!OSRRefP22_22x_0</vt:lpstr>
      <vt:lpstr>'310 &amp; 491'!OSRRefP22_22x_0</vt:lpstr>
      <vt:lpstr>'491'!OSRRefP22_22x_0</vt:lpstr>
      <vt:lpstr>'Div 3'!OSRRefP22_22x_0</vt:lpstr>
      <vt:lpstr>'Div 4'!OSRRefP22_22x_0</vt:lpstr>
      <vt:lpstr>Summary!OSRRefP22_22x_0</vt:lpstr>
      <vt:lpstr>'300'!OSRRefP22_23x_0</vt:lpstr>
      <vt:lpstr>'300 &amp; 317'!OSRRefP22_23x_0</vt:lpstr>
      <vt:lpstr>'310 &amp; 491'!OSRRefP22_23x_0</vt:lpstr>
      <vt:lpstr>'491'!OSRRefP22_23x_0</vt:lpstr>
      <vt:lpstr>'Div 3'!OSRRefP22_23x_0</vt:lpstr>
      <vt:lpstr>'Div 4'!OSRRefP22_23x_0</vt:lpstr>
      <vt:lpstr>Summary!OSRRefP22_23x_0</vt:lpstr>
      <vt:lpstr>'300'!OSRRefP22_24x_0</vt:lpstr>
      <vt:lpstr>'300 &amp; 317'!OSRRefP22_24x_0</vt:lpstr>
      <vt:lpstr>'310 &amp; 491'!OSRRefP22_24x_0</vt:lpstr>
      <vt:lpstr>'Div 3'!OSRRefP22_24x_0</vt:lpstr>
      <vt:lpstr>'Div 4'!OSRRefP22_24x_0</vt:lpstr>
      <vt:lpstr>Summary!OSRRefP22_24x_0</vt:lpstr>
      <vt:lpstr>'Div 3'!OSRRefP22_25x_0</vt:lpstr>
      <vt:lpstr>Summary!OSRRefP22_25x_0</vt:lpstr>
      <vt:lpstr>Summary!OSRRefP22_26x_0</vt:lpstr>
      <vt:lpstr>'200'!OSRRefP22_2x_0</vt:lpstr>
      <vt:lpstr>'201'!OSRRefP22_2x_0</vt:lpstr>
      <vt:lpstr>'202'!OSRRefP22_2x_0</vt:lpstr>
      <vt:lpstr>'203'!OSRRefP22_2x_0</vt:lpstr>
      <vt:lpstr>'204'!OSRRefP22_2x_0</vt:lpstr>
      <vt:lpstr>'205'!OSRRefP22_2x_0</vt:lpstr>
      <vt:lpstr>'206'!OSRRefP22_2x_0</vt:lpstr>
      <vt:lpstr>'300'!OSRRefP22_2x_0</vt:lpstr>
      <vt:lpstr>'300 &amp; 317'!OSRRefP22_2x_0</vt:lpstr>
      <vt:lpstr>'301'!OSRRefP22_2x_0</vt:lpstr>
      <vt:lpstr>'306'!OSRRefP22_2x_0</vt:lpstr>
      <vt:lpstr>'307'!OSRRefP22_2x_0</vt:lpstr>
      <vt:lpstr>'308'!OSRRefP22_2x_0</vt:lpstr>
      <vt:lpstr>'309'!OSRRefP22_2x_0</vt:lpstr>
      <vt:lpstr>'310'!OSRRefP22_2x_0</vt:lpstr>
      <vt:lpstr>'310 &amp; 491'!OSRRefP22_2x_0</vt:lpstr>
      <vt:lpstr>'311'!OSRRefP22_2x_0</vt:lpstr>
      <vt:lpstr>'313'!OSRRefP22_2x_0</vt:lpstr>
      <vt:lpstr>'314'!OSRRefP22_2x_0</vt:lpstr>
      <vt:lpstr>'315'!OSRRefP22_2x_0</vt:lpstr>
      <vt:lpstr>'316'!OSRRefP22_2x_0</vt:lpstr>
      <vt:lpstr>'317'!OSRRefP22_2x_0</vt:lpstr>
      <vt:lpstr>'320'!OSRRefP22_2x_0</vt:lpstr>
      <vt:lpstr>'321'!OSRRefP22_2x_0</vt:lpstr>
      <vt:lpstr>'322'!OSRRefP22_2x_0</vt:lpstr>
      <vt:lpstr>'325'!OSRRefP22_2x_0</vt:lpstr>
      <vt:lpstr>'326'!OSRRefP22_2x_0</vt:lpstr>
      <vt:lpstr>'327'!OSRRefP22_2x_0</vt:lpstr>
      <vt:lpstr>'330'!OSRRefP22_2x_0</vt:lpstr>
      <vt:lpstr>'331'!OSRRefP22_2x_0</vt:lpstr>
      <vt:lpstr>'332'!OSRRefP22_2x_0</vt:lpstr>
      <vt:lpstr>'405'!OSRRefP22_2x_0</vt:lpstr>
      <vt:lpstr>'406'!OSRRefP22_2x_0</vt:lpstr>
      <vt:lpstr>'411'!OSRRefP22_2x_0</vt:lpstr>
      <vt:lpstr>'412'!OSRRefP22_2x_0</vt:lpstr>
      <vt:lpstr>'413'!OSRRefP22_2x_0</vt:lpstr>
      <vt:lpstr>'414'!OSRRefP22_2x_0</vt:lpstr>
      <vt:lpstr>'415'!OSRRefP22_2x_0</vt:lpstr>
      <vt:lpstr>'418'!OSRRefP22_2x_0</vt:lpstr>
      <vt:lpstr>'420'!OSRRefP22_2x_0</vt:lpstr>
      <vt:lpstr>'423'!OSRRefP22_2x_0</vt:lpstr>
      <vt:lpstr>'424'!OSRRefP22_2x_0</vt:lpstr>
      <vt:lpstr>'425'!OSRRefP22_2x_0</vt:lpstr>
      <vt:lpstr>'430'!OSRRefP22_2x_0</vt:lpstr>
      <vt:lpstr>'433'!OSRRefP22_2x_0</vt:lpstr>
      <vt:lpstr>'435'!OSRRefP22_2x_0</vt:lpstr>
      <vt:lpstr>'444'!OSRRefP22_2x_0</vt:lpstr>
      <vt:lpstr>'450'!OSRRefP22_2x_0</vt:lpstr>
      <vt:lpstr>'491'!OSRRefP22_2x_0</vt:lpstr>
      <vt:lpstr>'492'!OSRRefP22_2x_0</vt:lpstr>
      <vt:lpstr>'501'!OSRRefP22_2x_0</vt:lpstr>
      <vt:lpstr>'Div 2'!OSRRefP22_2x_0</vt:lpstr>
      <vt:lpstr>'Div 3'!OSRRefP22_2x_0</vt:lpstr>
      <vt:lpstr>'Div 4'!OSRRefP22_2x_0</vt:lpstr>
      <vt:lpstr>'Div 5'!OSRRefP22_2x_0</vt:lpstr>
      <vt:lpstr>'Div 6'!OSRRefP22_2x_0</vt:lpstr>
      <vt:lpstr>Summary!OSRRefP22_2x_0</vt:lpstr>
      <vt:lpstr>'200'!OSRRefP22_3x_0</vt:lpstr>
      <vt:lpstr>'201'!OSRRefP22_3x_0</vt:lpstr>
      <vt:lpstr>'202'!OSRRefP22_3x_0</vt:lpstr>
      <vt:lpstr>'203'!OSRRefP22_3x_0</vt:lpstr>
      <vt:lpstr>'204'!OSRRefP22_3x_0</vt:lpstr>
      <vt:lpstr>'205'!OSRRefP22_3x_0</vt:lpstr>
      <vt:lpstr>'206'!OSRRefP22_3x_0</vt:lpstr>
      <vt:lpstr>'300'!OSRRefP22_3x_0</vt:lpstr>
      <vt:lpstr>'300 &amp; 317'!OSRRefP22_3x_0</vt:lpstr>
      <vt:lpstr>'301'!OSRRefP22_3x_0</vt:lpstr>
      <vt:lpstr>'306'!OSRRefP22_3x_0</vt:lpstr>
      <vt:lpstr>'307'!OSRRefP22_3x_0</vt:lpstr>
      <vt:lpstr>'308'!OSRRefP22_3x_0</vt:lpstr>
      <vt:lpstr>'309'!OSRRefP22_3x_0</vt:lpstr>
      <vt:lpstr>'310'!OSRRefP22_3x_0</vt:lpstr>
      <vt:lpstr>'310 &amp; 491'!OSRRefP22_3x_0</vt:lpstr>
      <vt:lpstr>'311'!OSRRefP22_3x_0</vt:lpstr>
      <vt:lpstr>'313'!OSRRefP22_3x_0</vt:lpstr>
      <vt:lpstr>'314'!OSRRefP22_3x_0</vt:lpstr>
      <vt:lpstr>'315'!OSRRefP22_3x_0</vt:lpstr>
      <vt:lpstr>'316'!OSRRefP22_3x_0</vt:lpstr>
      <vt:lpstr>'317'!OSRRefP22_3x_0</vt:lpstr>
      <vt:lpstr>'320'!OSRRefP22_3x_0</vt:lpstr>
      <vt:lpstr>'321'!OSRRefP22_3x_0</vt:lpstr>
      <vt:lpstr>'322'!OSRRefP22_3x_0</vt:lpstr>
      <vt:lpstr>'325'!OSRRefP22_3x_0</vt:lpstr>
      <vt:lpstr>'326'!OSRRefP22_3x_0</vt:lpstr>
      <vt:lpstr>'330'!OSRRefP22_3x_0</vt:lpstr>
      <vt:lpstr>'331'!OSRRefP22_3x_0</vt:lpstr>
      <vt:lpstr>'332'!OSRRefP22_3x_0</vt:lpstr>
      <vt:lpstr>'405'!OSRRefP22_3x_0</vt:lpstr>
      <vt:lpstr>'406'!OSRRefP22_3x_0</vt:lpstr>
      <vt:lpstr>'411'!OSRRefP22_3x_0</vt:lpstr>
      <vt:lpstr>'412'!OSRRefP22_3x_0</vt:lpstr>
      <vt:lpstr>'413'!OSRRefP22_3x_0</vt:lpstr>
      <vt:lpstr>'414'!OSRRefP22_3x_0</vt:lpstr>
      <vt:lpstr>'415'!OSRRefP22_3x_0</vt:lpstr>
      <vt:lpstr>'418'!OSRRefP22_3x_0</vt:lpstr>
      <vt:lpstr>'420'!OSRRefP22_3x_0</vt:lpstr>
      <vt:lpstr>'423'!OSRRefP22_3x_0</vt:lpstr>
      <vt:lpstr>'424'!OSRRefP22_3x_0</vt:lpstr>
      <vt:lpstr>'425'!OSRRefP22_3x_0</vt:lpstr>
      <vt:lpstr>'430'!OSRRefP22_3x_0</vt:lpstr>
      <vt:lpstr>'433'!OSRRefP22_3x_0</vt:lpstr>
      <vt:lpstr>'435'!OSRRefP22_3x_0</vt:lpstr>
      <vt:lpstr>'444'!OSRRefP22_3x_0</vt:lpstr>
      <vt:lpstr>'450'!OSRRefP22_3x_0</vt:lpstr>
      <vt:lpstr>'491'!OSRRefP22_3x_0</vt:lpstr>
      <vt:lpstr>'492'!OSRRefP22_3x_0</vt:lpstr>
      <vt:lpstr>'501'!OSRRefP22_3x_0</vt:lpstr>
      <vt:lpstr>'Div 2'!OSRRefP22_3x_0</vt:lpstr>
      <vt:lpstr>'Div 3'!OSRRefP22_3x_0</vt:lpstr>
      <vt:lpstr>'Div 4'!OSRRefP22_3x_0</vt:lpstr>
      <vt:lpstr>'Div 5'!OSRRefP22_3x_0</vt:lpstr>
      <vt:lpstr>'Div 6'!OSRRefP22_3x_0</vt:lpstr>
      <vt:lpstr>Summary!OSRRefP22_3x_0</vt:lpstr>
      <vt:lpstr>'201'!OSRRefP22_4x_0</vt:lpstr>
      <vt:lpstr>'202'!OSRRefP22_4x_0</vt:lpstr>
      <vt:lpstr>'203'!OSRRefP22_4x_0</vt:lpstr>
      <vt:lpstr>'204'!OSRRefP22_4x_0</vt:lpstr>
      <vt:lpstr>'205'!OSRRefP22_4x_0</vt:lpstr>
      <vt:lpstr>'206'!OSRRefP22_4x_0</vt:lpstr>
      <vt:lpstr>'300'!OSRRefP22_4x_0</vt:lpstr>
      <vt:lpstr>'300 &amp; 317'!OSRRefP22_4x_0</vt:lpstr>
      <vt:lpstr>'301'!OSRRefP22_4x_0</vt:lpstr>
      <vt:lpstr>'306'!OSRRefP22_4x_0</vt:lpstr>
      <vt:lpstr>'307'!OSRRefP22_4x_0</vt:lpstr>
      <vt:lpstr>'308'!OSRRefP22_4x_0</vt:lpstr>
      <vt:lpstr>'309'!OSRRefP22_4x_0</vt:lpstr>
      <vt:lpstr>'310'!OSRRefP22_4x_0</vt:lpstr>
      <vt:lpstr>'310 &amp; 491'!OSRRefP22_4x_0</vt:lpstr>
      <vt:lpstr>'311'!OSRRefP22_4x_0</vt:lpstr>
      <vt:lpstr>'313'!OSRRefP22_4x_0</vt:lpstr>
      <vt:lpstr>'314'!OSRRefP22_4x_0</vt:lpstr>
      <vt:lpstr>'315'!OSRRefP22_4x_0</vt:lpstr>
      <vt:lpstr>'316'!OSRRefP22_4x_0</vt:lpstr>
      <vt:lpstr>'317'!OSRRefP22_4x_0</vt:lpstr>
      <vt:lpstr>'320'!OSRRefP22_4x_0</vt:lpstr>
      <vt:lpstr>'321'!OSRRefP22_4x_0</vt:lpstr>
      <vt:lpstr>'322'!OSRRefP22_4x_0</vt:lpstr>
      <vt:lpstr>'325'!OSRRefP22_4x_0</vt:lpstr>
      <vt:lpstr>'326'!OSRRefP22_4x_0</vt:lpstr>
      <vt:lpstr>'330'!OSRRefP22_4x_0</vt:lpstr>
      <vt:lpstr>'331'!OSRRefP22_4x_0</vt:lpstr>
      <vt:lpstr>'332'!OSRRefP22_4x_0</vt:lpstr>
      <vt:lpstr>'405'!OSRRefP22_4x_0</vt:lpstr>
      <vt:lpstr>'406'!OSRRefP22_4x_0</vt:lpstr>
      <vt:lpstr>'411'!OSRRefP22_4x_0</vt:lpstr>
      <vt:lpstr>'412'!OSRRefP22_4x_0</vt:lpstr>
      <vt:lpstr>'413'!OSRRefP22_4x_0</vt:lpstr>
      <vt:lpstr>'414'!OSRRefP22_4x_0</vt:lpstr>
      <vt:lpstr>'415'!OSRRefP22_4x_0</vt:lpstr>
      <vt:lpstr>'418'!OSRRefP22_4x_0</vt:lpstr>
      <vt:lpstr>'423'!OSRRefP22_4x_0</vt:lpstr>
      <vt:lpstr>'424'!OSRRefP22_4x_0</vt:lpstr>
      <vt:lpstr>'425'!OSRRefP22_4x_0</vt:lpstr>
      <vt:lpstr>'430'!OSRRefP22_4x_0</vt:lpstr>
      <vt:lpstr>'433'!OSRRefP22_4x_0</vt:lpstr>
      <vt:lpstr>'435'!OSRRefP22_4x_0</vt:lpstr>
      <vt:lpstr>'444'!OSRRefP22_4x_0</vt:lpstr>
      <vt:lpstr>'450'!OSRRefP22_4x_0</vt:lpstr>
      <vt:lpstr>'491'!OSRRefP22_4x_0</vt:lpstr>
      <vt:lpstr>'492'!OSRRefP22_4x_0</vt:lpstr>
      <vt:lpstr>'501'!OSRRefP22_4x_0</vt:lpstr>
      <vt:lpstr>'Div 2'!OSRRefP22_4x_0</vt:lpstr>
      <vt:lpstr>'Div 3'!OSRRefP22_4x_0</vt:lpstr>
      <vt:lpstr>'Div 4'!OSRRefP22_4x_0</vt:lpstr>
      <vt:lpstr>'Div 5'!OSRRefP22_4x_0</vt:lpstr>
      <vt:lpstr>'Div 6'!OSRRefP22_4x_0</vt:lpstr>
      <vt:lpstr>Summary!OSRRefP22_4x_0</vt:lpstr>
      <vt:lpstr>'201'!OSRRefP22_5x_0</vt:lpstr>
      <vt:lpstr>'202'!OSRRefP22_5x_0</vt:lpstr>
      <vt:lpstr>'203'!OSRRefP22_5x_0</vt:lpstr>
      <vt:lpstr>'204'!OSRRefP22_5x_0</vt:lpstr>
      <vt:lpstr>'205'!OSRRefP22_5x_0</vt:lpstr>
      <vt:lpstr>'206'!OSRRefP22_5x_0</vt:lpstr>
      <vt:lpstr>'300'!OSRRefP22_5x_0</vt:lpstr>
      <vt:lpstr>'300 &amp; 317'!OSRRefP22_5x_0</vt:lpstr>
      <vt:lpstr>'301'!OSRRefP22_5x_0</vt:lpstr>
      <vt:lpstr>'306'!OSRRefP22_5x_0</vt:lpstr>
      <vt:lpstr>'307'!OSRRefP22_5x_0</vt:lpstr>
      <vt:lpstr>'308'!OSRRefP22_5x_0</vt:lpstr>
      <vt:lpstr>'309'!OSRRefP22_5x_0</vt:lpstr>
      <vt:lpstr>'310'!OSRRefP22_5x_0</vt:lpstr>
      <vt:lpstr>'310 &amp; 491'!OSRRefP22_5x_0</vt:lpstr>
      <vt:lpstr>'311'!OSRRefP22_5x_0</vt:lpstr>
      <vt:lpstr>'313'!OSRRefP22_5x_0</vt:lpstr>
      <vt:lpstr>'314'!OSRRefP22_5x_0</vt:lpstr>
      <vt:lpstr>'315'!OSRRefP22_5x_0</vt:lpstr>
      <vt:lpstr>'316'!OSRRefP22_5x_0</vt:lpstr>
      <vt:lpstr>'317'!OSRRefP22_5x_0</vt:lpstr>
      <vt:lpstr>'320'!OSRRefP22_5x_0</vt:lpstr>
      <vt:lpstr>'321'!OSRRefP22_5x_0</vt:lpstr>
      <vt:lpstr>'322'!OSRRefP22_5x_0</vt:lpstr>
      <vt:lpstr>'325'!OSRRefP22_5x_0</vt:lpstr>
      <vt:lpstr>'326'!OSRRefP22_5x_0</vt:lpstr>
      <vt:lpstr>'330'!OSRRefP22_5x_0</vt:lpstr>
      <vt:lpstr>'331'!OSRRefP22_5x_0</vt:lpstr>
      <vt:lpstr>'332'!OSRRefP22_5x_0</vt:lpstr>
      <vt:lpstr>'405'!OSRRefP22_5x_0</vt:lpstr>
      <vt:lpstr>'406'!OSRRefP22_5x_0</vt:lpstr>
      <vt:lpstr>'411'!OSRRefP22_5x_0</vt:lpstr>
      <vt:lpstr>'412'!OSRRefP22_5x_0</vt:lpstr>
      <vt:lpstr>'413'!OSRRefP22_5x_0</vt:lpstr>
      <vt:lpstr>'414'!OSRRefP22_5x_0</vt:lpstr>
      <vt:lpstr>'415'!OSRRefP22_5x_0</vt:lpstr>
      <vt:lpstr>'418'!OSRRefP22_5x_0</vt:lpstr>
      <vt:lpstr>'423'!OSRRefP22_5x_0</vt:lpstr>
      <vt:lpstr>'424'!OSRRefP22_5x_0</vt:lpstr>
      <vt:lpstr>'425'!OSRRefP22_5x_0</vt:lpstr>
      <vt:lpstr>'430'!OSRRefP22_5x_0</vt:lpstr>
      <vt:lpstr>'433'!OSRRefP22_5x_0</vt:lpstr>
      <vt:lpstr>'435'!OSRRefP22_5x_0</vt:lpstr>
      <vt:lpstr>'444'!OSRRefP22_5x_0</vt:lpstr>
      <vt:lpstr>'450'!OSRRefP22_5x_0</vt:lpstr>
      <vt:lpstr>'491'!OSRRefP22_5x_0</vt:lpstr>
      <vt:lpstr>'492'!OSRRefP22_5x_0</vt:lpstr>
      <vt:lpstr>'501'!OSRRefP22_5x_0</vt:lpstr>
      <vt:lpstr>'Div 2'!OSRRefP22_5x_0</vt:lpstr>
      <vt:lpstr>'Div 3'!OSRRefP22_5x_0</vt:lpstr>
      <vt:lpstr>'Div 4'!OSRRefP22_5x_0</vt:lpstr>
      <vt:lpstr>'Div 5'!OSRRefP22_5x_0</vt:lpstr>
      <vt:lpstr>'Div 6'!OSRRefP22_5x_0</vt:lpstr>
      <vt:lpstr>Summary!OSRRefP22_5x_0</vt:lpstr>
      <vt:lpstr>'201'!OSRRefP22_6x_0</vt:lpstr>
      <vt:lpstr>'202'!OSRRefP22_6x_0</vt:lpstr>
      <vt:lpstr>'203'!OSRRefP22_6x_0</vt:lpstr>
      <vt:lpstr>'204'!OSRRefP22_6x_0</vt:lpstr>
      <vt:lpstr>'205'!OSRRefP22_6x_0</vt:lpstr>
      <vt:lpstr>'206'!OSRRefP22_6x_0</vt:lpstr>
      <vt:lpstr>'300'!OSRRefP22_6x_0</vt:lpstr>
      <vt:lpstr>'300 &amp; 317'!OSRRefP22_6x_0</vt:lpstr>
      <vt:lpstr>'301'!OSRRefP22_6x_0</vt:lpstr>
      <vt:lpstr>'306'!OSRRefP22_6x_0</vt:lpstr>
      <vt:lpstr>'307'!OSRRefP22_6x_0</vt:lpstr>
      <vt:lpstr>'308'!OSRRefP22_6x_0</vt:lpstr>
      <vt:lpstr>'309'!OSRRefP22_6x_0</vt:lpstr>
      <vt:lpstr>'310'!OSRRefP22_6x_0</vt:lpstr>
      <vt:lpstr>'310 &amp; 491'!OSRRefP22_6x_0</vt:lpstr>
      <vt:lpstr>'311'!OSRRefP22_6x_0</vt:lpstr>
      <vt:lpstr>'313'!OSRRefP22_6x_0</vt:lpstr>
      <vt:lpstr>'315'!OSRRefP22_6x_0</vt:lpstr>
      <vt:lpstr>'316'!OSRRefP22_6x_0</vt:lpstr>
      <vt:lpstr>'317'!OSRRefP22_6x_0</vt:lpstr>
      <vt:lpstr>'320'!OSRRefP22_6x_0</vt:lpstr>
      <vt:lpstr>'321'!OSRRefP22_6x_0</vt:lpstr>
      <vt:lpstr>'322'!OSRRefP22_6x_0</vt:lpstr>
      <vt:lpstr>'325'!OSRRefP22_6x_0</vt:lpstr>
      <vt:lpstr>'326'!OSRRefP22_6x_0</vt:lpstr>
      <vt:lpstr>'330'!OSRRefP22_6x_0</vt:lpstr>
      <vt:lpstr>'331'!OSRRefP22_6x_0</vt:lpstr>
      <vt:lpstr>'332'!OSRRefP22_6x_0</vt:lpstr>
      <vt:lpstr>'405'!OSRRefP22_6x_0</vt:lpstr>
      <vt:lpstr>'406'!OSRRefP22_6x_0</vt:lpstr>
      <vt:lpstr>'411'!OSRRefP22_6x_0</vt:lpstr>
      <vt:lpstr>'412'!OSRRefP22_6x_0</vt:lpstr>
      <vt:lpstr>'413'!OSRRefP22_6x_0</vt:lpstr>
      <vt:lpstr>'414'!OSRRefP22_6x_0</vt:lpstr>
      <vt:lpstr>'415'!OSRRefP22_6x_0</vt:lpstr>
      <vt:lpstr>'418'!OSRRefP22_6x_0</vt:lpstr>
      <vt:lpstr>'424'!OSRRefP22_6x_0</vt:lpstr>
      <vt:lpstr>'425'!OSRRefP22_6x_0</vt:lpstr>
      <vt:lpstr>'430'!OSRRefP22_6x_0</vt:lpstr>
      <vt:lpstr>'433'!OSRRefP22_6x_0</vt:lpstr>
      <vt:lpstr>'435'!OSRRefP22_6x_0</vt:lpstr>
      <vt:lpstr>'444'!OSRRefP22_6x_0</vt:lpstr>
      <vt:lpstr>'450'!OSRRefP22_6x_0</vt:lpstr>
      <vt:lpstr>'491'!OSRRefP22_6x_0</vt:lpstr>
      <vt:lpstr>'492'!OSRRefP22_6x_0</vt:lpstr>
      <vt:lpstr>'501'!OSRRefP22_6x_0</vt:lpstr>
      <vt:lpstr>'Div 2'!OSRRefP22_6x_0</vt:lpstr>
      <vt:lpstr>'Div 3'!OSRRefP22_6x_0</vt:lpstr>
      <vt:lpstr>'Div 4'!OSRRefP22_6x_0</vt:lpstr>
      <vt:lpstr>'Div 5'!OSRRefP22_6x_0</vt:lpstr>
      <vt:lpstr>'Div 6'!OSRRefP22_6x_0</vt:lpstr>
      <vt:lpstr>Summary!OSRRefP22_6x_0</vt:lpstr>
      <vt:lpstr>'201'!OSRRefP22_7x_0</vt:lpstr>
      <vt:lpstr>'202'!OSRRefP22_7x_0</vt:lpstr>
      <vt:lpstr>'203'!OSRRefP22_7x_0</vt:lpstr>
      <vt:lpstr>'204'!OSRRefP22_7x_0</vt:lpstr>
      <vt:lpstr>'205'!OSRRefP22_7x_0</vt:lpstr>
      <vt:lpstr>'206'!OSRRefP22_7x_0</vt:lpstr>
      <vt:lpstr>'300'!OSRRefP22_7x_0</vt:lpstr>
      <vt:lpstr>'300 &amp; 317'!OSRRefP22_7x_0</vt:lpstr>
      <vt:lpstr>'301'!OSRRefP22_7x_0</vt:lpstr>
      <vt:lpstr>'306'!OSRRefP22_7x_0</vt:lpstr>
      <vt:lpstr>'307'!OSRRefP22_7x_0</vt:lpstr>
      <vt:lpstr>'308'!OSRRefP22_7x_0</vt:lpstr>
      <vt:lpstr>'309'!OSRRefP22_7x_0</vt:lpstr>
      <vt:lpstr>'310'!OSRRefP22_7x_0</vt:lpstr>
      <vt:lpstr>'310 &amp; 491'!OSRRefP22_7x_0</vt:lpstr>
      <vt:lpstr>'311'!OSRRefP22_7x_0</vt:lpstr>
      <vt:lpstr>'313'!OSRRefP22_7x_0</vt:lpstr>
      <vt:lpstr>'315'!OSRRefP22_7x_0</vt:lpstr>
      <vt:lpstr>'316'!OSRRefP22_7x_0</vt:lpstr>
      <vt:lpstr>'317'!OSRRefP22_7x_0</vt:lpstr>
      <vt:lpstr>'320'!OSRRefP22_7x_0</vt:lpstr>
      <vt:lpstr>'321'!OSRRefP22_7x_0</vt:lpstr>
      <vt:lpstr>'322'!OSRRefP22_7x_0</vt:lpstr>
      <vt:lpstr>'325'!OSRRefP22_7x_0</vt:lpstr>
      <vt:lpstr>'326'!OSRRefP22_7x_0</vt:lpstr>
      <vt:lpstr>'330'!OSRRefP22_7x_0</vt:lpstr>
      <vt:lpstr>'331'!OSRRefP22_7x_0</vt:lpstr>
      <vt:lpstr>'332'!OSRRefP22_7x_0</vt:lpstr>
      <vt:lpstr>'405'!OSRRefP22_7x_0</vt:lpstr>
      <vt:lpstr>'406'!OSRRefP22_7x_0</vt:lpstr>
      <vt:lpstr>'411'!OSRRefP22_7x_0</vt:lpstr>
      <vt:lpstr>'412'!OSRRefP22_7x_0</vt:lpstr>
      <vt:lpstr>'413'!OSRRefP22_7x_0</vt:lpstr>
      <vt:lpstr>'414'!OSRRefP22_7x_0</vt:lpstr>
      <vt:lpstr>'415'!OSRRefP22_7x_0</vt:lpstr>
      <vt:lpstr>'418'!OSRRefP22_7x_0</vt:lpstr>
      <vt:lpstr>'424'!OSRRefP22_7x_0</vt:lpstr>
      <vt:lpstr>'425'!OSRRefP22_7x_0</vt:lpstr>
      <vt:lpstr>'430'!OSRRefP22_7x_0</vt:lpstr>
      <vt:lpstr>'433'!OSRRefP22_7x_0</vt:lpstr>
      <vt:lpstr>'435'!OSRRefP22_7x_0</vt:lpstr>
      <vt:lpstr>'444'!OSRRefP22_7x_0</vt:lpstr>
      <vt:lpstr>'450'!OSRRefP22_7x_0</vt:lpstr>
      <vt:lpstr>'491'!OSRRefP22_7x_0</vt:lpstr>
      <vt:lpstr>'492'!OSRRefP22_7x_0</vt:lpstr>
      <vt:lpstr>'501'!OSRRefP22_7x_0</vt:lpstr>
      <vt:lpstr>'Div 2'!OSRRefP22_7x_0</vt:lpstr>
      <vt:lpstr>'Div 3'!OSRRefP22_7x_0</vt:lpstr>
      <vt:lpstr>'Div 4'!OSRRefP22_7x_0</vt:lpstr>
      <vt:lpstr>'Div 5'!OSRRefP22_7x_0</vt:lpstr>
      <vt:lpstr>'Div 6'!OSRRefP22_7x_0</vt:lpstr>
      <vt:lpstr>Summary!OSRRefP22_7x_0</vt:lpstr>
      <vt:lpstr>'201'!OSRRefP22_8x_0</vt:lpstr>
      <vt:lpstr>'202'!OSRRefP22_8x_0</vt:lpstr>
      <vt:lpstr>'203'!OSRRefP22_8x_0</vt:lpstr>
      <vt:lpstr>'204'!OSRRefP22_8x_0</vt:lpstr>
      <vt:lpstr>'205'!OSRRefP22_8x_0</vt:lpstr>
      <vt:lpstr>'300'!OSRRefP22_8x_0</vt:lpstr>
      <vt:lpstr>'300 &amp; 317'!OSRRefP22_8x_0</vt:lpstr>
      <vt:lpstr>'301'!OSRRefP22_8x_0</vt:lpstr>
      <vt:lpstr>'306'!OSRRefP22_8x_0</vt:lpstr>
      <vt:lpstr>'307'!OSRRefP22_8x_0</vt:lpstr>
      <vt:lpstr>'308'!OSRRefP22_8x_0</vt:lpstr>
      <vt:lpstr>'309'!OSRRefP22_8x_0</vt:lpstr>
      <vt:lpstr>'310'!OSRRefP22_8x_0</vt:lpstr>
      <vt:lpstr>'310 &amp; 491'!OSRRefP22_8x_0</vt:lpstr>
      <vt:lpstr>'311'!OSRRefP22_8x_0</vt:lpstr>
      <vt:lpstr>'313'!OSRRefP22_8x_0</vt:lpstr>
      <vt:lpstr>'315'!OSRRefP22_8x_0</vt:lpstr>
      <vt:lpstr>'316'!OSRRefP22_8x_0</vt:lpstr>
      <vt:lpstr>'317'!OSRRefP22_8x_0</vt:lpstr>
      <vt:lpstr>'320'!OSRRefP22_8x_0</vt:lpstr>
      <vt:lpstr>'321'!OSRRefP22_8x_0</vt:lpstr>
      <vt:lpstr>'322'!OSRRefP22_8x_0</vt:lpstr>
      <vt:lpstr>'325'!OSRRefP22_8x_0</vt:lpstr>
      <vt:lpstr>'326'!OSRRefP22_8x_0</vt:lpstr>
      <vt:lpstr>'330'!OSRRefP22_8x_0</vt:lpstr>
      <vt:lpstr>'331'!OSRRefP22_8x_0</vt:lpstr>
      <vt:lpstr>'332'!OSRRefP22_8x_0</vt:lpstr>
      <vt:lpstr>'405'!OSRRefP22_8x_0</vt:lpstr>
      <vt:lpstr>'406'!OSRRefP22_8x_0</vt:lpstr>
      <vt:lpstr>'411'!OSRRefP22_8x_0</vt:lpstr>
      <vt:lpstr>'412'!OSRRefP22_8x_0</vt:lpstr>
      <vt:lpstr>'413'!OSRRefP22_8x_0</vt:lpstr>
      <vt:lpstr>'414'!OSRRefP22_8x_0</vt:lpstr>
      <vt:lpstr>'415'!OSRRefP22_8x_0</vt:lpstr>
      <vt:lpstr>'418'!OSRRefP22_8x_0</vt:lpstr>
      <vt:lpstr>'424'!OSRRefP22_8x_0</vt:lpstr>
      <vt:lpstr>'425'!OSRRefP22_8x_0</vt:lpstr>
      <vt:lpstr>'433'!OSRRefP22_8x_0</vt:lpstr>
      <vt:lpstr>'444'!OSRRefP22_8x_0</vt:lpstr>
      <vt:lpstr>'450'!OSRRefP22_8x_0</vt:lpstr>
      <vt:lpstr>'491'!OSRRefP22_8x_0</vt:lpstr>
      <vt:lpstr>'492'!OSRRefP22_8x_0</vt:lpstr>
      <vt:lpstr>'501'!OSRRefP22_8x_0</vt:lpstr>
      <vt:lpstr>'Div 2'!OSRRefP22_8x_0</vt:lpstr>
      <vt:lpstr>'Div 3'!OSRRefP22_8x_0</vt:lpstr>
      <vt:lpstr>'Div 4'!OSRRefP22_8x_0</vt:lpstr>
      <vt:lpstr>'Div 5'!OSRRefP22_8x_0</vt:lpstr>
      <vt:lpstr>'Div 6'!OSRRefP22_8x_0</vt:lpstr>
      <vt:lpstr>Summary!OSRRefP22_8x_0</vt:lpstr>
      <vt:lpstr>'201'!OSRRefP22_9x_0</vt:lpstr>
      <vt:lpstr>'202'!OSRRefP22_9x_0</vt:lpstr>
      <vt:lpstr>'203'!OSRRefP22_9x_0</vt:lpstr>
      <vt:lpstr>'204'!OSRRefP22_9x_0</vt:lpstr>
      <vt:lpstr>'300'!OSRRefP22_9x_0</vt:lpstr>
      <vt:lpstr>'300 &amp; 317'!OSRRefP22_9x_0</vt:lpstr>
      <vt:lpstr>'301'!OSRRefP22_9x_0</vt:lpstr>
      <vt:lpstr>'307'!OSRRefP22_9x_0</vt:lpstr>
      <vt:lpstr>'308'!OSRRefP22_9x_0</vt:lpstr>
      <vt:lpstr>'309'!OSRRefP22_9x_0</vt:lpstr>
      <vt:lpstr>'310'!OSRRefP22_9x_0</vt:lpstr>
      <vt:lpstr>'310 &amp; 491'!OSRRefP22_9x_0</vt:lpstr>
      <vt:lpstr>'311'!OSRRefP22_9x_0</vt:lpstr>
      <vt:lpstr>'313'!OSRRefP22_9x_0</vt:lpstr>
      <vt:lpstr>'315'!OSRRefP22_9x_0</vt:lpstr>
      <vt:lpstr>'316'!OSRRefP22_9x_0</vt:lpstr>
      <vt:lpstr>'317'!OSRRefP22_9x_0</vt:lpstr>
      <vt:lpstr>'321'!OSRRefP22_9x_0</vt:lpstr>
      <vt:lpstr>'322'!OSRRefP22_9x_0</vt:lpstr>
      <vt:lpstr>'325'!OSRRefP22_9x_0</vt:lpstr>
      <vt:lpstr>'326'!OSRRefP22_9x_0</vt:lpstr>
      <vt:lpstr>'330'!OSRRefP22_9x_0</vt:lpstr>
      <vt:lpstr>'331'!OSRRefP22_9x_0</vt:lpstr>
      <vt:lpstr>'332'!OSRRefP22_9x_0</vt:lpstr>
      <vt:lpstr>'405'!OSRRefP22_9x_0</vt:lpstr>
      <vt:lpstr>'406'!OSRRefP22_9x_0</vt:lpstr>
      <vt:lpstr>'411'!OSRRefP22_9x_0</vt:lpstr>
      <vt:lpstr>'412'!OSRRefP22_9x_0</vt:lpstr>
      <vt:lpstr>'413'!OSRRefP22_9x_0</vt:lpstr>
      <vt:lpstr>'414'!OSRRefP22_9x_0</vt:lpstr>
      <vt:lpstr>'415'!OSRRefP22_9x_0</vt:lpstr>
      <vt:lpstr>'418'!OSRRefP22_9x_0</vt:lpstr>
      <vt:lpstr>'424'!OSRRefP22_9x_0</vt:lpstr>
      <vt:lpstr>'425'!OSRRefP22_9x_0</vt:lpstr>
      <vt:lpstr>'433'!OSRRefP22_9x_0</vt:lpstr>
      <vt:lpstr>'444'!OSRRefP22_9x_0</vt:lpstr>
      <vt:lpstr>'450'!OSRRefP22_9x_0</vt:lpstr>
      <vt:lpstr>'491'!OSRRefP22_9x_0</vt:lpstr>
      <vt:lpstr>'492'!OSRRefP22_9x_0</vt:lpstr>
      <vt:lpstr>'501'!OSRRefP22_9x_0</vt:lpstr>
      <vt:lpstr>'Div 2'!OSRRefP22_9x_0</vt:lpstr>
      <vt:lpstr>'Div 3'!OSRRefP22_9x_0</vt:lpstr>
      <vt:lpstr>'Div 4'!OSRRefP22_9x_0</vt:lpstr>
      <vt:lpstr>'Div 5'!OSRRefP22_9x_0</vt:lpstr>
      <vt:lpstr>'Div 6'!OSRRefP22_9x_0</vt:lpstr>
      <vt:lpstr>Summary!OSRRefP22_9x_0</vt:lpstr>
      <vt:lpstr>'200'!OSRRefP22x_0</vt:lpstr>
      <vt:lpstr>'201'!OSRRefP22x_0</vt:lpstr>
      <vt:lpstr>'202'!OSRRefP22x_0</vt:lpstr>
      <vt:lpstr>'203'!OSRRefP22x_0</vt:lpstr>
      <vt:lpstr>'204'!OSRRefP22x_0</vt:lpstr>
      <vt:lpstr>'205'!OSRRefP22x_0</vt:lpstr>
      <vt:lpstr>'206'!OSRRefP22x_0</vt:lpstr>
      <vt:lpstr>'300'!OSRRefP22x_0</vt:lpstr>
      <vt:lpstr>'300 &amp; 317'!OSRRefP22x_0</vt:lpstr>
      <vt:lpstr>'301'!OSRRefP22x_0</vt:lpstr>
      <vt:lpstr>'306'!OSRRefP22x_0</vt:lpstr>
      <vt:lpstr>'307'!OSRRefP22x_0</vt:lpstr>
      <vt:lpstr>'308'!OSRRefP22x_0</vt:lpstr>
      <vt:lpstr>'309'!OSRRefP22x_0</vt:lpstr>
      <vt:lpstr>'310'!OSRRefP22x_0</vt:lpstr>
      <vt:lpstr>'310 &amp; 491'!OSRRefP22x_0</vt:lpstr>
      <vt:lpstr>'311'!OSRRefP22x_0</vt:lpstr>
      <vt:lpstr>'313'!OSRRefP22x_0</vt:lpstr>
      <vt:lpstr>'314'!OSRRefP22x_0</vt:lpstr>
      <vt:lpstr>'315'!OSRRefP22x_0</vt:lpstr>
      <vt:lpstr>'316'!OSRRefP22x_0</vt:lpstr>
      <vt:lpstr>'317'!OSRRefP22x_0</vt:lpstr>
      <vt:lpstr>'320'!OSRRefP22x_0</vt:lpstr>
      <vt:lpstr>'321'!OSRRefP22x_0</vt:lpstr>
      <vt:lpstr>'322'!OSRRefP22x_0</vt:lpstr>
      <vt:lpstr>'325'!OSRRefP22x_0</vt:lpstr>
      <vt:lpstr>'326'!OSRRefP22x_0</vt:lpstr>
      <vt:lpstr>'327'!OSRRefP22x_0</vt:lpstr>
      <vt:lpstr>'330'!OSRRefP22x_0</vt:lpstr>
      <vt:lpstr>'331'!OSRRefP22x_0</vt:lpstr>
      <vt:lpstr>'332'!OSRRefP22x_0</vt:lpstr>
      <vt:lpstr>'405'!OSRRefP22x_0</vt:lpstr>
      <vt:lpstr>'406'!OSRRefP22x_0</vt:lpstr>
      <vt:lpstr>'411'!OSRRefP22x_0</vt:lpstr>
      <vt:lpstr>'412'!OSRRefP22x_0</vt:lpstr>
      <vt:lpstr>'413'!OSRRefP22x_0</vt:lpstr>
      <vt:lpstr>'414'!OSRRefP22x_0</vt:lpstr>
      <vt:lpstr>'415'!OSRRefP22x_0</vt:lpstr>
      <vt:lpstr>'418'!OSRRefP22x_0</vt:lpstr>
      <vt:lpstr>'420'!OSRRefP22x_0</vt:lpstr>
      <vt:lpstr>'423'!OSRRefP22x_0</vt:lpstr>
      <vt:lpstr>'424'!OSRRefP22x_0</vt:lpstr>
      <vt:lpstr>'425'!OSRRefP22x_0</vt:lpstr>
      <vt:lpstr>'430'!OSRRefP22x_0</vt:lpstr>
      <vt:lpstr>'433'!OSRRefP22x_0</vt:lpstr>
      <vt:lpstr>'435'!OSRRefP22x_0</vt:lpstr>
      <vt:lpstr>'444'!OSRRefP22x_0</vt:lpstr>
      <vt:lpstr>'450'!OSRRefP22x_0</vt:lpstr>
      <vt:lpstr>'455'!OSRRefP22x_0</vt:lpstr>
      <vt:lpstr>'491'!OSRRefP22x_0</vt:lpstr>
      <vt:lpstr>'492'!OSRRefP22x_0</vt:lpstr>
      <vt:lpstr>'501'!OSRRefP22x_0</vt:lpstr>
      <vt:lpstr>'Div 2'!OSRRefP22x_0</vt:lpstr>
      <vt:lpstr>'Div 3'!OSRRefP22x_0</vt:lpstr>
      <vt:lpstr>'Div 4'!OSRRefP22x_0</vt:lpstr>
      <vt:lpstr>'Div 5'!OSRRefP22x_0</vt:lpstr>
      <vt:lpstr>'Div 6'!OSRRefP22x_0</vt:lpstr>
      <vt:lpstr>Summary!OSRRefP22x_0</vt:lpstr>
      <vt:lpstr>'300'!OSRRefP25x_0</vt:lpstr>
      <vt:lpstr>'300 &amp; 317'!OSRRefP25x_0</vt:lpstr>
      <vt:lpstr>'301'!OSRRefP25x_0</vt:lpstr>
      <vt:lpstr>'308'!OSRRefP25x_0</vt:lpstr>
      <vt:lpstr>'310 &amp; 491'!OSRRefP25x_0</vt:lpstr>
      <vt:lpstr>'311'!OSRRefP25x_0</vt:lpstr>
      <vt:lpstr>'315'!OSRRefP25x_0</vt:lpstr>
      <vt:lpstr>'316'!OSRRefP25x_0</vt:lpstr>
      <vt:lpstr>'317'!OSRRefP25x_0</vt:lpstr>
      <vt:lpstr>'320'!OSRRefP25x_0</vt:lpstr>
      <vt:lpstr>'331'!OSRRefP25x_0</vt:lpstr>
      <vt:lpstr>'332'!OSRRefP25x_0</vt:lpstr>
      <vt:lpstr>'411'!OSRRefP25x_0</vt:lpstr>
      <vt:lpstr>'413'!OSRRefP25x_0</vt:lpstr>
      <vt:lpstr>'418'!OSRRefP25x_0</vt:lpstr>
      <vt:lpstr>'423'!OSRRefP25x_0</vt:lpstr>
      <vt:lpstr>'424'!OSRRefP25x_0</vt:lpstr>
      <vt:lpstr>'425'!OSRRefP25x_0</vt:lpstr>
      <vt:lpstr>'455'!OSRRefP25x_0</vt:lpstr>
      <vt:lpstr>'491'!OSRRefP25x_0</vt:lpstr>
      <vt:lpstr>'501'!OSRRefP25x_0</vt:lpstr>
      <vt:lpstr>'Div 3'!OSRRefP25x_0</vt:lpstr>
      <vt:lpstr>'Div 4'!OSRRefP25x_0</vt:lpstr>
      <vt:lpstr>'Div 5'!OSRRefP25x_0</vt:lpstr>
      <vt:lpstr>'Div 6'!OSRRefP25x_0</vt:lpstr>
      <vt:lpstr>Summary!OSRRefP25x_0</vt:lpstr>
      <vt:lpstr>'300'!OSRRefT13x_0</vt:lpstr>
      <vt:lpstr>'300 &amp; 317'!OSRRefT13x_0</vt:lpstr>
      <vt:lpstr>'307'!OSRRefT13x_0</vt:lpstr>
      <vt:lpstr>'308'!OSRRefT13x_0</vt:lpstr>
      <vt:lpstr>'309'!OSRRefT13x_0</vt:lpstr>
      <vt:lpstr>'310'!OSRRefT13x_0</vt:lpstr>
      <vt:lpstr>'310 &amp; 491'!OSRRefT13x_0</vt:lpstr>
      <vt:lpstr>'311'!OSRRefT13x_0</vt:lpstr>
      <vt:lpstr>'313'!OSRRefT13x_0</vt:lpstr>
      <vt:lpstr>'314'!OSRRefT13x_0</vt:lpstr>
      <vt:lpstr>'315'!OSRRefT13x_0</vt:lpstr>
      <vt:lpstr>'316'!OSRRefT13x_0</vt:lpstr>
      <vt:lpstr>'317'!OSRRefT13x_0</vt:lpstr>
      <vt:lpstr>'320'!OSRRefT13x_0</vt:lpstr>
      <vt:lpstr>'321'!OSRRefT13x_0</vt:lpstr>
      <vt:lpstr>'322'!OSRRefT13x_0</vt:lpstr>
      <vt:lpstr>'324'!OSRRefT13x_0</vt:lpstr>
      <vt:lpstr>'325'!OSRRefT13x_0</vt:lpstr>
      <vt:lpstr>'326'!OSRRefT13x_0</vt:lpstr>
      <vt:lpstr>'327'!OSRRefT13x_0</vt:lpstr>
      <vt:lpstr>'330'!OSRRefT13x_0</vt:lpstr>
      <vt:lpstr>'331'!OSRRefT13x_0</vt:lpstr>
      <vt:lpstr>'332'!OSRRefT13x_0</vt:lpstr>
      <vt:lpstr>'405'!OSRRefT13x_0</vt:lpstr>
      <vt:lpstr>'406'!OSRRefT13x_0</vt:lpstr>
      <vt:lpstr>'412'!OSRRefT13x_0</vt:lpstr>
      <vt:lpstr>'413'!OSRRefT13x_0</vt:lpstr>
      <vt:lpstr>'414'!OSRRefT13x_0</vt:lpstr>
      <vt:lpstr>'415'!OSRRefT13x_0</vt:lpstr>
      <vt:lpstr>'418'!OSRRefT13x_0</vt:lpstr>
      <vt:lpstr>'420'!OSRRefT13x_0</vt:lpstr>
      <vt:lpstr>'424'!OSRRefT13x_0</vt:lpstr>
      <vt:lpstr>'425'!OSRRefT13x_0</vt:lpstr>
      <vt:lpstr>'433'!OSRRefT13x_0</vt:lpstr>
      <vt:lpstr>'435'!OSRRefT13x_0</vt:lpstr>
      <vt:lpstr>'444'!OSRRefT13x_0</vt:lpstr>
      <vt:lpstr>'450'!OSRRefT13x_0</vt:lpstr>
      <vt:lpstr>'491'!OSRRefT13x_0</vt:lpstr>
      <vt:lpstr>'492'!OSRRefT13x_0</vt:lpstr>
      <vt:lpstr>'501'!OSRRefT13x_0</vt:lpstr>
      <vt:lpstr>'Div 3'!OSRRefT13x_0</vt:lpstr>
      <vt:lpstr>'Div 4'!OSRRefT13x_0</vt:lpstr>
      <vt:lpstr>'Div 5'!OSRRefT13x_0</vt:lpstr>
      <vt:lpstr>'Div 6'!OSRRefT13x_0</vt:lpstr>
      <vt:lpstr>Summary!OSRRefT13x_0</vt:lpstr>
      <vt:lpstr>'300'!OSRRefT16x_0</vt:lpstr>
      <vt:lpstr>'300 &amp; 317'!OSRRefT16x_0</vt:lpstr>
      <vt:lpstr>'307'!OSRRefT16x_0</vt:lpstr>
      <vt:lpstr>'308'!OSRRefT16x_0</vt:lpstr>
      <vt:lpstr>'309'!OSRRefT16x_0</vt:lpstr>
      <vt:lpstr>'310'!OSRRefT16x_0</vt:lpstr>
      <vt:lpstr>'310 &amp; 491'!OSRRefT16x_0</vt:lpstr>
      <vt:lpstr>'311'!OSRRefT16x_0</vt:lpstr>
      <vt:lpstr>'313'!OSRRefT16x_0</vt:lpstr>
      <vt:lpstr>'314'!OSRRefT16x_0</vt:lpstr>
      <vt:lpstr>'315'!OSRRefT16x_0</vt:lpstr>
      <vt:lpstr>'317'!OSRRefT16x_0</vt:lpstr>
      <vt:lpstr>'320'!OSRRefT16x_0</vt:lpstr>
      <vt:lpstr>'321'!OSRRefT16x_0</vt:lpstr>
      <vt:lpstr>'322'!OSRRefT16x_0</vt:lpstr>
      <vt:lpstr>'324'!OSRRefT16x_0</vt:lpstr>
      <vt:lpstr>'325'!OSRRefT16x_0</vt:lpstr>
      <vt:lpstr>'326'!OSRRefT16x_0</vt:lpstr>
      <vt:lpstr>'327'!OSRRefT16x_0</vt:lpstr>
      <vt:lpstr>'330'!OSRRefT16x_0</vt:lpstr>
      <vt:lpstr>'331'!OSRRefT16x_0</vt:lpstr>
      <vt:lpstr>'332'!OSRRefT16x_0</vt:lpstr>
      <vt:lpstr>'405'!OSRRefT16x_0</vt:lpstr>
      <vt:lpstr>'406'!OSRRefT16x_0</vt:lpstr>
      <vt:lpstr>'412'!OSRRefT16x_0</vt:lpstr>
      <vt:lpstr>'413'!OSRRefT16x_0</vt:lpstr>
      <vt:lpstr>'414'!OSRRefT16x_0</vt:lpstr>
      <vt:lpstr>'415'!OSRRefT16x_0</vt:lpstr>
      <vt:lpstr>'418'!OSRRefT16x_0</vt:lpstr>
      <vt:lpstr>'423'!OSRRefT16x_0</vt:lpstr>
      <vt:lpstr>'424'!OSRRefT16x_0</vt:lpstr>
      <vt:lpstr>'425'!OSRRefT16x_0</vt:lpstr>
      <vt:lpstr>'433'!OSRRefT16x_0</vt:lpstr>
      <vt:lpstr>'435'!OSRRefT16x_0</vt:lpstr>
      <vt:lpstr>'444'!OSRRefT16x_0</vt:lpstr>
      <vt:lpstr>'450'!OSRRefT16x_0</vt:lpstr>
      <vt:lpstr>'491'!OSRRefT16x_0</vt:lpstr>
      <vt:lpstr>'492'!OSRRefT16x_0</vt:lpstr>
      <vt:lpstr>'Div 3'!OSRRefT16x_0</vt:lpstr>
      <vt:lpstr>'Div 4'!OSRRefT16x_0</vt:lpstr>
      <vt:lpstr>'Div 6'!OSRRefT16x_0</vt:lpstr>
      <vt:lpstr>Summary!OSRRefT16x_0</vt:lpstr>
      <vt:lpstr>'200'!OSRRefT22_0x_0</vt:lpstr>
      <vt:lpstr>'201'!OSRRefT22_0x_0</vt:lpstr>
      <vt:lpstr>'202'!OSRRefT22_0x_0</vt:lpstr>
      <vt:lpstr>'203'!OSRRefT22_0x_0</vt:lpstr>
      <vt:lpstr>'204'!OSRRefT22_0x_0</vt:lpstr>
      <vt:lpstr>'205'!OSRRefT22_0x_0</vt:lpstr>
      <vt:lpstr>'206'!OSRRefT22_0x_0</vt:lpstr>
      <vt:lpstr>'300'!OSRRefT22_0x_0</vt:lpstr>
      <vt:lpstr>'300 &amp; 317'!OSRRefT22_0x_0</vt:lpstr>
      <vt:lpstr>'301'!OSRRefT22_0x_0</vt:lpstr>
      <vt:lpstr>'306'!OSRRefT22_0x_0</vt:lpstr>
      <vt:lpstr>'307'!OSRRefT22_0x_0</vt:lpstr>
      <vt:lpstr>'308'!OSRRefT22_0x_0</vt:lpstr>
      <vt:lpstr>'309'!OSRRefT22_0x_0</vt:lpstr>
      <vt:lpstr>'310'!OSRRefT22_0x_0</vt:lpstr>
      <vt:lpstr>'310 &amp; 491'!OSRRefT22_0x_0</vt:lpstr>
      <vt:lpstr>'311'!OSRRefT22_0x_0</vt:lpstr>
      <vt:lpstr>'313'!OSRRefT22_0x_0</vt:lpstr>
      <vt:lpstr>'314'!OSRRefT22_0x_0</vt:lpstr>
      <vt:lpstr>'315'!OSRRefT22_0x_0</vt:lpstr>
      <vt:lpstr>'316'!OSRRefT22_0x_0</vt:lpstr>
      <vt:lpstr>'317'!OSRRefT22_0x_0</vt:lpstr>
      <vt:lpstr>'320'!OSRRefT22_0x_0</vt:lpstr>
      <vt:lpstr>'321'!OSRRefT22_0x_0</vt:lpstr>
      <vt:lpstr>'322'!OSRRefT22_0x_0</vt:lpstr>
      <vt:lpstr>'325'!OSRRefT22_0x_0</vt:lpstr>
      <vt:lpstr>'326'!OSRRefT22_0x_0</vt:lpstr>
      <vt:lpstr>'327'!OSRRefT22_0x_0</vt:lpstr>
      <vt:lpstr>'330'!OSRRefT22_0x_0</vt:lpstr>
      <vt:lpstr>'331'!OSRRefT22_0x_0</vt:lpstr>
      <vt:lpstr>'332'!OSRRefT22_0x_0</vt:lpstr>
      <vt:lpstr>'405'!OSRRefT22_0x_0</vt:lpstr>
      <vt:lpstr>'406'!OSRRefT22_0x_0</vt:lpstr>
      <vt:lpstr>'411'!OSRRefT22_0x_0</vt:lpstr>
      <vt:lpstr>'412'!OSRRefT22_0x_0</vt:lpstr>
      <vt:lpstr>'413'!OSRRefT22_0x_0</vt:lpstr>
      <vt:lpstr>'414'!OSRRefT22_0x_0</vt:lpstr>
      <vt:lpstr>'415'!OSRRefT22_0x_0</vt:lpstr>
      <vt:lpstr>'418'!OSRRefT22_0x_0</vt:lpstr>
      <vt:lpstr>'420'!OSRRefT22_0x_0</vt:lpstr>
      <vt:lpstr>'423'!OSRRefT22_0x_0</vt:lpstr>
      <vt:lpstr>'424'!OSRRefT22_0x_0</vt:lpstr>
      <vt:lpstr>'425'!OSRRefT22_0x_0</vt:lpstr>
      <vt:lpstr>'430'!OSRRefT22_0x_0</vt:lpstr>
      <vt:lpstr>'433'!OSRRefT22_0x_0</vt:lpstr>
      <vt:lpstr>'435'!OSRRefT22_0x_0</vt:lpstr>
      <vt:lpstr>'444'!OSRRefT22_0x_0</vt:lpstr>
      <vt:lpstr>'450'!OSRRefT22_0x_0</vt:lpstr>
      <vt:lpstr>'455'!OSRRefT22_0x_0</vt:lpstr>
      <vt:lpstr>'491'!OSRRefT22_0x_0</vt:lpstr>
      <vt:lpstr>'492'!OSRRefT22_0x_0</vt:lpstr>
      <vt:lpstr>'501'!OSRRefT22_0x_0</vt:lpstr>
      <vt:lpstr>'Div 2'!OSRRefT22_0x_0</vt:lpstr>
      <vt:lpstr>'Div 3'!OSRRefT22_0x_0</vt:lpstr>
      <vt:lpstr>'Div 4'!OSRRefT22_0x_0</vt:lpstr>
      <vt:lpstr>'Div 5'!OSRRefT22_0x_0</vt:lpstr>
      <vt:lpstr>'Div 6'!OSRRefT22_0x_0</vt:lpstr>
      <vt:lpstr>Summary!OSRRefT22_0x_0</vt:lpstr>
      <vt:lpstr>'201'!OSRRefT22_10x_0</vt:lpstr>
      <vt:lpstr>'202'!OSRRefT22_10x_0</vt:lpstr>
      <vt:lpstr>'203'!OSRRefT22_10x_0</vt:lpstr>
      <vt:lpstr>'300'!OSRRefT22_10x_0</vt:lpstr>
      <vt:lpstr>'300 &amp; 317'!OSRRefT22_10x_0</vt:lpstr>
      <vt:lpstr>'301'!OSRRefT22_10x_0</vt:lpstr>
      <vt:lpstr>'307'!OSRRefT22_10x_0</vt:lpstr>
      <vt:lpstr>'308'!OSRRefT22_10x_0</vt:lpstr>
      <vt:lpstr>'309'!OSRRefT22_10x_0</vt:lpstr>
      <vt:lpstr>'310'!OSRRefT22_10x_0</vt:lpstr>
      <vt:lpstr>'310 &amp; 491'!OSRRefT22_10x_0</vt:lpstr>
      <vt:lpstr>'311'!OSRRefT22_10x_0</vt:lpstr>
      <vt:lpstr>'313'!OSRRefT22_10x_0</vt:lpstr>
      <vt:lpstr>'315'!OSRRefT22_10x_0</vt:lpstr>
      <vt:lpstr>'316'!OSRRefT22_10x_0</vt:lpstr>
      <vt:lpstr>'317'!OSRRefT22_10x_0</vt:lpstr>
      <vt:lpstr>'321'!OSRRefT22_10x_0</vt:lpstr>
      <vt:lpstr>'322'!OSRRefT22_10x_0</vt:lpstr>
      <vt:lpstr>'325'!OSRRefT22_10x_0</vt:lpstr>
      <vt:lpstr>'326'!OSRRefT22_10x_0</vt:lpstr>
      <vt:lpstr>'330'!OSRRefT22_10x_0</vt:lpstr>
      <vt:lpstr>'331'!OSRRefT22_10x_0</vt:lpstr>
      <vt:lpstr>'332'!OSRRefT22_10x_0</vt:lpstr>
      <vt:lpstr>'405'!OSRRefT22_10x_0</vt:lpstr>
      <vt:lpstr>'406'!OSRRefT22_10x_0</vt:lpstr>
      <vt:lpstr>'411'!OSRRefT22_10x_0</vt:lpstr>
      <vt:lpstr>'412'!OSRRefT22_10x_0</vt:lpstr>
      <vt:lpstr>'413'!OSRRefT22_10x_0</vt:lpstr>
      <vt:lpstr>'414'!OSRRefT22_10x_0</vt:lpstr>
      <vt:lpstr>'415'!OSRRefT22_10x_0</vt:lpstr>
      <vt:lpstr>'418'!OSRRefT22_10x_0</vt:lpstr>
      <vt:lpstr>'424'!OSRRefT22_10x_0</vt:lpstr>
      <vt:lpstr>'425'!OSRRefT22_10x_0</vt:lpstr>
      <vt:lpstr>'433'!OSRRefT22_10x_0</vt:lpstr>
      <vt:lpstr>'444'!OSRRefT22_10x_0</vt:lpstr>
      <vt:lpstr>'450'!OSRRefT22_10x_0</vt:lpstr>
      <vt:lpstr>'491'!OSRRefT22_10x_0</vt:lpstr>
      <vt:lpstr>'492'!OSRRefT22_10x_0</vt:lpstr>
      <vt:lpstr>'501'!OSRRefT22_10x_0</vt:lpstr>
      <vt:lpstr>'Div 2'!OSRRefT22_10x_0</vt:lpstr>
      <vt:lpstr>'Div 3'!OSRRefT22_10x_0</vt:lpstr>
      <vt:lpstr>'Div 4'!OSRRefT22_10x_0</vt:lpstr>
      <vt:lpstr>'Div 5'!OSRRefT22_10x_0</vt:lpstr>
      <vt:lpstr>'Div 6'!OSRRefT22_10x_0</vt:lpstr>
      <vt:lpstr>Summary!OSRRefT22_10x_0</vt:lpstr>
      <vt:lpstr>'201'!OSRRefT22_11x_0</vt:lpstr>
      <vt:lpstr>'202'!OSRRefT22_11x_0</vt:lpstr>
      <vt:lpstr>'203'!OSRRefT22_11x_0</vt:lpstr>
      <vt:lpstr>'300'!OSRRefT22_11x_0</vt:lpstr>
      <vt:lpstr>'300 &amp; 317'!OSRRefT22_11x_0</vt:lpstr>
      <vt:lpstr>'301'!OSRRefT22_11x_0</vt:lpstr>
      <vt:lpstr>'307'!OSRRefT22_11x_0</vt:lpstr>
      <vt:lpstr>'308'!OSRRefT22_11x_0</vt:lpstr>
      <vt:lpstr>'310'!OSRRefT22_11x_0</vt:lpstr>
      <vt:lpstr>'310 &amp; 491'!OSRRefT22_11x_0</vt:lpstr>
      <vt:lpstr>'311'!OSRRefT22_11x_0</vt:lpstr>
      <vt:lpstr>'313'!OSRRefT22_11x_0</vt:lpstr>
      <vt:lpstr>'315'!OSRRefT22_11x_0</vt:lpstr>
      <vt:lpstr>'316'!OSRRefT22_11x_0</vt:lpstr>
      <vt:lpstr>'317'!OSRRefT22_11x_0</vt:lpstr>
      <vt:lpstr>'321'!OSRRefT22_11x_0</vt:lpstr>
      <vt:lpstr>'322'!OSRRefT22_11x_0</vt:lpstr>
      <vt:lpstr>'325'!OSRRefT22_11x_0</vt:lpstr>
      <vt:lpstr>'326'!OSRRefT22_11x_0</vt:lpstr>
      <vt:lpstr>'330'!OSRRefT22_11x_0</vt:lpstr>
      <vt:lpstr>'331'!OSRRefT22_11x_0</vt:lpstr>
      <vt:lpstr>'332'!OSRRefT22_11x_0</vt:lpstr>
      <vt:lpstr>'405'!OSRRefT22_11x_0</vt:lpstr>
      <vt:lpstr>'406'!OSRRefT22_11x_0</vt:lpstr>
      <vt:lpstr>'411'!OSRRefT22_11x_0</vt:lpstr>
      <vt:lpstr>'412'!OSRRefT22_11x_0</vt:lpstr>
      <vt:lpstr>'414'!OSRRefT22_11x_0</vt:lpstr>
      <vt:lpstr>'415'!OSRRefT22_11x_0</vt:lpstr>
      <vt:lpstr>'418'!OSRRefT22_11x_0</vt:lpstr>
      <vt:lpstr>'424'!OSRRefT22_11x_0</vt:lpstr>
      <vt:lpstr>'425'!OSRRefT22_11x_0</vt:lpstr>
      <vt:lpstr>'433'!OSRRefT22_11x_0</vt:lpstr>
      <vt:lpstr>'444'!OSRRefT22_11x_0</vt:lpstr>
      <vt:lpstr>'450'!OSRRefT22_11x_0</vt:lpstr>
      <vt:lpstr>'491'!OSRRefT22_11x_0</vt:lpstr>
      <vt:lpstr>'492'!OSRRefT22_11x_0</vt:lpstr>
      <vt:lpstr>'Div 2'!OSRRefT22_11x_0</vt:lpstr>
      <vt:lpstr>'Div 3'!OSRRefT22_11x_0</vt:lpstr>
      <vt:lpstr>'Div 4'!OSRRefT22_11x_0</vt:lpstr>
      <vt:lpstr>'Div 6'!OSRRefT22_11x_0</vt:lpstr>
      <vt:lpstr>Summary!OSRRefT22_11x_0</vt:lpstr>
      <vt:lpstr>'201'!OSRRefT22_12x_0</vt:lpstr>
      <vt:lpstr>'202'!OSRRefT22_12x_0</vt:lpstr>
      <vt:lpstr>'203'!OSRRefT22_12x_0</vt:lpstr>
      <vt:lpstr>'300'!OSRRefT22_12x_0</vt:lpstr>
      <vt:lpstr>'300 &amp; 317'!OSRRefT22_12x_0</vt:lpstr>
      <vt:lpstr>'301'!OSRRefT22_12x_0</vt:lpstr>
      <vt:lpstr>'308'!OSRRefT22_12x_0</vt:lpstr>
      <vt:lpstr>'310'!OSRRefT22_12x_0</vt:lpstr>
      <vt:lpstr>'310 &amp; 491'!OSRRefT22_12x_0</vt:lpstr>
      <vt:lpstr>'311'!OSRRefT22_12x_0</vt:lpstr>
      <vt:lpstr>'313'!OSRRefT22_12x_0</vt:lpstr>
      <vt:lpstr>'315'!OSRRefT22_12x_0</vt:lpstr>
      <vt:lpstr>'322'!OSRRefT22_12x_0</vt:lpstr>
      <vt:lpstr>'325'!OSRRefT22_12x_0</vt:lpstr>
      <vt:lpstr>'326'!OSRRefT22_12x_0</vt:lpstr>
      <vt:lpstr>'330'!OSRRefT22_12x_0</vt:lpstr>
      <vt:lpstr>'331'!OSRRefT22_12x_0</vt:lpstr>
      <vt:lpstr>'332'!OSRRefT22_12x_0</vt:lpstr>
      <vt:lpstr>'405'!OSRRefT22_12x_0</vt:lpstr>
      <vt:lpstr>'406'!OSRRefT22_12x_0</vt:lpstr>
      <vt:lpstr>'411'!OSRRefT22_12x_0</vt:lpstr>
      <vt:lpstr>'412'!OSRRefT22_12x_0</vt:lpstr>
      <vt:lpstr>'414'!OSRRefT22_12x_0</vt:lpstr>
      <vt:lpstr>'415'!OSRRefT22_12x_0</vt:lpstr>
      <vt:lpstr>'418'!OSRRefT22_12x_0</vt:lpstr>
      <vt:lpstr>'424'!OSRRefT22_12x_0</vt:lpstr>
      <vt:lpstr>'425'!OSRRefT22_12x_0</vt:lpstr>
      <vt:lpstr>'433'!OSRRefT22_12x_0</vt:lpstr>
      <vt:lpstr>'444'!OSRRefT22_12x_0</vt:lpstr>
      <vt:lpstr>'450'!OSRRefT22_12x_0</vt:lpstr>
      <vt:lpstr>'491'!OSRRefT22_12x_0</vt:lpstr>
      <vt:lpstr>'492'!OSRRefT22_12x_0</vt:lpstr>
      <vt:lpstr>'Div 2'!OSRRefT22_12x_0</vt:lpstr>
      <vt:lpstr>'Div 3'!OSRRefT22_12x_0</vt:lpstr>
      <vt:lpstr>'Div 4'!OSRRefT22_12x_0</vt:lpstr>
      <vt:lpstr>Summary!OSRRefT22_12x_0</vt:lpstr>
      <vt:lpstr>'201'!OSRRefT22_13x_0</vt:lpstr>
      <vt:lpstr>'202'!OSRRefT22_13x_0</vt:lpstr>
      <vt:lpstr>'203'!OSRRefT22_13x_0</vt:lpstr>
      <vt:lpstr>'300'!OSRRefT22_13x_0</vt:lpstr>
      <vt:lpstr>'300 &amp; 317'!OSRRefT22_13x_0</vt:lpstr>
      <vt:lpstr>'301'!OSRRefT22_13x_0</vt:lpstr>
      <vt:lpstr>'308'!OSRRefT22_13x_0</vt:lpstr>
      <vt:lpstr>'310'!OSRRefT22_13x_0</vt:lpstr>
      <vt:lpstr>'310 &amp; 491'!OSRRefT22_13x_0</vt:lpstr>
      <vt:lpstr>'311'!OSRRefT22_13x_0</vt:lpstr>
      <vt:lpstr>'325'!OSRRefT22_13x_0</vt:lpstr>
      <vt:lpstr>'326'!OSRRefT22_13x_0</vt:lpstr>
      <vt:lpstr>'331'!OSRRefT22_13x_0</vt:lpstr>
      <vt:lpstr>'332'!OSRRefT22_13x_0</vt:lpstr>
      <vt:lpstr>'405'!OSRRefT22_13x_0</vt:lpstr>
      <vt:lpstr>'411'!OSRRefT22_13x_0</vt:lpstr>
      <vt:lpstr>'414'!OSRRefT22_13x_0</vt:lpstr>
      <vt:lpstr>'415'!OSRRefT22_13x_0</vt:lpstr>
      <vt:lpstr>'418'!OSRRefT22_13x_0</vt:lpstr>
      <vt:lpstr>'425'!OSRRefT22_13x_0</vt:lpstr>
      <vt:lpstr>'433'!OSRRefT22_13x_0</vt:lpstr>
      <vt:lpstr>'444'!OSRRefT22_13x_0</vt:lpstr>
      <vt:lpstr>'450'!OSRRefT22_13x_0</vt:lpstr>
      <vt:lpstr>'491'!OSRRefT22_13x_0</vt:lpstr>
      <vt:lpstr>'492'!OSRRefT22_13x_0</vt:lpstr>
      <vt:lpstr>'Div 2'!OSRRefT22_13x_0</vt:lpstr>
      <vt:lpstr>'Div 3'!OSRRefT22_13x_0</vt:lpstr>
      <vt:lpstr>'Div 4'!OSRRefT22_13x_0</vt:lpstr>
      <vt:lpstr>Summary!OSRRefT22_13x_0</vt:lpstr>
      <vt:lpstr>'201'!OSRRefT22_14x_0</vt:lpstr>
      <vt:lpstr>'203'!OSRRefT22_14x_0</vt:lpstr>
      <vt:lpstr>'300'!OSRRefT22_14x_0</vt:lpstr>
      <vt:lpstr>'300 &amp; 317'!OSRRefT22_14x_0</vt:lpstr>
      <vt:lpstr>'301'!OSRRefT22_14x_0</vt:lpstr>
      <vt:lpstr>'308'!OSRRefT22_14x_0</vt:lpstr>
      <vt:lpstr>'310'!OSRRefT22_14x_0</vt:lpstr>
      <vt:lpstr>'310 &amp; 491'!OSRRefT22_14x_0</vt:lpstr>
      <vt:lpstr>'311'!OSRRefT22_14x_0</vt:lpstr>
      <vt:lpstr>'325'!OSRRefT22_14x_0</vt:lpstr>
      <vt:lpstr>'326'!OSRRefT22_14x_0</vt:lpstr>
      <vt:lpstr>'331'!OSRRefT22_14x_0</vt:lpstr>
      <vt:lpstr>'332'!OSRRefT22_14x_0</vt:lpstr>
      <vt:lpstr>'405'!OSRRefT22_14x_0</vt:lpstr>
      <vt:lpstr>'411'!OSRRefT22_14x_0</vt:lpstr>
      <vt:lpstr>'414'!OSRRefT22_14x_0</vt:lpstr>
      <vt:lpstr>'415'!OSRRefT22_14x_0</vt:lpstr>
      <vt:lpstr>'418'!OSRRefT22_14x_0</vt:lpstr>
      <vt:lpstr>'425'!OSRRefT22_14x_0</vt:lpstr>
      <vt:lpstr>'433'!OSRRefT22_14x_0</vt:lpstr>
      <vt:lpstr>'444'!OSRRefT22_14x_0</vt:lpstr>
      <vt:lpstr>'450'!OSRRefT22_14x_0</vt:lpstr>
      <vt:lpstr>'491'!OSRRefT22_14x_0</vt:lpstr>
      <vt:lpstr>'492'!OSRRefT22_14x_0</vt:lpstr>
      <vt:lpstr>'Div 2'!OSRRefT22_14x_0</vt:lpstr>
      <vt:lpstr>'Div 3'!OSRRefT22_14x_0</vt:lpstr>
      <vt:lpstr>'Div 4'!OSRRefT22_14x_0</vt:lpstr>
      <vt:lpstr>Summary!OSRRefT22_14x_0</vt:lpstr>
      <vt:lpstr>'201'!OSRRefT22_15x_0</vt:lpstr>
      <vt:lpstr>'203'!OSRRefT22_15x_0</vt:lpstr>
      <vt:lpstr>'300'!OSRRefT22_15x_0</vt:lpstr>
      <vt:lpstr>'300 &amp; 317'!OSRRefT22_15x_0</vt:lpstr>
      <vt:lpstr>'301'!OSRRefT22_15x_0</vt:lpstr>
      <vt:lpstr>'310'!OSRRefT22_15x_0</vt:lpstr>
      <vt:lpstr>'310 &amp; 491'!OSRRefT22_15x_0</vt:lpstr>
      <vt:lpstr>'325'!OSRRefT22_15x_0</vt:lpstr>
      <vt:lpstr>'326'!OSRRefT22_15x_0</vt:lpstr>
      <vt:lpstr>'331'!OSRRefT22_15x_0</vt:lpstr>
      <vt:lpstr>'405'!OSRRefT22_15x_0</vt:lpstr>
      <vt:lpstr>'411'!OSRRefT22_15x_0</vt:lpstr>
      <vt:lpstr>'415'!OSRRefT22_15x_0</vt:lpstr>
      <vt:lpstr>'433'!OSRRefT22_15x_0</vt:lpstr>
      <vt:lpstr>'444'!OSRRefT22_15x_0</vt:lpstr>
      <vt:lpstr>'450'!OSRRefT22_15x_0</vt:lpstr>
      <vt:lpstr>'491'!OSRRefT22_15x_0</vt:lpstr>
      <vt:lpstr>'492'!OSRRefT22_15x_0</vt:lpstr>
      <vt:lpstr>'Div 2'!OSRRefT22_15x_0</vt:lpstr>
      <vt:lpstr>'Div 3'!OSRRefT22_15x_0</vt:lpstr>
      <vt:lpstr>'Div 4'!OSRRefT22_15x_0</vt:lpstr>
      <vt:lpstr>Summary!OSRRefT22_15x_0</vt:lpstr>
      <vt:lpstr>'300'!OSRRefT22_16x_0</vt:lpstr>
      <vt:lpstr>'300 &amp; 317'!OSRRefT22_16x_0</vt:lpstr>
      <vt:lpstr>'301'!OSRRefT22_16x_0</vt:lpstr>
      <vt:lpstr>'310'!OSRRefT22_16x_0</vt:lpstr>
      <vt:lpstr>'310 &amp; 491'!OSRRefT22_16x_0</vt:lpstr>
      <vt:lpstr>'325'!OSRRefT22_16x_0</vt:lpstr>
      <vt:lpstr>'326'!OSRRefT22_16x_0</vt:lpstr>
      <vt:lpstr>'331'!OSRRefT22_16x_0</vt:lpstr>
      <vt:lpstr>'405'!OSRRefT22_16x_0</vt:lpstr>
      <vt:lpstr>'411'!OSRRefT22_16x_0</vt:lpstr>
      <vt:lpstr>'415'!OSRRefT22_16x_0</vt:lpstr>
      <vt:lpstr>'433'!OSRRefT22_16x_0</vt:lpstr>
      <vt:lpstr>'444'!OSRRefT22_16x_0</vt:lpstr>
      <vt:lpstr>'450'!OSRRefT22_16x_0</vt:lpstr>
      <vt:lpstr>'491'!OSRRefT22_16x_0</vt:lpstr>
      <vt:lpstr>'492'!OSRRefT22_16x_0</vt:lpstr>
      <vt:lpstr>'Div 2'!OSRRefT22_16x_0</vt:lpstr>
      <vt:lpstr>'Div 3'!OSRRefT22_16x_0</vt:lpstr>
      <vt:lpstr>'Div 4'!OSRRefT22_16x_0</vt:lpstr>
      <vt:lpstr>Summary!OSRRefT22_16x_0</vt:lpstr>
      <vt:lpstr>'300'!OSRRefT22_17x_0</vt:lpstr>
      <vt:lpstr>'300 &amp; 317'!OSRRefT22_17x_0</vt:lpstr>
      <vt:lpstr>'301'!OSRRefT22_17x_0</vt:lpstr>
      <vt:lpstr>'310'!OSRRefT22_17x_0</vt:lpstr>
      <vt:lpstr>'310 &amp; 491'!OSRRefT22_17x_0</vt:lpstr>
      <vt:lpstr>'326'!OSRRefT22_17x_0</vt:lpstr>
      <vt:lpstr>'331'!OSRRefT22_17x_0</vt:lpstr>
      <vt:lpstr>'411'!OSRRefT22_17x_0</vt:lpstr>
      <vt:lpstr>'415'!OSRRefT22_17x_0</vt:lpstr>
      <vt:lpstr>'450'!OSRRefT22_17x_0</vt:lpstr>
      <vt:lpstr>'491'!OSRRefT22_17x_0</vt:lpstr>
      <vt:lpstr>'492'!OSRRefT22_17x_0</vt:lpstr>
      <vt:lpstr>'Div 2'!OSRRefT22_17x_0</vt:lpstr>
      <vt:lpstr>'Div 3'!OSRRefT22_17x_0</vt:lpstr>
      <vt:lpstr>'Div 4'!OSRRefT22_17x_0</vt:lpstr>
      <vt:lpstr>Summary!OSRRefT22_17x_0</vt:lpstr>
      <vt:lpstr>'300'!OSRRefT22_18x_0</vt:lpstr>
      <vt:lpstr>'300 &amp; 317'!OSRRefT22_18x_0</vt:lpstr>
      <vt:lpstr>'301'!OSRRefT22_18x_0</vt:lpstr>
      <vt:lpstr>'310'!OSRRefT22_18x_0</vt:lpstr>
      <vt:lpstr>'310 &amp; 491'!OSRRefT22_18x_0</vt:lpstr>
      <vt:lpstr>'331'!OSRRefT22_18x_0</vt:lpstr>
      <vt:lpstr>'411'!OSRRefT22_18x_0</vt:lpstr>
      <vt:lpstr>'491'!OSRRefT22_18x_0</vt:lpstr>
      <vt:lpstr>'Div 2'!OSRRefT22_18x_0</vt:lpstr>
      <vt:lpstr>'Div 3'!OSRRefT22_18x_0</vt:lpstr>
      <vt:lpstr>'Div 4'!OSRRefT22_18x_0</vt:lpstr>
      <vt:lpstr>Summary!OSRRefT22_18x_0</vt:lpstr>
      <vt:lpstr>'300'!OSRRefT22_19x_0</vt:lpstr>
      <vt:lpstr>'300 &amp; 317'!OSRRefT22_19x_0</vt:lpstr>
      <vt:lpstr>'301'!OSRRefT22_19x_0</vt:lpstr>
      <vt:lpstr>'310'!OSRRefT22_19x_0</vt:lpstr>
      <vt:lpstr>'310 &amp; 491'!OSRRefT22_19x_0</vt:lpstr>
      <vt:lpstr>'331'!OSRRefT22_19x_0</vt:lpstr>
      <vt:lpstr>'491'!OSRRefT22_19x_0</vt:lpstr>
      <vt:lpstr>'Div 2'!OSRRefT22_19x_0</vt:lpstr>
      <vt:lpstr>'Div 3'!OSRRefT22_19x_0</vt:lpstr>
      <vt:lpstr>'Div 4'!OSRRefT22_19x_0</vt:lpstr>
      <vt:lpstr>Summary!OSRRefT22_19x_0</vt:lpstr>
      <vt:lpstr>'200'!OSRRefT22_1x_0</vt:lpstr>
      <vt:lpstr>'201'!OSRRefT22_1x_0</vt:lpstr>
      <vt:lpstr>'202'!OSRRefT22_1x_0</vt:lpstr>
      <vt:lpstr>'203'!OSRRefT22_1x_0</vt:lpstr>
      <vt:lpstr>'204'!OSRRefT22_1x_0</vt:lpstr>
      <vt:lpstr>'205'!OSRRefT22_1x_0</vt:lpstr>
      <vt:lpstr>'206'!OSRRefT22_1x_0</vt:lpstr>
      <vt:lpstr>'300'!OSRRefT22_1x_0</vt:lpstr>
      <vt:lpstr>'300 &amp; 317'!OSRRefT22_1x_0</vt:lpstr>
      <vt:lpstr>'301'!OSRRefT22_1x_0</vt:lpstr>
      <vt:lpstr>'306'!OSRRefT22_1x_0</vt:lpstr>
      <vt:lpstr>'307'!OSRRefT22_1x_0</vt:lpstr>
      <vt:lpstr>'308'!OSRRefT22_1x_0</vt:lpstr>
      <vt:lpstr>'309'!OSRRefT22_1x_0</vt:lpstr>
      <vt:lpstr>'310'!OSRRefT22_1x_0</vt:lpstr>
      <vt:lpstr>'310 &amp; 491'!OSRRefT22_1x_0</vt:lpstr>
      <vt:lpstr>'311'!OSRRefT22_1x_0</vt:lpstr>
      <vt:lpstr>'313'!OSRRefT22_1x_0</vt:lpstr>
      <vt:lpstr>'314'!OSRRefT22_1x_0</vt:lpstr>
      <vt:lpstr>'315'!OSRRefT22_1x_0</vt:lpstr>
      <vt:lpstr>'316'!OSRRefT22_1x_0</vt:lpstr>
      <vt:lpstr>'317'!OSRRefT22_1x_0</vt:lpstr>
      <vt:lpstr>'320'!OSRRefT22_1x_0</vt:lpstr>
      <vt:lpstr>'321'!OSRRefT22_1x_0</vt:lpstr>
      <vt:lpstr>'322'!OSRRefT22_1x_0</vt:lpstr>
      <vt:lpstr>'325'!OSRRefT22_1x_0</vt:lpstr>
      <vt:lpstr>'326'!OSRRefT22_1x_0</vt:lpstr>
      <vt:lpstr>'327'!OSRRefT22_1x_0</vt:lpstr>
      <vt:lpstr>'330'!OSRRefT22_1x_0</vt:lpstr>
      <vt:lpstr>'331'!OSRRefT22_1x_0</vt:lpstr>
      <vt:lpstr>'332'!OSRRefT22_1x_0</vt:lpstr>
      <vt:lpstr>'405'!OSRRefT22_1x_0</vt:lpstr>
      <vt:lpstr>'406'!OSRRefT22_1x_0</vt:lpstr>
      <vt:lpstr>'411'!OSRRefT22_1x_0</vt:lpstr>
      <vt:lpstr>'412'!OSRRefT22_1x_0</vt:lpstr>
      <vt:lpstr>'413'!OSRRefT22_1x_0</vt:lpstr>
      <vt:lpstr>'414'!OSRRefT22_1x_0</vt:lpstr>
      <vt:lpstr>'415'!OSRRefT22_1x_0</vt:lpstr>
      <vt:lpstr>'418'!OSRRefT22_1x_0</vt:lpstr>
      <vt:lpstr>'420'!OSRRefT22_1x_0</vt:lpstr>
      <vt:lpstr>'423'!OSRRefT22_1x_0</vt:lpstr>
      <vt:lpstr>'424'!OSRRefT22_1x_0</vt:lpstr>
      <vt:lpstr>'425'!OSRRefT22_1x_0</vt:lpstr>
      <vt:lpstr>'430'!OSRRefT22_1x_0</vt:lpstr>
      <vt:lpstr>'433'!OSRRefT22_1x_0</vt:lpstr>
      <vt:lpstr>'435'!OSRRefT22_1x_0</vt:lpstr>
      <vt:lpstr>'444'!OSRRefT22_1x_0</vt:lpstr>
      <vt:lpstr>'450'!OSRRefT22_1x_0</vt:lpstr>
      <vt:lpstr>'455'!OSRRefT22_1x_0</vt:lpstr>
      <vt:lpstr>'491'!OSRRefT22_1x_0</vt:lpstr>
      <vt:lpstr>'492'!OSRRefT22_1x_0</vt:lpstr>
      <vt:lpstr>'501'!OSRRefT22_1x_0</vt:lpstr>
      <vt:lpstr>'Div 2'!OSRRefT22_1x_0</vt:lpstr>
      <vt:lpstr>'Div 3'!OSRRefT22_1x_0</vt:lpstr>
      <vt:lpstr>'Div 4'!OSRRefT22_1x_0</vt:lpstr>
      <vt:lpstr>'Div 5'!OSRRefT22_1x_0</vt:lpstr>
      <vt:lpstr>'Div 6'!OSRRefT22_1x_0</vt:lpstr>
      <vt:lpstr>Summary!OSRRefT22_1x_0</vt:lpstr>
      <vt:lpstr>'300'!OSRRefT22_20x_0</vt:lpstr>
      <vt:lpstr>'300 &amp; 317'!OSRRefT22_20x_0</vt:lpstr>
      <vt:lpstr>'301'!OSRRefT22_20x_0</vt:lpstr>
      <vt:lpstr>'310'!OSRRefT22_20x_0</vt:lpstr>
      <vt:lpstr>'310 &amp; 491'!OSRRefT22_20x_0</vt:lpstr>
      <vt:lpstr>'331'!OSRRefT22_20x_0</vt:lpstr>
      <vt:lpstr>'491'!OSRRefT22_20x_0</vt:lpstr>
      <vt:lpstr>'Div 3'!OSRRefT22_20x_0</vt:lpstr>
      <vt:lpstr>'Div 4'!OSRRefT22_20x_0</vt:lpstr>
      <vt:lpstr>Summary!OSRRefT22_20x_0</vt:lpstr>
      <vt:lpstr>'300'!OSRRefT22_21x_0</vt:lpstr>
      <vt:lpstr>'300 &amp; 317'!OSRRefT22_21x_0</vt:lpstr>
      <vt:lpstr>'301'!OSRRefT22_21x_0</vt:lpstr>
      <vt:lpstr>'310'!OSRRefT22_21x_0</vt:lpstr>
      <vt:lpstr>'310 &amp; 491'!OSRRefT22_21x_0</vt:lpstr>
      <vt:lpstr>'491'!OSRRefT22_21x_0</vt:lpstr>
      <vt:lpstr>'Div 3'!OSRRefT22_21x_0</vt:lpstr>
      <vt:lpstr>'Div 4'!OSRRefT22_21x_0</vt:lpstr>
      <vt:lpstr>Summary!OSRRefT22_21x_0</vt:lpstr>
      <vt:lpstr>'300'!OSRRefT22_22x_0</vt:lpstr>
      <vt:lpstr>'300 &amp; 317'!OSRRefT22_22x_0</vt:lpstr>
      <vt:lpstr>'301'!OSRRefT22_22x_0</vt:lpstr>
      <vt:lpstr>'310 &amp; 491'!OSRRefT22_22x_0</vt:lpstr>
      <vt:lpstr>'491'!OSRRefT22_22x_0</vt:lpstr>
      <vt:lpstr>'Div 3'!OSRRefT22_22x_0</vt:lpstr>
      <vt:lpstr>'Div 4'!OSRRefT22_22x_0</vt:lpstr>
      <vt:lpstr>Summary!OSRRefT22_22x_0</vt:lpstr>
      <vt:lpstr>'300'!OSRRefT22_23x_0</vt:lpstr>
      <vt:lpstr>'300 &amp; 317'!OSRRefT22_23x_0</vt:lpstr>
      <vt:lpstr>'310 &amp; 491'!OSRRefT22_23x_0</vt:lpstr>
      <vt:lpstr>'491'!OSRRefT22_23x_0</vt:lpstr>
      <vt:lpstr>'Div 3'!OSRRefT22_23x_0</vt:lpstr>
      <vt:lpstr>'Div 4'!OSRRefT22_23x_0</vt:lpstr>
      <vt:lpstr>Summary!OSRRefT22_23x_0</vt:lpstr>
      <vt:lpstr>'300'!OSRRefT22_24x_0</vt:lpstr>
      <vt:lpstr>'300 &amp; 317'!OSRRefT22_24x_0</vt:lpstr>
      <vt:lpstr>'310 &amp; 491'!OSRRefT22_24x_0</vt:lpstr>
      <vt:lpstr>'Div 3'!OSRRefT22_24x_0</vt:lpstr>
      <vt:lpstr>'Div 4'!OSRRefT22_24x_0</vt:lpstr>
      <vt:lpstr>Summary!OSRRefT22_24x_0</vt:lpstr>
      <vt:lpstr>'Div 3'!OSRRefT22_25x_0</vt:lpstr>
      <vt:lpstr>Summary!OSRRefT22_25x_0</vt:lpstr>
      <vt:lpstr>Summary!OSRRefT22_26x_0</vt:lpstr>
      <vt:lpstr>'200'!OSRRefT22_2x_0</vt:lpstr>
      <vt:lpstr>'201'!OSRRefT22_2x_0</vt:lpstr>
      <vt:lpstr>'202'!OSRRefT22_2x_0</vt:lpstr>
      <vt:lpstr>'203'!OSRRefT22_2x_0</vt:lpstr>
      <vt:lpstr>'204'!OSRRefT22_2x_0</vt:lpstr>
      <vt:lpstr>'205'!OSRRefT22_2x_0</vt:lpstr>
      <vt:lpstr>'206'!OSRRefT22_2x_0</vt:lpstr>
      <vt:lpstr>'300'!OSRRefT22_2x_0</vt:lpstr>
      <vt:lpstr>'300 &amp; 317'!OSRRefT22_2x_0</vt:lpstr>
      <vt:lpstr>'301'!OSRRefT22_2x_0</vt:lpstr>
      <vt:lpstr>'306'!OSRRefT22_2x_0</vt:lpstr>
      <vt:lpstr>'307'!OSRRefT22_2x_0</vt:lpstr>
      <vt:lpstr>'308'!OSRRefT22_2x_0</vt:lpstr>
      <vt:lpstr>'309'!OSRRefT22_2x_0</vt:lpstr>
      <vt:lpstr>'310'!OSRRefT22_2x_0</vt:lpstr>
      <vt:lpstr>'310 &amp; 491'!OSRRefT22_2x_0</vt:lpstr>
      <vt:lpstr>'311'!OSRRefT22_2x_0</vt:lpstr>
      <vt:lpstr>'313'!OSRRefT22_2x_0</vt:lpstr>
      <vt:lpstr>'314'!OSRRefT22_2x_0</vt:lpstr>
      <vt:lpstr>'315'!OSRRefT22_2x_0</vt:lpstr>
      <vt:lpstr>'316'!OSRRefT22_2x_0</vt:lpstr>
      <vt:lpstr>'317'!OSRRefT22_2x_0</vt:lpstr>
      <vt:lpstr>'320'!OSRRefT22_2x_0</vt:lpstr>
      <vt:lpstr>'321'!OSRRefT22_2x_0</vt:lpstr>
      <vt:lpstr>'322'!OSRRefT22_2x_0</vt:lpstr>
      <vt:lpstr>'325'!OSRRefT22_2x_0</vt:lpstr>
      <vt:lpstr>'326'!OSRRefT22_2x_0</vt:lpstr>
      <vt:lpstr>'327'!OSRRefT22_2x_0</vt:lpstr>
      <vt:lpstr>'330'!OSRRefT22_2x_0</vt:lpstr>
      <vt:lpstr>'331'!OSRRefT22_2x_0</vt:lpstr>
      <vt:lpstr>'332'!OSRRefT22_2x_0</vt:lpstr>
      <vt:lpstr>'405'!OSRRefT22_2x_0</vt:lpstr>
      <vt:lpstr>'406'!OSRRefT22_2x_0</vt:lpstr>
      <vt:lpstr>'411'!OSRRefT22_2x_0</vt:lpstr>
      <vt:lpstr>'412'!OSRRefT22_2x_0</vt:lpstr>
      <vt:lpstr>'413'!OSRRefT22_2x_0</vt:lpstr>
      <vt:lpstr>'414'!OSRRefT22_2x_0</vt:lpstr>
      <vt:lpstr>'415'!OSRRefT22_2x_0</vt:lpstr>
      <vt:lpstr>'418'!OSRRefT22_2x_0</vt:lpstr>
      <vt:lpstr>'420'!OSRRefT22_2x_0</vt:lpstr>
      <vt:lpstr>'423'!OSRRefT22_2x_0</vt:lpstr>
      <vt:lpstr>'424'!OSRRefT22_2x_0</vt:lpstr>
      <vt:lpstr>'425'!OSRRefT22_2x_0</vt:lpstr>
      <vt:lpstr>'430'!OSRRefT22_2x_0</vt:lpstr>
      <vt:lpstr>'433'!OSRRefT22_2x_0</vt:lpstr>
      <vt:lpstr>'435'!OSRRefT22_2x_0</vt:lpstr>
      <vt:lpstr>'444'!OSRRefT22_2x_0</vt:lpstr>
      <vt:lpstr>'450'!OSRRefT22_2x_0</vt:lpstr>
      <vt:lpstr>'491'!OSRRefT22_2x_0</vt:lpstr>
      <vt:lpstr>'492'!OSRRefT22_2x_0</vt:lpstr>
      <vt:lpstr>'501'!OSRRefT22_2x_0</vt:lpstr>
      <vt:lpstr>'Div 2'!OSRRefT22_2x_0</vt:lpstr>
      <vt:lpstr>'Div 3'!OSRRefT22_2x_0</vt:lpstr>
      <vt:lpstr>'Div 4'!OSRRefT22_2x_0</vt:lpstr>
      <vt:lpstr>'Div 5'!OSRRefT22_2x_0</vt:lpstr>
      <vt:lpstr>'Div 6'!OSRRefT22_2x_0</vt:lpstr>
      <vt:lpstr>Summary!OSRRefT22_2x_0</vt:lpstr>
      <vt:lpstr>'200'!OSRRefT22_3x_0</vt:lpstr>
      <vt:lpstr>'201'!OSRRefT22_3x_0</vt:lpstr>
      <vt:lpstr>'202'!OSRRefT22_3x_0</vt:lpstr>
      <vt:lpstr>'203'!OSRRefT22_3x_0</vt:lpstr>
      <vt:lpstr>'204'!OSRRefT22_3x_0</vt:lpstr>
      <vt:lpstr>'205'!OSRRefT22_3x_0</vt:lpstr>
      <vt:lpstr>'206'!OSRRefT22_3x_0</vt:lpstr>
      <vt:lpstr>'300'!OSRRefT22_3x_0</vt:lpstr>
      <vt:lpstr>'300 &amp; 317'!OSRRefT22_3x_0</vt:lpstr>
      <vt:lpstr>'301'!OSRRefT22_3x_0</vt:lpstr>
      <vt:lpstr>'306'!OSRRefT22_3x_0</vt:lpstr>
      <vt:lpstr>'307'!OSRRefT22_3x_0</vt:lpstr>
      <vt:lpstr>'308'!OSRRefT22_3x_0</vt:lpstr>
      <vt:lpstr>'309'!OSRRefT22_3x_0</vt:lpstr>
      <vt:lpstr>'310'!OSRRefT22_3x_0</vt:lpstr>
      <vt:lpstr>'310 &amp; 491'!OSRRefT22_3x_0</vt:lpstr>
      <vt:lpstr>'311'!OSRRefT22_3x_0</vt:lpstr>
      <vt:lpstr>'313'!OSRRefT22_3x_0</vt:lpstr>
      <vt:lpstr>'314'!OSRRefT22_3x_0</vt:lpstr>
      <vt:lpstr>'315'!OSRRefT22_3x_0</vt:lpstr>
      <vt:lpstr>'316'!OSRRefT22_3x_0</vt:lpstr>
      <vt:lpstr>'317'!OSRRefT22_3x_0</vt:lpstr>
      <vt:lpstr>'320'!OSRRefT22_3x_0</vt:lpstr>
      <vt:lpstr>'321'!OSRRefT22_3x_0</vt:lpstr>
      <vt:lpstr>'322'!OSRRefT22_3x_0</vt:lpstr>
      <vt:lpstr>'325'!OSRRefT22_3x_0</vt:lpstr>
      <vt:lpstr>'326'!OSRRefT22_3x_0</vt:lpstr>
      <vt:lpstr>'330'!OSRRefT22_3x_0</vt:lpstr>
      <vt:lpstr>'331'!OSRRefT22_3x_0</vt:lpstr>
      <vt:lpstr>'332'!OSRRefT22_3x_0</vt:lpstr>
      <vt:lpstr>'405'!OSRRefT22_3x_0</vt:lpstr>
      <vt:lpstr>'406'!OSRRefT22_3x_0</vt:lpstr>
      <vt:lpstr>'411'!OSRRefT22_3x_0</vt:lpstr>
      <vt:lpstr>'412'!OSRRefT22_3x_0</vt:lpstr>
      <vt:lpstr>'413'!OSRRefT22_3x_0</vt:lpstr>
      <vt:lpstr>'414'!OSRRefT22_3x_0</vt:lpstr>
      <vt:lpstr>'415'!OSRRefT22_3x_0</vt:lpstr>
      <vt:lpstr>'418'!OSRRefT22_3x_0</vt:lpstr>
      <vt:lpstr>'420'!OSRRefT22_3x_0</vt:lpstr>
      <vt:lpstr>'423'!OSRRefT22_3x_0</vt:lpstr>
      <vt:lpstr>'424'!OSRRefT22_3x_0</vt:lpstr>
      <vt:lpstr>'425'!OSRRefT22_3x_0</vt:lpstr>
      <vt:lpstr>'430'!OSRRefT22_3x_0</vt:lpstr>
      <vt:lpstr>'433'!OSRRefT22_3x_0</vt:lpstr>
      <vt:lpstr>'435'!OSRRefT22_3x_0</vt:lpstr>
      <vt:lpstr>'444'!OSRRefT22_3x_0</vt:lpstr>
      <vt:lpstr>'450'!OSRRefT22_3x_0</vt:lpstr>
      <vt:lpstr>'491'!OSRRefT22_3x_0</vt:lpstr>
      <vt:lpstr>'492'!OSRRefT22_3x_0</vt:lpstr>
      <vt:lpstr>'501'!OSRRefT22_3x_0</vt:lpstr>
      <vt:lpstr>'Div 2'!OSRRefT22_3x_0</vt:lpstr>
      <vt:lpstr>'Div 3'!OSRRefT22_3x_0</vt:lpstr>
      <vt:lpstr>'Div 4'!OSRRefT22_3x_0</vt:lpstr>
      <vt:lpstr>'Div 5'!OSRRefT22_3x_0</vt:lpstr>
      <vt:lpstr>'Div 6'!OSRRefT22_3x_0</vt:lpstr>
      <vt:lpstr>Summary!OSRRefT22_3x_0</vt:lpstr>
      <vt:lpstr>'201'!OSRRefT22_4x_0</vt:lpstr>
      <vt:lpstr>'202'!OSRRefT22_4x_0</vt:lpstr>
      <vt:lpstr>'203'!OSRRefT22_4x_0</vt:lpstr>
      <vt:lpstr>'204'!OSRRefT22_4x_0</vt:lpstr>
      <vt:lpstr>'205'!OSRRefT22_4x_0</vt:lpstr>
      <vt:lpstr>'206'!OSRRefT22_4x_0</vt:lpstr>
      <vt:lpstr>'300'!OSRRefT22_4x_0</vt:lpstr>
      <vt:lpstr>'300 &amp; 317'!OSRRefT22_4x_0</vt:lpstr>
      <vt:lpstr>'301'!OSRRefT22_4x_0</vt:lpstr>
      <vt:lpstr>'306'!OSRRefT22_4x_0</vt:lpstr>
      <vt:lpstr>'307'!OSRRefT22_4x_0</vt:lpstr>
      <vt:lpstr>'308'!OSRRefT22_4x_0</vt:lpstr>
      <vt:lpstr>'309'!OSRRefT22_4x_0</vt:lpstr>
      <vt:lpstr>'310'!OSRRefT22_4x_0</vt:lpstr>
      <vt:lpstr>'310 &amp; 491'!OSRRefT22_4x_0</vt:lpstr>
      <vt:lpstr>'311'!OSRRefT22_4x_0</vt:lpstr>
      <vt:lpstr>'313'!OSRRefT22_4x_0</vt:lpstr>
      <vt:lpstr>'314'!OSRRefT22_4x_0</vt:lpstr>
      <vt:lpstr>'315'!OSRRefT22_4x_0</vt:lpstr>
      <vt:lpstr>'316'!OSRRefT22_4x_0</vt:lpstr>
      <vt:lpstr>'317'!OSRRefT22_4x_0</vt:lpstr>
      <vt:lpstr>'320'!OSRRefT22_4x_0</vt:lpstr>
      <vt:lpstr>'321'!OSRRefT22_4x_0</vt:lpstr>
      <vt:lpstr>'322'!OSRRefT22_4x_0</vt:lpstr>
      <vt:lpstr>'325'!OSRRefT22_4x_0</vt:lpstr>
      <vt:lpstr>'326'!OSRRefT22_4x_0</vt:lpstr>
      <vt:lpstr>'330'!OSRRefT22_4x_0</vt:lpstr>
      <vt:lpstr>'331'!OSRRefT22_4x_0</vt:lpstr>
      <vt:lpstr>'332'!OSRRefT22_4x_0</vt:lpstr>
      <vt:lpstr>'405'!OSRRefT22_4x_0</vt:lpstr>
      <vt:lpstr>'406'!OSRRefT22_4x_0</vt:lpstr>
      <vt:lpstr>'411'!OSRRefT22_4x_0</vt:lpstr>
      <vt:lpstr>'412'!OSRRefT22_4x_0</vt:lpstr>
      <vt:lpstr>'413'!OSRRefT22_4x_0</vt:lpstr>
      <vt:lpstr>'414'!OSRRefT22_4x_0</vt:lpstr>
      <vt:lpstr>'415'!OSRRefT22_4x_0</vt:lpstr>
      <vt:lpstr>'418'!OSRRefT22_4x_0</vt:lpstr>
      <vt:lpstr>'423'!OSRRefT22_4x_0</vt:lpstr>
      <vt:lpstr>'424'!OSRRefT22_4x_0</vt:lpstr>
      <vt:lpstr>'425'!OSRRefT22_4x_0</vt:lpstr>
      <vt:lpstr>'430'!OSRRefT22_4x_0</vt:lpstr>
      <vt:lpstr>'433'!OSRRefT22_4x_0</vt:lpstr>
      <vt:lpstr>'435'!OSRRefT22_4x_0</vt:lpstr>
      <vt:lpstr>'444'!OSRRefT22_4x_0</vt:lpstr>
      <vt:lpstr>'450'!OSRRefT22_4x_0</vt:lpstr>
      <vt:lpstr>'491'!OSRRefT22_4x_0</vt:lpstr>
      <vt:lpstr>'492'!OSRRefT22_4x_0</vt:lpstr>
      <vt:lpstr>'501'!OSRRefT22_4x_0</vt:lpstr>
      <vt:lpstr>'Div 2'!OSRRefT22_4x_0</vt:lpstr>
      <vt:lpstr>'Div 3'!OSRRefT22_4x_0</vt:lpstr>
      <vt:lpstr>'Div 4'!OSRRefT22_4x_0</vt:lpstr>
      <vt:lpstr>'Div 5'!OSRRefT22_4x_0</vt:lpstr>
      <vt:lpstr>'Div 6'!OSRRefT22_4x_0</vt:lpstr>
      <vt:lpstr>Summary!OSRRefT22_4x_0</vt:lpstr>
      <vt:lpstr>'201'!OSRRefT22_5x_0</vt:lpstr>
      <vt:lpstr>'202'!OSRRefT22_5x_0</vt:lpstr>
      <vt:lpstr>'203'!OSRRefT22_5x_0</vt:lpstr>
      <vt:lpstr>'204'!OSRRefT22_5x_0</vt:lpstr>
      <vt:lpstr>'205'!OSRRefT22_5x_0</vt:lpstr>
      <vt:lpstr>'206'!OSRRefT22_5x_0</vt:lpstr>
      <vt:lpstr>'300'!OSRRefT22_5x_0</vt:lpstr>
      <vt:lpstr>'300 &amp; 317'!OSRRefT22_5x_0</vt:lpstr>
      <vt:lpstr>'301'!OSRRefT22_5x_0</vt:lpstr>
      <vt:lpstr>'306'!OSRRefT22_5x_0</vt:lpstr>
      <vt:lpstr>'307'!OSRRefT22_5x_0</vt:lpstr>
      <vt:lpstr>'308'!OSRRefT22_5x_0</vt:lpstr>
      <vt:lpstr>'309'!OSRRefT22_5x_0</vt:lpstr>
      <vt:lpstr>'310'!OSRRefT22_5x_0</vt:lpstr>
      <vt:lpstr>'310 &amp; 491'!OSRRefT22_5x_0</vt:lpstr>
      <vt:lpstr>'311'!OSRRefT22_5x_0</vt:lpstr>
      <vt:lpstr>'313'!OSRRefT22_5x_0</vt:lpstr>
      <vt:lpstr>'314'!OSRRefT22_5x_0</vt:lpstr>
      <vt:lpstr>'315'!OSRRefT22_5x_0</vt:lpstr>
      <vt:lpstr>'316'!OSRRefT22_5x_0</vt:lpstr>
      <vt:lpstr>'317'!OSRRefT22_5x_0</vt:lpstr>
      <vt:lpstr>'320'!OSRRefT22_5x_0</vt:lpstr>
      <vt:lpstr>'321'!OSRRefT22_5x_0</vt:lpstr>
      <vt:lpstr>'322'!OSRRefT22_5x_0</vt:lpstr>
      <vt:lpstr>'325'!OSRRefT22_5x_0</vt:lpstr>
      <vt:lpstr>'326'!OSRRefT22_5x_0</vt:lpstr>
      <vt:lpstr>'330'!OSRRefT22_5x_0</vt:lpstr>
      <vt:lpstr>'331'!OSRRefT22_5x_0</vt:lpstr>
      <vt:lpstr>'332'!OSRRefT22_5x_0</vt:lpstr>
      <vt:lpstr>'405'!OSRRefT22_5x_0</vt:lpstr>
      <vt:lpstr>'406'!OSRRefT22_5x_0</vt:lpstr>
      <vt:lpstr>'411'!OSRRefT22_5x_0</vt:lpstr>
      <vt:lpstr>'412'!OSRRefT22_5x_0</vt:lpstr>
      <vt:lpstr>'413'!OSRRefT22_5x_0</vt:lpstr>
      <vt:lpstr>'414'!OSRRefT22_5x_0</vt:lpstr>
      <vt:lpstr>'415'!OSRRefT22_5x_0</vt:lpstr>
      <vt:lpstr>'418'!OSRRefT22_5x_0</vt:lpstr>
      <vt:lpstr>'423'!OSRRefT22_5x_0</vt:lpstr>
      <vt:lpstr>'424'!OSRRefT22_5x_0</vt:lpstr>
      <vt:lpstr>'425'!OSRRefT22_5x_0</vt:lpstr>
      <vt:lpstr>'430'!OSRRefT22_5x_0</vt:lpstr>
      <vt:lpstr>'433'!OSRRefT22_5x_0</vt:lpstr>
      <vt:lpstr>'435'!OSRRefT22_5x_0</vt:lpstr>
      <vt:lpstr>'444'!OSRRefT22_5x_0</vt:lpstr>
      <vt:lpstr>'450'!OSRRefT22_5x_0</vt:lpstr>
      <vt:lpstr>'491'!OSRRefT22_5x_0</vt:lpstr>
      <vt:lpstr>'492'!OSRRefT22_5x_0</vt:lpstr>
      <vt:lpstr>'501'!OSRRefT22_5x_0</vt:lpstr>
      <vt:lpstr>'Div 2'!OSRRefT22_5x_0</vt:lpstr>
      <vt:lpstr>'Div 3'!OSRRefT22_5x_0</vt:lpstr>
      <vt:lpstr>'Div 4'!OSRRefT22_5x_0</vt:lpstr>
      <vt:lpstr>'Div 5'!OSRRefT22_5x_0</vt:lpstr>
      <vt:lpstr>'Div 6'!OSRRefT22_5x_0</vt:lpstr>
      <vt:lpstr>Summary!OSRRefT22_5x_0</vt:lpstr>
      <vt:lpstr>'201'!OSRRefT22_6x_0</vt:lpstr>
      <vt:lpstr>'202'!OSRRefT22_6x_0</vt:lpstr>
      <vt:lpstr>'203'!OSRRefT22_6x_0</vt:lpstr>
      <vt:lpstr>'204'!OSRRefT22_6x_0</vt:lpstr>
      <vt:lpstr>'205'!OSRRefT22_6x_0</vt:lpstr>
      <vt:lpstr>'206'!OSRRefT22_6x_0</vt:lpstr>
      <vt:lpstr>'300'!OSRRefT22_6x_0</vt:lpstr>
      <vt:lpstr>'300 &amp; 317'!OSRRefT22_6x_0</vt:lpstr>
      <vt:lpstr>'301'!OSRRefT22_6x_0</vt:lpstr>
      <vt:lpstr>'306'!OSRRefT22_6x_0</vt:lpstr>
      <vt:lpstr>'307'!OSRRefT22_6x_0</vt:lpstr>
      <vt:lpstr>'308'!OSRRefT22_6x_0</vt:lpstr>
      <vt:lpstr>'309'!OSRRefT22_6x_0</vt:lpstr>
      <vt:lpstr>'310'!OSRRefT22_6x_0</vt:lpstr>
      <vt:lpstr>'310 &amp; 491'!OSRRefT22_6x_0</vt:lpstr>
      <vt:lpstr>'311'!OSRRefT22_6x_0</vt:lpstr>
      <vt:lpstr>'313'!OSRRefT22_6x_0</vt:lpstr>
      <vt:lpstr>'315'!OSRRefT22_6x_0</vt:lpstr>
      <vt:lpstr>'316'!OSRRefT22_6x_0</vt:lpstr>
      <vt:lpstr>'317'!OSRRefT22_6x_0</vt:lpstr>
      <vt:lpstr>'320'!OSRRefT22_6x_0</vt:lpstr>
      <vt:lpstr>'321'!OSRRefT22_6x_0</vt:lpstr>
      <vt:lpstr>'322'!OSRRefT22_6x_0</vt:lpstr>
      <vt:lpstr>'325'!OSRRefT22_6x_0</vt:lpstr>
      <vt:lpstr>'326'!OSRRefT22_6x_0</vt:lpstr>
      <vt:lpstr>'330'!OSRRefT22_6x_0</vt:lpstr>
      <vt:lpstr>'331'!OSRRefT22_6x_0</vt:lpstr>
      <vt:lpstr>'332'!OSRRefT22_6x_0</vt:lpstr>
      <vt:lpstr>'405'!OSRRefT22_6x_0</vt:lpstr>
      <vt:lpstr>'406'!OSRRefT22_6x_0</vt:lpstr>
      <vt:lpstr>'411'!OSRRefT22_6x_0</vt:lpstr>
      <vt:lpstr>'412'!OSRRefT22_6x_0</vt:lpstr>
      <vt:lpstr>'413'!OSRRefT22_6x_0</vt:lpstr>
      <vt:lpstr>'414'!OSRRefT22_6x_0</vt:lpstr>
      <vt:lpstr>'415'!OSRRefT22_6x_0</vt:lpstr>
      <vt:lpstr>'418'!OSRRefT22_6x_0</vt:lpstr>
      <vt:lpstr>'424'!OSRRefT22_6x_0</vt:lpstr>
      <vt:lpstr>'425'!OSRRefT22_6x_0</vt:lpstr>
      <vt:lpstr>'430'!OSRRefT22_6x_0</vt:lpstr>
      <vt:lpstr>'433'!OSRRefT22_6x_0</vt:lpstr>
      <vt:lpstr>'435'!OSRRefT22_6x_0</vt:lpstr>
      <vt:lpstr>'444'!OSRRefT22_6x_0</vt:lpstr>
      <vt:lpstr>'450'!OSRRefT22_6x_0</vt:lpstr>
      <vt:lpstr>'491'!OSRRefT22_6x_0</vt:lpstr>
      <vt:lpstr>'492'!OSRRefT22_6x_0</vt:lpstr>
      <vt:lpstr>'501'!OSRRefT22_6x_0</vt:lpstr>
      <vt:lpstr>'Div 2'!OSRRefT22_6x_0</vt:lpstr>
      <vt:lpstr>'Div 3'!OSRRefT22_6x_0</vt:lpstr>
      <vt:lpstr>'Div 4'!OSRRefT22_6x_0</vt:lpstr>
      <vt:lpstr>'Div 5'!OSRRefT22_6x_0</vt:lpstr>
      <vt:lpstr>'Div 6'!OSRRefT22_6x_0</vt:lpstr>
      <vt:lpstr>Summary!OSRRefT22_6x_0</vt:lpstr>
      <vt:lpstr>'201'!OSRRefT22_7x_0</vt:lpstr>
      <vt:lpstr>'202'!OSRRefT22_7x_0</vt:lpstr>
      <vt:lpstr>'203'!OSRRefT22_7x_0</vt:lpstr>
      <vt:lpstr>'204'!OSRRefT22_7x_0</vt:lpstr>
      <vt:lpstr>'205'!OSRRefT22_7x_0</vt:lpstr>
      <vt:lpstr>'206'!OSRRefT22_7x_0</vt:lpstr>
      <vt:lpstr>'300'!OSRRefT22_7x_0</vt:lpstr>
      <vt:lpstr>'300 &amp; 317'!OSRRefT22_7x_0</vt:lpstr>
      <vt:lpstr>'301'!OSRRefT22_7x_0</vt:lpstr>
      <vt:lpstr>'306'!OSRRefT22_7x_0</vt:lpstr>
      <vt:lpstr>'307'!OSRRefT22_7x_0</vt:lpstr>
      <vt:lpstr>'308'!OSRRefT22_7x_0</vt:lpstr>
      <vt:lpstr>'309'!OSRRefT22_7x_0</vt:lpstr>
      <vt:lpstr>'310'!OSRRefT22_7x_0</vt:lpstr>
      <vt:lpstr>'310 &amp; 491'!OSRRefT22_7x_0</vt:lpstr>
      <vt:lpstr>'311'!OSRRefT22_7x_0</vt:lpstr>
      <vt:lpstr>'313'!OSRRefT22_7x_0</vt:lpstr>
      <vt:lpstr>'315'!OSRRefT22_7x_0</vt:lpstr>
      <vt:lpstr>'316'!OSRRefT22_7x_0</vt:lpstr>
      <vt:lpstr>'317'!OSRRefT22_7x_0</vt:lpstr>
      <vt:lpstr>'320'!OSRRefT22_7x_0</vt:lpstr>
      <vt:lpstr>'321'!OSRRefT22_7x_0</vt:lpstr>
      <vt:lpstr>'322'!OSRRefT22_7x_0</vt:lpstr>
      <vt:lpstr>'325'!OSRRefT22_7x_0</vt:lpstr>
      <vt:lpstr>'326'!OSRRefT22_7x_0</vt:lpstr>
      <vt:lpstr>'330'!OSRRefT22_7x_0</vt:lpstr>
      <vt:lpstr>'331'!OSRRefT22_7x_0</vt:lpstr>
      <vt:lpstr>'332'!OSRRefT22_7x_0</vt:lpstr>
      <vt:lpstr>'405'!OSRRefT22_7x_0</vt:lpstr>
      <vt:lpstr>'406'!OSRRefT22_7x_0</vt:lpstr>
      <vt:lpstr>'411'!OSRRefT22_7x_0</vt:lpstr>
      <vt:lpstr>'412'!OSRRefT22_7x_0</vt:lpstr>
      <vt:lpstr>'413'!OSRRefT22_7x_0</vt:lpstr>
      <vt:lpstr>'414'!OSRRefT22_7x_0</vt:lpstr>
      <vt:lpstr>'415'!OSRRefT22_7x_0</vt:lpstr>
      <vt:lpstr>'418'!OSRRefT22_7x_0</vt:lpstr>
      <vt:lpstr>'424'!OSRRefT22_7x_0</vt:lpstr>
      <vt:lpstr>'425'!OSRRefT22_7x_0</vt:lpstr>
      <vt:lpstr>'430'!OSRRefT22_7x_0</vt:lpstr>
      <vt:lpstr>'433'!OSRRefT22_7x_0</vt:lpstr>
      <vt:lpstr>'435'!OSRRefT22_7x_0</vt:lpstr>
      <vt:lpstr>'444'!OSRRefT22_7x_0</vt:lpstr>
      <vt:lpstr>'450'!OSRRefT22_7x_0</vt:lpstr>
      <vt:lpstr>'491'!OSRRefT22_7x_0</vt:lpstr>
      <vt:lpstr>'492'!OSRRefT22_7x_0</vt:lpstr>
      <vt:lpstr>'501'!OSRRefT22_7x_0</vt:lpstr>
      <vt:lpstr>'Div 2'!OSRRefT22_7x_0</vt:lpstr>
      <vt:lpstr>'Div 3'!OSRRefT22_7x_0</vt:lpstr>
      <vt:lpstr>'Div 4'!OSRRefT22_7x_0</vt:lpstr>
      <vt:lpstr>'Div 5'!OSRRefT22_7x_0</vt:lpstr>
      <vt:lpstr>'Div 6'!OSRRefT22_7x_0</vt:lpstr>
      <vt:lpstr>Summary!OSRRefT22_7x_0</vt:lpstr>
      <vt:lpstr>'201'!OSRRefT22_8x_0</vt:lpstr>
      <vt:lpstr>'202'!OSRRefT22_8x_0</vt:lpstr>
      <vt:lpstr>'203'!OSRRefT22_8x_0</vt:lpstr>
      <vt:lpstr>'204'!OSRRefT22_8x_0</vt:lpstr>
      <vt:lpstr>'205'!OSRRefT22_8x_0</vt:lpstr>
      <vt:lpstr>'300'!OSRRefT22_8x_0</vt:lpstr>
      <vt:lpstr>'300 &amp; 317'!OSRRefT22_8x_0</vt:lpstr>
      <vt:lpstr>'301'!OSRRefT22_8x_0</vt:lpstr>
      <vt:lpstr>'306'!OSRRefT22_8x_0</vt:lpstr>
      <vt:lpstr>'307'!OSRRefT22_8x_0</vt:lpstr>
      <vt:lpstr>'308'!OSRRefT22_8x_0</vt:lpstr>
      <vt:lpstr>'309'!OSRRefT22_8x_0</vt:lpstr>
      <vt:lpstr>'310'!OSRRefT22_8x_0</vt:lpstr>
      <vt:lpstr>'310 &amp; 491'!OSRRefT22_8x_0</vt:lpstr>
      <vt:lpstr>'311'!OSRRefT22_8x_0</vt:lpstr>
      <vt:lpstr>'313'!OSRRefT22_8x_0</vt:lpstr>
      <vt:lpstr>'315'!OSRRefT22_8x_0</vt:lpstr>
      <vt:lpstr>'316'!OSRRefT22_8x_0</vt:lpstr>
      <vt:lpstr>'317'!OSRRefT22_8x_0</vt:lpstr>
      <vt:lpstr>'320'!OSRRefT22_8x_0</vt:lpstr>
      <vt:lpstr>'321'!OSRRefT22_8x_0</vt:lpstr>
      <vt:lpstr>'322'!OSRRefT22_8x_0</vt:lpstr>
      <vt:lpstr>'325'!OSRRefT22_8x_0</vt:lpstr>
      <vt:lpstr>'326'!OSRRefT22_8x_0</vt:lpstr>
      <vt:lpstr>'330'!OSRRefT22_8x_0</vt:lpstr>
      <vt:lpstr>'331'!OSRRefT22_8x_0</vt:lpstr>
      <vt:lpstr>'332'!OSRRefT22_8x_0</vt:lpstr>
      <vt:lpstr>'405'!OSRRefT22_8x_0</vt:lpstr>
      <vt:lpstr>'406'!OSRRefT22_8x_0</vt:lpstr>
      <vt:lpstr>'411'!OSRRefT22_8x_0</vt:lpstr>
      <vt:lpstr>'412'!OSRRefT22_8x_0</vt:lpstr>
      <vt:lpstr>'413'!OSRRefT22_8x_0</vt:lpstr>
      <vt:lpstr>'414'!OSRRefT22_8x_0</vt:lpstr>
      <vt:lpstr>'415'!OSRRefT22_8x_0</vt:lpstr>
      <vt:lpstr>'418'!OSRRefT22_8x_0</vt:lpstr>
      <vt:lpstr>'424'!OSRRefT22_8x_0</vt:lpstr>
      <vt:lpstr>'425'!OSRRefT22_8x_0</vt:lpstr>
      <vt:lpstr>'433'!OSRRefT22_8x_0</vt:lpstr>
      <vt:lpstr>'444'!OSRRefT22_8x_0</vt:lpstr>
      <vt:lpstr>'450'!OSRRefT22_8x_0</vt:lpstr>
      <vt:lpstr>'491'!OSRRefT22_8x_0</vt:lpstr>
      <vt:lpstr>'492'!OSRRefT22_8x_0</vt:lpstr>
      <vt:lpstr>'501'!OSRRefT22_8x_0</vt:lpstr>
      <vt:lpstr>'Div 2'!OSRRefT22_8x_0</vt:lpstr>
      <vt:lpstr>'Div 3'!OSRRefT22_8x_0</vt:lpstr>
      <vt:lpstr>'Div 4'!OSRRefT22_8x_0</vt:lpstr>
      <vt:lpstr>'Div 5'!OSRRefT22_8x_0</vt:lpstr>
      <vt:lpstr>'Div 6'!OSRRefT22_8x_0</vt:lpstr>
      <vt:lpstr>Summary!OSRRefT22_8x_0</vt:lpstr>
      <vt:lpstr>'201'!OSRRefT22_9x_0</vt:lpstr>
      <vt:lpstr>'202'!OSRRefT22_9x_0</vt:lpstr>
      <vt:lpstr>'203'!OSRRefT22_9x_0</vt:lpstr>
      <vt:lpstr>'204'!OSRRefT22_9x_0</vt:lpstr>
      <vt:lpstr>'300'!OSRRefT22_9x_0</vt:lpstr>
      <vt:lpstr>'300 &amp; 317'!OSRRefT22_9x_0</vt:lpstr>
      <vt:lpstr>'301'!OSRRefT22_9x_0</vt:lpstr>
      <vt:lpstr>'307'!OSRRefT22_9x_0</vt:lpstr>
      <vt:lpstr>'308'!OSRRefT22_9x_0</vt:lpstr>
      <vt:lpstr>'309'!OSRRefT22_9x_0</vt:lpstr>
      <vt:lpstr>'310'!OSRRefT22_9x_0</vt:lpstr>
      <vt:lpstr>'310 &amp; 491'!OSRRefT22_9x_0</vt:lpstr>
      <vt:lpstr>'311'!OSRRefT22_9x_0</vt:lpstr>
      <vt:lpstr>'313'!OSRRefT22_9x_0</vt:lpstr>
      <vt:lpstr>'315'!OSRRefT22_9x_0</vt:lpstr>
      <vt:lpstr>'316'!OSRRefT22_9x_0</vt:lpstr>
      <vt:lpstr>'317'!OSRRefT22_9x_0</vt:lpstr>
      <vt:lpstr>'321'!OSRRefT22_9x_0</vt:lpstr>
      <vt:lpstr>'322'!OSRRefT22_9x_0</vt:lpstr>
      <vt:lpstr>'325'!OSRRefT22_9x_0</vt:lpstr>
      <vt:lpstr>'326'!OSRRefT22_9x_0</vt:lpstr>
      <vt:lpstr>'330'!OSRRefT22_9x_0</vt:lpstr>
      <vt:lpstr>'331'!OSRRefT22_9x_0</vt:lpstr>
      <vt:lpstr>'332'!OSRRefT22_9x_0</vt:lpstr>
      <vt:lpstr>'405'!OSRRefT22_9x_0</vt:lpstr>
      <vt:lpstr>'406'!OSRRefT22_9x_0</vt:lpstr>
      <vt:lpstr>'411'!OSRRefT22_9x_0</vt:lpstr>
      <vt:lpstr>'412'!OSRRefT22_9x_0</vt:lpstr>
      <vt:lpstr>'413'!OSRRefT22_9x_0</vt:lpstr>
      <vt:lpstr>'414'!OSRRefT22_9x_0</vt:lpstr>
      <vt:lpstr>'415'!OSRRefT22_9x_0</vt:lpstr>
      <vt:lpstr>'418'!OSRRefT22_9x_0</vt:lpstr>
      <vt:lpstr>'424'!OSRRefT22_9x_0</vt:lpstr>
      <vt:lpstr>'425'!OSRRefT22_9x_0</vt:lpstr>
      <vt:lpstr>'433'!OSRRefT22_9x_0</vt:lpstr>
      <vt:lpstr>'444'!OSRRefT22_9x_0</vt:lpstr>
      <vt:lpstr>'450'!OSRRefT22_9x_0</vt:lpstr>
      <vt:lpstr>'491'!OSRRefT22_9x_0</vt:lpstr>
      <vt:lpstr>'492'!OSRRefT22_9x_0</vt:lpstr>
      <vt:lpstr>'501'!OSRRefT22_9x_0</vt:lpstr>
      <vt:lpstr>'Div 2'!OSRRefT22_9x_0</vt:lpstr>
      <vt:lpstr>'Div 3'!OSRRefT22_9x_0</vt:lpstr>
      <vt:lpstr>'Div 4'!OSRRefT22_9x_0</vt:lpstr>
      <vt:lpstr>'Div 5'!OSRRefT22_9x_0</vt:lpstr>
      <vt:lpstr>'Div 6'!OSRRefT22_9x_0</vt:lpstr>
      <vt:lpstr>Summary!OSRRefT22_9x_0</vt:lpstr>
      <vt:lpstr>'200'!OSRRefT22x_0</vt:lpstr>
      <vt:lpstr>'201'!OSRRefT22x_0</vt:lpstr>
      <vt:lpstr>'202'!OSRRefT22x_0</vt:lpstr>
      <vt:lpstr>'203'!OSRRefT22x_0</vt:lpstr>
      <vt:lpstr>'204'!OSRRefT22x_0</vt:lpstr>
      <vt:lpstr>'205'!OSRRefT22x_0</vt:lpstr>
      <vt:lpstr>'206'!OSRRefT22x_0</vt:lpstr>
      <vt:lpstr>'300'!OSRRefT22x_0</vt:lpstr>
      <vt:lpstr>'300 &amp; 317'!OSRRefT22x_0</vt:lpstr>
      <vt:lpstr>'301'!OSRRefT22x_0</vt:lpstr>
      <vt:lpstr>'306'!OSRRefT22x_0</vt:lpstr>
      <vt:lpstr>'307'!OSRRefT22x_0</vt:lpstr>
      <vt:lpstr>'308'!OSRRefT22x_0</vt:lpstr>
      <vt:lpstr>'309'!OSRRefT22x_0</vt:lpstr>
      <vt:lpstr>'310'!OSRRefT22x_0</vt:lpstr>
      <vt:lpstr>'310 &amp; 491'!OSRRefT22x_0</vt:lpstr>
      <vt:lpstr>'311'!OSRRefT22x_0</vt:lpstr>
      <vt:lpstr>'313'!OSRRefT22x_0</vt:lpstr>
      <vt:lpstr>'314'!OSRRefT22x_0</vt:lpstr>
      <vt:lpstr>'315'!OSRRefT22x_0</vt:lpstr>
      <vt:lpstr>'316'!OSRRefT22x_0</vt:lpstr>
      <vt:lpstr>'317'!OSRRefT22x_0</vt:lpstr>
      <vt:lpstr>'320'!OSRRefT22x_0</vt:lpstr>
      <vt:lpstr>'321'!OSRRefT22x_0</vt:lpstr>
      <vt:lpstr>'322'!OSRRefT22x_0</vt:lpstr>
      <vt:lpstr>'325'!OSRRefT22x_0</vt:lpstr>
      <vt:lpstr>'326'!OSRRefT22x_0</vt:lpstr>
      <vt:lpstr>'327'!OSRRefT22x_0</vt:lpstr>
      <vt:lpstr>'330'!OSRRefT22x_0</vt:lpstr>
      <vt:lpstr>'331'!OSRRefT22x_0</vt:lpstr>
      <vt:lpstr>'332'!OSRRefT22x_0</vt:lpstr>
      <vt:lpstr>'405'!OSRRefT22x_0</vt:lpstr>
      <vt:lpstr>'406'!OSRRefT22x_0</vt:lpstr>
      <vt:lpstr>'411'!OSRRefT22x_0</vt:lpstr>
      <vt:lpstr>'412'!OSRRefT22x_0</vt:lpstr>
      <vt:lpstr>'413'!OSRRefT22x_0</vt:lpstr>
      <vt:lpstr>'414'!OSRRefT22x_0</vt:lpstr>
      <vt:lpstr>'415'!OSRRefT22x_0</vt:lpstr>
      <vt:lpstr>'418'!OSRRefT22x_0</vt:lpstr>
      <vt:lpstr>'420'!OSRRefT22x_0</vt:lpstr>
      <vt:lpstr>'423'!OSRRefT22x_0</vt:lpstr>
      <vt:lpstr>'424'!OSRRefT22x_0</vt:lpstr>
      <vt:lpstr>'425'!OSRRefT22x_0</vt:lpstr>
      <vt:lpstr>'430'!OSRRefT22x_0</vt:lpstr>
      <vt:lpstr>'433'!OSRRefT22x_0</vt:lpstr>
      <vt:lpstr>'435'!OSRRefT22x_0</vt:lpstr>
      <vt:lpstr>'444'!OSRRefT22x_0</vt:lpstr>
      <vt:lpstr>'450'!OSRRefT22x_0</vt:lpstr>
      <vt:lpstr>'455'!OSRRefT22x_0</vt:lpstr>
      <vt:lpstr>'491'!OSRRefT22x_0</vt:lpstr>
      <vt:lpstr>'492'!OSRRefT22x_0</vt:lpstr>
      <vt:lpstr>'501'!OSRRefT22x_0</vt:lpstr>
      <vt:lpstr>'Div 2'!OSRRefT22x_0</vt:lpstr>
      <vt:lpstr>'Div 3'!OSRRefT22x_0</vt:lpstr>
      <vt:lpstr>'Div 4'!OSRRefT22x_0</vt:lpstr>
      <vt:lpstr>'Div 5'!OSRRefT22x_0</vt:lpstr>
      <vt:lpstr>'Div 6'!OSRRefT22x_0</vt:lpstr>
      <vt:lpstr>Summary!OSRRefT22x_0</vt:lpstr>
      <vt:lpstr>'300'!OSRRefT25x_0</vt:lpstr>
      <vt:lpstr>'300 &amp; 317'!OSRRefT25x_0</vt:lpstr>
      <vt:lpstr>'301'!OSRRefT25x_0</vt:lpstr>
      <vt:lpstr>'308'!OSRRefT25x_0</vt:lpstr>
      <vt:lpstr>'310 &amp; 491'!OSRRefT25x_0</vt:lpstr>
      <vt:lpstr>'311'!OSRRefT25x_0</vt:lpstr>
      <vt:lpstr>'315'!OSRRefT25x_0</vt:lpstr>
      <vt:lpstr>'316'!OSRRefT25x_0</vt:lpstr>
      <vt:lpstr>'317'!OSRRefT25x_0</vt:lpstr>
      <vt:lpstr>'320'!OSRRefT25x_0</vt:lpstr>
      <vt:lpstr>'331'!OSRRefT25x_0</vt:lpstr>
      <vt:lpstr>'332'!OSRRefT25x_0</vt:lpstr>
      <vt:lpstr>'411'!OSRRefT25x_0</vt:lpstr>
      <vt:lpstr>'413'!OSRRefT25x_0</vt:lpstr>
      <vt:lpstr>'418'!OSRRefT25x_0</vt:lpstr>
      <vt:lpstr>'423'!OSRRefT25x_0</vt:lpstr>
      <vt:lpstr>'424'!OSRRefT25x_0</vt:lpstr>
      <vt:lpstr>'425'!OSRRefT25x_0</vt:lpstr>
      <vt:lpstr>'455'!OSRRefT25x_0</vt:lpstr>
      <vt:lpstr>'491'!OSRRefT25x_0</vt:lpstr>
      <vt:lpstr>'501'!OSRRefT25x_0</vt:lpstr>
      <vt:lpstr>'Div 3'!OSRRefT25x_0</vt:lpstr>
      <vt:lpstr>'Div 4'!OSRRefT25x_0</vt:lpstr>
      <vt:lpstr>'Div 5'!OSRRefT25x_0</vt:lpstr>
      <vt:lpstr>'Div 6'!OSRRefT25x_0</vt:lpstr>
      <vt:lpstr>Summary!OSRRefT25x_0</vt:lpstr>
      <vt:lpstr>'100'!Print_Area</vt:lpstr>
      <vt:lpstr>'200'!Print_Area</vt:lpstr>
      <vt:lpstr>'201'!Print_Area</vt:lpstr>
      <vt:lpstr>'202'!Print_Area</vt:lpstr>
      <vt:lpstr>'203'!Print_Area</vt:lpstr>
      <vt:lpstr>'204'!Print_Area</vt:lpstr>
      <vt:lpstr>'205'!Print_Area</vt:lpstr>
      <vt:lpstr>'206'!Print_Area</vt:lpstr>
      <vt:lpstr>'300'!Print_Area</vt:lpstr>
      <vt:lpstr>'300 &amp; 317'!Print_Area</vt:lpstr>
      <vt:lpstr>'301'!Print_Area</vt:lpstr>
      <vt:lpstr>'306'!Print_Area</vt:lpstr>
      <vt:lpstr>'307'!Print_Area</vt:lpstr>
      <vt:lpstr>'308'!Print_Area</vt:lpstr>
      <vt:lpstr>'309'!Print_Area</vt:lpstr>
      <vt:lpstr>'310'!Print_Area</vt:lpstr>
      <vt:lpstr>'310 &amp; 491'!Print_Area</vt:lpstr>
      <vt:lpstr>'311'!Print_Area</vt:lpstr>
      <vt:lpstr>'313'!Print_Area</vt:lpstr>
      <vt:lpstr>'314'!Print_Area</vt:lpstr>
      <vt:lpstr>'315'!Print_Area</vt:lpstr>
      <vt:lpstr>'316'!Print_Area</vt:lpstr>
      <vt:lpstr>'317'!Print_Area</vt:lpstr>
      <vt:lpstr>'320'!Print_Area</vt:lpstr>
      <vt:lpstr>'321'!Print_Area</vt:lpstr>
      <vt:lpstr>'322'!Print_Area</vt:lpstr>
      <vt:lpstr>'324'!Print_Area</vt:lpstr>
      <vt:lpstr>'325'!Print_Area</vt:lpstr>
      <vt:lpstr>'326'!Print_Area</vt:lpstr>
      <vt:lpstr>'327'!Print_Area</vt:lpstr>
      <vt:lpstr>'330'!Print_Area</vt:lpstr>
      <vt:lpstr>'331'!Print_Area</vt:lpstr>
      <vt:lpstr>'332'!Print_Area</vt:lpstr>
      <vt:lpstr>'405'!Print_Area</vt:lpstr>
      <vt:lpstr>'406'!Print_Area</vt:lpstr>
      <vt:lpstr>'411'!Print_Area</vt:lpstr>
      <vt:lpstr>'412'!Print_Area</vt:lpstr>
      <vt:lpstr>'413'!Print_Area</vt:lpstr>
      <vt:lpstr>'414'!Print_Area</vt:lpstr>
      <vt:lpstr>'415'!Print_Area</vt:lpstr>
      <vt:lpstr>'418'!Print_Area</vt:lpstr>
      <vt:lpstr>'420'!Print_Area</vt:lpstr>
      <vt:lpstr>'423'!Print_Area</vt:lpstr>
      <vt:lpstr>'424'!Print_Area</vt:lpstr>
      <vt:lpstr>'425'!Print_Area</vt:lpstr>
      <vt:lpstr>'430'!Print_Area</vt:lpstr>
      <vt:lpstr>'433'!Print_Area</vt:lpstr>
      <vt:lpstr>'435'!Print_Area</vt:lpstr>
      <vt:lpstr>'444'!Print_Area</vt:lpstr>
      <vt:lpstr>'450'!Print_Area</vt:lpstr>
      <vt:lpstr>'455'!Print_Area</vt:lpstr>
      <vt:lpstr>'491'!Print_Area</vt:lpstr>
      <vt:lpstr>'492'!Print_Area</vt:lpstr>
      <vt:lpstr>'501'!Print_Area</vt:lpstr>
      <vt:lpstr>Dept!Print_Area</vt:lpstr>
      <vt:lpstr>'Div 1'!Print_Area</vt:lpstr>
      <vt:lpstr>'Div 2'!Print_Area</vt:lpstr>
      <vt:lpstr>'Div 3'!Print_Area</vt:lpstr>
      <vt:lpstr>'Div 4'!Print_Area</vt:lpstr>
      <vt:lpstr>'Div 5'!Print_Area</vt:lpstr>
      <vt:lpstr>'Div 6'!Print_Area</vt:lpstr>
      <vt:lpstr>'OSR_300 &amp; 317_1C00ID4'!Print_Area</vt:lpstr>
      <vt:lpstr>'OSR_300 (2)_7...54cb56fc_UFX0O2'!Print_Area</vt:lpstr>
      <vt:lpstr>'OSR_300 (2)_c...79cd3046_1TJM0H'!Print_Area</vt:lpstr>
      <vt:lpstr>'OSR_300 (2)_e...5d0da5bf_6BPGAO'!Print_Area</vt:lpstr>
      <vt:lpstr>OSR_300_IYZXI6!Print_Area</vt:lpstr>
      <vt:lpstr>'OSR_308 (2)_...47685838_1YQW4QY'!Print_Area</vt:lpstr>
      <vt:lpstr>OSR_308_UAWDAG!Print_Area</vt:lpstr>
      <vt:lpstr>'OSR_310 &amp; 491_1NGRCS9'!Print_Area</vt:lpstr>
      <vt:lpstr>'OSR_310 (2)_...6e684f08_1FLCNJG'!Print_Area</vt:lpstr>
      <vt:lpstr>'OSR_310 (2)_...8cac1423_1JTU33X'!Print_Area</vt:lpstr>
      <vt:lpstr>OSR_310_1CMTOSB!Print_Area</vt:lpstr>
      <vt:lpstr>'OSR_330 (2)_...8a14c83e_1NSH7XI'!Print_Area</vt:lpstr>
      <vt:lpstr>OSR_330_10VFP5Y!Print_Area</vt:lpstr>
      <vt:lpstr>'OSR_331 (2)_...7280af70_1P5SPLT'!Print_Area</vt:lpstr>
      <vt:lpstr>OSR_331_10VKQAJ!Print_Area</vt:lpstr>
      <vt:lpstr>OSR_332_6NDVBW!Print_Area</vt:lpstr>
      <vt:lpstr>'OSR_491 (2)_0...c51cc666_QIOT67'!Print_Area</vt:lpstr>
      <vt:lpstr>OSR_491_9Z9JH5!Print_Area</vt:lpstr>
      <vt:lpstr>'OSR_492 (2)_...cd97c6a6_13HYXEV'!Print_Area</vt:lpstr>
      <vt:lpstr>OSR_492_943FP1!Print_Area</vt:lpstr>
      <vt:lpstr>'OSR_Current ...69b7dd8c_1IEQKFK'!Print_Area</vt:lpstr>
      <vt:lpstr>OSR_Dept_Y0WUKY!Print_Area</vt:lpstr>
      <vt:lpstr>'OSR_Div 1 (2)...789fe994_2NV3KA'!Print_Area</vt:lpstr>
      <vt:lpstr>'OSR_Div 1_7H47HR'!Print_Area</vt:lpstr>
      <vt:lpstr>'OSR_Div 2_1PQ800A'!Print_Area</vt:lpstr>
      <vt:lpstr>'OSR_Div 3 (2)...4cb81c06_PBSMLS'!Print_Area</vt:lpstr>
      <vt:lpstr>'OSR_Div 3 (2)...b7db256a_40ITCB'!Print_Area</vt:lpstr>
      <vt:lpstr>'OSR_Div 3_18723PH'!Print_Area</vt:lpstr>
      <vt:lpstr>'OSR_Div 4 (2)...1a9a4454_CQFRNE'!Print_Area</vt:lpstr>
      <vt:lpstr>'OSR_Div 4 (2...2533da42_174R6QX'!Print_Area</vt:lpstr>
      <vt:lpstr>'OSR_Div 4_1740TMT'!Print_Area</vt:lpstr>
      <vt:lpstr>'OSR_Div 5 (2...09141158_1BG9FGV'!Print_Area</vt:lpstr>
      <vt:lpstr>'OSR_Div 5_16NAZO2'!Print_Area</vt:lpstr>
      <vt:lpstr>'OSR_Div 6_P37YY7'!Print_Area</vt:lpstr>
      <vt:lpstr>'OSR_Summary (...56e5d78f_5JEYZH'!Print_Area</vt:lpstr>
      <vt:lpstr>OSR_Summary_18VAVWG!Print_Area</vt:lpstr>
      <vt:lpstr>Summary!Print_Area</vt:lpstr>
      <vt:lpstr>'100'!Print_Titles</vt:lpstr>
      <vt:lpstr>'200'!Print_Titles</vt:lpstr>
      <vt:lpstr>'201'!Print_Titles</vt:lpstr>
      <vt:lpstr>'202'!Print_Titles</vt:lpstr>
      <vt:lpstr>'203'!Print_Titles</vt:lpstr>
      <vt:lpstr>'204'!Print_Titles</vt:lpstr>
      <vt:lpstr>'205'!Print_Titles</vt:lpstr>
      <vt:lpstr>'206'!Print_Titles</vt:lpstr>
      <vt:lpstr>'300'!Print_Titles</vt:lpstr>
      <vt:lpstr>'300 &amp; 317'!Print_Titles</vt:lpstr>
      <vt:lpstr>'301'!Print_Titles</vt:lpstr>
      <vt:lpstr>'306'!Print_Titles</vt:lpstr>
      <vt:lpstr>'307'!Print_Titles</vt:lpstr>
      <vt:lpstr>'308'!Print_Titles</vt:lpstr>
      <vt:lpstr>'309'!Print_Titles</vt:lpstr>
      <vt:lpstr>'310'!Print_Titles</vt:lpstr>
      <vt:lpstr>'310 &amp; 491'!Print_Titles</vt:lpstr>
      <vt:lpstr>'311'!Print_Titles</vt:lpstr>
      <vt:lpstr>'313'!Print_Titles</vt:lpstr>
      <vt:lpstr>'314'!Print_Titles</vt:lpstr>
      <vt:lpstr>'315'!Print_Titles</vt:lpstr>
      <vt:lpstr>'316'!Print_Titles</vt:lpstr>
      <vt:lpstr>'317'!Print_Titles</vt:lpstr>
      <vt:lpstr>'320'!Print_Titles</vt:lpstr>
      <vt:lpstr>'321'!Print_Titles</vt:lpstr>
      <vt:lpstr>'322'!Print_Titles</vt:lpstr>
      <vt:lpstr>'324'!Print_Titles</vt:lpstr>
      <vt:lpstr>'325'!Print_Titles</vt:lpstr>
      <vt:lpstr>'326'!Print_Titles</vt:lpstr>
      <vt:lpstr>'327'!Print_Titles</vt:lpstr>
      <vt:lpstr>'330'!Print_Titles</vt:lpstr>
      <vt:lpstr>'331'!Print_Titles</vt:lpstr>
      <vt:lpstr>'332'!Print_Titles</vt:lpstr>
      <vt:lpstr>'405'!Print_Titles</vt:lpstr>
      <vt:lpstr>'406'!Print_Titles</vt:lpstr>
      <vt:lpstr>'411'!Print_Titles</vt:lpstr>
      <vt:lpstr>'412'!Print_Titles</vt:lpstr>
      <vt:lpstr>'413'!Print_Titles</vt:lpstr>
      <vt:lpstr>'414'!Print_Titles</vt:lpstr>
      <vt:lpstr>'415'!Print_Titles</vt:lpstr>
      <vt:lpstr>'418'!Print_Titles</vt:lpstr>
      <vt:lpstr>'420'!Print_Titles</vt:lpstr>
      <vt:lpstr>'423'!Print_Titles</vt:lpstr>
      <vt:lpstr>'424'!Print_Titles</vt:lpstr>
      <vt:lpstr>'425'!Print_Titles</vt:lpstr>
      <vt:lpstr>'430'!Print_Titles</vt:lpstr>
      <vt:lpstr>'433'!Print_Titles</vt:lpstr>
      <vt:lpstr>'435'!Print_Titles</vt:lpstr>
      <vt:lpstr>'444'!Print_Titles</vt:lpstr>
      <vt:lpstr>'450'!Print_Titles</vt:lpstr>
      <vt:lpstr>'455'!Print_Titles</vt:lpstr>
      <vt:lpstr>'491'!Print_Titles</vt:lpstr>
      <vt:lpstr>'492'!Print_Titles</vt:lpstr>
      <vt:lpstr>'501'!Print_Titles</vt:lpstr>
      <vt:lpstr>Dept!Print_Titles</vt:lpstr>
      <vt:lpstr>'Div 1'!Print_Titles</vt:lpstr>
      <vt:lpstr>'Div 2'!Print_Titles</vt:lpstr>
      <vt:lpstr>'Div 3'!Print_Titles</vt:lpstr>
      <vt:lpstr>'Div 4'!Print_Titles</vt:lpstr>
      <vt:lpstr>'Div 5'!Print_Titles</vt:lpstr>
      <vt:lpstr>'Div 6'!Print_Titles</vt:lpstr>
      <vt:lpstr>'OSR_300 &amp; 317_1C00ID4'!Print_Titles</vt:lpstr>
      <vt:lpstr>'OSR_300 (2)_7...54cb56fc_UFX0O2'!Print_Titles</vt:lpstr>
      <vt:lpstr>'OSR_300 (2)_c...79cd3046_1TJM0H'!Print_Titles</vt:lpstr>
      <vt:lpstr>'OSR_300 (2)_e...5d0da5bf_6BPGAO'!Print_Titles</vt:lpstr>
      <vt:lpstr>OSR_300_IYZXI6!Print_Titles</vt:lpstr>
      <vt:lpstr>'OSR_308 (2)_...47685838_1YQW4QY'!Print_Titles</vt:lpstr>
      <vt:lpstr>OSR_308_UAWDAG!Print_Titles</vt:lpstr>
      <vt:lpstr>'OSR_310 &amp; 491_1NGRCS9'!Print_Titles</vt:lpstr>
      <vt:lpstr>'OSR_310 (2)_...6e684f08_1FLCNJG'!Print_Titles</vt:lpstr>
      <vt:lpstr>'OSR_310 (2)_...8cac1423_1JTU33X'!Print_Titles</vt:lpstr>
      <vt:lpstr>OSR_310_1CMTOSB!Print_Titles</vt:lpstr>
      <vt:lpstr>'OSR_330 (2)_...8a14c83e_1NSH7XI'!Print_Titles</vt:lpstr>
      <vt:lpstr>OSR_330_10VFP5Y!Print_Titles</vt:lpstr>
      <vt:lpstr>'OSR_331 (2)_...7280af70_1P5SPLT'!Print_Titles</vt:lpstr>
      <vt:lpstr>OSR_331_10VKQAJ!Print_Titles</vt:lpstr>
      <vt:lpstr>OSR_332_6NDVBW!Print_Titles</vt:lpstr>
      <vt:lpstr>'OSR_491 (2)_0...c51cc666_QIOT67'!Print_Titles</vt:lpstr>
      <vt:lpstr>OSR_491_9Z9JH5!Print_Titles</vt:lpstr>
      <vt:lpstr>'OSR_492 (2)_...cd97c6a6_13HYXEV'!Print_Titles</vt:lpstr>
      <vt:lpstr>OSR_492_943FP1!Print_Titles</vt:lpstr>
      <vt:lpstr>'OSR_Current ...69b7dd8c_1IEQKFK'!Print_Titles</vt:lpstr>
      <vt:lpstr>OSR_Dept_Y0WUKY!Print_Titles</vt:lpstr>
      <vt:lpstr>'OSR_Div 1 (2)...789fe994_2NV3KA'!Print_Titles</vt:lpstr>
      <vt:lpstr>'OSR_Div 1_7H47HR'!Print_Titles</vt:lpstr>
      <vt:lpstr>'OSR_Div 2_1PQ800A'!Print_Titles</vt:lpstr>
      <vt:lpstr>'OSR_Div 3 (2)...4cb81c06_PBSMLS'!Print_Titles</vt:lpstr>
      <vt:lpstr>'OSR_Div 3 (2)...b7db256a_40ITCB'!Print_Titles</vt:lpstr>
      <vt:lpstr>'OSR_Div 3_18723PH'!Print_Titles</vt:lpstr>
      <vt:lpstr>'OSR_Div 4 (2)...1a9a4454_CQFRNE'!Print_Titles</vt:lpstr>
      <vt:lpstr>'OSR_Div 4 (2...2533da42_174R6QX'!Print_Titles</vt:lpstr>
      <vt:lpstr>'OSR_Div 4_1740TMT'!Print_Titles</vt:lpstr>
      <vt:lpstr>'OSR_Div 5 (2...09141158_1BG9FGV'!Print_Titles</vt:lpstr>
      <vt:lpstr>'OSR_Div 5_16NAZO2'!Print_Titles</vt:lpstr>
      <vt:lpstr>'OSR_Div 6_P37YY7'!Print_Titles</vt:lpstr>
      <vt:lpstr>'OSR_Summary (...56e5d78f_5JEYZH'!Print_Titles</vt:lpstr>
      <vt:lpstr>OSR_Summary_18VAVWG!Print_Titles</vt:lpstr>
      <vt:lpstr>Summary!Print_Titles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Tess Monzon</cp:lastModifiedBy>
  <dcterms:modified xsi:type="dcterms:W3CDTF">2020-11-16T22:03:04Z</dcterms:modified>
</cp:coreProperties>
</file>